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C\Desktop\"/>
    </mc:Choice>
  </mc:AlternateContent>
  <xr:revisionPtr revIDLastSave="0" documentId="8_{B0817927-F436-41CA-8E94-8CAF44B576D6}" xr6:coauthVersionLast="36" xr6:coauthVersionMax="36" xr10:uidLastSave="{00000000-0000-0000-0000-000000000000}"/>
  <bookViews>
    <workbookView xWindow="0" yWindow="0" windowWidth="25200" windowHeight="11775"/>
  </bookViews>
  <sheets>
    <sheet name="BFI-listen over serier" sheetId="1" r:id="rId1"/>
  </sheets>
  <calcPr calcId="0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6" i="1"/>
  <c r="D107" i="1"/>
  <c r="D108" i="1"/>
  <c r="D109" i="1"/>
  <c r="D110" i="1"/>
  <c r="D111" i="1"/>
  <c r="D112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1" i="1"/>
  <c r="D132" i="1"/>
  <c r="D133" i="1"/>
  <c r="D134" i="1"/>
  <c r="D135" i="1"/>
  <c r="D136" i="1"/>
  <c r="D137" i="1"/>
  <c r="D138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8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5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2" i="1"/>
  <c r="D293" i="1"/>
  <c r="D294" i="1"/>
  <c r="D295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4" i="1"/>
  <c r="D315" i="1"/>
  <c r="D316" i="1"/>
  <c r="D317" i="1"/>
  <c r="D318" i="1"/>
  <c r="D319" i="1"/>
  <c r="D320" i="1"/>
  <c r="D321" i="1"/>
  <c r="D322" i="1"/>
  <c r="D324" i="1"/>
  <c r="D325" i="1"/>
  <c r="D326" i="1"/>
  <c r="D327" i="1"/>
  <c r="D328" i="1"/>
  <c r="D329" i="1"/>
  <c r="D330" i="1"/>
  <c r="D331" i="1"/>
  <c r="D333" i="1"/>
  <c r="D334" i="1"/>
  <c r="D335" i="1"/>
  <c r="D336" i="1"/>
  <c r="D337" i="1"/>
  <c r="D339" i="1"/>
  <c r="D340" i="1"/>
  <c r="D341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7" i="1"/>
  <c r="D358" i="1"/>
  <c r="D359" i="1"/>
  <c r="D360" i="1"/>
  <c r="D362" i="1"/>
  <c r="D365" i="1"/>
  <c r="D366" i="1"/>
  <c r="D368" i="1"/>
  <c r="D369" i="1"/>
  <c r="D370" i="1"/>
  <c r="D371" i="1"/>
  <c r="D373" i="1"/>
  <c r="D374" i="1"/>
  <c r="D375" i="1"/>
  <c r="D376" i="1"/>
  <c r="D377" i="1"/>
  <c r="D378" i="1"/>
  <c r="D379" i="1"/>
  <c r="D380" i="1"/>
  <c r="D381" i="1"/>
  <c r="D382" i="1"/>
  <c r="D384" i="1"/>
  <c r="D385" i="1"/>
  <c r="D386" i="1"/>
  <c r="D388" i="1"/>
  <c r="D389" i="1"/>
  <c r="D391" i="1"/>
  <c r="D392" i="1"/>
  <c r="D393" i="1"/>
  <c r="D394" i="1"/>
  <c r="D396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1" i="1"/>
  <c r="D432" i="1"/>
  <c r="D433" i="1"/>
  <c r="D434" i="1"/>
  <c r="D436" i="1"/>
  <c r="D437" i="1"/>
  <c r="D438" i="1"/>
  <c r="D439" i="1"/>
  <c r="D440" i="1"/>
  <c r="D441" i="1"/>
  <c r="D444" i="1"/>
  <c r="D445" i="1"/>
  <c r="D446" i="1"/>
  <c r="D447" i="1"/>
  <c r="D448" i="1"/>
  <c r="D449" i="1"/>
  <c r="D450" i="1"/>
  <c r="D451" i="1"/>
  <c r="D452" i="1"/>
  <c r="D454" i="1"/>
  <c r="D455" i="1"/>
  <c r="D456" i="1"/>
  <c r="D459" i="1"/>
  <c r="D460" i="1"/>
  <c r="D461" i="1"/>
  <c r="D463" i="1"/>
  <c r="D464" i="1"/>
  <c r="D465" i="1"/>
  <c r="D466" i="1"/>
  <c r="D467" i="1"/>
  <c r="D468" i="1"/>
  <c r="D469" i="1"/>
  <c r="D471" i="1"/>
  <c r="D473" i="1"/>
  <c r="D474" i="1"/>
  <c r="D476" i="1"/>
  <c r="D477" i="1"/>
  <c r="D479" i="1"/>
  <c r="D481" i="1"/>
  <c r="D482" i="1"/>
  <c r="D483" i="1"/>
  <c r="D484" i="1"/>
  <c r="D485" i="1"/>
  <c r="D486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5" i="1"/>
  <c r="D506" i="1"/>
  <c r="D507" i="1"/>
  <c r="D509" i="1"/>
  <c r="D510" i="1"/>
  <c r="D511" i="1"/>
  <c r="D512" i="1"/>
  <c r="D513" i="1"/>
  <c r="D515" i="1"/>
  <c r="D519" i="1"/>
  <c r="D520" i="1"/>
  <c r="D521" i="1"/>
  <c r="D524" i="1"/>
  <c r="D525" i="1"/>
  <c r="D526" i="1"/>
  <c r="D527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3" i="1"/>
  <c r="D544" i="1"/>
  <c r="D545" i="1"/>
  <c r="D557" i="1"/>
  <c r="D559" i="1"/>
  <c r="D561" i="1"/>
  <c r="D562" i="1"/>
  <c r="D563" i="1"/>
  <c r="D564" i="1"/>
  <c r="D565" i="1"/>
  <c r="D566" i="1"/>
  <c r="D568" i="1"/>
  <c r="D569" i="1"/>
  <c r="D570" i="1"/>
  <c r="D571" i="1"/>
  <c r="D572" i="1"/>
  <c r="D573" i="1"/>
  <c r="D574" i="1"/>
  <c r="D576" i="1"/>
  <c r="D577" i="1"/>
  <c r="D578" i="1"/>
  <c r="D579" i="1"/>
  <c r="D580" i="1"/>
  <c r="D581" i="1"/>
  <c r="D582" i="1"/>
  <c r="D584" i="1"/>
  <c r="D585" i="1"/>
  <c r="D586" i="1"/>
  <c r="D587" i="1"/>
  <c r="D588" i="1"/>
  <c r="D590" i="1"/>
  <c r="D591" i="1"/>
  <c r="D593" i="1"/>
  <c r="D597" i="1"/>
  <c r="D598" i="1"/>
  <c r="D599" i="1"/>
  <c r="D600" i="1"/>
  <c r="D602" i="1"/>
  <c r="D603" i="1"/>
  <c r="D606" i="1"/>
  <c r="D607" i="1"/>
  <c r="D608" i="1"/>
  <c r="D610" i="1"/>
  <c r="D611" i="1"/>
  <c r="D612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8" i="1"/>
  <c r="D629" i="1"/>
  <c r="D630" i="1"/>
  <c r="D631" i="1"/>
  <c r="D634" i="1"/>
  <c r="D635" i="1"/>
  <c r="D636" i="1"/>
  <c r="D637" i="1"/>
  <c r="D638" i="1"/>
  <c r="D639" i="1"/>
  <c r="D642" i="1"/>
  <c r="D643" i="1"/>
  <c r="D645" i="1"/>
  <c r="D646" i="1"/>
  <c r="D647" i="1"/>
  <c r="D648" i="1"/>
  <c r="D649" i="1"/>
  <c r="D651" i="1"/>
  <c r="D652" i="1"/>
  <c r="D653" i="1"/>
  <c r="D654" i="1"/>
  <c r="D655" i="1"/>
  <c r="D656" i="1"/>
  <c r="D658" i="1"/>
  <c r="D659" i="1"/>
  <c r="D660" i="1"/>
  <c r="D661" i="1"/>
  <c r="D662" i="1"/>
  <c r="D663" i="1"/>
  <c r="D665" i="1"/>
  <c r="D666" i="1"/>
  <c r="D668" i="1"/>
  <c r="D669" i="1"/>
  <c r="D670" i="1"/>
  <c r="D672" i="1"/>
  <c r="D673" i="1"/>
  <c r="D674" i="1"/>
  <c r="D675" i="1"/>
  <c r="D676" i="1"/>
  <c r="D677" i="1"/>
  <c r="D679" i="1"/>
  <c r="D680" i="1"/>
  <c r="D681" i="1"/>
  <c r="D682" i="1"/>
  <c r="D683" i="1"/>
  <c r="D684" i="1"/>
  <c r="D685" i="1"/>
  <c r="D687" i="1"/>
  <c r="D688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11" i="1"/>
  <c r="D712" i="1"/>
  <c r="D713" i="1"/>
  <c r="D714" i="1"/>
  <c r="D716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2" i="1"/>
  <c r="D793" i="1"/>
  <c r="D794" i="1"/>
  <c r="D795" i="1"/>
  <c r="D796" i="1"/>
  <c r="D797" i="1"/>
  <c r="D798" i="1"/>
  <c r="D799" i="1"/>
  <c r="D801" i="1"/>
  <c r="D803" i="1"/>
  <c r="D804" i="1"/>
  <c r="D805" i="1"/>
  <c r="D806" i="1"/>
  <c r="D809" i="1"/>
  <c r="D810" i="1"/>
  <c r="D811" i="1"/>
  <c r="D812" i="1"/>
  <c r="D813" i="1"/>
  <c r="D814" i="1"/>
  <c r="D817" i="1"/>
  <c r="D818" i="1"/>
  <c r="D819" i="1"/>
  <c r="D820" i="1"/>
  <c r="D821" i="1"/>
  <c r="D823" i="1"/>
  <c r="D824" i="1"/>
  <c r="D825" i="1"/>
  <c r="D826" i="1"/>
  <c r="D827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4" i="1"/>
  <c r="D845" i="1"/>
  <c r="D846" i="1"/>
  <c r="D847" i="1"/>
  <c r="D849" i="1"/>
  <c r="D852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8" i="1"/>
  <c r="D879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6" i="1"/>
  <c r="D937" i="1"/>
  <c r="D938" i="1"/>
  <c r="D939" i="1"/>
  <c r="D940" i="1"/>
  <c r="D941" i="1"/>
  <c r="D942" i="1"/>
  <c r="D943" i="1"/>
  <c r="D944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4" i="1"/>
  <c r="D965" i="1"/>
  <c r="D966" i="1"/>
  <c r="D967" i="1"/>
  <c r="D968" i="1"/>
  <c r="D969" i="1"/>
  <c r="D971" i="1"/>
  <c r="D972" i="1"/>
  <c r="D973" i="1"/>
  <c r="D974" i="1"/>
  <c r="D975" i="1"/>
  <c r="D976" i="1"/>
  <c r="D977" i="1"/>
  <c r="D978" i="1"/>
  <c r="D979" i="1"/>
  <c r="D980" i="1"/>
  <c r="D981" i="1"/>
  <c r="D983" i="1"/>
  <c r="D984" i="1"/>
  <c r="D985" i="1"/>
  <c r="D986" i="1"/>
  <c r="D987" i="1"/>
  <c r="D988" i="1"/>
  <c r="D989" i="1"/>
  <c r="D991" i="1"/>
  <c r="D992" i="1"/>
  <c r="D993" i="1"/>
  <c r="D994" i="1"/>
  <c r="D995" i="1"/>
  <c r="D996" i="1"/>
  <c r="D997" i="1"/>
  <c r="D998" i="1"/>
  <c r="D1000" i="1"/>
  <c r="D1001" i="1"/>
  <c r="D1002" i="1"/>
  <c r="D1003" i="1"/>
  <c r="D1004" i="1"/>
  <c r="D1005" i="1"/>
  <c r="D1006" i="1"/>
  <c r="D1007" i="1"/>
  <c r="D1008" i="1"/>
  <c r="D1009" i="1"/>
  <c r="D1010" i="1"/>
  <c r="D1013" i="1"/>
  <c r="D1016" i="1"/>
  <c r="D1017" i="1"/>
  <c r="D1018" i="1"/>
  <c r="D1019" i="1"/>
  <c r="D1020" i="1"/>
  <c r="D1021" i="1"/>
  <c r="D1022" i="1"/>
  <c r="D1023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2" i="1"/>
  <c r="D1055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3" i="1"/>
  <c r="D1084" i="1"/>
  <c r="D1086" i="1"/>
  <c r="D1087" i="1"/>
  <c r="D1089" i="1"/>
  <c r="D1090" i="1"/>
  <c r="D1091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7" i="1"/>
  <c r="D1138" i="1"/>
  <c r="D1139" i="1"/>
  <c r="D1140" i="1"/>
  <c r="D1141" i="1"/>
  <c r="D1142" i="1"/>
  <c r="D1143" i="1"/>
  <c r="D1145" i="1"/>
  <c r="D1146" i="1"/>
  <c r="D1147" i="1"/>
  <c r="D1148" i="1"/>
  <c r="D1149" i="1"/>
  <c r="D1151" i="1"/>
  <c r="D1152" i="1"/>
  <c r="D1154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10" i="1"/>
  <c r="D1211" i="1"/>
  <c r="D1212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5" i="1"/>
  <c r="D1246" i="1"/>
  <c r="D1247" i="1"/>
  <c r="D1248" i="1"/>
  <c r="D1249" i="1"/>
  <c r="D1250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7" i="1"/>
  <c r="D1268" i="1"/>
  <c r="D1269" i="1"/>
  <c r="D1270" i="1"/>
  <c r="D1271" i="1"/>
  <c r="D1272" i="1"/>
  <c r="D1273" i="1"/>
  <c r="D1274" i="1"/>
  <c r="D1275" i="1"/>
  <c r="D1276" i="1"/>
  <c r="D1277" i="1"/>
  <c r="D1279" i="1"/>
  <c r="D1280" i="1"/>
  <c r="D1281" i="1"/>
  <c r="D1282" i="1"/>
  <c r="D1283" i="1"/>
  <c r="D1285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4" i="1"/>
  <c r="D1306" i="1"/>
  <c r="D1307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51" i="1"/>
  <c r="D1352" i="1"/>
  <c r="D1353" i="1"/>
  <c r="D1354" i="1"/>
  <c r="D1356" i="1"/>
  <c r="D1357" i="1"/>
  <c r="D1358" i="1"/>
  <c r="D1359" i="1"/>
  <c r="D1360" i="1"/>
  <c r="D1361" i="1"/>
  <c r="D1362" i="1"/>
  <c r="D1363" i="1"/>
  <c r="D1364" i="1"/>
  <c r="D1365" i="1"/>
  <c r="D1367" i="1"/>
  <c r="D1369" i="1"/>
  <c r="D1370" i="1"/>
  <c r="D1371" i="1"/>
  <c r="D1372" i="1"/>
  <c r="D1373" i="1"/>
  <c r="D1374" i="1"/>
  <c r="D1375" i="1"/>
  <c r="D1376" i="1"/>
  <c r="D1377" i="1"/>
  <c r="D1378" i="1"/>
  <c r="D1379" i="1"/>
  <c r="D1381" i="1"/>
  <c r="D1382" i="1"/>
  <c r="D1383" i="1"/>
  <c r="D1384" i="1"/>
  <c r="D1385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4" i="1"/>
  <c r="D1406" i="1"/>
  <c r="D1407" i="1"/>
  <c r="D1408" i="1"/>
  <c r="D1409" i="1"/>
  <c r="D1410" i="1"/>
  <c r="D1411" i="1"/>
  <c r="D1412" i="1"/>
  <c r="D1413" i="1"/>
  <c r="D1415" i="1"/>
  <c r="D1417" i="1"/>
  <c r="D1418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2" i="1"/>
  <c r="D1453" i="1"/>
  <c r="D1454" i="1"/>
  <c r="D1456" i="1"/>
  <c r="D1457" i="1"/>
  <c r="D1458" i="1"/>
  <c r="D1459" i="1"/>
  <c r="D1460" i="1"/>
  <c r="D1461" i="1"/>
  <c r="D1462" i="1"/>
  <c r="D1463" i="1"/>
  <c r="D1464" i="1"/>
  <c r="D1465" i="1"/>
  <c r="D1466" i="1"/>
  <c r="D1468" i="1"/>
  <c r="D1470" i="1"/>
  <c r="D1471" i="1"/>
  <c r="D1472" i="1"/>
  <c r="D1473" i="1"/>
  <c r="D1474" i="1"/>
  <c r="D1475" i="1"/>
  <c r="D1476" i="1"/>
  <c r="D1477" i="1"/>
  <c r="D1479" i="1"/>
  <c r="D1480" i="1"/>
  <c r="D1483" i="1"/>
  <c r="D1484" i="1"/>
  <c r="D1485" i="1"/>
  <c r="D1486" i="1"/>
  <c r="D1487" i="1"/>
  <c r="D1488" i="1"/>
  <c r="D1489" i="1"/>
  <c r="D1490" i="1"/>
  <c r="D1491" i="1"/>
  <c r="D1492" i="1"/>
  <c r="D1493" i="1"/>
  <c r="D1495" i="1"/>
  <c r="D1496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6" i="1"/>
  <c r="D1517" i="1"/>
  <c r="D1518" i="1"/>
  <c r="D1519" i="1"/>
  <c r="D1520" i="1"/>
  <c r="D1521" i="1"/>
  <c r="D1522" i="1"/>
  <c r="D1523" i="1"/>
  <c r="D1524" i="1"/>
  <c r="D1525" i="1"/>
  <c r="D1526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6" i="1"/>
  <c r="D1547" i="1"/>
  <c r="D1548" i="1"/>
  <c r="D1549" i="1"/>
  <c r="D1551" i="1"/>
  <c r="D1552" i="1"/>
  <c r="D1553" i="1"/>
  <c r="D1554" i="1"/>
  <c r="D1555" i="1"/>
  <c r="D1556" i="1"/>
  <c r="D1557" i="1"/>
  <c r="D1559" i="1"/>
  <c r="D1560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3" i="1"/>
  <c r="D1594" i="1"/>
  <c r="D1595" i="1"/>
  <c r="D1596" i="1"/>
  <c r="D1597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7" i="1"/>
  <c r="D1618" i="1"/>
  <c r="D1619" i="1"/>
  <c r="D1620" i="1"/>
  <c r="D1622" i="1"/>
  <c r="D1623" i="1"/>
  <c r="D1624" i="1"/>
  <c r="D1625" i="1"/>
  <c r="D1627" i="1"/>
  <c r="D1628" i="1"/>
  <c r="D1629" i="1"/>
  <c r="D1630" i="1"/>
  <c r="D1631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7" i="1"/>
  <c r="D1778" i="1"/>
  <c r="D1780" i="1"/>
  <c r="D1782" i="1"/>
  <c r="D1783" i="1"/>
  <c r="D1784" i="1"/>
  <c r="D1785" i="1"/>
  <c r="D1786" i="1"/>
  <c r="D1787" i="1"/>
  <c r="D1788" i="1"/>
  <c r="D1789" i="1"/>
  <c r="D1790" i="1"/>
  <c r="D1792" i="1"/>
  <c r="D1793" i="1"/>
  <c r="D1794" i="1"/>
  <c r="D1795" i="1"/>
  <c r="D1796" i="1"/>
  <c r="D1797" i="1"/>
  <c r="D1798" i="1"/>
  <c r="D1799" i="1"/>
  <c r="D1800" i="1"/>
  <c r="D1801" i="1"/>
  <c r="D1802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7" i="1"/>
  <c r="D1848" i="1"/>
  <c r="D1849" i="1"/>
  <c r="D1850" i="1"/>
  <c r="D1852" i="1"/>
  <c r="D1853" i="1"/>
  <c r="D1855" i="1"/>
  <c r="D1856" i="1"/>
  <c r="D1857" i="1"/>
  <c r="D1858" i="1"/>
  <c r="D1859" i="1"/>
  <c r="D1860" i="1"/>
  <c r="D1861" i="1"/>
  <c r="D1862" i="1"/>
  <c r="D1863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8" i="1"/>
  <c r="D1899" i="1"/>
  <c r="D1900" i="1"/>
  <c r="D1901" i="1"/>
  <c r="D1902" i="1"/>
  <c r="D1903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20" i="1"/>
  <c r="D1921" i="1"/>
  <c r="D1922" i="1"/>
  <c r="D1923" i="1"/>
  <c r="D1924" i="1"/>
  <c r="D1925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40" i="1"/>
  <c r="D1941" i="1"/>
  <c r="D1945" i="1"/>
  <c r="D1947" i="1"/>
  <c r="D1948" i="1"/>
  <c r="D1949" i="1"/>
  <c r="D1950" i="1"/>
  <c r="D1951" i="1"/>
  <c r="D1952" i="1"/>
  <c r="D1953" i="1"/>
  <c r="D1954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6" i="1"/>
  <c r="D1977" i="1"/>
  <c r="D1978" i="1"/>
  <c r="D1979" i="1"/>
  <c r="D1980" i="1"/>
  <c r="D1981" i="1"/>
  <c r="D1982" i="1"/>
  <c r="D1983" i="1"/>
  <c r="D1984" i="1"/>
  <c r="D1986" i="1"/>
  <c r="D1987" i="1"/>
  <c r="D1988" i="1"/>
  <c r="D1989" i="1"/>
  <c r="D1990" i="1"/>
  <c r="D1991" i="1"/>
  <c r="D1992" i="1"/>
  <c r="D1993" i="1"/>
  <c r="D1994" i="1"/>
  <c r="D1995" i="1"/>
  <c r="D1996" i="1"/>
  <c r="D1998" i="1"/>
  <c r="D2000" i="1"/>
  <c r="D2001" i="1"/>
  <c r="D2003" i="1"/>
  <c r="D2004" i="1"/>
  <c r="D2005" i="1"/>
  <c r="D2006" i="1"/>
  <c r="D2007" i="1"/>
  <c r="D2008" i="1"/>
  <c r="D2009" i="1"/>
  <c r="D2010" i="1"/>
  <c r="D2011" i="1"/>
  <c r="D2013" i="1"/>
  <c r="D2014" i="1"/>
  <c r="D2015" i="1"/>
  <c r="D2016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5" i="1"/>
  <c r="D2046" i="1"/>
  <c r="D2047" i="1"/>
  <c r="D2048" i="1"/>
  <c r="D2049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90" i="1"/>
  <c r="D2092" i="1"/>
  <c r="D2093" i="1"/>
  <c r="D2094" i="1"/>
  <c r="D2095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6" i="1"/>
  <c r="D2217" i="1"/>
  <c r="D2218" i="1"/>
  <c r="D2219" i="1"/>
  <c r="D2220" i="1"/>
  <c r="D2221" i="1"/>
  <c r="D2222" i="1"/>
  <c r="D2224" i="1"/>
  <c r="D2225" i="1"/>
  <c r="D2226" i="1"/>
  <c r="D2227" i="1"/>
  <c r="D2228" i="1"/>
  <c r="D2230" i="1"/>
  <c r="D2231" i="1"/>
  <c r="D2232" i="1"/>
  <c r="D2233" i="1"/>
  <c r="D2234" i="1"/>
  <c r="D2235" i="1"/>
  <c r="D2236" i="1"/>
  <c r="D2237" i="1"/>
  <c r="D2238" i="1"/>
  <c r="D2241" i="1"/>
  <c r="D2242" i="1"/>
  <c r="D2243" i="1"/>
  <c r="D2244" i="1"/>
  <c r="D2245" i="1"/>
  <c r="D2246" i="1"/>
  <c r="D2247" i="1"/>
  <c r="D2248" i="1"/>
  <c r="D2250" i="1"/>
  <c r="D2252" i="1"/>
  <c r="D2253" i="1"/>
  <c r="D2254" i="1"/>
  <c r="D2255" i="1"/>
  <c r="D2256" i="1"/>
  <c r="D2257" i="1"/>
  <c r="D2258" i="1"/>
  <c r="D2259" i="1"/>
  <c r="D2260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5" i="1"/>
  <c r="D2276" i="1"/>
  <c r="D2277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7" i="1"/>
  <c r="D2378" i="1"/>
  <c r="D2379" i="1"/>
  <c r="D2380" i="1"/>
  <c r="D2381" i="1"/>
  <c r="D2382" i="1"/>
  <c r="D2383" i="1"/>
  <c r="D2384" i="1"/>
  <c r="D2385" i="1"/>
  <c r="D2386" i="1"/>
  <c r="D2387" i="1"/>
  <c r="D2389" i="1"/>
  <c r="D2390" i="1"/>
  <c r="D2391" i="1"/>
  <c r="D2392" i="1"/>
  <c r="D2393" i="1"/>
  <c r="D2394" i="1"/>
  <c r="D2395" i="1"/>
  <c r="D2396" i="1"/>
  <c r="D2397" i="1"/>
  <c r="D2398" i="1"/>
  <c r="D2400" i="1"/>
  <c r="D2401" i="1"/>
  <c r="D2402" i="1"/>
  <c r="D2403" i="1"/>
  <c r="D2404" i="1"/>
  <c r="D2405" i="1"/>
  <c r="D2406" i="1"/>
  <c r="D2407" i="1"/>
  <c r="D2408" i="1"/>
  <c r="D2409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6" i="1"/>
  <c r="D2447" i="1"/>
  <c r="D2448" i="1"/>
  <c r="D2449" i="1"/>
  <c r="D2450" i="1"/>
  <c r="D2451" i="1"/>
  <c r="D2452" i="1"/>
  <c r="D2453" i="1"/>
  <c r="D2454" i="1"/>
  <c r="D2455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5" i="1"/>
  <c r="D2806" i="1"/>
  <c r="D2807" i="1"/>
  <c r="D2808" i="1"/>
  <c r="D2809" i="1"/>
  <c r="D2810" i="1"/>
  <c r="D2811" i="1"/>
  <c r="D2812" i="1"/>
  <c r="D2813" i="1"/>
  <c r="D2815" i="1"/>
  <c r="D2816" i="1"/>
  <c r="D2817" i="1"/>
  <c r="D2819" i="1"/>
  <c r="D2820" i="1"/>
  <c r="D2821" i="1"/>
  <c r="D2822" i="1"/>
  <c r="D2823" i="1"/>
  <c r="D2824" i="1"/>
  <c r="D2825" i="1"/>
  <c r="D2826" i="1"/>
  <c r="D2828" i="1"/>
  <c r="D2829" i="1"/>
  <c r="D2830" i="1"/>
  <c r="D2831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9" i="1"/>
  <c r="D2860" i="1"/>
  <c r="D2861" i="1"/>
  <c r="D2863" i="1"/>
  <c r="D2864" i="1"/>
  <c r="D2865" i="1"/>
  <c r="D2866" i="1"/>
  <c r="D2867" i="1"/>
  <c r="D2868" i="1"/>
  <c r="D2869" i="1"/>
  <c r="D2872" i="1"/>
  <c r="D2873" i="1"/>
  <c r="D2874" i="1"/>
  <c r="D2875" i="1"/>
  <c r="D2876" i="1"/>
  <c r="D2877" i="1"/>
  <c r="D2878" i="1"/>
  <c r="D2879" i="1"/>
  <c r="D2882" i="1"/>
  <c r="D2883" i="1"/>
  <c r="D2884" i="1"/>
  <c r="D2885" i="1"/>
  <c r="D2887" i="1"/>
  <c r="D2888" i="1"/>
  <c r="D2890" i="1"/>
  <c r="D2891" i="1"/>
  <c r="D2892" i="1"/>
  <c r="D2893" i="1"/>
  <c r="D2895" i="1"/>
  <c r="D2897" i="1"/>
  <c r="D2898" i="1"/>
  <c r="D2899" i="1"/>
  <c r="D2900" i="1"/>
  <c r="D2902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1" i="1"/>
  <c r="D2923" i="1"/>
  <c r="D2925" i="1"/>
  <c r="D2926" i="1"/>
  <c r="D2927" i="1"/>
  <c r="D2928" i="1"/>
  <c r="D2930" i="1"/>
  <c r="D2931" i="1"/>
  <c r="D2932" i="1"/>
  <c r="D2933" i="1"/>
  <c r="D2934" i="1"/>
  <c r="D2935" i="1"/>
  <c r="D2936" i="1"/>
  <c r="D2937" i="1"/>
  <c r="D2938" i="1"/>
  <c r="D2940" i="1"/>
  <c r="D2941" i="1"/>
  <c r="D2942" i="1"/>
  <c r="D2943" i="1"/>
  <c r="D2944" i="1"/>
  <c r="D2945" i="1"/>
  <c r="D2946" i="1"/>
  <c r="D2948" i="1"/>
  <c r="D2949" i="1"/>
  <c r="D2951" i="1"/>
  <c r="D2954" i="1"/>
  <c r="D2955" i="1"/>
  <c r="D2956" i="1"/>
  <c r="D2959" i="1"/>
  <c r="D2960" i="1"/>
  <c r="D2962" i="1"/>
  <c r="D2963" i="1"/>
  <c r="D2964" i="1"/>
  <c r="D2965" i="1"/>
  <c r="D2966" i="1"/>
  <c r="D2967" i="1"/>
  <c r="D2968" i="1"/>
  <c r="D2969" i="1"/>
  <c r="D2971" i="1"/>
  <c r="D2973" i="1"/>
  <c r="D2974" i="1"/>
  <c r="D2975" i="1"/>
  <c r="D2976" i="1"/>
  <c r="D2977" i="1"/>
  <c r="D2979" i="1"/>
  <c r="D2980" i="1"/>
  <c r="D2981" i="1"/>
  <c r="D2982" i="1"/>
  <c r="D2983" i="1"/>
  <c r="D2984" i="1"/>
  <c r="D2985" i="1"/>
  <c r="D2986" i="1"/>
  <c r="D2987" i="1"/>
  <c r="D2988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3" i="1"/>
  <c r="D3004" i="1"/>
  <c r="D3005" i="1"/>
  <c r="D3006" i="1"/>
  <c r="D3007" i="1"/>
  <c r="D3008" i="1"/>
  <c r="D3009" i="1"/>
  <c r="D3010" i="1"/>
  <c r="D3015" i="1"/>
  <c r="D3019" i="1"/>
  <c r="D3020" i="1"/>
  <c r="D3021" i="1"/>
  <c r="D3022" i="1"/>
  <c r="D3023" i="1"/>
  <c r="D3024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9" i="1"/>
  <c r="D3040" i="1"/>
  <c r="D3041" i="1"/>
  <c r="D3042" i="1"/>
  <c r="D3044" i="1"/>
  <c r="D3045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1" i="1"/>
  <c r="D3062" i="1"/>
  <c r="D3063" i="1"/>
  <c r="D3064" i="1"/>
  <c r="D3065" i="1"/>
  <c r="D3067" i="1"/>
  <c r="D3068" i="1"/>
  <c r="D3070" i="1"/>
  <c r="D3071" i="1"/>
  <c r="D3072" i="1"/>
  <c r="D3073" i="1"/>
  <c r="D3075" i="1"/>
  <c r="D3076" i="1"/>
  <c r="D3077" i="1"/>
  <c r="D3078" i="1"/>
  <c r="D3079" i="1"/>
  <c r="D3080" i="1"/>
  <c r="D3082" i="1"/>
  <c r="D3084" i="1"/>
  <c r="D3085" i="1"/>
  <c r="D3086" i="1"/>
  <c r="D3087" i="1"/>
  <c r="D3088" i="1"/>
  <c r="D3089" i="1"/>
  <c r="D3090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7" i="1"/>
  <c r="D3148" i="1"/>
  <c r="D3149" i="1"/>
  <c r="D3150" i="1"/>
  <c r="D3152" i="1"/>
  <c r="D3153" i="1"/>
  <c r="D3154" i="1"/>
  <c r="D3155" i="1"/>
  <c r="D3156" i="1"/>
  <c r="D3158" i="1"/>
  <c r="D3159" i="1"/>
  <c r="D3160" i="1"/>
  <c r="D3161" i="1"/>
  <c r="D3162" i="1"/>
  <c r="D3163" i="1"/>
  <c r="D3164" i="1"/>
  <c r="D3165" i="1"/>
  <c r="D3166" i="1"/>
  <c r="D3167" i="1"/>
  <c r="D3169" i="1"/>
  <c r="D3170" i="1"/>
  <c r="D3171" i="1"/>
  <c r="D3172" i="1"/>
  <c r="D3173" i="1"/>
  <c r="D3174" i="1"/>
  <c r="D3175" i="1"/>
  <c r="D3177" i="1"/>
  <c r="D3179" i="1"/>
  <c r="D3180" i="1"/>
  <c r="D3181" i="1"/>
  <c r="D3182" i="1"/>
  <c r="D3183" i="1"/>
  <c r="D3184" i="1"/>
  <c r="D3185" i="1"/>
  <c r="D3186" i="1"/>
  <c r="D3190" i="1"/>
  <c r="D3191" i="1"/>
  <c r="D3193" i="1"/>
  <c r="D3194" i="1"/>
  <c r="D3195" i="1"/>
  <c r="D3196" i="1"/>
  <c r="D3197" i="1"/>
  <c r="D3198" i="1"/>
  <c r="D3199" i="1"/>
  <c r="D3201" i="1"/>
  <c r="D3202" i="1"/>
  <c r="D3203" i="1"/>
  <c r="D3204" i="1"/>
  <c r="D3205" i="1"/>
  <c r="D3206" i="1"/>
  <c r="D3207" i="1"/>
  <c r="D3208" i="1"/>
  <c r="D3209" i="1"/>
  <c r="D3211" i="1"/>
  <c r="D3212" i="1"/>
  <c r="D3213" i="1"/>
  <c r="D3214" i="1"/>
  <c r="D3215" i="1"/>
  <c r="D3216" i="1"/>
  <c r="D3219" i="1"/>
  <c r="D3223" i="1"/>
  <c r="D3225" i="1"/>
  <c r="D3226" i="1"/>
  <c r="D3228" i="1"/>
  <c r="D3229" i="1"/>
  <c r="D3230" i="1"/>
  <c r="D3231" i="1"/>
  <c r="D3232" i="1"/>
  <c r="D3233" i="1"/>
  <c r="D3235" i="1"/>
  <c r="D3237" i="1"/>
  <c r="D3238" i="1"/>
  <c r="D3239" i="1"/>
  <c r="D3240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7" i="1"/>
  <c r="D3260" i="1"/>
  <c r="D3262" i="1"/>
  <c r="D3263" i="1"/>
  <c r="D3264" i="1"/>
  <c r="D3265" i="1"/>
  <c r="D3266" i="1"/>
  <c r="D3267" i="1"/>
  <c r="D3268" i="1"/>
  <c r="D3269" i="1"/>
  <c r="D3270" i="1"/>
  <c r="D3271" i="1"/>
  <c r="D3272" i="1"/>
  <c r="D3274" i="1"/>
  <c r="D3275" i="1"/>
  <c r="D3276" i="1"/>
  <c r="D3278" i="1"/>
  <c r="D3279" i="1"/>
  <c r="D3280" i="1"/>
  <c r="D3281" i="1"/>
  <c r="D3282" i="1"/>
  <c r="D3284" i="1"/>
  <c r="D3285" i="1"/>
  <c r="D3287" i="1"/>
  <c r="D3288" i="1"/>
  <c r="D3289" i="1"/>
  <c r="D3290" i="1"/>
  <c r="D3291" i="1"/>
  <c r="D3295" i="1"/>
  <c r="D3298" i="1"/>
  <c r="D3299" i="1"/>
  <c r="D3300" i="1"/>
  <c r="D3301" i="1"/>
  <c r="D3302" i="1"/>
  <c r="D3303" i="1"/>
  <c r="D3304" i="1"/>
  <c r="D3305" i="1"/>
  <c r="D3306" i="1"/>
  <c r="D3307" i="1"/>
  <c r="D3309" i="1"/>
  <c r="D3310" i="1"/>
  <c r="D3311" i="1"/>
  <c r="D3312" i="1"/>
  <c r="D3315" i="1"/>
  <c r="D3317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5" i="1"/>
  <c r="D3356" i="1"/>
  <c r="D3357" i="1"/>
  <c r="D3358" i="1"/>
  <c r="D3359" i="1"/>
  <c r="D3360" i="1"/>
  <c r="D3361" i="1"/>
  <c r="D3362" i="1"/>
  <c r="D3364" i="1"/>
  <c r="D3365" i="1"/>
  <c r="D3367" i="1"/>
  <c r="D3368" i="1"/>
  <c r="D3369" i="1"/>
  <c r="D3371" i="1"/>
  <c r="D3372" i="1"/>
  <c r="D3373" i="1"/>
  <c r="D3374" i="1"/>
  <c r="D3375" i="1"/>
  <c r="D3376" i="1"/>
  <c r="D3377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7" i="1"/>
  <c r="D3468" i="1"/>
  <c r="D3469" i="1"/>
  <c r="D3470" i="1"/>
  <c r="D3471" i="1"/>
  <c r="D3473" i="1"/>
  <c r="D3474" i="1"/>
  <c r="D3477" i="1"/>
  <c r="D3479" i="1"/>
  <c r="D3480" i="1"/>
  <c r="D3481" i="1"/>
  <c r="D3482" i="1"/>
  <c r="D3483" i="1"/>
  <c r="D3485" i="1"/>
  <c r="D3486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2" i="1"/>
  <c r="D3525" i="1"/>
  <c r="D3528" i="1"/>
  <c r="D3530" i="1"/>
  <c r="D3532" i="1"/>
  <c r="D3533" i="1"/>
  <c r="D3534" i="1"/>
  <c r="D3535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80" i="1"/>
  <c r="D3581" i="1"/>
  <c r="D3582" i="1"/>
  <c r="D3583" i="1"/>
  <c r="D3585" i="1"/>
  <c r="D3586" i="1"/>
  <c r="D3588" i="1"/>
  <c r="D3592" i="1"/>
  <c r="D3593" i="1"/>
  <c r="D3594" i="1"/>
  <c r="D3595" i="1"/>
  <c r="D3597" i="1"/>
  <c r="D3598" i="1"/>
  <c r="D3599" i="1"/>
  <c r="D3600" i="1"/>
  <c r="D3602" i="1"/>
  <c r="D3603" i="1"/>
  <c r="D3604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9" i="1"/>
  <c r="D3620" i="1"/>
  <c r="D3622" i="1"/>
  <c r="D3623" i="1"/>
  <c r="D3624" i="1"/>
  <c r="D3625" i="1"/>
  <c r="D3626" i="1"/>
  <c r="D3627" i="1"/>
  <c r="D3628" i="1"/>
  <c r="D3629" i="1"/>
  <c r="D3630" i="1"/>
  <c r="D3631" i="1"/>
  <c r="D3632" i="1"/>
  <c r="D3634" i="1"/>
  <c r="D3635" i="1"/>
  <c r="D3636" i="1"/>
  <c r="D3638" i="1"/>
  <c r="D3639" i="1"/>
  <c r="D3642" i="1"/>
  <c r="D3643" i="1"/>
  <c r="D3644" i="1"/>
  <c r="D3645" i="1"/>
  <c r="D3646" i="1"/>
  <c r="D3648" i="1"/>
  <c r="D3653" i="1"/>
  <c r="D3654" i="1"/>
  <c r="D3655" i="1"/>
  <c r="D3656" i="1"/>
  <c r="D3658" i="1"/>
  <c r="D3659" i="1"/>
  <c r="D3660" i="1"/>
  <c r="D3661" i="1"/>
  <c r="D3662" i="1"/>
  <c r="D3663" i="1"/>
  <c r="D3664" i="1"/>
  <c r="D3666" i="1"/>
  <c r="D3667" i="1"/>
  <c r="D3668" i="1"/>
  <c r="D3669" i="1"/>
  <c r="D3670" i="1"/>
  <c r="D3671" i="1"/>
  <c r="D3672" i="1"/>
  <c r="D3673" i="1"/>
  <c r="D3674" i="1"/>
  <c r="D3675" i="1"/>
  <c r="D3676" i="1"/>
  <c r="D3678" i="1"/>
  <c r="D3679" i="1"/>
  <c r="D3680" i="1"/>
  <c r="D3681" i="1"/>
  <c r="D3682" i="1"/>
  <c r="D3683" i="1"/>
  <c r="D3684" i="1"/>
  <c r="D3685" i="1"/>
  <c r="D3687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4" i="1"/>
  <c r="D3705" i="1"/>
  <c r="D3706" i="1"/>
  <c r="D3707" i="1"/>
  <c r="D3708" i="1"/>
  <c r="D3709" i="1"/>
  <c r="D3710" i="1"/>
  <c r="D3711" i="1"/>
  <c r="D3713" i="1"/>
  <c r="D3714" i="1"/>
  <c r="D3717" i="1"/>
  <c r="D3718" i="1"/>
  <c r="D3720" i="1"/>
  <c r="D3721" i="1"/>
  <c r="D3722" i="1"/>
  <c r="D3725" i="1"/>
  <c r="D3726" i="1"/>
  <c r="D3727" i="1"/>
  <c r="D3731" i="1"/>
  <c r="D3732" i="1"/>
  <c r="D3734" i="1"/>
  <c r="D3735" i="1"/>
  <c r="D3736" i="1"/>
  <c r="D3737" i="1"/>
  <c r="D3738" i="1"/>
  <c r="D3739" i="1"/>
  <c r="D3740" i="1"/>
  <c r="D3741" i="1"/>
  <c r="D3742" i="1"/>
  <c r="D3744" i="1"/>
  <c r="D3745" i="1"/>
  <c r="D3746" i="1"/>
  <c r="D3747" i="1"/>
  <c r="D3748" i="1"/>
  <c r="D3750" i="1"/>
  <c r="D3751" i="1"/>
  <c r="D3752" i="1"/>
  <c r="D3754" i="1"/>
  <c r="D3755" i="1"/>
  <c r="D3756" i="1"/>
  <c r="D3757" i="1"/>
  <c r="D3759" i="1"/>
  <c r="D3760" i="1"/>
  <c r="D3761" i="1"/>
  <c r="D3763" i="1"/>
  <c r="D3764" i="1"/>
  <c r="D3765" i="1"/>
  <c r="D3766" i="1"/>
  <c r="D3767" i="1"/>
  <c r="D3771" i="1"/>
  <c r="D3772" i="1"/>
  <c r="D3774" i="1"/>
  <c r="D3775" i="1"/>
  <c r="D3776" i="1"/>
  <c r="D3780" i="1"/>
  <c r="D3781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1" i="1"/>
  <c r="D3862" i="1"/>
  <c r="D3863" i="1"/>
  <c r="D3864" i="1"/>
  <c r="D3865" i="1"/>
  <c r="D3866" i="1"/>
  <c r="D3867" i="1"/>
  <c r="D3868" i="1"/>
  <c r="D3870" i="1"/>
  <c r="D3871" i="1"/>
  <c r="D3872" i="1"/>
  <c r="D3873" i="1"/>
  <c r="D3874" i="1"/>
  <c r="D3876" i="1"/>
  <c r="D3877" i="1"/>
  <c r="D3878" i="1"/>
  <c r="D3879" i="1"/>
  <c r="D3880" i="1"/>
  <c r="D3881" i="1"/>
  <c r="D3884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5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6" i="1"/>
  <c r="D4047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1" i="1"/>
  <c r="D4092" i="1"/>
  <c r="D4093" i="1"/>
  <c r="D4094" i="1"/>
  <c r="D4095" i="1"/>
  <c r="D4097" i="1"/>
  <c r="D4099" i="1"/>
  <c r="D4100" i="1"/>
  <c r="D4101" i="1"/>
  <c r="D4102" i="1"/>
  <c r="D4103" i="1"/>
  <c r="D4104" i="1"/>
  <c r="D4105" i="1"/>
  <c r="D4106" i="1"/>
  <c r="D4107" i="1"/>
  <c r="D4110" i="1"/>
  <c r="D4111" i="1"/>
  <c r="D4112" i="1"/>
  <c r="D4113" i="1"/>
  <c r="D4114" i="1"/>
  <c r="D4115" i="1"/>
  <c r="D4118" i="1"/>
  <c r="D4119" i="1"/>
  <c r="D4120" i="1"/>
  <c r="D4121" i="1"/>
  <c r="D4122" i="1"/>
  <c r="D4123" i="1"/>
  <c r="D4124" i="1"/>
  <c r="D4125" i="1"/>
  <c r="D4128" i="1"/>
  <c r="D4129" i="1"/>
  <c r="D4130" i="1"/>
  <c r="D4131" i="1"/>
  <c r="D4132" i="1"/>
  <c r="D4133" i="1"/>
  <c r="D4134" i="1"/>
  <c r="D4135" i="1"/>
  <c r="D4136" i="1"/>
  <c r="D4137" i="1"/>
  <c r="D4140" i="1"/>
  <c r="D4142" i="1"/>
  <c r="D4143" i="1"/>
  <c r="D4144" i="1"/>
  <c r="D4145" i="1"/>
  <c r="D4146" i="1"/>
  <c r="D4147" i="1"/>
  <c r="D4154" i="1"/>
  <c r="D4155" i="1"/>
  <c r="D4156" i="1"/>
  <c r="D4157" i="1"/>
  <c r="D4158" i="1"/>
  <c r="D4159" i="1"/>
  <c r="D4160" i="1"/>
  <c r="D4161" i="1"/>
  <c r="D4162" i="1"/>
  <c r="D4163" i="1"/>
  <c r="D4165" i="1"/>
  <c r="D4167" i="1"/>
  <c r="D4168" i="1"/>
  <c r="D4169" i="1"/>
  <c r="D4170" i="1"/>
  <c r="D4171" i="1"/>
  <c r="D4173" i="1"/>
  <c r="D4174" i="1"/>
  <c r="D4176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5" i="1"/>
  <c r="D4197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2" i="1"/>
  <c r="D4213" i="1"/>
  <c r="D4214" i="1"/>
  <c r="D4215" i="1"/>
  <c r="D4216" i="1"/>
  <c r="D4217" i="1"/>
  <c r="D4218" i="1"/>
  <c r="D4219" i="1"/>
  <c r="D4220" i="1"/>
  <c r="D4222" i="1"/>
  <c r="D4223" i="1"/>
  <c r="D4224" i="1"/>
  <c r="D4225" i="1"/>
  <c r="D4226" i="1"/>
  <c r="D4228" i="1"/>
  <c r="D4229" i="1"/>
  <c r="D4230" i="1"/>
  <c r="D4231" i="1"/>
  <c r="D4232" i="1"/>
  <c r="D4233" i="1"/>
  <c r="D4234" i="1"/>
  <c r="D4235" i="1"/>
  <c r="D4236" i="1"/>
  <c r="D4237" i="1"/>
  <c r="D4239" i="1"/>
  <c r="D4240" i="1"/>
  <c r="D4241" i="1"/>
  <c r="D4242" i="1"/>
  <c r="D4243" i="1"/>
  <c r="D4244" i="1"/>
  <c r="D4245" i="1"/>
  <c r="D4246" i="1"/>
  <c r="D4247" i="1"/>
  <c r="D4249" i="1"/>
  <c r="D4250" i="1"/>
  <c r="D4251" i="1"/>
  <c r="D4252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2" i="1"/>
  <c r="D4283" i="1"/>
  <c r="D4284" i="1"/>
  <c r="D4285" i="1"/>
  <c r="D4286" i="1"/>
  <c r="D4287" i="1"/>
  <c r="D4289" i="1"/>
  <c r="D4290" i="1"/>
  <c r="D4291" i="1"/>
  <c r="D4292" i="1"/>
  <c r="D4293" i="1"/>
  <c r="D4294" i="1"/>
  <c r="D4295" i="1"/>
  <c r="D4296" i="1"/>
  <c r="D4298" i="1"/>
  <c r="D4299" i="1"/>
  <c r="D4300" i="1"/>
  <c r="D4301" i="1"/>
  <c r="D4302" i="1"/>
  <c r="D4303" i="1"/>
  <c r="D4304" i="1"/>
  <c r="D4305" i="1"/>
  <c r="D4307" i="1"/>
  <c r="D4308" i="1"/>
  <c r="D4309" i="1"/>
  <c r="D4311" i="1"/>
  <c r="D4312" i="1"/>
  <c r="D4313" i="1"/>
  <c r="D4314" i="1"/>
  <c r="D4316" i="1"/>
  <c r="D4317" i="1"/>
  <c r="D4318" i="1"/>
  <c r="D4319" i="1"/>
  <c r="D4320" i="1"/>
  <c r="D4321" i="1"/>
  <c r="D4323" i="1"/>
  <c r="D4324" i="1"/>
  <c r="D4326" i="1"/>
  <c r="D4327" i="1"/>
  <c r="D4328" i="1"/>
  <c r="D4329" i="1"/>
  <c r="D4330" i="1"/>
  <c r="D4331" i="1"/>
  <c r="D4334" i="1"/>
  <c r="D4335" i="1"/>
  <c r="D4339" i="1"/>
  <c r="D4340" i="1"/>
  <c r="D4344" i="1"/>
  <c r="D4345" i="1"/>
  <c r="D4346" i="1"/>
  <c r="D4347" i="1"/>
  <c r="D4350" i="1"/>
  <c r="D4351" i="1"/>
  <c r="D4352" i="1"/>
  <c r="D4353" i="1"/>
  <c r="D4354" i="1"/>
  <c r="D4355" i="1"/>
  <c r="D4356" i="1"/>
  <c r="D4357" i="1"/>
  <c r="D4358" i="1"/>
  <c r="D4364" i="1"/>
  <c r="D4365" i="1"/>
  <c r="D4366" i="1"/>
  <c r="D4367" i="1"/>
  <c r="D4368" i="1"/>
  <c r="D4369" i="1"/>
  <c r="D4370" i="1"/>
  <c r="D4371" i="1"/>
  <c r="D4378" i="1"/>
  <c r="D4379" i="1"/>
  <c r="D4380" i="1"/>
  <c r="D4381" i="1"/>
  <c r="D4382" i="1"/>
  <c r="D4383" i="1"/>
  <c r="D4384" i="1"/>
  <c r="D4386" i="1"/>
  <c r="D4387" i="1"/>
  <c r="D4388" i="1"/>
  <c r="D4389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6" i="1"/>
  <c r="D4407" i="1"/>
  <c r="D4408" i="1"/>
  <c r="D4409" i="1"/>
  <c r="D4410" i="1"/>
  <c r="D4411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3" i="1"/>
  <c r="D4444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9" i="1"/>
  <c r="D4540" i="1"/>
  <c r="D4541" i="1"/>
  <c r="D4542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4" i="1"/>
  <c r="D4575" i="1"/>
  <c r="D4576" i="1"/>
  <c r="D4577" i="1"/>
  <c r="D4578" i="1"/>
  <c r="D4579" i="1"/>
  <c r="D4580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6" i="1"/>
  <c r="D4617" i="1"/>
  <c r="D4619" i="1"/>
  <c r="D4620" i="1"/>
  <c r="D4621" i="1"/>
  <c r="D4622" i="1"/>
  <c r="D4623" i="1"/>
  <c r="D4624" i="1"/>
  <c r="D4625" i="1"/>
  <c r="D4626" i="1"/>
  <c r="D4627" i="1"/>
  <c r="D4628" i="1"/>
  <c r="D4629" i="1"/>
  <c r="D4631" i="1"/>
  <c r="D4632" i="1"/>
  <c r="D4633" i="1"/>
  <c r="D4634" i="1"/>
  <c r="D4635" i="1"/>
  <c r="D4636" i="1"/>
  <c r="D4637" i="1"/>
  <c r="D4638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5" i="1"/>
  <c r="D4686" i="1"/>
  <c r="D4687" i="1"/>
  <c r="D4688" i="1"/>
  <c r="D4689" i="1"/>
  <c r="D4691" i="1"/>
  <c r="D4692" i="1"/>
  <c r="D4693" i="1"/>
  <c r="D4694" i="1"/>
  <c r="D4695" i="1"/>
  <c r="D4696" i="1"/>
  <c r="D4697" i="1"/>
  <c r="D4698" i="1"/>
  <c r="D4699" i="1"/>
  <c r="D4701" i="1"/>
  <c r="D4702" i="1"/>
  <c r="D4703" i="1"/>
  <c r="D4704" i="1"/>
  <c r="D4705" i="1"/>
  <c r="D4706" i="1"/>
  <c r="D4708" i="1"/>
  <c r="D4709" i="1"/>
  <c r="D4710" i="1"/>
  <c r="D4711" i="1"/>
  <c r="D4713" i="1"/>
  <c r="D4714" i="1"/>
  <c r="D4715" i="1"/>
  <c r="D4716" i="1"/>
  <c r="D4719" i="1"/>
  <c r="D4724" i="1"/>
  <c r="D4726" i="1"/>
  <c r="D4727" i="1"/>
  <c r="D4728" i="1"/>
  <c r="D4730" i="1"/>
  <c r="D4731" i="1"/>
  <c r="D4732" i="1"/>
  <c r="D4733" i="1"/>
  <c r="D4734" i="1"/>
  <c r="D4735" i="1"/>
  <c r="D4736" i="1"/>
  <c r="D4740" i="1"/>
  <c r="D4742" i="1"/>
  <c r="D4743" i="1"/>
  <c r="D4744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70" i="1"/>
  <c r="D4773" i="1"/>
  <c r="D4775" i="1"/>
  <c r="D4776" i="1"/>
  <c r="D4777" i="1"/>
  <c r="D4779" i="1"/>
  <c r="D4780" i="1"/>
  <c r="D4781" i="1"/>
  <c r="D4782" i="1"/>
  <c r="D4783" i="1"/>
  <c r="D4784" i="1"/>
  <c r="D4785" i="1"/>
  <c r="D4786" i="1"/>
  <c r="D4787" i="1"/>
  <c r="D4788" i="1"/>
  <c r="D4791" i="1"/>
  <c r="D4792" i="1"/>
  <c r="D4794" i="1"/>
  <c r="D4795" i="1"/>
  <c r="D4796" i="1"/>
  <c r="D4797" i="1"/>
  <c r="D4798" i="1"/>
  <c r="D4799" i="1"/>
  <c r="D4800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3" i="1"/>
  <c r="D4824" i="1"/>
  <c r="D4825" i="1"/>
  <c r="D4826" i="1"/>
  <c r="D4827" i="1"/>
  <c r="D4828" i="1"/>
  <c r="D4829" i="1"/>
  <c r="D4830" i="1"/>
  <c r="D4832" i="1"/>
  <c r="D4833" i="1"/>
  <c r="D4834" i="1"/>
  <c r="D4835" i="1"/>
  <c r="D4836" i="1"/>
  <c r="D4837" i="1"/>
  <c r="D4838" i="1"/>
  <c r="D4839" i="1"/>
  <c r="D4840" i="1"/>
  <c r="D4841" i="1"/>
  <c r="D4842" i="1"/>
  <c r="D4844" i="1"/>
  <c r="D4845" i="1"/>
  <c r="D4846" i="1"/>
  <c r="D4851" i="1"/>
  <c r="D4852" i="1"/>
  <c r="D4853" i="1"/>
  <c r="D4854" i="1"/>
  <c r="D4855" i="1"/>
  <c r="D4856" i="1"/>
  <c r="D4857" i="1"/>
  <c r="D4858" i="1"/>
  <c r="D4859" i="1"/>
  <c r="D4860" i="1"/>
  <c r="D4861" i="1"/>
  <c r="D4863" i="1"/>
  <c r="D4864" i="1"/>
  <c r="D4865" i="1"/>
  <c r="D4866" i="1"/>
  <c r="D4868" i="1"/>
  <c r="D4869" i="1"/>
  <c r="D4870" i="1"/>
  <c r="D4871" i="1"/>
  <c r="D4873" i="1"/>
  <c r="D4874" i="1"/>
  <c r="D4875" i="1"/>
  <c r="D4876" i="1"/>
  <c r="D4877" i="1"/>
  <c r="D4878" i="1"/>
  <c r="D4879" i="1"/>
  <c r="D4880" i="1"/>
  <c r="D4881" i="1"/>
  <c r="D4882" i="1"/>
  <c r="D4884" i="1"/>
  <c r="D4885" i="1"/>
  <c r="D4887" i="1"/>
  <c r="D4890" i="1"/>
  <c r="D4891" i="1"/>
  <c r="D4892" i="1"/>
  <c r="D4894" i="1"/>
  <c r="D4896" i="1"/>
  <c r="D4898" i="1"/>
  <c r="D4899" i="1"/>
  <c r="D4900" i="1"/>
  <c r="D4901" i="1"/>
  <c r="D4902" i="1"/>
  <c r="D4903" i="1"/>
  <c r="D4904" i="1"/>
  <c r="D4905" i="1"/>
  <c r="D4906" i="1"/>
  <c r="D4907" i="1"/>
  <c r="D4908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8" i="1"/>
  <c r="D4939" i="1"/>
  <c r="D4940" i="1"/>
  <c r="D4943" i="1"/>
  <c r="D4945" i="1"/>
  <c r="D4946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2" i="1"/>
  <c r="D4973" i="1"/>
  <c r="D4974" i="1"/>
  <c r="D4975" i="1"/>
  <c r="D4993" i="1"/>
  <c r="D4994" i="1"/>
  <c r="D4995" i="1"/>
  <c r="D4996" i="1"/>
  <c r="D4997" i="1"/>
  <c r="D4998" i="1"/>
  <c r="D4999" i="1"/>
  <c r="D5000" i="1"/>
  <c r="D5001" i="1"/>
  <c r="D5003" i="1"/>
  <c r="D5007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8" i="1"/>
  <c r="D5039" i="1"/>
  <c r="D5040" i="1"/>
  <c r="D5041" i="1"/>
  <c r="D5042" i="1"/>
  <c r="D5043" i="1"/>
  <c r="D5045" i="1"/>
  <c r="D5046" i="1"/>
  <c r="D5047" i="1"/>
  <c r="D5048" i="1"/>
  <c r="D5050" i="1"/>
  <c r="D5051" i="1"/>
  <c r="D5054" i="1"/>
  <c r="D5058" i="1"/>
  <c r="D5059" i="1"/>
  <c r="D5060" i="1"/>
  <c r="D5061" i="1"/>
  <c r="D5062" i="1"/>
  <c r="D5063" i="1"/>
  <c r="D5064" i="1"/>
  <c r="D5065" i="1"/>
  <c r="D5068" i="1"/>
  <c r="D5070" i="1"/>
  <c r="D5071" i="1"/>
  <c r="D5072" i="1"/>
  <c r="D5073" i="1"/>
  <c r="D5075" i="1"/>
  <c r="D5076" i="1"/>
  <c r="D5077" i="1"/>
  <c r="D5081" i="1"/>
  <c r="D5083" i="1"/>
  <c r="D5084" i="1"/>
  <c r="D5088" i="1"/>
  <c r="D5089" i="1"/>
  <c r="D5090" i="1"/>
  <c r="D5101" i="1"/>
  <c r="D5102" i="1"/>
  <c r="D5103" i="1"/>
  <c r="D5104" i="1"/>
  <c r="D5106" i="1"/>
  <c r="D5107" i="1"/>
  <c r="D5109" i="1"/>
  <c r="D5110" i="1"/>
  <c r="D5111" i="1"/>
  <c r="D5113" i="1"/>
  <c r="D5114" i="1"/>
  <c r="D5116" i="1"/>
  <c r="D5118" i="1"/>
  <c r="D5120" i="1"/>
  <c r="D5122" i="1"/>
  <c r="D5123" i="1"/>
  <c r="D5124" i="1"/>
  <c r="D5127" i="1"/>
  <c r="D5128" i="1"/>
  <c r="D5129" i="1"/>
  <c r="D5133" i="1"/>
  <c r="D5135" i="1"/>
  <c r="D5143" i="1"/>
  <c r="D5144" i="1"/>
  <c r="D5146" i="1"/>
  <c r="D5147" i="1"/>
  <c r="D5148" i="1"/>
  <c r="D5149" i="1"/>
  <c r="D5150" i="1"/>
  <c r="D5156" i="1"/>
  <c r="D5157" i="1"/>
  <c r="D5158" i="1"/>
  <c r="D5160" i="1"/>
  <c r="D5161" i="1"/>
  <c r="D5162" i="1"/>
  <c r="D5163" i="1"/>
  <c r="D5167" i="1"/>
  <c r="D5169" i="1"/>
  <c r="D5170" i="1"/>
  <c r="D5171" i="1"/>
  <c r="D5178" i="1"/>
  <c r="D5180" i="1"/>
  <c r="D5181" i="1"/>
  <c r="D5182" i="1"/>
  <c r="D5183" i="1"/>
  <c r="D5184" i="1"/>
  <c r="D5187" i="1"/>
  <c r="D5188" i="1"/>
  <c r="D5189" i="1"/>
  <c r="D5190" i="1"/>
  <c r="D5194" i="1"/>
  <c r="D5197" i="1"/>
  <c r="D5198" i="1"/>
  <c r="D5199" i="1"/>
  <c r="D5201" i="1"/>
  <c r="D5202" i="1"/>
  <c r="D5211" i="1"/>
  <c r="D5212" i="1"/>
  <c r="D5214" i="1"/>
  <c r="D5215" i="1"/>
  <c r="D5216" i="1"/>
  <c r="D5217" i="1"/>
  <c r="D5219" i="1"/>
  <c r="D5220" i="1"/>
  <c r="D5223" i="1"/>
  <c r="D5225" i="1"/>
  <c r="D5226" i="1"/>
  <c r="D5227" i="1"/>
  <c r="D5228" i="1"/>
  <c r="D5229" i="1"/>
  <c r="D5230" i="1"/>
  <c r="D5231" i="1"/>
  <c r="D5233" i="1"/>
  <c r="D5234" i="1"/>
  <c r="D5236" i="1"/>
  <c r="D5237" i="1"/>
  <c r="D5238" i="1"/>
  <c r="D5239" i="1"/>
  <c r="D5240" i="1"/>
  <c r="D5241" i="1"/>
  <c r="D5242" i="1"/>
  <c r="D5243" i="1"/>
  <c r="D5244" i="1"/>
  <c r="D5245" i="1"/>
  <c r="D5247" i="1"/>
  <c r="D5248" i="1"/>
  <c r="D5250" i="1"/>
  <c r="D5251" i="1"/>
  <c r="D5256" i="1"/>
  <c r="D5257" i="1"/>
  <c r="D5258" i="1"/>
  <c r="D5261" i="1"/>
  <c r="D5262" i="1"/>
  <c r="D5265" i="1"/>
  <c r="D5266" i="1"/>
  <c r="D5268" i="1"/>
  <c r="D5269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9" i="1"/>
  <c r="D5290" i="1"/>
  <c r="D5291" i="1"/>
  <c r="D5292" i="1"/>
  <c r="D5293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9" i="1"/>
  <c r="D5310" i="1"/>
  <c r="D5311" i="1"/>
  <c r="D5312" i="1"/>
  <c r="D5313" i="1"/>
  <c r="D5314" i="1"/>
  <c r="D5315" i="1"/>
  <c r="D5316" i="1"/>
  <c r="D5318" i="1"/>
  <c r="D5319" i="1"/>
  <c r="D5320" i="1"/>
  <c r="D5321" i="1"/>
  <c r="D5322" i="1"/>
  <c r="D5323" i="1"/>
  <c r="D5326" i="1"/>
  <c r="D5327" i="1"/>
  <c r="D5328" i="1"/>
  <c r="D5329" i="1"/>
  <c r="D5330" i="1"/>
  <c r="D5331" i="1"/>
  <c r="D5332" i="1"/>
  <c r="D5334" i="1"/>
  <c r="D5339" i="1"/>
  <c r="D5341" i="1"/>
  <c r="D5343" i="1"/>
  <c r="D5344" i="1"/>
  <c r="D5347" i="1"/>
  <c r="D5349" i="1"/>
  <c r="D5356" i="1"/>
  <c r="D5357" i="1"/>
  <c r="D5358" i="1"/>
  <c r="D5359" i="1"/>
  <c r="D5360" i="1"/>
  <c r="D5362" i="1"/>
  <c r="D5364" i="1"/>
  <c r="D5365" i="1"/>
  <c r="D5366" i="1"/>
  <c r="D5367" i="1"/>
  <c r="D5369" i="1"/>
  <c r="D5371" i="1"/>
  <c r="D5372" i="1"/>
  <c r="D5373" i="1"/>
  <c r="D5374" i="1"/>
  <c r="D5376" i="1"/>
  <c r="D5377" i="1"/>
  <c r="D5378" i="1"/>
  <c r="D5383" i="1"/>
  <c r="D5384" i="1"/>
  <c r="D5385" i="1"/>
  <c r="D5386" i="1"/>
  <c r="D5387" i="1"/>
  <c r="D5388" i="1"/>
  <c r="D5389" i="1"/>
  <c r="D5391" i="1"/>
  <c r="D5393" i="1"/>
  <c r="D5394" i="1"/>
  <c r="D5395" i="1"/>
  <c r="D5399" i="1"/>
  <c r="D5401" i="1"/>
  <c r="D5402" i="1"/>
  <c r="D5403" i="1"/>
  <c r="D5404" i="1"/>
  <c r="D5405" i="1"/>
  <c r="D5406" i="1"/>
  <c r="D5407" i="1"/>
  <c r="D5410" i="1"/>
  <c r="D5411" i="1"/>
  <c r="D5412" i="1"/>
  <c r="D5413" i="1"/>
  <c r="D5414" i="1"/>
  <c r="D5415" i="1"/>
  <c r="D5416" i="1"/>
  <c r="D5418" i="1"/>
  <c r="D5419" i="1"/>
  <c r="D5420" i="1"/>
  <c r="D5422" i="1"/>
  <c r="D5424" i="1"/>
  <c r="D5425" i="1"/>
  <c r="D5428" i="1"/>
  <c r="D5429" i="1"/>
  <c r="D5431" i="1"/>
  <c r="D5432" i="1"/>
  <c r="D5434" i="1"/>
  <c r="D5435" i="1"/>
  <c r="D5437" i="1"/>
  <c r="D5438" i="1"/>
  <c r="D5439" i="1"/>
  <c r="D5440" i="1"/>
  <c r="D5442" i="1"/>
  <c r="D5444" i="1"/>
  <c r="D5446" i="1"/>
  <c r="D5447" i="1"/>
  <c r="D5448" i="1"/>
  <c r="D5449" i="1"/>
  <c r="D5450" i="1"/>
  <c r="D5451" i="1"/>
  <c r="D5452" i="1"/>
  <c r="D5454" i="1"/>
  <c r="D5455" i="1"/>
  <c r="D5456" i="1"/>
  <c r="D5457" i="1"/>
  <c r="D5459" i="1"/>
  <c r="D5460" i="1"/>
  <c r="D5461" i="1"/>
  <c r="D5464" i="1"/>
  <c r="D5465" i="1"/>
  <c r="D5466" i="1"/>
  <c r="D5468" i="1"/>
  <c r="D5472" i="1"/>
  <c r="D5473" i="1"/>
  <c r="D5474" i="1"/>
  <c r="D5475" i="1"/>
  <c r="D5476" i="1"/>
  <c r="D5477" i="1"/>
  <c r="D5478" i="1"/>
  <c r="D5480" i="1"/>
  <c r="D5481" i="1"/>
  <c r="D5486" i="1"/>
  <c r="D5504" i="1"/>
  <c r="D5505" i="1"/>
  <c r="D5507" i="1"/>
  <c r="D5508" i="1"/>
  <c r="D5509" i="1"/>
  <c r="D5510" i="1"/>
  <c r="D5512" i="1"/>
  <c r="D5513" i="1"/>
  <c r="D5514" i="1"/>
  <c r="D5515" i="1"/>
  <c r="D5516" i="1"/>
  <c r="D5520" i="1"/>
  <c r="D5521" i="1"/>
  <c r="D5522" i="1"/>
  <c r="D5523" i="1"/>
  <c r="D5524" i="1"/>
  <c r="D5525" i="1"/>
  <c r="D5526" i="1"/>
  <c r="D5527" i="1"/>
  <c r="D5528" i="1"/>
  <c r="D5530" i="1"/>
  <c r="D5531" i="1"/>
  <c r="D5532" i="1"/>
  <c r="D5533" i="1"/>
  <c r="D5536" i="1"/>
  <c r="D5538" i="1"/>
  <c r="D5540" i="1"/>
  <c r="D5541" i="1"/>
  <c r="D5542" i="1"/>
  <c r="D5545" i="1"/>
  <c r="D5546" i="1"/>
  <c r="D5547" i="1"/>
  <c r="D5548" i="1"/>
  <c r="D5549" i="1"/>
  <c r="D5550" i="1"/>
  <c r="D5552" i="1"/>
  <c r="D5555" i="1"/>
  <c r="D5557" i="1"/>
  <c r="D5560" i="1"/>
  <c r="D5561" i="1"/>
  <c r="D5562" i="1"/>
  <c r="D5564" i="1"/>
  <c r="D5565" i="1"/>
  <c r="D5566" i="1"/>
  <c r="D5567" i="1"/>
  <c r="D5568" i="1"/>
  <c r="D5569" i="1"/>
  <c r="D5570" i="1"/>
  <c r="D5571" i="1"/>
  <c r="D5572" i="1"/>
  <c r="D5576" i="1"/>
  <c r="D5577" i="1"/>
  <c r="D5578" i="1"/>
  <c r="D5579" i="1"/>
  <c r="D5581" i="1"/>
  <c r="D5583" i="1"/>
  <c r="D5584" i="1"/>
  <c r="D5585" i="1"/>
  <c r="D5586" i="1"/>
  <c r="D5588" i="1"/>
  <c r="D5589" i="1"/>
  <c r="D5590" i="1"/>
  <c r="D5591" i="1"/>
  <c r="D5592" i="1"/>
  <c r="D5593" i="1"/>
  <c r="D5594" i="1"/>
  <c r="D5595" i="1"/>
  <c r="D5596" i="1"/>
  <c r="D5597" i="1"/>
  <c r="D5600" i="1"/>
  <c r="D5601" i="1"/>
  <c r="D5602" i="1"/>
  <c r="D5603" i="1"/>
  <c r="D5604" i="1"/>
  <c r="D5607" i="1"/>
  <c r="D5608" i="1"/>
  <c r="D5610" i="1"/>
  <c r="D5613" i="1"/>
  <c r="D5615" i="1"/>
  <c r="D5617" i="1"/>
  <c r="D5618" i="1"/>
  <c r="D5619" i="1"/>
  <c r="D5620" i="1"/>
  <c r="D5622" i="1"/>
  <c r="D5623" i="1"/>
  <c r="D5624" i="1"/>
  <c r="D5625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2" i="1"/>
  <c r="D5683" i="1"/>
  <c r="D5684" i="1"/>
  <c r="D5685" i="1"/>
  <c r="D5686" i="1"/>
  <c r="D5687" i="1"/>
  <c r="D5689" i="1"/>
  <c r="D5690" i="1"/>
  <c r="D5691" i="1"/>
  <c r="D5692" i="1"/>
  <c r="D5693" i="1"/>
  <c r="D5694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7" i="1"/>
  <c r="D5748" i="1"/>
  <c r="D5749" i="1"/>
  <c r="D5750" i="1"/>
  <c r="D5751" i="1"/>
  <c r="D5753" i="1"/>
  <c r="D5754" i="1"/>
  <c r="D5755" i="1"/>
  <c r="D5756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6" i="1"/>
  <c r="D5787" i="1"/>
  <c r="D5788" i="1"/>
  <c r="D5789" i="1"/>
  <c r="D5790" i="1"/>
  <c r="D5791" i="1"/>
  <c r="D5792" i="1"/>
  <c r="D5793" i="1"/>
  <c r="D5794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6" i="1"/>
  <c r="D5907" i="1"/>
  <c r="D5908" i="1"/>
  <c r="D5909" i="1"/>
  <c r="D5910" i="1"/>
  <c r="D5911" i="1"/>
  <c r="D5912" i="1"/>
  <c r="D5913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7" i="1"/>
  <c r="D5938" i="1"/>
  <c r="D5939" i="1"/>
  <c r="D5940" i="1"/>
  <c r="D5941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3" i="1"/>
  <c r="D5984" i="1"/>
  <c r="D5985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9" i="1"/>
  <c r="D6110" i="1"/>
  <c r="D6111" i="1"/>
  <c r="D6112" i="1"/>
  <c r="D6113" i="1"/>
  <c r="D6114" i="1"/>
  <c r="D6115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8" i="1"/>
  <c r="D6419" i="1"/>
  <c r="D6421" i="1"/>
  <c r="D6422" i="1"/>
  <c r="D6424" i="1"/>
  <c r="D6425" i="1"/>
  <c r="D6426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50" i="1"/>
  <c r="D6751" i="1"/>
  <c r="D6752" i="1"/>
  <c r="D6753" i="1"/>
  <c r="D6754" i="1"/>
  <c r="D6756" i="1"/>
  <c r="D6757" i="1"/>
  <c r="D6758" i="1"/>
  <c r="D6759" i="1"/>
  <c r="D6760" i="1"/>
  <c r="D6762" i="1"/>
  <c r="D6763" i="1"/>
  <c r="D6764" i="1"/>
  <c r="D6765" i="1"/>
  <c r="D6766" i="1"/>
  <c r="D6768" i="1"/>
  <c r="D6769" i="1"/>
  <c r="D6771" i="1"/>
  <c r="D6772" i="1"/>
  <c r="D6773" i="1"/>
  <c r="D6774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4" i="1"/>
  <c r="D6845" i="1"/>
  <c r="D6846" i="1"/>
  <c r="D6847" i="1"/>
  <c r="D6848" i="1"/>
  <c r="D6849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3" i="1"/>
  <c r="D7004" i="1"/>
  <c r="D7005" i="1"/>
  <c r="D7006" i="1"/>
  <c r="D7007" i="1"/>
  <c r="D7008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4" i="1"/>
  <c r="D7025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8" i="1"/>
  <c r="D7059" i="1"/>
  <c r="D7060" i="1"/>
  <c r="D7061" i="1"/>
  <c r="D7062" i="1"/>
  <c r="D7063" i="1"/>
  <c r="D7064" i="1"/>
  <c r="D7065" i="1"/>
  <c r="D7066" i="1"/>
  <c r="D7067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2" i="1"/>
  <c r="D7113" i="1"/>
  <c r="D7115" i="1"/>
  <c r="D7117" i="1"/>
  <c r="D7118" i="1"/>
  <c r="D7120" i="1"/>
  <c r="D7121" i="1"/>
  <c r="D7122" i="1"/>
  <c r="D7123" i="1"/>
  <c r="D7124" i="1"/>
  <c r="D7125" i="1"/>
  <c r="D7126" i="1"/>
  <c r="D7127" i="1"/>
  <c r="D7128" i="1"/>
  <c r="D7129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6" i="1"/>
  <c r="D7147" i="1"/>
  <c r="D7148" i="1"/>
  <c r="D7149" i="1"/>
  <c r="D7151" i="1"/>
  <c r="D7152" i="1"/>
  <c r="D7154" i="1"/>
  <c r="D7155" i="1"/>
  <c r="D7156" i="1"/>
  <c r="D7157" i="1"/>
  <c r="D7158" i="1"/>
  <c r="D7159" i="1"/>
  <c r="D7160" i="1"/>
  <c r="D7161" i="1"/>
  <c r="D7163" i="1"/>
  <c r="D7164" i="1"/>
  <c r="D7165" i="1"/>
  <c r="D7166" i="1"/>
  <c r="D7167" i="1"/>
  <c r="D7168" i="1"/>
  <c r="D7169" i="1"/>
  <c r="D7170" i="1"/>
  <c r="D7171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2" i="1"/>
  <c r="D7373" i="1"/>
  <c r="D7374" i="1"/>
  <c r="D7375" i="1"/>
  <c r="D7376" i="1"/>
  <c r="D7377" i="1"/>
  <c r="D7378" i="1"/>
  <c r="D7381" i="1"/>
  <c r="D7383" i="1"/>
  <c r="D7384" i="1"/>
  <c r="D7385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6" i="1"/>
  <c r="D7427" i="1"/>
  <c r="D7428" i="1"/>
  <c r="D7429" i="1"/>
  <c r="D7430" i="1"/>
  <c r="D7431" i="1"/>
  <c r="D7432" i="1"/>
  <c r="D7433" i="1"/>
  <c r="D7434" i="1"/>
  <c r="D7435" i="1"/>
  <c r="D7436" i="1"/>
  <c r="D7438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1" i="1"/>
  <c r="D7512" i="1"/>
  <c r="D7513" i="1"/>
  <c r="D7514" i="1"/>
  <c r="D7518" i="1"/>
  <c r="D7519" i="1"/>
  <c r="D7520" i="1"/>
  <c r="D7521" i="1"/>
  <c r="D7522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9" i="1"/>
  <c r="D7560" i="1"/>
  <c r="D7561" i="1"/>
  <c r="D7563" i="1"/>
  <c r="D7564" i="1"/>
  <c r="D7565" i="1"/>
  <c r="D7566" i="1"/>
  <c r="D7567" i="1"/>
  <c r="D7568" i="1"/>
  <c r="D7569" i="1"/>
  <c r="D7572" i="1"/>
  <c r="D7574" i="1"/>
  <c r="D7576" i="1"/>
  <c r="D7577" i="1"/>
  <c r="D7580" i="1"/>
  <c r="D7581" i="1"/>
  <c r="D7582" i="1"/>
  <c r="D7583" i="1"/>
  <c r="D7584" i="1"/>
  <c r="D7586" i="1"/>
  <c r="D7587" i="1"/>
  <c r="D7588" i="1"/>
  <c r="D7589" i="1"/>
  <c r="D7590" i="1"/>
  <c r="D7591" i="1"/>
  <c r="D7592" i="1"/>
  <c r="D7593" i="1"/>
  <c r="D7595" i="1"/>
  <c r="D7596" i="1"/>
  <c r="D7597" i="1"/>
  <c r="D7598" i="1"/>
  <c r="D7600" i="1"/>
  <c r="D7602" i="1"/>
  <c r="D7604" i="1"/>
  <c r="D7605" i="1"/>
  <c r="D7606" i="1"/>
  <c r="D7607" i="1"/>
  <c r="D7609" i="1"/>
  <c r="D7610" i="1"/>
  <c r="D7611" i="1"/>
  <c r="D7612" i="1"/>
  <c r="D7613" i="1"/>
  <c r="D7618" i="1"/>
  <c r="D7621" i="1"/>
  <c r="D7623" i="1"/>
  <c r="D7624" i="1"/>
  <c r="D7626" i="1"/>
  <c r="D7627" i="1"/>
  <c r="D7628" i="1"/>
  <c r="D7629" i="1"/>
  <c r="D7631" i="1"/>
  <c r="D7632" i="1"/>
  <c r="D7633" i="1"/>
  <c r="D7635" i="1"/>
  <c r="D7636" i="1"/>
  <c r="D7637" i="1"/>
  <c r="D7638" i="1"/>
  <c r="D7639" i="1"/>
  <c r="D7641" i="1"/>
  <c r="D7642" i="1"/>
  <c r="D7643" i="1"/>
  <c r="D7644" i="1"/>
  <c r="D7645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1" i="1"/>
  <c r="D7663" i="1"/>
  <c r="D7664" i="1"/>
  <c r="D7665" i="1"/>
  <c r="D7666" i="1"/>
  <c r="D7667" i="1"/>
  <c r="D7669" i="1"/>
  <c r="D7671" i="1"/>
  <c r="D7672" i="1"/>
  <c r="D7674" i="1"/>
  <c r="D7675" i="1"/>
  <c r="D7676" i="1"/>
  <c r="D7677" i="1"/>
  <c r="D7678" i="1"/>
  <c r="D7679" i="1"/>
  <c r="D7680" i="1"/>
  <c r="D7682" i="1"/>
  <c r="D7684" i="1"/>
  <c r="D7685" i="1"/>
  <c r="D7686" i="1"/>
  <c r="D7691" i="1"/>
  <c r="D7692" i="1"/>
  <c r="D7694" i="1"/>
  <c r="D7696" i="1"/>
  <c r="D7697" i="1"/>
  <c r="D7698" i="1"/>
  <c r="D7699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4" i="1"/>
  <c r="D7715" i="1"/>
  <c r="D7716" i="1"/>
  <c r="D7717" i="1"/>
  <c r="D7719" i="1"/>
  <c r="D7720" i="1"/>
  <c r="D7721" i="1"/>
  <c r="D7722" i="1"/>
  <c r="D7723" i="1"/>
  <c r="D7727" i="1"/>
  <c r="D7728" i="1"/>
  <c r="D7730" i="1"/>
  <c r="D7731" i="1"/>
  <c r="D7732" i="1"/>
  <c r="D7733" i="1"/>
  <c r="D7735" i="1"/>
  <c r="D7736" i="1"/>
  <c r="D7737" i="1"/>
  <c r="D7738" i="1"/>
  <c r="D7739" i="1"/>
  <c r="D7740" i="1"/>
  <c r="D7741" i="1"/>
  <c r="D7742" i="1"/>
  <c r="D7743" i="1"/>
  <c r="D7744" i="1"/>
  <c r="D7745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9" i="1"/>
  <c r="D7860" i="1"/>
  <c r="D7861" i="1"/>
  <c r="D7862" i="1"/>
  <c r="D7863" i="1"/>
  <c r="D7864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9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30" i="1"/>
  <c r="D8031" i="1"/>
  <c r="D8032" i="1"/>
  <c r="D8033" i="1"/>
  <c r="D8034" i="1"/>
  <c r="D8035" i="1"/>
  <c r="D8036" i="1"/>
  <c r="D8037" i="1"/>
  <c r="D8038" i="1"/>
  <c r="D8039" i="1"/>
  <c r="D8041" i="1"/>
  <c r="D8042" i="1"/>
  <c r="D8043" i="1"/>
  <c r="D8044" i="1"/>
  <c r="D8045" i="1"/>
  <c r="D8046" i="1"/>
  <c r="D8047" i="1"/>
  <c r="D8048" i="1"/>
  <c r="D8049" i="1"/>
  <c r="D8050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5" i="1"/>
  <c r="D8086" i="1"/>
  <c r="D8087" i="1"/>
  <c r="D8088" i="1"/>
  <c r="D8089" i="1"/>
  <c r="D8090" i="1"/>
  <c r="D8091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6" i="1"/>
  <c r="D8127" i="1"/>
  <c r="D8128" i="1"/>
  <c r="D8130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4" i="1"/>
  <c r="D8305" i="1"/>
  <c r="D8306" i="1"/>
  <c r="D8307" i="1"/>
  <c r="D8308" i="1"/>
  <c r="D8309" i="1"/>
  <c r="D8310" i="1"/>
  <c r="D8311" i="1"/>
  <c r="D8312" i="1"/>
  <c r="D8313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3" i="1"/>
  <c r="D8536" i="1"/>
  <c r="D8537" i="1"/>
  <c r="D8538" i="1"/>
  <c r="D8539" i="1"/>
  <c r="D8540" i="1"/>
  <c r="D8541" i="1"/>
  <c r="D8542" i="1"/>
  <c r="D8543" i="1"/>
  <c r="D8544" i="1"/>
  <c r="D8545" i="1"/>
  <c r="D8546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3" i="1"/>
  <c r="D8634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4" i="1"/>
  <c r="D8655" i="1"/>
  <c r="D8657" i="1"/>
  <c r="D8659" i="1"/>
  <c r="D8660" i="1"/>
  <c r="D8662" i="1"/>
  <c r="D8663" i="1"/>
  <c r="D8664" i="1"/>
  <c r="D8665" i="1"/>
  <c r="D8666" i="1"/>
  <c r="D8667" i="1"/>
  <c r="D8668" i="1"/>
  <c r="D8670" i="1"/>
  <c r="D8671" i="1"/>
  <c r="D8674" i="1"/>
  <c r="D8675" i="1"/>
  <c r="D8677" i="1"/>
  <c r="D8678" i="1"/>
  <c r="D8679" i="1"/>
  <c r="D8680" i="1"/>
  <c r="D8681" i="1"/>
  <c r="D8682" i="1"/>
  <c r="D8683" i="1"/>
  <c r="D8684" i="1"/>
  <c r="D8685" i="1"/>
  <c r="D8687" i="1"/>
  <c r="D8688" i="1"/>
  <c r="D8689" i="1"/>
  <c r="D8690" i="1"/>
  <c r="D8691" i="1"/>
  <c r="D8692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1" i="1"/>
  <c r="D8752" i="1"/>
  <c r="D8753" i="1"/>
  <c r="D8754" i="1"/>
  <c r="D8755" i="1"/>
  <c r="D8756" i="1"/>
  <c r="D8757" i="1"/>
  <c r="D8758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80" i="1"/>
  <c r="D8781" i="1"/>
  <c r="D8782" i="1"/>
  <c r="D8783" i="1"/>
  <c r="D8784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900" i="1"/>
  <c r="D8901" i="1"/>
  <c r="D8902" i="1"/>
  <c r="D8903" i="1"/>
  <c r="D8904" i="1"/>
  <c r="D8905" i="1"/>
  <c r="D8906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1" i="1"/>
  <c r="D8992" i="1"/>
  <c r="D8993" i="1"/>
  <c r="D8994" i="1"/>
  <c r="D8996" i="1"/>
  <c r="D8997" i="1"/>
  <c r="D8998" i="1"/>
  <c r="D8999" i="1"/>
  <c r="D9000" i="1"/>
  <c r="D9001" i="1"/>
  <c r="D9002" i="1"/>
  <c r="D9003" i="1"/>
  <c r="D9004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1" i="1"/>
  <c r="D9032" i="1"/>
  <c r="D9033" i="1"/>
  <c r="D9034" i="1"/>
  <c r="D9036" i="1"/>
  <c r="D9038" i="1"/>
  <c r="D9039" i="1"/>
  <c r="D9040" i="1"/>
  <c r="D9041" i="1"/>
  <c r="D9042" i="1"/>
  <c r="D9043" i="1"/>
  <c r="D9044" i="1"/>
  <c r="D9045" i="1"/>
  <c r="D9046" i="1"/>
  <c r="D9048" i="1"/>
  <c r="D9049" i="1"/>
  <c r="D9050" i="1"/>
  <c r="D9051" i="1"/>
  <c r="D9052" i="1"/>
  <c r="D9053" i="1"/>
  <c r="D9054" i="1"/>
  <c r="D9055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6" i="1"/>
  <c r="D9127" i="1"/>
  <c r="D9130" i="1"/>
  <c r="D9131" i="1"/>
  <c r="D9132" i="1"/>
  <c r="D9134" i="1"/>
  <c r="D9135" i="1"/>
  <c r="D9136" i="1"/>
  <c r="D9137" i="1"/>
  <c r="D9138" i="1"/>
  <c r="D9139" i="1"/>
  <c r="D9140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9" i="1"/>
  <c r="D9160" i="1"/>
  <c r="D9163" i="1"/>
  <c r="D9164" i="1"/>
  <c r="D9165" i="1"/>
  <c r="D9166" i="1"/>
  <c r="D9167" i="1"/>
  <c r="D9168" i="1"/>
  <c r="D9170" i="1"/>
  <c r="D9171" i="1"/>
  <c r="D9173" i="1"/>
  <c r="D9174" i="1"/>
  <c r="D9175" i="1"/>
  <c r="D9176" i="1"/>
  <c r="D9179" i="1"/>
  <c r="D9181" i="1"/>
  <c r="D9182" i="1"/>
  <c r="D9183" i="1"/>
  <c r="D9184" i="1"/>
  <c r="D9185" i="1"/>
  <c r="D9186" i="1"/>
  <c r="D9188" i="1"/>
  <c r="D9189" i="1"/>
  <c r="D9190" i="1"/>
  <c r="D9191" i="1"/>
  <c r="D9192" i="1"/>
  <c r="D9193" i="1"/>
  <c r="D9195" i="1"/>
  <c r="D9196" i="1"/>
  <c r="D9197" i="1"/>
  <c r="D9198" i="1"/>
  <c r="D9201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1" i="1"/>
  <c r="D9232" i="1"/>
  <c r="D9233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1" i="1"/>
  <c r="D9322" i="1"/>
  <c r="D9323" i="1"/>
  <c r="D9324" i="1"/>
  <c r="D9325" i="1"/>
  <c r="D9326" i="1"/>
  <c r="D9327" i="1"/>
  <c r="D9328" i="1"/>
  <c r="D9329" i="1"/>
  <c r="D9330" i="1"/>
  <c r="D9331" i="1"/>
  <c r="D9333" i="1"/>
  <c r="D9334" i="1"/>
  <c r="D9335" i="1"/>
  <c r="D9336" i="1"/>
  <c r="D9337" i="1"/>
  <c r="D9338" i="1"/>
  <c r="D9339" i="1"/>
  <c r="D9340" i="1"/>
  <c r="D9341" i="1"/>
  <c r="D9342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8" i="1"/>
  <c r="D9369" i="1"/>
  <c r="D9371" i="1"/>
  <c r="D9372" i="1"/>
  <c r="D9373" i="1"/>
  <c r="D9374" i="1"/>
  <c r="D9375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3" i="1"/>
  <c r="D9394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6" i="1"/>
  <c r="D9417" i="1"/>
  <c r="D9418" i="1"/>
  <c r="D9419" i="1"/>
  <c r="D9420" i="1"/>
  <c r="D9421" i="1"/>
  <c r="D9422" i="1"/>
  <c r="D9423" i="1"/>
  <c r="D9424" i="1"/>
  <c r="D9425" i="1"/>
  <c r="D9427" i="1"/>
  <c r="D9429" i="1"/>
  <c r="D9430" i="1"/>
  <c r="D9431" i="1"/>
  <c r="D9432" i="1"/>
  <c r="D9433" i="1"/>
  <c r="D9434" i="1"/>
  <c r="D9435" i="1"/>
  <c r="D9436" i="1"/>
  <c r="D9437" i="1"/>
  <c r="D9438" i="1"/>
  <c r="D9439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5" i="1"/>
  <c r="D9456" i="1"/>
  <c r="D9457" i="1"/>
  <c r="D9458" i="1"/>
  <c r="D9459" i="1"/>
  <c r="D9461" i="1"/>
  <c r="D9462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3" i="1"/>
  <c r="D9514" i="1"/>
  <c r="D9515" i="1"/>
  <c r="D9516" i="1"/>
  <c r="D9517" i="1"/>
  <c r="D9518" i="1"/>
  <c r="D9519" i="1"/>
  <c r="D9521" i="1"/>
  <c r="D9522" i="1"/>
  <c r="D9523" i="1"/>
  <c r="D9524" i="1"/>
  <c r="D9525" i="1"/>
  <c r="D9526" i="1"/>
  <c r="D9527" i="1"/>
  <c r="D9529" i="1"/>
  <c r="D9530" i="1"/>
  <c r="D9531" i="1"/>
  <c r="D9532" i="1"/>
  <c r="D9533" i="1"/>
  <c r="D9534" i="1"/>
  <c r="D9535" i="1"/>
  <c r="D9536" i="1"/>
  <c r="D9537" i="1"/>
  <c r="D9538" i="1"/>
  <c r="D9540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1" i="1"/>
  <c r="D9562" i="1"/>
  <c r="D9563" i="1"/>
  <c r="D9564" i="1"/>
  <c r="D9565" i="1"/>
  <c r="D9566" i="1"/>
  <c r="D9567" i="1"/>
  <c r="D9568" i="1"/>
  <c r="D9569" i="1"/>
  <c r="D9570" i="1"/>
  <c r="D9572" i="1"/>
  <c r="D9573" i="1"/>
  <c r="D9574" i="1"/>
  <c r="D9576" i="1"/>
  <c r="D9577" i="1"/>
  <c r="D9578" i="1"/>
  <c r="D9579" i="1"/>
  <c r="D9580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5" i="1"/>
  <c r="D9597" i="1"/>
  <c r="D9598" i="1"/>
  <c r="D9599" i="1"/>
  <c r="D9600" i="1"/>
  <c r="D9601" i="1"/>
  <c r="D9603" i="1"/>
  <c r="D9604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6" i="1"/>
  <c r="D9639" i="1"/>
  <c r="D9640" i="1"/>
  <c r="D9641" i="1"/>
  <c r="D9644" i="1"/>
  <c r="D9645" i="1"/>
  <c r="D9647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10" i="1"/>
  <c r="D9711" i="1"/>
  <c r="D9712" i="1"/>
  <c r="D9713" i="1"/>
  <c r="D9714" i="1"/>
  <c r="D9715" i="1"/>
  <c r="D9717" i="1"/>
  <c r="D9718" i="1"/>
  <c r="D9719" i="1"/>
  <c r="D9720" i="1"/>
  <c r="D9721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2" i="1"/>
  <c r="D9743" i="1"/>
  <c r="D9744" i="1"/>
  <c r="D9745" i="1"/>
  <c r="D9746" i="1"/>
  <c r="D9747" i="1"/>
  <c r="D9748" i="1"/>
  <c r="D9749" i="1"/>
  <c r="D9750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6" i="1"/>
  <c r="D9877" i="1"/>
  <c r="D9878" i="1"/>
  <c r="D9879" i="1"/>
  <c r="D9880" i="1"/>
  <c r="D9881" i="1"/>
  <c r="D9882" i="1"/>
  <c r="D9883" i="1"/>
  <c r="D9884" i="1"/>
  <c r="D9886" i="1"/>
  <c r="D9887" i="1"/>
  <c r="D9888" i="1"/>
  <c r="D9889" i="1"/>
  <c r="D9890" i="1"/>
  <c r="D9891" i="1"/>
  <c r="D9892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70" i="1"/>
  <c r="D10071" i="1"/>
  <c r="D10072" i="1"/>
  <c r="D10073" i="1"/>
  <c r="D10075" i="1"/>
  <c r="D10076" i="1"/>
  <c r="D10077" i="1"/>
  <c r="D10078" i="1"/>
  <c r="D10079" i="1"/>
  <c r="D10080" i="1"/>
  <c r="D10081" i="1"/>
  <c r="D10082" i="1"/>
  <c r="D10083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1" i="1"/>
  <c r="D10132" i="1"/>
  <c r="D10134" i="1"/>
  <c r="D10136" i="1"/>
  <c r="D10137" i="1"/>
  <c r="D10138" i="1"/>
  <c r="D10139" i="1"/>
  <c r="D10141" i="1"/>
  <c r="D10142" i="1"/>
  <c r="D10143" i="1"/>
  <c r="D10144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5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9" i="1"/>
  <c r="D10210" i="1"/>
  <c r="D10211" i="1"/>
  <c r="D10212" i="1"/>
  <c r="D10213" i="1"/>
  <c r="D10214" i="1"/>
  <c r="D10215" i="1"/>
  <c r="D10216" i="1"/>
  <c r="D10217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44" i="1"/>
  <c r="D10245" i="1"/>
  <c r="D10247" i="1"/>
  <c r="D10248" i="1"/>
  <c r="D10250" i="1"/>
  <c r="D10252" i="1"/>
  <c r="D10253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2" i="1"/>
  <c r="D10303" i="1"/>
  <c r="D10304" i="1"/>
  <c r="D10305" i="1"/>
  <c r="D10306" i="1"/>
  <c r="D10307" i="1"/>
  <c r="D10308" i="1"/>
  <c r="D10309" i="1"/>
  <c r="D10310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60" i="1"/>
  <c r="D10361" i="1"/>
  <c r="D10363" i="1"/>
  <c r="D10364" i="1"/>
  <c r="D10365" i="1"/>
  <c r="D10366" i="1"/>
  <c r="D10367" i="1"/>
  <c r="D10368" i="1"/>
  <c r="D10369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2" i="1"/>
  <c r="D10413" i="1"/>
  <c r="D10414" i="1"/>
  <c r="D10415" i="1"/>
  <c r="D10416" i="1"/>
  <c r="D10417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9" i="1"/>
  <c r="D10540" i="1"/>
  <c r="D10541" i="1"/>
  <c r="D10542" i="1"/>
  <c r="D10543" i="1"/>
  <c r="D10544" i="1"/>
  <c r="D10545" i="1"/>
  <c r="D10546" i="1"/>
  <c r="D10547" i="1"/>
  <c r="D10548" i="1"/>
  <c r="D10550" i="1"/>
  <c r="D10551" i="1"/>
  <c r="D10552" i="1"/>
  <c r="D10553" i="1"/>
  <c r="D10554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3" i="1"/>
  <c r="D11024" i="1"/>
  <c r="D11025" i="1"/>
  <c r="D11026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3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6" i="1"/>
  <c r="D11237" i="1"/>
  <c r="D11239" i="1"/>
  <c r="D11240" i="1"/>
  <c r="D11242" i="1"/>
  <c r="D11243" i="1"/>
  <c r="D11244" i="1"/>
  <c r="D11245" i="1"/>
  <c r="D11246" i="1"/>
  <c r="D11247" i="1"/>
  <c r="D11248" i="1"/>
  <c r="D11250" i="1"/>
  <c r="D11251" i="1"/>
  <c r="D11252" i="1"/>
  <c r="D11253" i="1"/>
  <c r="D11254" i="1"/>
  <c r="D11255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2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5" i="1"/>
  <c r="D11396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6" i="1"/>
  <c r="D11428" i="1"/>
  <c r="D11429" i="1"/>
  <c r="D11430" i="1"/>
  <c r="D11431" i="1"/>
  <c r="D11432" i="1"/>
  <c r="D11433" i="1"/>
  <c r="D11434" i="1"/>
  <c r="D11435" i="1"/>
  <c r="D11436" i="1"/>
  <c r="D11437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5" i="1"/>
  <c r="D11476" i="1"/>
  <c r="D11477" i="1"/>
  <c r="D11478" i="1"/>
  <c r="D11479" i="1"/>
  <c r="D11480" i="1"/>
  <c r="D11481" i="1"/>
  <c r="D11482" i="1"/>
  <c r="D11484" i="1"/>
  <c r="D11485" i="1"/>
  <c r="D11486" i="1"/>
  <c r="D11487" i="1"/>
  <c r="D11488" i="1"/>
  <c r="D11489" i="1"/>
  <c r="D11490" i="1"/>
  <c r="D11491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9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9" i="1"/>
  <c r="D11570" i="1"/>
  <c r="D11571" i="1"/>
  <c r="D11572" i="1"/>
  <c r="D11573" i="1"/>
  <c r="D11574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9" i="1"/>
  <c r="D11590" i="1"/>
  <c r="D11592" i="1"/>
  <c r="D11593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5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8" i="1"/>
  <c r="D11709" i="1"/>
  <c r="D11710" i="1"/>
  <c r="D11711" i="1"/>
  <c r="D11712" i="1"/>
  <c r="D11714" i="1"/>
  <c r="D11715" i="1"/>
  <c r="D11716" i="1"/>
  <c r="D11717" i="1"/>
  <c r="D11718" i="1"/>
  <c r="D11721" i="1"/>
  <c r="D11722" i="1"/>
  <c r="D11723" i="1"/>
  <c r="D11724" i="1"/>
  <c r="D11725" i="1"/>
  <c r="D11726" i="1"/>
  <c r="D11728" i="1"/>
  <c r="D11729" i="1"/>
  <c r="D11730" i="1"/>
  <c r="D11731" i="1"/>
  <c r="D11732" i="1"/>
  <c r="D11733" i="1"/>
  <c r="D11738" i="1"/>
  <c r="D11740" i="1"/>
  <c r="D11741" i="1"/>
  <c r="D11742" i="1"/>
  <c r="D11743" i="1"/>
  <c r="D11744" i="1"/>
  <c r="D11745" i="1"/>
  <c r="D11746" i="1"/>
  <c r="D11747" i="1"/>
  <c r="D11749" i="1"/>
  <c r="D11750" i="1"/>
  <c r="D11753" i="1"/>
  <c r="D11757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7" i="1"/>
  <c r="D11831" i="1"/>
  <c r="D11832" i="1"/>
  <c r="D11833" i="1"/>
  <c r="D11834" i="1"/>
  <c r="D11836" i="1"/>
  <c r="D11837" i="1"/>
  <c r="D11838" i="1"/>
  <c r="D11839" i="1"/>
  <c r="D11840" i="1"/>
  <c r="D11841" i="1"/>
  <c r="D11842" i="1"/>
  <c r="D11843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9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1" i="1"/>
  <c r="D11912" i="1"/>
  <c r="D11913" i="1"/>
  <c r="D11914" i="1"/>
  <c r="D11915" i="1"/>
  <c r="D11916" i="1"/>
  <c r="D11917" i="1"/>
  <c r="D11918" i="1"/>
  <c r="D11919" i="1"/>
  <c r="D11920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3" i="1"/>
  <c r="D11945" i="1"/>
  <c r="D11946" i="1"/>
  <c r="D11947" i="1"/>
  <c r="D11948" i="1"/>
  <c r="D11949" i="1"/>
  <c r="D11951" i="1"/>
  <c r="D11952" i="1"/>
  <c r="D11953" i="1"/>
  <c r="D11954" i="1"/>
  <c r="D11956" i="1"/>
  <c r="D11957" i="1"/>
  <c r="D11958" i="1"/>
  <c r="D11959" i="1"/>
  <c r="D11991" i="1"/>
  <c r="D11992" i="1"/>
  <c r="D11993" i="1"/>
  <c r="D11994" i="1"/>
  <c r="D11996" i="1"/>
  <c r="D11997" i="1"/>
  <c r="D11998" i="1"/>
  <c r="D11999" i="1"/>
  <c r="D12000" i="1"/>
  <c r="D12001" i="1"/>
  <c r="D12002" i="1"/>
  <c r="D12003" i="1"/>
  <c r="D12007" i="1"/>
  <c r="D12008" i="1"/>
  <c r="D12010" i="1"/>
  <c r="D12016" i="1"/>
  <c r="D12017" i="1"/>
  <c r="D12018" i="1"/>
  <c r="D12019" i="1"/>
  <c r="D12020" i="1"/>
  <c r="D12021" i="1"/>
  <c r="D12022" i="1"/>
  <c r="D12023" i="1"/>
  <c r="D12024" i="1"/>
  <c r="D12026" i="1"/>
  <c r="D12027" i="1"/>
  <c r="D12029" i="1"/>
  <c r="D12030" i="1"/>
  <c r="D12038" i="1"/>
  <c r="D12039" i="1"/>
  <c r="D12040" i="1"/>
  <c r="D12041" i="1"/>
  <c r="D12042" i="1"/>
  <c r="D12043" i="1"/>
  <c r="D12047" i="1"/>
  <c r="D12048" i="1"/>
  <c r="D12051" i="1"/>
  <c r="D12052" i="1"/>
  <c r="D12054" i="1"/>
  <c r="D12055" i="1"/>
  <c r="D12056" i="1"/>
  <c r="D12057" i="1"/>
  <c r="D12058" i="1"/>
  <c r="D12059" i="1"/>
  <c r="D12060" i="1"/>
  <c r="D12062" i="1"/>
  <c r="D12063" i="1"/>
  <c r="D12064" i="1"/>
  <c r="D12066" i="1"/>
  <c r="D12067" i="1"/>
  <c r="D12068" i="1"/>
  <c r="D12075" i="1"/>
  <c r="D12076" i="1"/>
  <c r="D12077" i="1"/>
  <c r="D12078" i="1"/>
  <c r="D12079" i="1"/>
  <c r="D12080" i="1"/>
  <c r="D12081" i="1"/>
  <c r="D12082" i="1"/>
  <c r="D12083" i="1"/>
  <c r="D12084" i="1"/>
  <c r="D12087" i="1"/>
  <c r="D12088" i="1"/>
  <c r="D12089" i="1"/>
  <c r="D12090" i="1"/>
  <c r="D12091" i="1"/>
  <c r="D12092" i="1"/>
  <c r="D12093" i="1"/>
  <c r="D12108" i="1"/>
  <c r="D12114" i="1"/>
  <c r="D12124" i="1"/>
  <c r="D12125" i="1"/>
  <c r="D12126" i="1"/>
  <c r="D12127" i="1"/>
  <c r="D12128" i="1"/>
  <c r="D12129" i="1"/>
  <c r="D12130" i="1"/>
  <c r="D12131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7" i="1"/>
  <c r="D12158" i="1"/>
  <c r="D12159" i="1"/>
  <c r="D12160" i="1"/>
  <c r="D12161" i="1"/>
  <c r="D12163" i="1"/>
  <c r="D12164" i="1"/>
  <c r="D12166" i="1"/>
  <c r="D12167" i="1"/>
  <c r="D12168" i="1"/>
  <c r="D12169" i="1"/>
  <c r="D12170" i="1"/>
  <c r="D12171" i="1"/>
  <c r="D12172" i="1"/>
  <c r="D12173" i="1"/>
  <c r="D12174" i="1"/>
  <c r="D12176" i="1"/>
  <c r="D12177" i="1"/>
  <c r="D12179" i="1"/>
  <c r="D12181" i="1"/>
  <c r="D12182" i="1"/>
  <c r="D12183" i="1"/>
  <c r="D12184" i="1"/>
  <c r="D12185" i="1"/>
  <c r="D12189" i="1"/>
  <c r="D12190" i="1"/>
  <c r="D12191" i="1"/>
  <c r="D12192" i="1"/>
  <c r="D12193" i="1"/>
  <c r="D12195" i="1"/>
  <c r="D12196" i="1"/>
  <c r="D12197" i="1"/>
  <c r="D12198" i="1"/>
  <c r="D12200" i="1"/>
  <c r="D12208" i="1"/>
  <c r="D12213" i="1"/>
  <c r="D12234" i="1"/>
  <c r="D12248" i="1"/>
  <c r="D12271" i="1"/>
  <c r="D12272" i="1"/>
  <c r="D12273" i="1"/>
  <c r="D12274" i="1"/>
  <c r="D12276" i="1"/>
  <c r="D12277" i="1"/>
  <c r="D12278" i="1"/>
  <c r="D12279" i="1"/>
  <c r="D12280" i="1"/>
  <c r="D12281" i="1"/>
  <c r="D12298" i="1"/>
  <c r="D12299" i="1"/>
  <c r="D12300" i="1"/>
  <c r="D12301" i="1"/>
  <c r="D12302" i="1"/>
  <c r="D12304" i="1"/>
  <c r="D12306" i="1"/>
  <c r="D12307" i="1"/>
  <c r="D12308" i="1"/>
  <c r="D12313" i="1"/>
  <c r="D12324" i="1"/>
  <c r="D12326" i="1"/>
  <c r="D12327" i="1"/>
  <c r="D12329" i="1"/>
  <c r="D12350" i="1"/>
  <c r="D12351" i="1"/>
  <c r="D12352" i="1"/>
  <c r="D12355" i="1"/>
  <c r="D12356" i="1"/>
  <c r="D12369" i="1"/>
  <c r="D12373" i="1"/>
  <c r="D12380" i="1"/>
  <c r="D12382" i="1"/>
  <c r="D12384" i="1"/>
  <c r="D12386" i="1"/>
  <c r="D12387" i="1"/>
  <c r="D12388" i="1"/>
  <c r="D12389" i="1"/>
  <c r="D12390" i="1"/>
  <c r="D12391" i="1"/>
  <c r="D12392" i="1"/>
  <c r="D12393" i="1"/>
  <c r="D12394" i="1"/>
  <c r="D12400" i="1"/>
  <c r="D12402" i="1"/>
  <c r="D12408" i="1"/>
  <c r="D12415" i="1"/>
  <c r="D12416" i="1"/>
  <c r="D12417" i="1"/>
  <c r="D12418" i="1"/>
  <c r="D12423" i="1"/>
  <c r="D12427" i="1"/>
  <c r="D12428" i="1"/>
  <c r="D12430" i="1"/>
  <c r="D12445" i="1"/>
  <c r="D12447" i="1"/>
  <c r="D12448" i="1"/>
  <c r="D12451" i="1"/>
  <c r="D12453" i="1"/>
  <c r="D12456" i="1"/>
  <c r="D12458" i="1"/>
  <c r="D12477" i="1"/>
  <c r="D12478" i="1"/>
  <c r="D12483" i="1"/>
  <c r="D12484" i="1"/>
  <c r="D12487" i="1"/>
  <c r="D12488" i="1"/>
  <c r="D12490" i="1"/>
  <c r="D12492" i="1"/>
  <c r="D12493" i="1"/>
  <c r="D12494" i="1"/>
  <c r="D12500" i="1"/>
  <c r="D12501" i="1"/>
  <c r="D12510" i="1"/>
  <c r="D12511" i="1"/>
  <c r="D12512" i="1"/>
  <c r="D12517" i="1"/>
  <c r="D12518" i="1"/>
  <c r="D12519" i="1"/>
  <c r="D12520" i="1"/>
  <c r="D12522" i="1"/>
  <c r="D12525" i="1"/>
  <c r="D12531" i="1"/>
  <c r="D12534" i="1"/>
  <c r="D12548" i="1"/>
  <c r="D12553" i="1"/>
  <c r="D12554" i="1"/>
  <c r="D12561" i="1"/>
  <c r="D12601" i="1"/>
  <c r="D12641" i="1"/>
  <c r="D12661" i="1"/>
  <c r="D12665" i="1"/>
  <c r="D12673" i="1"/>
  <c r="D12687" i="1"/>
  <c r="D12688" i="1"/>
  <c r="D12689" i="1"/>
  <c r="D12691" i="1"/>
  <c r="D12692" i="1"/>
  <c r="D12693" i="1"/>
  <c r="D12694" i="1"/>
  <c r="D12696" i="1"/>
  <c r="D12723" i="1"/>
  <c r="D12724" i="1"/>
  <c r="D12725" i="1"/>
  <c r="D12726" i="1"/>
  <c r="D12727" i="1"/>
  <c r="D12728" i="1"/>
  <c r="D12729" i="1"/>
  <c r="D12730" i="1"/>
  <c r="D12731" i="1"/>
  <c r="D12732" i="1"/>
  <c r="D12734" i="1"/>
  <c r="D12736" i="1"/>
  <c r="D12753" i="1"/>
  <c r="D12754" i="1"/>
  <c r="D12755" i="1"/>
  <c r="D12758" i="1"/>
  <c r="D12759" i="1"/>
  <c r="D12761" i="1"/>
  <c r="D12766" i="1"/>
  <c r="D12768" i="1"/>
  <c r="D12770" i="1"/>
  <c r="D12771" i="1"/>
  <c r="D12772" i="1"/>
  <c r="D12774" i="1"/>
  <c r="D12788" i="1"/>
  <c r="D12808" i="1"/>
  <c r="D12811" i="1"/>
  <c r="D12840" i="1"/>
  <c r="D12891" i="1"/>
  <c r="D12908" i="1"/>
  <c r="D12909" i="1"/>
  <c r="D12911" i="1"/>
  <c r="D12927" i="1"/>
  <c r="D12937" i="1"/>
  <c r="D12938" i="1"/>
  <c r="D12939" i="1"/>
  <c r="D12948" i="1"/>
  <c r="D12955" i="1"/>
  <c r="D12956" i="1"/>
  <c r="D12960" i="1"/>
  <c r="D12965" i="1"/>
  <c r="D12967" i="1"/>
  <c r="D12969" i="1"/>
  <c r="D12972" i="1"/>
  <c r="D12975" i="1"/>
  <c r="D13035" i="1"/>
  <c r="D13062" i="1"/>
  <c r="D13069" i="1"/>
  <c r="D13190" i="1"/>
  <c r="D13201" i="1"/>
  <c r="D13244" i="1"/>
  <c r="D13245" i="1"/>
  <c r="D13246" i="1"/>
  <c r="D13247" i="1"/>
  <c r="D13248" i="1"/>
  <c r="D13249" i="1"/>
  <c r="D13250" i="1"/>
  <c r="D13251" i="1"/>
  <c r="D13252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331" i="1"/>
  <c r="D13336" i="1"/>
  <c r="D13384" i="1"/>
  <c r="D13409" i="1"/>
  <c r="D13417" i="1"/>
  <c r="D13432" i="1"/>
  <c r="D13516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6" i="1"/>
  <c r="D13557" i="1"/>
  <c r="D13558" i="1"/>
  <c r="D13559" i="1"/>
  <c r="D13560" i="1"/>
  <c r="D13561" i="1"/>
  <c r="D13562" i="1"/>
  <c r="D13563" i="1"/>
  <c r="D13564" i="1"/>
  <c r="D13567" i="1"/>
  <c r="D13568" i="1"/>
  <c r="D13579" i="1"/>
  <c r="D13580" i="1"/>
  <c r="D13581" i="1"/>
  <c r="D13583" i="1"/>
  <c r="D13584" i="1"/>
  <c r="D13585" i="1"/>
  <c r="D13588" i="1"/>
  <c r="D13589" i="1"/>
  <c r="D13597" i="1"/>
  <c r="D13599" i="1"/>
  <c r="D13601" i="1"/>
  <c r="D13603" i="1"/>
  <c r="D13604" i="1"/>
  <c r="D13616" i="1"/>
  <c r="D13627" i="1"/>
  <c r="D13628" i="1"/>
  <c r="D13633" i="1"/>
  <c r="D13635" i="1"/>
  <c r="D13637" i="1"/>
  <c r="D13638" i="1"/>
  <c r="D13641" i="1"/>
  <c r="D13642" i="1"/>
  <c r="D13643" i="1"/>
  <c r="D13644" i="1"/>
  <c r="D13645" i="1"/>
  <c r="D13648" i="1"/>
  <c r="D13649" i="1"/>
  <c r="D13650" i="1"/>
  <c r="D13651" i="1"/>
  <c r="D13652" i="1"/>
  <c r="D13658" i="1"/>
  <c r="D13660" i="1"/>
  <c r="D13662" i="1"/>
  <c r="D13667" i="1"/>
  <c r="D13668" i="1"/>
  <c r="D13670" i="1"/>
  <c r="D13671" i="1"/>
  <c r="D13673" i="1"/>
  <c r="D13674" i="1"/>
  <c r="D13675" i="1"/>
  <c r="D13676" i="1"/>
  <c r="D13677" i="1"/>
  <c r="D13684" i="1"/>
  <c r="D13685" i="1"/>
  <c r="D13686" i="1"/>
  <c r="D13687" i="1"/>
  <c r="D13688" i="1"/>
  <c r="D13690" i="1"/>
  <c r="D13692" i="1"/>
  <c r="D13693" i="1"/>
  <c r="D13695" i="1"/>
  <c r="D13696" i="1"/>
  <c r="D13699" i="1"/>
  <c r="D13700" i="1"/>
  <c r="D13701" i="1"/>
  <c r="D13708" i="1"/>
  <c r="D13712" i="1"/>
  <c r="D13715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8" i="1"/>
  <c r="D13839" i="1"/>
  <c r="D13840" i="1"/>
  <c r="D13841" i="1"/>
  <c r="D13843" i="1"/>
  <c r="D13844" i="1"/>
  <c r="D13845" i="1"/>
  <c r="D13847" i="1"/>
  <c r="D13848" i="1"/>
  <c r="D13849" i="1"/>
  <c r="D13850" i="1"/>
  <c r="D13857" i="1"/>
  <c r="D13858" i="1"/>
  <c r="D13859" i="1"/>
  <c r="D13860" i="1"/>
  <c r="D13862" i="1"/>
  <c r="D13864" i="1"/>
  <c r="D13865" i="1"/>
  <c r="D13866" i="1"/>
  <c r="D13867" i="1"/>
  <c r="D13869" i="1"/>
  <c r="D13872" i="1"/>
  <c r="D13874" i="1"/>
  <c r="D13879" i="1"/>
  <c r="D13880" i="1"/>
  <c r="D13881" i="1"/>
  <c r="D13882" i="1"/>
  <c r="D13886" i="1"/>
  <c r="D13887" i="1"/>
  <c r="D13888" i="1"/>
  <c r="D13890" i="1"/>
  <c r="D13891" i="1"/>
  <c r="D13893" i="1"/>
  <c r="D13894" i="1"/>
  <c r="D13895" i="1"/>
  <c r="D13899" i="1"/>
  <c r="D13900" i="1"/>
  <c r="D13901" i="1"/>
  <c r="D13902" i="1"/>
  <c r="D13903" i="1"/>
  <c r="D13904" i="1"/>
  <c r="D13905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1" i="1"/>
  <c r="D13922" i="1"/>
  <c r="D13923" i="1"/>
  <c r="D13924" i="1"/>
  <c r="D13925" i="1"/>
  <c r="D13926" i="1"/>
  <c r="D13927" i="1"/>
  <c r="D13928" i="1"/>
  <c r="D13929" i="1"/>
  <c r="D13935" i="1"/>
  <c r="D13936" i="1"/>
  <c r="D13939" i="1"/>
  <c r="D13940" i="1"/>
  <c r="D13941" i="1"/>
  <c r="D13945" i="1"/>
  <c r="D13947" i="1"/>
  <c r="D13950" i="1"/>
  <c r="D13951" i="1"/>
  <c r="D13953" i="1"/>
  <c r="D13954" i="1"/>
  <c r="D13955" i="1"/>
  <c r="D13957" i="1"/>
  <c r="D13958" i="1"/>
  <c r="D13959" i="1"/>
  <c r="D13960" i="1"/>
  <c r="D13961" i="1"/>
  <c r="D13962" i="1"/>
  <c r="D13963" i="1"/>
  <c r="D13969" i="1"/>
  <c r="D13971" i="1"/>
  <c r="D13978" i="1"/>
  <c r="D13981" i="1"/>
  <c r="D13983" i="1"/>
  <c r="D13985" i="1"/>
  <c r="D13988" i="1"/>
  <c r="D13990" i="1"/>
  <c r="D13996" i="1"/>
  <c r="D13997" i="1"/>
  <c r="D13998" i="1"/>
  <c r="D14002" i="1"/>
  <c r="D14008" i="1"/>
  <c r="D14009" i="1"/>
  <c r="D14011" i="1"/>
  <c r="D14012" i="1"/>
  <c r="D14018" i="1"/>
  <c r="D14023" i="1"/>
  <c r="D14024" i="1"/>
  <c r="D14031" i="1"/>
  <c r="D14033" i="1"/>
  <c r="D14035" i="1"/>
  <c r="D14036" i="1"/>
  <c r="D14037" i="1"/>
  <c r="D14044" i="1"/>
  <c r="D14046" i="1"/>
  <c r="D14047" i="1"/>
  <c r="D14049" i="1"/>
  <c r="D14051" i="1"/>
  <c r="D14052" i="1"/>
  <c r="D14053" i="1"/>
  <c r="D14054" i="1"/>
  <c r="D14056" i="1"/>
  <c r="D14058" i="1"/>
  <c r="D14060" i="1"/>
  <c r="D14067" i="1"/>
  <c r="D14069" i="1"/>
  <c r="D14070" i="1"/>
  <c r="D14071" i="1"/>
  <c r="D14073" i="1"/>
  <c r="D14074" i="1"/>
  <c r="D14077" i="1"/>
  <c r="D14081" i="1"/>
  <c r="D14087" i="1"/>
  <c r="D14088" i="1"/>
  <c r="D14089" i="1"/>
  <c r="D14094" i="1"/>
  <c r="D14096" i="1"/>
  <c r="D14097" i="1"/>
  <c r="D14099" i="1"/>
  <c r="D14102" i="1"/>
  <c r="D14103" i="1"/>
  <c r="D14104" i="1"/>
  <c r="D14105" i="1"/>
  <c r="D14106" i="1"/>
  <c r="D14107" i="1"/>
  <c r="D14108" i="1"/>
  <c r="D14109" i="1"/>
  <c r="D14110" i="1"/>
  <c r="D14111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7" i="1"/>
  <c r="D14132" i="1"/>
  <c r="D14133" i="1"/>
  <c r="D14135" i="1"/>
  <c r="D14136" i="1"/>
  <c r="D14142" i="1"/>
  <c r="D14143" i="1"/>
  <c r="D14144" i="1"/>
  <c r="D14145" i="1"/>
  <c r="D14147" i="1"/>
  <c r="D14149" i="1"/>
  <c r="D14153" i="1"/>
  <c r="D14154" i="1"/>
  <c r="D14157" i="1"/>
  <c r="D14158" i="1"/>
  <c r="D14159" i="1"/>
  <c r="D14161" i="1"/>
  <c r="D14162" i="1"/>
  <c r="D14170" i="1"/>
  <c r="D14177" i="1"/>
  <c r="D14184" i="1"/>
  <c r="D14189" i="1"/>
  <c r="D14194" i="1"/>
  <c r="D14195" i="1"/>
  <c r="D14203" i="1"/>
  <c r="D14204" i="1"/>
  <c r="D14216" i="1"/>
  <c r="D14223" i="1"/>
  <c r="D14225" i="1"/>
  <c r="D14226" i="1"/>
  <c r="D14229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75" i="1"/>
  <c r="D14278" i="1"/>
  <c r="D14283" i="1"/>
  <c r="D14297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5" i="1"/>
  <c r="D14326" i="1"/>
  <c r="D14327" i="1"/>
  <c r="D14328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5" i="1"/>
  <c r="D14346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1" i="1"/>
  <c r="D14362" i="1"/>
  <c r="D14363" i="1"/>
  <c r="D14364" i="1"/>
  <c r="D14369" i="1"/>
  <c r="D14373" i="1"/>
  <c r="D14374" i="1"/>
  <c r="D14376" i="1"/>
  <c r="D14377" i="1"/>
  <c r="D14378" i="1"/>
  <c r="D14379" i="1"/>
  <c r="D14380" i="1"/>
  <c r="D14381" i="1"/>
  <c r="D14383" i="1"/>
  <c r="D14385" i="1"/>
  <c r="D14390" i="1"/>
  <c r="D14391" i="1"/>
  <c r="D14393" i="1"/>
  <c r="D14394" i="1"/>
  <c r="D14396" i="1"/>
  <c r="D14397" i="1"/>
  <c r="D14398" i="1"/>
  <c r="D14400" i="1"/>
  <c r="D14401" i="1"/>
  <c r="D14403" i="1"/>
  <c r="D14404" i="1"/>
  <c r="D14408" i="1"/>
  <c r="D14410" i="1"/>
  <c r="D14421" i="1"/>
  <c r="D14423" i="1"/>
  <c r="D14442" i="1"/>
  <c r="D14443" i="1"/>
  <c r="D14450" i="1"/>
  <c r="D14451" i="1"/>
  <c r="D14452" i="1"/>
  <c r="D14455" i="1"/>
  <c r="D14457" i="1"/>
  <c r="D14460" i="1"/>
  <c r="D14461" i="1"/>
  <c r="D14462" i="1"/>
  <c r="D14464" i="1"/>
  <c r="D14465" i="1"/>
  <c r="D14466" i="1"/>
  <c r="D14467" i="1"/>
  <c r="D14468" i="1"/>
  <c r="D14469" i="1"/>
  <c r="D14470" i="1"/>
  <c r="D14472" i="1"/>
  <c r="D14473" i="1"/>
  <c r="D14475" i="1"/>
  <c r="D14476" i="1"/>
  <c r="D14477" i="1"/>
  <c r="D14478" i="1"/>
  <c r="D14479" i="1"/>
  <c r="D14480" i="1"/>
  <c r="D14481" i="1"/>
  <c r="D14482" i="1"/>
  <c r="D14484" i="1"/>
  <c r="D14485" i="1"/>
  <c r="D14487" i="1"/>
  <c r="D14488" i="1"/>
  <c r="D14489" i="1"/>
  <c r="D14493" i="1"/>
  <c r="D14494" i="1"/>
  <c r="D14495" i="1"/>
  <c r="D14496" i="1"/>
  <c r="D14497" i="1"/>
  <c r="D14498" i="1"/>
  <c r="D14503" i="1"/>
  <c r="D14504" i="1"/>
  <c r="D14505" i="1"/>
  <c r="D14506" i="1"/>
  <c r="D14507" i="1"/>
  <c r="D14508" i="1"/>
  <c r="D14509" i="1"/>
  <c r="D14512" i="1"/>
  <c r="D14513" i="1"/>
  <c r="D14514" i="1"/>
  <c r="D14516" i="1"/>
  <c r="D14517" i="1"/>
  <c r="D14518" i="1"/>
  <c r="D14519" i="1"/>
  <c r="D14520" i="1"/>
  <c r="D14522" i="1"/>
  <c r="D14523" i="1"/>
  <c r="D14526" i="1"/>
  <c r="D14529" i="1"/>
  <c r="D14530" i="1"/>
  <c r="D14531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9" i="1"/>
  <c r="D14580" i="1"/>
  <c r="D14581" i="1"/>
  <c r="D14582" i="1"/>
  <c r="D14583" i="1"/>
  <c r="D14584" i="1"/>
  <c r="D14585" i="1"/>
  <c r="D14586" i="1"/>
  <c r="D14587" i="1"/>
  <c r="D14588" i="1"/>
  <c r="D14590" i="1"/>
  <c r="D14591" i="1"/>
  <c r="D14593" i="1"/>
  <c r="D14594" i="1"/>
  <c r="D14596" i="1"/>
  <c r="D14597" i="1"/>
  <c r="D14598" i="1"/>
  <c r="D14599" i="1"/>
  <c r="D14600" i="1"/>
  <c r="D14601" i="1"/>
  <c r="D14602" i="1"/>
  <c r="D14603" i="1"/>
  <c r="D14604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6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6" i="1"/>
  <c r="D14727" i="1"/>
  <c r="D14729" i="1"/>
  <c r="D14730" i="1"/>
  <c r="D14731" i="1"/>
  <c r="D14732" i="1"/>
  <c r="D14733" i="1"/>
  <c r="D14735" i="1"/>
  <c r="D14736" i="1"/>
  <c r="D14737" i="1"/>
  <c r="D14739" i="1"/>
  <c r="D14740" i="1"/>
  <c r="D14741" i="1"/>
  <c r="D14742" i="1"/>
  <c r="D14743" i="1"/>
  <c r="D14744" i="1"/>
  <c r="D14745" i="1"/>
  <c r="D14746" i="1"/>
  <c r="D14748" i="1"/>
  <c r="D14749" i="1"/>
  <c r="D14750" i="1"/>
  <c r="D14751" i="1"/>
  <c r="D14752" i="1"/>
  <c r="D14753" i="1"/>
  <c r="D14754" i="1"/>
  <c r="D14755" i="1"/>
  <c r="D14757" i="1"/>
  <c r="D14758" i="1"/>
  <c r="D14759" i="1"/>
  <c r="D14760" i="1"/>
  <c r="D14762" i="1"/>
  <c r="D14763" i="1"/>
  <c r="D14764" i="1"/>
  <c r="D14765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7" i="1"/>
  <c r="D14838" i="1"/>
  <c r="D14839" i="1"/>
  <c r="D14840" i="1"/>
  <c r="D14841" i="1"/>
  <c r="D14842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7" i="1"/>
  <c r="D14858" i="1"/>
  <c r="D14859" i="1"/>
  <c r="D14860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60" i="1"/>
  <c r="D14961" i="1"/>
  <c r="D14962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4" i="1"/>
  <c r="D15005" i="1"/>
  <c r="D15006" i="1"/>
  <c r="D15007" i="1"/>
  <c r="D15008" i="1"/>
  <c r="D15009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2" i="1"/>
  <c r="D15063" i="1"/>
  <c r="D15064" i="1"/>
  <c r="D15065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3" i="1"/>
  <c r="D15104" i="1"/>
  <c r="D15105" i="1"/>
  <c r="D15106" i="1"/>
  <c r="D15107" i="1"/>
  <c r="D15108" i="1"/>
  <c r="D15109" i="1"/>
  <c r="D15110" i="1"/>
  <c r="D15112" i="1"/>
  <c r="D15113" i="1"/>
  <c r="D15114" i="1"/>
  <c r="D15116" i="1"/>
  <c r="D15118" i="1"/>
  <c r="D15119" i="1"/>
  <c r="D15121" i="1"/>
  <c r="D15122" i="1"/>
  <c r="D15123" i="1"/>
  <c r="D15124" i="1"/>
  <c r="D15125" i="1"/>
  <c r="D15126" i="1"/>
  <c r="D15130" i="1"/>
  <c r="D15131" i="1"/>
  <c r="D15132" i="1"/>
  <c r="D15134" i="1"/>
  <c r="D15135" i="1"/>
  <c r="D15136" i="1"/>
  <c r="D15137" i="1"/>
  <c r="D15138" i="1"/>
  <c r="D15139" i="1"/>
  <c r="D15141" i="1"/>
  <c r="D15142" i="1"/>
  <c r="D15143" i="1"/>
  <c r="D15144" i="1"/>
  <c r="D15145" i="1"/>
  <c r="D15146" i="1"/>
  <c r="D15148" i="1"/>
  <c r="D15149" i="1"/>
  <c r="D15150" i="1"/>
  <c r="D15151" i="1"/>
  <c r="D15152" i="1"/>
  <c r="D15153" i="1"/>
  <c r="D15154" i="1"/>
  <c r="D15155" i="1"/>
  <c r="D15156" i="1"/>
  <c r="D15158" i="1"/>
  <c r="D15159" i="1"/>
  <c r="D15160" i="1"/>
  <c r="D15161" i="1"/>
  <c r="D15166" i="1"/>
  <c r="D15168" i="1"/>
  <c r="D15170" i="1"/>
  <c r="D15171" i="1"/>
  <c r="D15172" i="1"/>
  <c r="D15173" i="1"/>
  <c r="D15174" i="1"/>
  <c r="D15175" i="1"/>
  <c r="D15177" i="1"/>
  <c r="D15183" i="1"/>
  <c r="D15185" i="1"/>
  <c r="D15188" i="1"/>
  <c r="D15190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30" i="1"/>
  <c r="D15231" i="1"/>
  <c r="D15232" i="1"/>
  <c r="D15233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2" i="1"/>
  <c r="D15263" i="1"/>
  <c r="D15264" i="1"/>
  <c r="D15265" i="1"/>
  <c r="D15266" i="1"/>
  <c r="D15267" i="1"/>
  <c r="D15268" i="1"/>
  <c r="D15269" i="1"/>
  <c r="D15271" i="1"/>
  <c r="D15272" i="1"/>
  <c r="D15274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4" i="1"/>
  <c r="D15295" i="1"/>
  <c r="D15298" i="1"/>
  <c r="D15299" i="1"/>
  <c r="D15300" i="1"/>
  <c r="D15301" i="1"/>
  <c r="D15302" i="1"/>
  <c r="D15303" i="1"/>
  <c r="D15304" i="1"/>
  <c r="D15305" i="1"/>
  <c r="D15306" i="1"/>
  <c r="D15307" i="1"/>
  <c r="D15309" i="1"/>
  <c r="D15310" i="1"/>
  <c r="D15311" i="1"/>
  <c r="D15312" i="1"/>
  <c r="D15313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6" i="1"/>
  <c r="D15353" i="1"/>
  <c r="D15354" i="1"/>
  <c r="D15355" i="1"/>
  <c r="D15356" i="1"/>
  <c r="D15357" i="1"/>
  <c r="D15358" i="1"/>
  <c r="D15359" i="1"/>
  <c r="D15361" i="1"/>
  <c r="D15362" i="1"/>
  <c r="D15363" i="1"/>
  <c r="D15364" i="1"/>
  <c r="D15366" i="1"/>
  <c r="D15367" i="1"/>
  <c r="D15368" i="1"/>
  <c r="D15370" i="1"/>
  <c r="D15371" i="1"/>
  <c r="D15372" i="1"/>
  <c r="D15373" i="1"/>
  <c r="D15374" i="1"/>
  <c r="D15375" i="1"/>
  <c r="D15376" i="1"/>
  <c r="D15377" i="1"/>
  <c r="D15378" i="1"/>
  <c r="D15380" i="1"/>
  <c r="D15381" i="1"/>
  <c r="D15382" i="1"/>
  <c r="D15383" i="1"/>
  <c r="D15384" i="1"/>
  <c r="D15385" i="1"/>
  <c r="D15386" i="1"/>
  <c r="D15387" i="1"/>
  <c r="D15388" i="1"/>
  <c r="D15391" i="1"/>
  <c r="D15392" i="1"/>
  <c r="D15393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9" i="1"/>
  <c r="D15410" i="1"/>
  <c r="D15411" i="1"/>
  <c r="D15412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30" i="1"/>
  <c r="D15431" i="1"/>
  <c r="D15432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9" i="1"/>
  <c r="D15480" i="1"/>
  <c r="D15483" i="1"/>
  <c r="D15484" i="1"/>
  <c r="D15485" i="1"/>
  <c r="D15490" i="1"/>
  <c r="D15491" i="1"/>
  <c r="D15493" i="1"/>
  <c r="D15494" i="1"/>
  <c r="D15495" i="1"/>
  <c r="D15496" i="1"/>
  <c r="D15497" i="1"/>
  <c r="D15498" i="1"/>
  <c r="D15499" i="1"/>
  <c r="D15500" i="1"/>
  <c r="D15501" i="1"/>
  <c r="D15502" i="1"/>
  <c r="D15504" i="1"/>
  <c r="D15506" i="1"/>
  <c r="D15508" i="1"/>
  <c r="D15509" i="1"/>
  <c r="D15510" i="1"/>
  <c r="D15511" i="1"/>
  <c r="D15512" i="1"/>
  <c r="D15513" i="1"/>
  <c r="D15514" i="1"/>
  <c r="D15515" i="1"/>
  <c r="D15516" i="1"/>
  <c r="D15517" i="1"/>
  <c r="D15524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6" i="1"/>
  <c r="D15557" i="1"/>
  <c r="D15558" i="1"/>
  <c r="D15559" i="1"/>
  <c r="D15560" i="1"/>
  <c r="D15561" i="1"/>
  <c r="D15562" i="1"/>
  <c r="D15563" i="1"/>
  <c r="D15564" i="1"/>
  <c r="D15565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4" i="1"/>
  <c r="D15585" i="1"/>
  <c r="D15587" i="1"/>
  <c r="D15588" i="1"/>
  <c r="D15589" i="1"/>
  <c r="D15591" i="1"/>
  <c r="D15592" i="1"/>
  <c r="D15593" i="1"/>
  <c r="D15594" i="1"/>
  <c r="D15595" i="1"/>
  <c r="D15596" i="1"/>
  <c r="D15597" i="1"/>
  <c r="D15598" i="1"/>
  <c r="D15600" i="1"/>
  <c r="D15602" i="1"/>
  <c r="D15603" i="1"/>
  <c r="D15604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2" i="1"/>
  <c r="D15743" i="1"/>
  <c r="D15744" i="1"/>
  <c r="D15745" i="1"/>
  <c r="D15746" i="1"/>
  <c r="D15748" i="1"/>
  <c r="D15749" i="1"/>
  <c r="D15750" i="1"/>
  <c r="D15751" i="1"/>
  <c r="D15752" i="1"/>
  <c r="D15753" i="1"/>
  <c r="D15754" i="1"/>
  <c r="D15755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7" i="1"/>
  <c r="D15969" i="1"/>
  <c r="D15970" i="1"/>
  <c r="D15972" i="1"/>
  <c r="D15973" i="1"/>
  <c r="D15974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1" i="1"/>
  <c r="D16002" i="1"/>
  <c r="D16003" i="1"/>
  <c r="D16004" i="1"/>
  <c r="D16005" i="1"/>
  <c r="D16006" i="1"/>
  <c r="D16007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8" i="1"/>
  <c r="D16069" i="1"/>
  <c r="D16070" i="1"/>
  <c r="D16071" i="1"/>
  <c r="D16072" i="1"/>
  <c r="D16073" i="1"/>
  <c r="D16074" i="1"/>
  <c r="D16075" i="1"/>
  <c r="D16076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20" i="1"/>
  <c r="D16121" i="1"/>
  <c r="D16122" i="1"/>
  <c r="D16123" i="1"/>
  <c r="D16124" i="1"/>
  <c r="D16125" i="1"/>
  <c r="D16126" i="1"/>
  <c r="D16128" i="1"/>
  <c r="D16129" i="1"/>
  <c r="D16130" i="1"/>
  <c r="D16131" i="1"/>
  <c r="D16132" i="1"/>
  <c r="D16133" i="1"/>
  <c r="D16135" i="1"/>
  <c r="D16136" i="1"/>
  <c r="D16137" i="1"/>
  <c r="D16138" i="1"/>
  <c r="D16139" i="1"/>
  <c r="D16140" i="1"/>
  <c r="D16141" i="1"/>
  <c r="D16143" i="1"/>
  <c r="D16144" i="1"/>
  <c r="D16145" i="1"/>
  <c r="D16146" i="1"/>
  <c r="D16147" i="1"/>
  <c r="D16148" i="1"/>
  <c r="D16149" i="1"/>
  <c r="D16151" i="1"/>
  <c r="D16152" i="1"/>
  <c r="D16153" i="1"/>
  <c r="D16154" i="1"/>
  <c r="D16156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9" i="1"/>
  <c r="D16180" i="1"/>
  <c r="D16181" i="1"/>
  <c r="D16182" i="1"/>
  <c r="D16183" i="1"/>
  <c r="D16184" i="1"/>
  <c r="D16185" i="1"/>
  <c r="D16187" i="1"/>
  <c r="D16188" i="1"/>
  <c r="D16189" i="1"/>
  <c r="D16190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61" i="1"/>
  <c r="D16262" i="1"/>
  <c r="D16263" i="1"/>
  <c r="D16264" i="1"/>
  <c r="D16265" i="1"/>
  <c r="D16266" i="1"/>
  <c r="D16267" i="1"/>
  <c r="D16268" i="1"/>
  <c r="D16270" i="1"/>
  <c r="D16271" i="1"/>
  <c r="D16272" i="1"/>
  <c r="D16273" i="1"/>
  <c r="D16274" i="1"/>
  <c r="D16275" i="1"/>
  <c r="D16276" i="1"/>
  <c r="D16277" i="1"/>
  <c r="D16278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3" i="1"/>
  <c r="D16294" i="1"/>
  <c r="D16295" i="1"/>
  <c r="D16296" i="1"/>
  <c r="D16297" i="1"/>
  <c r="D16298" i="1"/>
  <c r="D16299" i="1"/>
  <c r="D16301" i="1"/>
  <c r="D16302" i="1"/>
  <c r="D16303" i="1"/>
  <c r="D16304" i="1"/>
  <c r="D16307" i="1"/>
  <c r="D16308" i="1"/>
  <c r="D16309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7" i="1"/>
  <c r="D16388" i="1"/>
  <c r="D16389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1" i="1"/>
  <c r="D16452" i="1"/>
  <c r="D16453" i="1"/>
  <c r="D16454" i="1"/>
  <c r="D16455" i="1"/>
  <c r="D16456" i="1"/>
  <c r="D16457" i="1"/>
  <c r="D16458" i="1"/>
  <c r="D16459" i="1"/>
  <c r="D16460" i="1"/>
  <c r="D16462" i="1"/>
  <c r="D16463" i="1"/>
  <c r="D16464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9" i="1"/>
  <c r="D16510" i="1"/>
  <c r="D16511" i="1"/>
  <c r="D16512" i="1"/>
  <c r="D16513" i="1"/>
  <c r="D16514" i="1"/>
  <c r="D16516" i="1"/>
  <c r="D16517" i="1"/>
  <c r="D16518" i="1"/>
  <c r="D16519" i="1"/>
  <c r="D16520" i="1"/>
  <c r="D16522" i="1"/>
  <c r="D16523" i="1"/>
  <c r="D16524" i="1"/>
  <c r="D16525" i="1"/>
  <c r="D16527" i="1"/>
  <c r="D16528" i="1"/>
  <c r="D16529" i="1"/>
  <c r="D16530" i="1"/>
  <c r="D16531" i="1"/>
  <c r="D16532" i="1"/>
  <c r="D16533" i="1"/>
  <c r="D16534" i="1"/>
  <c r="D16535" i="1"/>
  <c r="D16537" i="1"/>
  <c r="D16538" i="1"/>
  <c r="D16539" i="1"/>
  <c r="D16540" i="1"/>
  <c r="D16541" i="1"/>
  <c r="D16542" i="1"/>
  <c r="D16543" i="1"/>
  <c r="D16544" i="1"/>
  <c r="D16545" i="1"/>
  <c r="D16547" i="1"/>
  <c r="D16548" i="1"/>
  <c r="D16549" i="1"/>
  <c r="D16550" i="1"/>
  <c r="D16551" i="1"/>
  <c r="D16552" i="1"/>
  <c r="D16553" i="1"/>
  <c r="D16554" i="1"/>
  <c r="D16555" i="1"/>
  <c r="D16556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1" i="1"/>
  <c r="D16572" i="1"/>
  <c r="D16573" i="1"/>
  <c r="D16574" i="1"/>
  <c r="D16575" i="1"/>
  <c r="D16576" i="1"/>
  <c r="D16578" i="1"/>
  <c r="D16579" i="1"/>
  <c r="D16580" i="1"/>
  <c r="D16581" i="1"/>
  <c r="D16582" i="1"/>
  <c r="D16583" i="1"/>
  <c r="D16584" i="1"/>
  <c r="D16586" i="1"/>
  <c r="D16587" i="1"/>
  <c r="D16588" i="1"/>
  <c r="D16589" i="1"/>
  <c r="D16590" i="1"/>
  <c r="D16591" i="1"/>
  <c r="D16592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1" i="1"/>
  <c r="D16712" i="1"/>
  <c r="D16713" i="1"/>
  <c r="D16714" i="1"/>
  <c r="D16715" i="1"/>
  <c r="D16716" i="1"/>
  <c r="D16717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8" i="1"/>
  <c r="D16800" i="1"/>
  <c r="D16801" i="1"/>
  <c r="D16802" i="1"/>
  <c r="D16803" i="1"/>
  <c r="D16804" i="1"/>
  <c r="D16805" i="1"/>
  <c r="D16806" i="1"/>
  <c r="D16808" i="1"/>
  <c r="D16809" i="1"/>
  <c r="D16810" i="1"/>
  <c r="D16811" i="1"/>
  <c r="D16812" i="1"/>
  <c r="D16813" i="1"/>
  <c r="D16814" i="1"/>
  <c r="D16815" i="1"/>
  <c r="D16816" i="1"/>
  <c r="D16817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10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6" i="1"/>
  <c r="D16927" i="1"/>
  <c r="D16928" i="1"/>
  <c r="D16929" i="1"/>
  <c r="D16930" i="1"/>
  <c r="D16931" i="1"/>
  <c r="D16933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7" i="1"/>
  <c r="D16948" i="1"/>
  <c r="D16949" i="1"/>
  <c r="D16950" i="1"/>
  <c r="D16951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5" i="1"/>
  <c r="D16966" i="1"/>
  <c r="D16967" i="1"/>
  <c r="D16968" i="1"/>
  <c r="D16973" i="1"/>
  <c r="D16975" i="1"/>
  <c r="D16976" i="1"/>
  <c r="D16977" i="1"/>
  <c r="D16978" i="1"/>
  <c r="D16979" i="1"/>
  <c r="D16980" i="1"/>
  <c r="D16981" i="1"/>
  <c r="D16984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3" i="1"/>
  <c r="D17004" i="1"/>
  <c r="D17005" i="1"/>
  <c r="D17006" i="1"/>
  <c r="D17007" i="1"/>
  <c r="D17008" i="1"/>
  <c r="D17009" i="1"/>
  <c r="D17010" i="1"/>
  <c r="D17011" i="1"/>
  <c r="D17013" i="1"/>
  <c r="D17016" i="1"/>
  <c r="D17017" i="1"/>
  <c r="D17019" i="1"/>
  <c r="D17020" i="1"/>
  <c r="D17022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1" i="1"/>
  <c r="D17042" i="1"/>
  <c r="D17043" i="1"/>
  <c r="D17045" i="1"/>
  <c r="D17046" i="1"/>
  <c r="D17048" i="1"/>
  <c r="D17049" i="1"/>
  <c r="D17050" i="1"/>
  <c r="D17051" i="1"/>
  <c r="D17052" i="1"/>
  <c r="D17053" i="1"/>
  <c r="D17054" i="1"/>
  <c r="D17056" i="1"/>
  <c r="D17057" i="1"/>
  <c r="D17059" i="1"/>
  <c r="D17060" i="1"/>
  <c r="D17061" i="1"/>
  <c r="D17062" i="1"/>
  <c r="D17063" i="1"/>
  <c r="D17064" i="1"/>
  <c r="D17065" i="1"/>
  <c r="D17066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1" i="1"/>
  <c r="D17153" i="1"/>
  <c r="D17154" i="1"/>
  <c r="D17155" i="1"/>
  <c r="D17157" i="1"/>
  <c r="D17158" i="1"/>
  <c r="D17159" i="1"/>
  <c r="D17160" i="1"/>
  <c r="D17161" i="1"/>
  <c r="D17162" i="1"/>
  <c r="D17163" i="1"/>
  <c r="D17164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2" i="1"/>
  <c r="D17183" i="1"/>
  <c r="D17185" i="1"/>
  <c r="D17186" i="1"/>
  <c r="D17187" i="1"/>
  <c r="D17188" i="1"/>
  <c r="D17189" i="1"/>
  <c r="D17190" i="1"/>
  <c r="D17191" i="1"/>
  <c r="D17192" i="1"/>
  <c r="D17193" i="1"/>
  <c r="D17194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1" i="1"/>
  <c r="D17212" i="1"/>
  <c r="D17213" i="1"/>
  <c r="D17214" i="1"/>
  <c r="D17215" i="1"/>
  <c r="D17217" i="1"/>
  <c r="D17218" i="1"/>
  <c r="D17219" i="1"/>
  <c r="D17220" i="1"/>
  <c r="D17221" i="1"/>
  <c r="D17222" i="1"/>
  <c r="D17223" i="1"/>
  <c r="D17224" i="1"/>
  <c r="D17225" i="1"/>
  <c r="D17226" i="1"/>
  <c r="D17228" i="1"/>
  <c r="D17229" i="1"/>
  <c r="D17231" i="1"/>
  <c r="D17232" i="1"/>
  <c r="D17233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3" i="1"/>
  <c r="D17254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70" i="1"/>
  <c r="D17271" i="1"/>
  <c r="D17272" i="1"/>
  <c r="D17274" i="1"/>
  <c r="D17275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4" i="1"/>
  <c r="D17295" i="1"/>
  <c r="D17296" i="1"/>
  <c r="D17302" i="1"/>
  <c r="D17303" i="1"/>
  <c r="D17304" i="1"/>
  <c r="D17305" i="1"/>
  <c r="D17306" i="1"/>
  <c r="D17307" i="1"/>
  <c r="D17308" i="1"/>
  <c r="D17309" i="1"/>
  <c r="D17310" i="1"/>
  <c r="D17311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2" i="1"/>
  <c r="D17393" i="1"/>
  <c r="D17394" i="1"/>
  <c r="D17395" i="1"/>
  <c r="D17397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6" i="1"/>
  <c r="D17427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7" i="1"/>
  <c r="D17538" i="1"/>
  <c r="D17539" i="1"/>
  <c r="D17540" i="1"/>
  <c r="D17541" i="1"/>
  <c r="D17542" i="1"/>
  <c r="D17543" i="1"/>
  <c r="D17545" i="1"/>
  <c r="D17546" i="1"/>
  <c r="D17547" i="1"/>
  <c r="D17548" i="1"/>
  <c r="D17552" i="1"/>
  <c r="D17553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9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8" i="1"/>
  <c r="D18289" i="1"/>
  <c r="D18290" i="1"/>
  <c r="D18291" i="1"/>
  <c r="D18292" i="1"/>
  <c r="D18293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6" i="1"/>
  <c r="D18447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4" i="1"/>
  <c r="D18685" i="1"/>
  <c r="D18686" i="1"/>
  <c r="D18687" i="1"/>
  <c r="D18689" i="1"/>
  <c r="D18692" i="1"/>
  <c r="D18693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9" i="1"/>
  <c r="D18710" i="1"/>
  <c r="D18711" i="1"/>
  <c r="D18713" i="1"/>
  <c r="D18714" i="1"/>
  <c r="D18715" i="1"/>
  <c r="D18716" i="1"/>
  <c r="D18717" i="1"/>
  <c r="D18718" i="1"/>
  <c r="D18719" i="1"/>
  <c r="D18722" i="1"/>
  <c r="D18723" i="1"/>
  <c r="D18724" i="1"/>
  <c r="D18725" i="1"/>
  <c r="D18726" i="1"/>
  <c r="D18727" i="1"/>
  <c r="D18728" i="1"/>
  <c r="D18729" i="1"/>
  <c r="D18730" i="1"/>
  <c r="D18731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7" i="1"/>
  <c r="D18748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5" i="1"/>
  <c r="D18866" i="1"/>
  <c r="D18867" i="1"/>
  <c r="D18868" i="1"/>
  <c r="D18869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4" i="1"/>
  <c r="D18915" i="1"/>
  <c r="D18916" i="1"/>
  <c r="D18917" i="1"/>
  <c r="D18919" i="1"/>
  <c r="D18921" i="1"/>
  <c r="D18922" i="1"/>
  <c r="D18923" i="1"/>
  <c r="D18924" i="1"/>
  <c r="D18925" i="1"/>
  <c r="D18926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7" i="1"/>
  <c r="D19028" i="1"/>
  <c r="D19029" i="1"/>
  <c r="D19030" i="1"/>
  <c r="D19032" i="1"/>
  <c r="D19033" i="1"/>
  <c r="D19034" i="1"/>
  <c r="D19036" i="1"/>
  <c r="D19037" i="1"/>
  <c r="D19038" i="1"/>
  <c r="D19039" i="1"/>
  <c r="D19041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8" i="1"/>
  <c r="D19079" i="1"/>
  <c r="D19080" i="1"/>
  <c r="D19081" i="1"/>
  <c r="D19082" i="1"/>
  <c r="D19084" i="1"/>
  <c r="D19085" i="1"/>
  <c r="D19086" i="1"/>
  <c r="D19087" i="1"/>
  <c r="D19088" i="1"/>
  <c r="D19089" i="1"/>
  <c r="D19090" i="1"/>
  <c r="D19091" i="1"/>
  <c r="D19093" i="1"/>
  <c r="D19094" i="1"/>
  <c r="D19096" i="1"/>
  <c r="D19099" i="1"/>
  <c r="D19100" i="1"/>
  <c r="D19101" i="1"/>
  <c r="D19102" i="1"/>
  <c r="D19103" i="1"/>
  <c r="D19104" i="1"/>
  <c r="D19105" i="1"/>
  <c r="D19107" i="1"/>
  <c r="D19108" i="1"/>
  <c r="D19109" i="1"/>
  <c r="D19110" i="1"/>
  <c r="D19111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9" i="1"/>
  <c r="D19130" i="1"/>
  <c r="D19131" i="1"/>
  <c r="D19132" i="1"/>
  <c r="D19133" i="1"/>
  <c r="D19134" i="1"/>
  <c r="D19136" i="1"/>
  <c r="D19137" i="1"/>
  <c r="D19138" i="1"/>
  <c r="D19141" i="1"/>
  <c r="D19142" i="1"/>
  <c r="D19144" i="1"/>
  <c r="D19145" i="1"/>
  <c r="D19146" i="1"/>
  <c r="D19147" i="1"/>
  <c r="D19148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5" i="1"/>
  <c r="D19176" i="1"/>
  <c r="D19177" i="1"/>
  <c r="D19180" i="1"/>
  <c r="D19181" i="1"/>
  <c r="D19184" i="1"/>
  <c r="D19185" i="1"/>
  <c r="D19186" i="1"/>
  <c r="D19187" i="1"/>
  <c r="D19188" i="1"/>
  <c r="D19191" i="1"/>
  <c r="D19192" i="1"/>
  <c r="D19193" i="1"/>
  <c r="D19195" i="1"/>
  <c r="D19196" i="1"/>
  <c r="D19197" i="1"/>
  <c r="D19198" i="1"/>
  <c r="D19199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7" i="1"/>
  <c r="D19218" i="1"/>
  <c r="D19219" i="1"/>
  <c r="D19220" i="1"/>
  <c r="D19221" i="1"/>
  <c r="D19222" i="1"/>
  <c r="D19223" i="1"/>
  <c r="D19224" i="1"/>
  <c r="D19225" i="1"/>
  <c r="D19226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3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3" i="1"/>
  <c r="D19284" i="1"/>
  <c r="D19286" i="1"/>
  <c r="D19287" i="1"/>
  <c r="D19288" i="1"/>
  <c r="D19289" i="1"/>
  <c r="D19290" i="1"/>
  <c r="D19291" i="1"/>
  <c r="D19293" i="1"/>
  <c r="D19294" i="1"/>
  <c r="D19295" i="1"/>
  <c r="D19296" i="1"/>
  <c r="D19297" i="1"/>
  <c r="D19298" i="1"/>
  <c r="D19300" i="1"/>
  <c r="D19301" i="1"/>
  <c r="D19302" i="1"/>
  <c r="D19306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2" i="1"/>
  <c r="D19343" i="1"/>
  <c r="D19344" i="1"/>
  <c r="D19345" i="1"/>
  <c r="D19346" i="1"/>
  <c r="D19347" i="1"/>
  <c r="D19348" i="1"/>
  <c r="D19349" i="1"/>
  <c r="D19350" i="1"/>
  <c r="D19352" i="1"/>
  <c r="D19354" i="1"/>
  <c r="D19355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5" i="1"/>
  <c r="D19396" i="1"/>
  <c r="D19397" i="1"/>
  <c r="D19398" i="1"/>
  <c r="D19399" i="1"/>
  <c r="D19400" i="1"/>
  <c r="D19401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9" i="1"/>
  <c r="D19480" i="1"/>
  <c r="D19481" i="1"/>
  <c r="D19482" i="1"/>
  <c r="D19483" i="1"/>
  <c r="D19484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4" i="1"/>
  <c r="D19655" i="1"/>
  <c r="D19656" i="1"/>
  <c r="D19657" i="1"/>
  <c r="D19658" i="1"/>
  <c r="D19659" i="1"/>
  <c r="D19660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2" i="1"/>
  <c r="D19693" i="1"/>
  <c r="D19694" i="1"/>
  <c r="D19695" i="1"/>
  <c r="D19696" i="1"/>
  <c r="D19697" i="1"/>
  <c r="D19698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6" i="1"/>
  <c r="D19737" i="1"/>
  <c r="D19738" i="1"/>
  <c r="D19739" i="1"/>
  <c r="D19740" i="1"/>
  <c r="D19741" i="1"/>
  <c r="D19743" i="1"/>
  <c r="D19744" i="1"/>
  <c r="D19746" i="1"/>
  <c r="D19747" i="1"/>
  <c r="D19748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8" i="1"/>
  <c r="D19769" i="1"/>
  <c r="D19774" i="1"/>
  <c r="D19775" i="1"/>
  <c r="D19776" i="1"/>
  <c r="D19777" i="1"/>
  <c r="D19778" i="1"/>
  <c r="D19779" i="1"/>
  <c r="D19781" i="1"/>
  <c r="D19782" i="1"/>
  <c r="D19783" i="1"/>
  <c r="D19784" i="1"/>
  <c r="D19785" i="1"/>
  <c r="D19786" i="1"/>
  <c r="D19787" i="1"/>
  <c r="D19788" i="1"/>
  <c r="D19789" i="1"/>
  <c r="D19791" i="1"/>
  <c r="D19792" i="1"/>
  <c r="D19793" i="1"/>
  <c r="D19794" i="1"/>
  <c r="D19795" i="1"/>
  <c r="D19796" i="1"/>
  <c r="D19797" i="1"/>
  <c r="D19798" i="1"/>
  <c r="D19800" i="1"/>
  <c r="D19801" i="1"/>
  <c r="D19802" i="1"/>
  <c r="D19803" i="1"/>
  <c r="D19804" i="1"/>
  <c r="D19805" i="1"/>
  <c r="D19806" i="1"/>
  <c r="D19807" i="1"/>
  <c r="D19808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30" i="1"/>
  <c r="D19831" i="1"/>
  <c r="D19832" i="1"/>
  <c r="D19833" i="1"/>
  <c r="D19834" i="1"/>
  <c r="D19836" i="1"/>
  <c r="D19837" i="1"/>
  <c r="D19838" i="1"/>
  <c r="D19839" i="1"/>
  <c r="D19840" i="1"/>
  <c r="D19841" i="1"/>
  <c r="D19842" i="1"/>
  <c r="D19845" i="1"/>
  <c r="D19850" i="1"/>
  <c r="D19852" i="1"/>
  <c r="D19853" i="1"/>
  <c r="D19855" i="1"/>
  <c r="D19856" i="1"/>
  <c r="D19857" i="1"/>
  <c r="D19858" i="1"/>
  <c r="D19859" i="1"/>
  <c r="D19861" i="1"/>
  <c r="D19862" i="1"/>
  <c r="D19863" i="1"/>
  <c r="D19864" i="1"/>
  <c r="D19865" i="1"/>
  <c r="D19867" i="1"/>
  <c r="D19868" i="1"/>
  <c r="D19871" i="1"/>
  <c r="D19872" i="1"/>
  <c r="D19873" i="1"/>
  <c r="D19875" i="1"/>
  <c r="D19876" i="1"/>
  <c r="D19878" i="1"/>
  <c r="D19879" i="1"/>
  <c r="D19881" i="1"/>
  <c r="D19882" i="1"/>
  <c r="D19883" i="1"/>
  <c r="D19886" i="1"/>
  <c r="D19887" i="1"/>
  <c r="D19889" i="1"/>
  <c r="D19890" i="1"/>
  <c r="D19892" i="1"/>
  <c r="D19893" i="1"/>
  <c r="D19894" i="1"/>
  <c r="D19895" i="1"/>
  <c r="D19896" i="1"/>
  <c r="D19897" i="1"/>
  <c r="D19898" i="1"/>
  <c r="D19899" i="1"/>
  <c r="D19900" i="1"/>
  <c r="D19901" i="1"/>
  <c r="D19903" i="1"/>
  <c r="D19904" i="1"/>
  <c r="D19905" i="1"/>
  <c r="D19911" i="1"/>
  <c r="D19912" i="1"/>
  <c r="D19913" i="1"/>
  <c r="D19914" i="1"/>
  <c r="D19915" i="1"/>
  <c r="D19916" i="1"/>
  <c r="D19917" i="1"/>
  <c r="D19919" i="1"/>
  <c r="D19920" i="1"/>
  <c r="D19921" i="1"/>
  <c r="D19922" i="1"/>
  <c r="D19923" i="1"/>
  <c r="D19924" i="1"/>
  <c r="D19925" i="1"/>
  <c r="D19926" i="1"/>
  <c r="D19928" i="1"/>
  <c r="D19929" i="1"/>
  <c r="D19930" i="1"/>
  <c r="D19931" i="1"/>
  <c r="D19932" i="1"/>
  <c r="D19933" i="1"/>
  <c r="D19934" i="1"/>
  <c r="D19935" i="1"/>
  <c r="D19936" i="1"/>
  <c r="D19938" i="1"/>
  <c r="D19941" i="1"/>
  <c r="D19942" i="1"/>
  <c r="D19943" i="1"/>
  <c r="D19945" i="1"/>
  <c r="D19947" i="1"/>
  <c r="D19948" i="1"/>
  <c r="D19949" i="1"/>
  <c r="D19952" i="1"/>
  <c r="D19955" i="1"/>
  <c r="D19957" i="1"/>
  <c r="D19958" i="1"/>
  <c r="D19959" i="1"/>
  <c r="D19961" i="1"/>
  <c r="D19962" i="1"/>
  <c r="D19963" i="1"/>
  <c r="D19964" i="1"/>
  <c r="D19966" i="1"/>
  <c r="D19967" i="1"/>
  <c r="D19968" i="1"/>
  <c r="D19969" i="1"/>
  <c r="D19970" i="1"/>
  <c r="D19971" i="1"/>
  <c r="D19972" i="1"/>
  <c r="D19973" i="1"/>
  <c r="D19974" i="1"/>
  <c r="D19975" i="1"/>
  <c r="D19977" i="1"/>
  <c r="D19978" i="1"/>
  <c r="D19979" i="1"/>
  <c r="D19980" i="1"/>
  <c r="D19981" i="1"/>
  <c r="D19982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9" i="1"/>
  <c r="D20021" i="1"/>
  <c r="D20022" i="1"/>
  <c r="D20023" i="1"/>
  <c r="D20024" i="1"/>
  <c r="D20025" i="1"/>
  <c r="D20027" i="1"/>
  <c r="D20028" i="1"/>
  <c r="D20030" i="1"/>
  <c r="D20031" i="1"/>
  <c r="D20032" i="1"/>
  <c r="D20033" i="1"/>
  <c r="D20034" i="1"/>
  <c r="D20035" i="1"/>
  <c r="D20036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3" i="1"/>
  <c r="D20054" i="1"/>
  <c r="D20055" i="1"/>
  <c r="D20056" i="1"/>
  <c r="D20057" i="1"/>
  <c r="D20058" i="1"/>
  <c r="D20059" i="1"/>
  <c r="D20062" i="1"/>
  <c r="D20063" i="1"/>
  <c r="D20064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9" i="1"/>
  <c r="D20090" i="1"/>
  <c r="D20091" i="1"/>
  <c r="D20092" i="1"/>
  <c r="D20093" i="1"/>
  <c r="D20094" i="1"/>
  <c r="D20095" i="1"/>
  <c r="D20096" i="1"/>
  <c r="D20097" i="1"/>
  <c r="D20098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5" i="1"/>
  <c r="D20136" i="1"/>
  <c r="D20138" i="1"/>
  <c r="D20140" i="1"/>
  <c r="D20141" i="1"/>
  <c r="D20142" i="1"/>
  <c r="D20143" i="1"/>
  <c r="D20144" i="1"/>
  <c r="D20145" i="1"/>
  <c r="D20146" i="1"/>
  <c r="D20147" i="1"/>
  <c r="D20149" i="1"/>
  <c r="D20150" i="1"/>
  <c r="D20152" i="1"/>
  <c r="D20153" i="1"/>
  <c r="D20154" i="1"/>
  <c r="D20156" i="1"/>
  <c r="D20157" i="1"/>
  <c r="D20158" i="1"/>
  <c r="D20159" i="1"/>
  <c r="D20160" i="1"/>
  <c r="D20161" i="1"/>
  <c r="D20162" i="1"/>
  <c r="D20163" i="1"/>
  <c r="D20164" i="1"/>
  <c r="D20165" i="1"/>
  <c r="D20167" i="1"/>
  <c r="D20168" i="1"/>
  <c r="D20169" i="1"/>
  <c r="D20170" i="1"/>
  <c r="D20171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1" i="1"/>
  <c r="D20192" i="1"/>
  <c r="D20193" i="1"/>
  <c r="D20194" i="1"/>
  <c r="D20195" i="1"/>
  <c r="D20196" i="1"/>
  <c r="D20197" i="1"/>
  <c r="D20198" i="1"/>
  <c r="D20199" i="1"/>
  <c r="D20201" i="1"/>
  <c r="D20202" i="1"/>
  <c r="D20206" i="1"/>
  <c r="D20207" i="1"/>
  <c r="D20208" i="1"/>
  <c r="D20211" i="1"/>
  <c r="D20212" i="1"/>
  <c r="D20214" i="1"/>
  <c r="D20215" i="1"/>
  <c r="D20216" i="1"/>
  <c r="D20217" i="1"/>
  <c r="D20218" i="1"/>
  <c r="D20219" i="1"/>
  <c r="D20220" i="1"/>
  <c r="D20221" i="1"/>
  <c r="D20224" i="1"/>
  <c r="D20225" i="1"/>
  <c r="D20226" i="1"/>
  <c r="D20227" i="1"/>
  <c r="D20228" i="1"/>
  <c r="D20229" i="1"/>
  <c r="D20230" i="1"/>
  <c r="D20233" i="1"/>
  <c r="D20236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9" i="1"/>
  <c r="D20280" i="1"/>
  <c r="D20281" i="1"/>
  <c r="D20282" i="1"/>
  <c r="D20283" i="1"/>
  <c r="D20284" i="1"/>
  <c r="D20285" i="1"/>
  <c r="D20286" i="1"/>
  <c r="D20287" i="1"/>
  <c r="D20288" i="1"/>
  <c r="D20290" i="1"/>
  <c r="D20292" i="1"/>
  <c r="D20294" i="1"/>
  <c r="D20295" i="1"/>
  <c r="D20296" i="1"/>
  <c r="D20297" i="1"/>
  <c r="D20298" i="1"/>
  <c r="D20299" i="1"/>
  <c r="D20301" i="1"/>
  <c r="D20306" i="1"/>
  <c r="D20309" i="1"/>
  <c r="D20310" i="1"/>
  <c r="D20311" i="1"/>
  <c r="D20312" i="1"/>
  <c r="D20313" i="1"/>
  <c r="D20315" i="1"/>
  <c r="D20316" i="1"/>
  <c r="D20317" i="1"/>
  <c r="D20318" i="1"/>
  <c r="D20319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3" i="1"/>
  <c r="D20354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8" i="1"/>
  <c r="D20370" i="1"/>
  <c r="D20373" i="1"/>
  <c r="D20375" i="1"/>
  <c r="D20376" i="1"/>
  <c r="D20378" i="1"/>
  <c r="D20379" i="1"/>
  <c r="D20381" i="1"/>
  <c r="D20382" i="1"/>
  <c r="D20383" i="1"/>
  <c r="D20384" i="1"/>
  <c r="D20386" i="1"/>
  <c r="D20387" i="1"/>
  <c r="D20388" i="1"/>
  <c r="D20389" i="1"/>
  <c r="D20390" i="1"/>
  <c r="D20391" i="1"/>
  <c r="D20392" i="1"/>
  <c r="D20393" i="1"/>
  <c r="D20394" i="1"/>
  <c r="D20395" i="1"/>
  <c r="D20397" i="1"/>
  <c r="D20398" i="1"/>
  <c r="D20399" i="1"/>
  <c r="D20400" i="1"/>
  <c r="D20401" i="1"/>
  <c r="D20402" i="1"/>
  <c r="D20403" i="1"/>
  <c r="D20404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3" i="1"/>
  <c r="D20475" i="1"/>
  <c r="D20476" i="1"/>
  <c r="D20477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1" i="1"/>
  <c r="D20522" i="1"/>
  <c r="D20523" i="1"/>
  <c r="D20524" i="1"/>
  <c r="D20525" i="1"/>
  <c r="D20526" i="1"/>
  <c r="D20527" i="1"/>
  <c r="D20528" i="1"/>
  <c r="D20529" i="1"/>
  <c r="D20530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9" i="1"/>
  <c r="D20650" i="1"/>
  <c r="D20651" i="1"/>
  <c r="D20652" i="1"/>
  <c r="D20653" i="1"/>
  <c r="D20654" i="1"/>
  <c r="D20657" i="1"/>
  <c r="D20658" i="1"/>
  <c r="D20659" i="1"/>
  <c r="D20660" i="1"/>
  <c r="D20661" i="1"/>
  <c r="D20663" i="1"/>
  <c r="D20664" i="1"/>
  <c r="D20665" i="1"/>
  <c r="D20666" i="1"/>
  <c r="D20667" i="1"/>
  <c r="D20668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8" i="1"/>
  <c r="D20689" i="1"/>
  <c r="D20690" i="1"/>
  <c r="D20691" i="1"/>
  <c r="D20692" i="1"/>
  <c r="D20693" i="1"/>
  <c r="D20694" i="1"/>
  <c r="D20695" i="1"/>
  <c r="D20696" i="1"/>
  <c r="D20697" i="1"/>
  <c r="D20699" i="1"/>
  <c r="D20700" i="1"/>
  <c r="D20701" i="1"/>
  <c r="D20703" i="1"/>
  <c r="D20704" i="1"/>
  <c r="D20705" i="1"/>
  <c r="D20706" i="1"/>
  <c r="D20707" i="1"/>
  <c r="D20708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7" i="1"/>
  <c r="D20758" i="1"/>
  <c r="D20759" i="1"/>
  <c r="D20760" i="1"/>
  <c r="D20761" i="1"/>
  <c r="D20762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2" i="1"/>
  <c r="D20783" i="1"/>
  <c r="D20784" i="1"/>
  <c r="D20785" i="1"/>
  <c r="D20786" i="1"/>
  <c r="D20787" i="1"/>
  <c r="D20788" i="1"/>
  <c r="D20789" i="1"/>
  <c r="D20790" i="1"/>
  <c r="D20791" i="1"/>
  <c r="D20793" i="1"/>
  <c r="D20794" i="1"/>
  <c r="D20795" i="1"/>
  <c r="D20796" i="1"/>
  <c r="D20797" i="1"/>
  <c r="D20798" i="1"/>
  <c r="D20799" i="1"/>
  <c r="D20801" i="1"/>
  <c r="D20802" i="1"/>
  <c r="D20803" i="1"/>
  <c r="D20804" i="1"/>
  <c r="D20805" i="1"/>
  <c r="D20809" i="1"/>
  <c r="D20810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60" i="1"/>
  <c r="D20861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8" i="1"/>
  <c r="D20899" i="1"/>
  <c r="D20900" i="1"/>
  <c r="D20902" i="1"/>
  <c r="D20903" i="1"/>
  <c r="D20904" i="1"/>
  <c r="D20905" i="1"/>
  <c r="D20907" i="1"/>
  <c r="D20908" i="1"/>
  <c r="D20909" i="1"/>
  <c r="D20910" i="1"/>
  <c r="D20913" i="1"/>
  <c r="D20914" i="1"/>
  <c r="D20915" i="1"/>
  <c r="D20916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3" i="1"/>
  <c r="D20934" i="1"/>
  <c r="D20935" i="1"/>
  <c r="D20936" i="1"/>
  <c r="D20937" i="1"/>
  <c r="D20938" i="1"/>
  <c r="D20939" i="1"/>
  <c r="D20941" i="1"/>
  <c r="D20942" i="1"/>
  <c r="D20943" i="1"/>
  <c r="D20945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80" i="1"/>
  <c r="D20982" i="1"/>
  <c r="D20983" i="1"/>
  <c r="D20985" i="1"/>
  <c r="D20986" i="1"/>
  <c r="D20988" i="1"/>
  <c r="D20989" i="1"/>
  <c r="D20991" i="1"/>
  <c r="D20993" i="1"/>
  <c r="D20994" i="1"/>
  <c r="D20995" i="1"/>
  <c r="D20996" i="1"/>
  <c r="D20997" i="1"/>
  <c r="D20998" i="1"/>
  <c r="D20999" i="1"/>
  <c r="D21000" i="1"/>
  <c r="D21001" i="1"/>
  <c r="D21003" i="1"/>
  <c r="D21004" i="1"/>
  <c r="D21005" i="1"/>
  <c r="D21006" i="1"/>
  <c r="D21008" i="1"/>
  <c r="D21009" i="1"/>
  <c r="D21010" i="1"/>
  <c r="D21011" i="1"/>
  <c r="D21012" i="1"/>
  <c r="D21013" i="1"/>
  <c r="D21014" i="1"/>
  <c r="D21016" i="1"/>
  <c r="D21017" i="1"/>
  <c r="D21019" i="1"/>
  <c r="D21020" i="1"/>
  <c r="D21021" i="1"/>
  <c r="D21022" i="1"/>
  <c r="D21023" i="1"/>
  <c r="D21024" i="1"/>
  <c r="D21026" i="1"/>
  <c r="D21027" i="1"/>
  <c r="D21028" i="1"/>
  <c r="D21029" i="1"/>
  <c r="D21030" i="1"/>
  <c r="D21031" i="1"/>
  <c r="D21032" i="1"/>
  <c r="D21034" i="1"/>
  <c r="D21035" i="1"/>
  <c r="D21036" i="1"/>
  <c r="D21037" i="1"/>
  <c r="D21038" i="1"/>
  <c r="D21041" i="1"/>
  <c r="D21043" i="1"/>
  <c r="D21045" i="1"/>
  <c r="D21047" i="1"/>
  <c r="D21049" i="1"/>
  <c r="D21052" i="1"/>
  <c r="D21053" i="1"/>
  <c r="D21054" i="1"/>
  <c r="D21055" i="1"/>
  <c r="D21057" i="1"/>
  <c r="D21058" i="1"/>
  <c r="D21059" i="1"/>
  <c r="D21060" i="1"/>
  <c r="D21061" i="1"/>
  <c r="D21062" i="1"/>
</calcChain>
</file>

<file path=xl/sharedStrings.xml><?xml version="1.0" encoding="utf-8"?>
<sst xmlns="http://schemas.openxmlformats.org/spreadsheetml/2006/main" count="63189" uniqueCount="21079">
  <si>
    <t xml:space="preserve">Faggruppenr. </t>
  </si>
  <si>
    <t>Faggruppenavn</t>
  </si>
  <si>
    <t>BFI-nr.</t>
  </si>
  <si>
    <t>ISSN</t>
  </si>
  <si>
    <t>Kanal</t>
  </si>
  <si>
    <t>Titel</t>
  </si>
  <si>
    <t>Niveau</t>
  </si>
  <si>
    <t>Områdestudier: Europa, Amerika, Oceanien</t>
  </si>
  <si>
    <t>Tidsskrifter</t>
  </si>
  <si>
    <t>American Quarterly</t>
  </si>
  <si>
    <t>American Studies Journal</t>
  </si>
  <si>
    <t>Atlantic Studies</t>
  </si>
  <si>
    <t>Austrian History Yearbook</t>
  </si>
  <si>
    <t>Bulletin of Latin American Research</t>
  </si>
  <si>
    <t>Cultural Analysis</t>
  </si>
  <si>
    <t>Bogserier</t>
  </si>
  <si>
    <t>Culture &amp; History</t>
  </si>
  <si>
    <t>Daedalus</t>
  </si>
  <si>
    <t>Eighteenth-Century Studies</t>
  </si>
  <si>
    <t>Estudos Ibero-Americanos</t>
  </si>
  <si>
    <t>European Review of History</t>
  </si>
  <si>
    <t>European Review of Latin American and Caribbean Studies</t>
  </si>
  <si>
    <t>European Values Studies</t>
  </si>
  <si>
    <t>Europe-Asia Studies</t>
  </si>
  <si>
    <t>Harvard International Review</t>
  </si>
  <si>
    <t>Hispanic American Historical Review</t>
  </si>
  <si>
    <t>Hispanic Review</t>
  </si>
  <si>
    <t>Iberoamericana, Nordic Journal of Latin American and Caribbean Studies</t>
  </si>
  <si>
    <t>International Journal of Politics, Culture, and Society</t>
  </si>
  <si>
    <t>Interventions: International Journal of Postcolonial Studies</t>
  </si>
  <si>
    <t>Italian Studies</t>
  </si>
  <si>
    <t>Jahrbuch für Europäische Geschichte</t>
  </si>
  <si>
    <t>Journal of American Ethnic History</t>
  </si>
  <si>
    <t>Journal of British Studies</t>
  </si>
  <si>
    <t>Journal of Canadian Studies</t>
  </si>
  <si>
    <t>Journal of Contemporary European Studies</t>
  </si>
  <si>
    <t>Journal of Language and Politics</t>
  </si>
  <si>
    <t>Journal of Latin American Studies</t>
  </si>
  <si>
    <t>Journal of Modern European History</t>
  </si>
  <si>
    <t>Journal of Modern Italian Studies</t>
  </si>
  <si>
    <t>Journal of Postcolonial Writing</t>
  </si>
  <si>
    <t>Journal of the Gilded Age and Progressive Era</t>
  </si>
  <si>
    <t>Journal of Transatlantic Studies</t>
  </si>
  <si>
    <t>La Pensee</t>
  </si>
  <si>
    <t>Latin American Politics and Society</t>
  </si>
  <si>
    <t>Le Debat</t>
  </si>
  <si>
    <t>Modern and Contemporary France</t>
  </si>
  <si>
    <t>Nueva Sociedad</t>
  </si>
  <si>
    <t>Revista Brasileira de Historia</t>
  </si>
  <si>
    <t>Revista de Estudios Hispanicos</t>
  </si>
  <si>
    <t>Revista de Filología Española</t>
  </si>
  <si>
    <t>Revista de Occidente</t>
  </si>
  <si>
    <t>Social Identities</t>
  </si>
  <si>
    <t>South Atlantic Quarterly</t>
  </si>
  <si>
    <t>Studies in Central European Histories</t>
  </si>
  <si>
    <t>The Atlantic World</t>
  </si>
  <si>
    <t>The Journal of Pacific History</t>
  </si>
  <si>
    <t>The Yale Review</t>
  </si>
  <si>
    <t>Theory &amp; Event</t>
  </si>
  <si>
    <t>Turkish Studies</t>
  </si>
  <si>
    <t>William and Mary Quarterly</t>
  </si>
  <si>
    <t>African American Review</t>
  </si>
  <si>
    <t>America Indigena</t>
  </si>
  <si>
    <t>América Latina Hoy</t>
  </si>
  <si>
    <t>American Indian Culture and Research Journal</t>
  </si>
  <si>
    <t>American Review of Canadian Studies</t>
  </si>
  <si>
    <t>American Studies</t>
  </si>
  <si>
    <t>American Studies in Scandinavia</t>
  </si>
  <si>
    <t>Amerikastudien</t>
  </si>
  <si>
    <t>Angles on the English-Speaking World</t>
  </si>
  <si>
    <t>Annali d'Italianistica</t>
  </si>
  <si>
    <t>Annals of Anthropological Practice</t>
  </si>
  <si>
    <t>Annuaire du Collège de France: Cours et travaux du Collège de France</t>
  </si>
  <si>
    <t>Anuario de Estudios Americanos</t>
  </si>
  <si>
    <t>Appalachian Journal</t>
  </si>
  <si>
    <t>Arizona Quarterly: A Journal of American Literature, Culture, &amp; Theory</t>
  </si>
  <si>
    <t>Arkansas Review</t>
  </si>
  <si>
    <t>Atalaya. Revue d'études médiévales romanes</t>
  </si>
  <si>
    <t>Atlantis</t>
  </si>
  <si>
    <t>Austrian Studies</t>
  </si>
  <si>
    <t>Benjamins Current Topics</t>
  </si>
  <si>
    <t>Borderlands e-journal</t>
  </si>
  <si>
    <t>Bresil(s)</t>
  </si>
  <si>
    <t>Brontë Studies</t>
  </si>
  <si>
    <t>Bulletin Hispanique</t>
  </si>
  <si>
    <t>Bulletin of Hispanic Studies</t>
  </si>
  <si>
    <t>Bulletin of Spanish Studies</t>
  </si>
  <si>
    <t>Cahiers des Amériques latines</t>
  </si>
  <si>
    <t>Calabash - A Journal of Caribbean Arts and Letters</t>
  </si>
  <si>
    <t>Callaloo</t>
  </si>
  <si>
    <t>Canadian Journal of Latin American and Caribbean Studies</t>
  </si>
  <si>
    <t>Canadian Review of American Studies</t>
  </si>
  <si>
    <t>Caribbean Quarterly</t>
  </si>
  <si>
    <t>Caribbean Studies</t>
  </si>
  <si>
    <t>CEDLA Latin America Studies</t>
  </si>
  <si>
    <t>Cimarron Review</t>
  </si>
  <si>
    <t>Colonial Latin American Review</t>
  </si>
  <si>
    <t>Comparative American Studies</t>
  </si>
  <si>
    <t>Concentric - Literary and Cultural Studies</t>
  </si>
  <si>
    <t>Contemporary French and Francophone Studies</t>
  </si>
  <si>
    <t>Contemporary Italian Politics</t>
  </si>
  <si>
    <t>Contextos Educativos</t>
  </si>
  <si>
    <t>Critical Horizons: A Journal of Philosophy and Social Theory</t>
  </si>
  <si>
    <t>Den Ny Verden – Tidsskrift for internationale studier</t>
  </si>
  <si>
    <t>Derrida Today</t>
  </si>
  <si>
    <t>Desarrollo Economico</t>
  </si>
  <si>
    <t>Dialogos Latinoamericanos</t>
  </si>
  <si>
    <t>Diplomatic Studies</t>
  </si>
  <si>
    <t>Du Bois Review: Social Science Research on Race</t>
  </si>
  <si>
    <t>Early American Studies</t>
  </si>
  <si>
    <t>East European Politics</t>
  </si>
  <si>
    <t>Eigse: journal of Irish studies</t>
  </si>
  <si>
    <t>e-l@tina. Revista electrónica de estudios latinoamericanos</t>
  </si>
  <si>
    <t>Estudios AHILA de Historia Latinoamérica, AHILA</t>
  </si>
  <si>
    <t>Estudios de Cultura Maya</t>
  </si>
  <si>
    <t>Estudios de Cultura Nahuatl</t>
  </si>
  <si>
    <t>Estudios de Historia Moderna y Contemporanea de Mexico</t>
  </si>
  <si>
    <t>Estudios Interdisciplinarios de America Latina y el Caribe</t>
  </si>
  <si>
    <t>Etudes Celtiques</t>
  </si>
  <si>
    <t>Etudes Francaises</t>
  </si>
  <si>
    <t>European Journal of American Culture</t>
  </si>
  <si>
    <t>European Journal of American Studies</t>
  </si>
  <si>
    <t>European Politics and Society</t>
  </si>
  <si>
    <t>European Studies</t>
  </si>
  <si>
    <t>First Language</t>
  </si>
  <si>
    <t>Foro Hispanico</t>
  </si>
  <si>
    <t>Forum Italicum</t>
  </si>
  <si>
    <t>French Forum</t>
  </si>
  <si>
    <t>German Studies Review</t>
  </si>
  <si>
    <t>Geschichte in Wissenschaft und Unterricht</t>
  </si>
  <si>
    <t>Hispamerica</t>
  </si>
  <si>
    <t>Hispania</t>
  </si>
  <si>
    <t>Hispanofila</t>
  </si>
  <si>
    <t xml:space="preserve">Historia </t>
  </si>
  <si>
    <t>Historia Crítica</t>
  </si>
  <si>
    <t>Historia Mexicana</t>
  </si>
  <si>
    <t>Iberoamericana. América Latina - España - Portugal</t>
  </si>
  <si>
    <t>Iberofórum. Revista de Ciencias Sociales de la Universidad Iberoamericana</t>
  </si>
  <si>
    <t xml:space="preserve">Iconos. Revista de Ciencias Sociales </t>
  </si>
  <si>
    <t>Indiana Review</t>
  </si>
  <si>
    <t>Insula</t>
  </si>
  <si>
    <t>Interciencia</t>
  </si>
  <si>
    <t>Interfaces</t>
  </si>
  <si>
    <t>International Journal of Cuban Studies</t>
  </si>
  <si>
    <t>Irish Historical Studies</t>
  </si>
  <si>
    <t>Irish Journal of American Studies</t>
  </si>
  <si>
    <t>Italian And Italian American Studies</t>
  </si>
  <si>
    <t>Journal de la Societe des Americanistes</t>
  </si>
  <si>
    <t>Journal for Eighteenth-Century Studies</t>
  </si>
  <si>
    <t>Journal for the Study of British Cultures</t>
  </si>
  <si>
    <t>Journal of African American History</t>
  </si>
  <si>
    <t>Journal of African American Studies</t>
  </si>
  <si>
    <t>Journal of American Culture</t>
  </si>
  <si>
    <t>Journal of American Studies</t>
  </si>
  <si>
    <t>Journal of American Studies of Turkey</t>
  </si>
  <si>
    <t>Journal of Asian American Studies</t>
  </si>
  <si>
    <t>Journal of European Studies</t>
  </si>
  <si>
    <t>Journal of Iberian and Latin American Studies</t>
  </si>
  <si>
    <t>Journal of Literary Studies</t>
  </si>
  <si>
    <t>Journal of Medieval Iberian Studies</t>
  </si>
  <si>
    <t>Journal of Politics in Latin America</t>
  </si>
  <si>
    <t>Journal of Southern History</t>
  </si>
  <si>
    <t>Journal of the European Association for Studies on Australia</t>
  </si>
  <si>
    <t>Journal of the Royal Society of New Zealand</t>
  </si>
  <si>
    <t>Journal of Transnational American Studies</t>
  </si>
  <si>
    <t>Journal of Victorian Culture</t>
  </si>
  <si>
    <t>Journal on Ethnopolitics and Minority Issues in Europe</t>
  </si>
  <si>
    <t>La Nouvelle Revue Francaise</t>
  </si>
  <si>
    <t>Latin American and Caribbean Ethnic Studies</t>
  </si>
  <si>
    <t>Latin American Perspectives</t>
  </si>
  <si>
    <t>Latin American Research Review</t>
  </si>
  <si>
    <t>Latinoamérica - Revista de Estudios Latinoamericanos</t>
  </si>
  <si>
    <t>Lettere Italiane</t>
  </si>
  <si>
    <t>Liberte</t>
  </si>
  <si>
    <t>Lingua Nostra</t>
  </si>
  <si>
    <t>Literature Compass</t>
  </si>
  <si>
    <t>Luso - Brazilian Review</t>
  </si>
  <si>
    <t>MELUS: Multi-Ethnic Literature of the United States</t>
  </si>
  <si>
    <t>Mexican Studies</t>
  </si>
  <si>
    <t>Michigan Quarterly Review</t>
  </si>
  <si>
    <t>Modern Italy</t>
  </si>
  <si>
    <t>New West Indian Guide</t>
  </si>
  <si>
    <t>Nineteenth-Century Contexts</t>
  </si>
  <si>
    <t>Nineteenth-Century French Studies</t>
  </si>
  <si>
    <t>NORDEUROPAforum</t>
  </si>
  <si>
    <t>Northern Review</t>
  </si>
  <si>
    <t>Norwegian-American Studies</t>
  </si>
  <si>
    <t>Nottingham French Studies</t>
  </si>
  <si>
    <t>Oceania</t>
  </si>
  <si>
    <t>Overland</t>
  </si>
  <si>
    <t>Pacific Perspectives: Studies of the European Society for Oceanists</t>
  </si>
  <si>
    <t>Polish Journal for American Studies</t>
  </si>
  <si>
    <t>Portuguese Studies</t>
  </si>
  <si>
    <t>Postcolonial Text</t>
  </si>
  <si>
    <t>Presidential Studies Quarterly</t>
  </si>
  <si>
    <t>Prohistoria</t>
  </si>
  <si>
    <t>Quaderni d'Italianistica</t>
  </si>
  <si>
    <t>Queensland Review</t>
  </si>
  <si>
    <t>Raritan</t>
  </si>
  <si>
    <t>REDEN: revista española de estudios norteamericanos</t>
  </si>
  <si>
    <t>Review of Scottish Culture</t>
  </si>
  <si>
    <t>Revista Andina</t>
  </si>
  <si>
    <t>Revista Austral de Ciencias Sociales</t>
  </si>
  <si>
    <t>Revista Brasileira de Ciencias Sociais</t>
  </si>
  <si>
    <t>Revista Canadiense de Estudios Hispanicos</t>
  </si>
  <si>
    <t>Revista de Estudios Norteamericanos</t>
  </si>
  <si>
    <t>Revista Iberoamericana</t>
  </si>
  <si>
    <t>Revista Mad</t>
  </si>
  <si>
    <t>Revue Francaise de Gestion</t>
  </si>
  <si>
    <t>Revue Francaise d'Etudes Americaines</t>
  </si>
  <si>
    <t>Rivista di Studi Italiani</t>
  </si>
  <si>
    <t>Romanticism</t>
  </si>
  <si>
    <t>Routledge Studies In The History Of The Americas</t>
  </si>
  <si>
    <t>RSA Journal</t>
  </si>
  <si>
    <t>Salmagundi</t>
  </si>
  <si>
    <t>Seventeenth-Century French Studies</t>
  </si>
  <si>
    <t>Smithsonian</t>
  </si>
  <si>
    <t>Sociedad y discurso, AAU</t>
  </si>
  <si>
    <t>South Atlantic Review</t>
  </si>
  <si>
    <t>Southern Cultures</t>
  </si>
  <si>
    <t>Southern Studies</t>
  </si>
  <si>
    <t>Studi Francesi</t>
  </si>
  <si>
    <t>Studia Celtica</t>
  </si>
  <si>
    <t>Studies in American Humor</t>
  </si>
  <si>
    <t>Studies in Latin American Popular Culture</t>
  </si>
  <si>
    <t>Symbiosis</t>
  </si>
  <si>
    <t>The American Scholar</t>
  </si>
  <si>
    <t>The Chronicle of Higher Education</t>
  </si>
  <si>
    <t>The Georgia Review</t>
  </si>
  <si>
    <t>The Gettysburg Review</t>
  </si>
  <si>
    <t>The Good Society</t>
  </si>
  <si>
    <t>The Journal of Latin American and Caribbean Anthropology</t>
  </si>
  <si>
    <t>The Journal of North African Studies</t>
  </si>
  <si>
    <t>The London Journal</t>
  </si>
  <si>
    <t>The Mississippi Quarterly</t>
  </si>
  <si>
    <t>The New England Quarterly</t>
  </si>
  <si>
    <t>The North American Review</t>
  </si>
  <si>
    <t>The Ottoman Empire and its Heritage</t>
  </si>
  <si>
    <t>The Tocqueville Review</t>
  </si>
  <si>
    <t>The Washington Quarterly</t>
  </si>
  <si>
    <t>The Year's Work in Critical and Cultural Theory</t>
  </si>
  <si>
    <t>Transatlantica: Revue d'études américaines</t>
  </si>
  <si>
    <t>Uppsala Multiethnic Papers</t>
  </si>
  <si>
    <t>Victorian Periodicals Review</t>
  </si>
  <si>
    <t>Virginia Quarterly Review</t>
  </si>
  <si>
    <t>Vox Latina</t>
  </si>
  <si>
    <t>Wasafiri</t>
  </si>
  <si>
    <t>William Carlos Williams Review</t>
  </si>
  <si>
    <t>Wisconsin Magazine of History</t>
  </si>
  <si>
    <t>Working U S A</t>
  </si>
  <si>
    <t>Zeitschrift fuer Celtische Philologie</t>
  </si>
  <si>
    <t>Medier og Kommunikation</t>
  </si>
  <si>
    <t>Celebrity Studies</t>
  </si>
  <si>
    <t>Cinema Journal</t>
  </si>
  <si>
    <t>Communication Methods and Measures</t>
  </si>
  <si>
    <t>Communication Monographs</t>
  </si>
  <si>
    <t>Communication Research</t>
  </si>
  <si>
    <t>Communication Theory</t>
  </si>
  <si>
    <t>Communication, Culture &amp; Critique</t>
  </si>
  <si>
    <t>Communication, Society and Politics</t>
  </si>
  <si>
    <t>Comunicar</t>
  </si>
  <si>
    <t>Convergence: The International Journal of Research into New Media Technologies</t>
  </si>
  <si>
    <t>Corporate Communications</t>
  </si>
  <si>
    <t>Critical Discourse Studies</t>
  </si>
  <si>
    <t>Digital Journalism</t>
  </si>
  <si>
    <t>Discourse &amp; Communication</t>
  </si>
  <si>
    <t>Discourse &amp; Society</t>
  </si>
  <si>
    <t>Environmental Communication</t>
  </si>
  <si>
    <t>European Journal of Communication</t>
  </si>
  <si>
    <t>Feminist Media Studies</t>
  </si>
  <si>
    <t>Film History</t>
  </si>
  <si>
    <t>Film Quarterly</t>
  </si>
  <si>
    <t>First Monday</t>
  </si>
  <si>
    <t>Game Studies</t>
  </si>
  <si>
    <t>Games and Culture: A Journal of Interactive Media</t>
  </si>
  <si>
    <t>Global Media and Communication</t>
  </si>
  <si>
    <t>Historical Journal of Film, Radio and Television</t>
  </si>
  <si>
    <t>Human Communication Research</t>
  </si>
  <si>
    <t>Information, Communication &amp; Society</t>
  </si>
  <si>
    <t>International Communication Gazette</t>
  </si>
  <si>
    <t>International Journal of Advertising</t>
  </si>
  <si>
    <t>International Journal of Communication</t>
  </si>
  <si>
    <t>Journal of Broadcasting and Electronic Media</t>
  </si>
  <si>
    <t>Journal of Children and Media</t>
  </si>
  <si>
    <t>Journal of Communication</t>
  </si>
  <si>
    <t>Journalism</t>
  </si>
  <si>
    <t>Journalism &amp; Mass Communication Quarterly</t>
  </si>
  <si>
    <t>Journalism Practice</t>
  </si>
  <si>
    <t>Journalism Studies</t>
  </si>
  <si>
    <t>Management Communication Quarterly</t>
  </si>
  <si>
    <t>Mass Communication and Society</t>
  </si>
  <si>
    <t>Media History</t>
  </si>
  <si>
    <t>Media Psychology</t>
  </si>
  <si>
    <t>Media, Culture &amp; Society</t>
  </si>
  <si>
    <t>MedieKultur: Journal of media and communication research</t>
  </si>
  <si>
    <t>Mobilities</t>
  </si>
  <si>
    <t>New Media &amp; Society</t>
  </si>
  <si>
    <t>Nordic Journal of Media Studies.</t>
  </si>
  <si>
    <t>Nordicom Review</t>
  </si>
  <si>
    <t>Palgrave European Film and Media Studies</t>
  </si>
  <si>
    <t>Political Communication</t>
  </si>
  <si>
    <t>Projections: The Journal for Movies and Mind</t>
  </si>
  <si>
    <t>Quarterly Journal of Speech</t>
  </si>
  <si>
    <t>Screen</t>
  </si>
  <si>
    <t>Series in International Political Communication</t>
  </si>
  <si>
    <t>Social Media + Society</t>
  </si>
  <si>
    <t>Studies in Documentary Film</t>
  </si>
  <si>
    <t>Studies in European Cinema</t>
  </si>
  <si>
    <t>Television &amp; New Media</t>
  </si>
  <si>
    <t>The Communication Review</t>
  </si>
  <si>
    <t>The Information Society</t>
  </si>
  <si>
    <t>The International Journal of Press/Politics</t>
  </si>
  <si>
    <t>Visual Communication</t>
  </si>
  <si>
    <t>Written Communication</t>
  </si>
  <si>
    <t xml:space="preserve"> Annals of the International Communication Association</t>
  </si>
  <si>
    <t>[in]Transition</t>
  </si>
  <si>
    <t>Advances in Journalism and Communication</t>
  </si>
  <si>
    <t>Advances in the History of Rhetoric</t>
  </si>
  <si>
    <t>Advertising &amp; Society Quarterly</t>
  </si>
  <si>
    <t>Afi Film Readers</t>
  </si>
  <si>
    <t>American Communication Journal</t>
  </si>
  <si>
    <t>American Journal of Play</t>
  </si>
  <si>
    <t>American Journalism</t>
  </si>
  <si>
    <t>American Periodicals: A Journal of History &amp; Criticism</t>
  </si>
  <si>
    <t>Anàlisi</t>
  </si>
  <si>
    <t>Animation</t>
  </si>
  <si>
    <t>Asia Pacific Media Educator</t>
  </si>
  <si>
    <t>Asian Journal of Communication</t>
  </si>
  <si>
    <t>Atlantic Journal of Communication</t>
  </si>
  <si>
    <t>Australian Journalism Review</t>
  </si>
  <si>
    <t>Baltic Screen Media Review</t>
  </si>
  <si>
    <t>Belphegor</t>
  </si>
  <si>
    <t>Book 2.0</t>
  </si>
  <si>
    <t>Business and Professional Communication Quarterly</t>
  </si>
  <si>
    <t>Camera Obscura</t>
  </si>
  <si>
    <t>Canadian Journal of Communication</t>
  </si>
  <si>
    <t>Canadian Journal of Film Studies</t>
  </si>
  <si>
    <t>Central European Journal of Communication</t>
  </si>
  <si>
    <t>Chinese Journal of Communication</t>
  </si>
  <si>
    <t>Cine-Excess</t>
  </si>
  <si>
    <t>Cineforum</t>
  </si>
  <si>
    <t>Cinema &amp; Cie</t>
  </si>
  <si>
    <t>Cinémas: Revue d'études cinématographiques - Journal of Film Studies</t>
  </si>
  <si>
    <t>Cogency. Journal of Reasoning and Argumentation</t>
  </si>
  <si>
    <t>Columbia Journalism Review</t>
  </si>
  <si>
    <t>Communicating In Professions And Organizations</t>
  </si>
  <si>
    <t xml:space="preserve">Communicatio: South African Journal for Communication Theory and Research </t>
  </si>
  <si>
    <t>Communication &amp; Medicine - An Interdisciplinary Journal of Healthcare, Ethics and Society</t>
  </si>
  <si>
    <t>Communication and Critical/Cultural Studies</t>
  </si>
  <si>
    <t>Communication And Society</t>
  </si>
  <si>
    <t>Communication and the Public</t>
  </si>
  <si>
    <t>Communication Booknotes Quarterly</t>
  </si>
  <si>
    <t>Communication Education</t>
  </si>
  <si>
    <t>Communication Quarterly</t>
  </si>
  <si>
    <t>Communication Reports</t>
  </si>
  <si>
    <t>Communication Research and Practice</t>
  </si>
  <si>
    <t>Communication Research Reports</t>
  </si>
  <si>
    <t>Communication Studies</t>
  </si>
  <si>
    <t>Communication Teacher</t>
  </si>
  <si>
    <t>Communications</t>
  </si>
  <si>
    <t>Communications et Strategies</t>
  </si>
  <si>
    <t>Comunicacao e Sociedade</t>
  </si>
  <si>
    <t>Comunicacion y Sociedad</t>
  </si>
  <si>
    <t>Conflict &amp; Communication Online</t>
  </si>
  <si>
    <t>Contemporary Cinema</t>
  </si>
  <si>
    <t>Continuum - journal of media &amp; cultural studies</t>
  </si>
  <si>
    <t>Corporate Reputation Review</t>
  </si>
  <si>
    <t>Creative Industries Journal</t>
  </si>
  <si>
    <t>Crime Files</t>
  </si>
  <si>
    <t>Crime, Media, Culture</t>
  </si>
  <si>
    <t>Critical Approaches to Children's Literature</t>
  </si>
  <si>
    <t>Critical Perspectives On Citizen Media</t>
  </si>
  <si>
    <t>Critical Studies in Media Communication</t>
  </si>
  <si>
    <t>Critical Studies in Television</t>
  </si>
  <si>
    <t>Cultural Histories Of Cinema Series</t>
  </si>
  <si>
    <t>Discourse</t>
  </si>
  <si>
    <t>Dongnan Xueshu</t>
  </si>
  <si>
    <t>Ecquid Novi: African Journalism Studies</t>
  </si>
  <si>
    <t>Editio: Internationales Jahrbuch für Editionswissenschaft</t>
  </si>
  <si>
    <t>Edition Medienwissenschaft</t>
  </si>
  <si>
    <t>Educational Media International</t>
  </si>
  <si>
    <t>Electronic Journal of Communication</t>
  </si>
  <si>
    <t>Electronic Markets</t>
  </si>
  <si>
    <t>Eludamos</t>
  </si>
  <si>
    <t>Ethical Space: The International Journal of Communication Ethics</t>
  </si>
  <si>
    <t>European Comic Art</t>
  </si>
  <si>
    <t>Explorations in Media Ecology</t>
  </si>
  <si>
    <t>Film &amp; History</t>
  </si>
  <si>
    <t>Film Criticism</t>
  </si>
  <si>
    <t>Film, Fernsehen, Medienkultur</t>
  </si>
  <si>
    <t>Foundations of Digital Games Conference Proceedings</t>
  </si>
  <si>
    <t>Framework</t>
  </si>
  <si>
    <t>Global Media and China</t>
  </si>
  <si>
    <t>Global Media Journal: Canadian Edition</t>
  </si>
  <si>
    <t>Global Transformations In Media And Communication Research</t>
  </si>
  <si>
    <t>Grey Room</t>
  </si>
  <si>
    <t>GSTF Journal on Media &amp; Communications</t>
  </si>
  <si>
    <t>Handbooks of Applied Linguistics</t>
  </si>
  <si>
    <t>Handbooks Of Communication Science</t>
  </si>
  <si>
    <t>Handbücher zur Sprach- und Kommunikationswissenschaft</t>
  </si>
  <si>
    <t>Horror Studies</t>
  </si>
  <si>
    <t>Howard Journal of Communications</t>
  </si>
  <si>
    <t>Humanities and social sciences communications</t>
  </si>
  <si>
    <t>IAFOR Journal of Media, Communication &amp; Film</t>
  </si>
  <si>
    <t>ICA Annual Conference Theme Book Series</t>
  </si>
  <si>
    <t>ICA Handbook Series</t>
  </si>
  <si>
    <t>Image [&amp;] Narrative</t>
  </si>
  <si>
    <t>ImageTexT</t>
  </si>
  <si>
    <t>Index on Censorship</t>
  </si>
  <si>
    <t>Information Polity</t>
  </si>
  <si>
    <t>Information Technology &amp; Tourism</t>
  </si>
  <si>
    <t>Information Technology, Education and Society</t>
  </si>
  <si>
    <t>Intensities</t>
  </si>
  <si>
    <t>International Journal of Business Data Communications and Networking</t>
  </si>
  <si>
    <t>International Journal of Computer Games Technology</t>
  </si>
  <si>
    <t>International Journal of E-Collaboration</t>
  </si>
  <si>
    <t>International Journal of E-Politics</t>
  </si>
  <si>
    <t>International Journal of Internet Science</t>
  </si>
  <si>
    <t>International Journal of Media and Cultural Politics</t>
  </si>
  <si>
    <t>International Journal of Strategic Communication</t>
  </si>
  <si>
    <t>International Journal of Web Based Communities</t>
  </si>
  <si>
    <t>International Journal of Web-Based Learning and Teaching Technologies</t>
  </si>
  <si>
    <t>International Studies in the History of Rhetoric</t>
  </si>
  <si>
    <t>Internet Histories: Digital Technology, Culture and Society</t>
  </si>
  <si>
    <t>Interpersonel Kommunikation i Organisationer</t>
  </si>
  <si>
    <t>Javnost - The Public</t>
  </si>
  <si>
    <t>Journal of African Cinemas</t>
  </si>
  <si>
    <t>Journal of African Media Studies</t>
  </si>
  <si>
    <t>Journal of Applied Communication Research</t>
  </si>
  <si>
    <t>Journal of Applied Journalism &amp; Media Studies</t>
  </si>
  <si>
    <t>Journal of Arab &amp; Muslim Media Research</t>
  </si>
  <si>
    <t>Journal of British Cinema and Television</t>
  </si>
  <si>
    <t>Journal of Business and Technical Communication</t>
  </si>
  <si>
    <t>Journal of Business Communication</t>
  </si>
  <si>
    <t>Journal of Chinese Cinemas</t>
  </si>
  <si>
    <t>Journal of Communication Inquiry</t>
  </si>
  <si>
    <t>Journal of Communications</t>
  </si>
  <si>
    <t>Journal of Community Informatics</t>
  </si>
  <si>
    <t>Journal of Contremporary Rhetoric</t>
  </si>
  <si>
    <t>Journal of Curatorial Studies</t>
  </si>
  <si>
    <t>Journal of Educational Computing Research</t>
  </si>
  <si>
    <t>Journal of Educational Multimedia and Hypermedia</t>
  </si>
  <si>
    <t>Journal of European Television History and Culture</t>
  </si>
  <si>
    <t>Journal of Fandom Studies</t>
  </si>
  <si>
    <t>Journal of Film and Video</t>
  </si>
  <si>
    <t>Journal of Gaming &amp; Virtual Worlds</t>
  </si>
  <si>
    <t>Journal of Information Policy</t>
  </si>
  <si>
    <t>Journal of Information, Communication &amp; Ethics in Society</t>
  </si>
  <si>
    <t>Journal of Interactive Advertising</t>
  </si>
  <si>
    <t>Journal of Interactive Media in Education</t>
  </si>
  <si>
    <t>Journal of Interactive Online Learning</t>
  </si>
  <si>
    <t>Journal of Intercultural Communication Research</t>
  </si>
  <si>
    <t>Journal of International and Intercultural Communication</t>
  </si>
  <si>
    <t>Journal of International Communication</t>
  </si>
  <si>
    <t>Journal of Japanese &amp; Korean Cinema</t>
  </si>
  <si>
    <t>Journal of Marketing Communications</t>
  </si>
  <si>
    <t>Journal of Mass Media Ethics</t>
  </si>
  <si>
    <t>Journal of Media and Religion</t>
  </si>
  <si>
    <t>Journal of Media Business Studies</t>
  </si>
  <si>
    <t>Journal of Media Economics</t>
  </si>
  <si>
    <t>Journal of Media Innovations</t>
  </si>
  <si>
    <t>Journal of Media Practice</t>
  </si>
  <si>
    <t>Journal of Media Psychology</t>
  </si>
  <si>
    <t>Journal of Popular Film and Television</t>
  </si>
  <si>
    <t>Journal of Public Interest Communications</t>
  </si>
  <si>
    <t>Journal of Public Relations Education</t>
  </si>
  <si>
    <t>Journal of Public Relations Research</t>
  </si>
  <si>
    <t>Journal of Radio &amp; Audio Media</t>
  </si>
  <si>
    <t>Journal of Scandinavian Cinema</t>
  </si>
  <si>
    <t>Journal of Science Communication</t>
  </si>
  <si>
    <t>Journal of Screenwriting</t>
  </si>
  <si>
    <t xml:space="preserve">Journal of Shanxi University (Philosophy and Social Science Edition) </t>
  </si>
  <si>
    <t>Journal of Virtual Reality and Broadcasting</t>
  </si>
  <si>
    <t>Journal of Virtual Worlds Research</t>
  </si>
  <si>
    <t>Journalism &amp; Communication Monographs</t>
  </si>
  <si>
    <t>Journalism &amp; Mass Communication Educator</t>
  </si>
  <si>
    <t>Journalism History</t>
  </si>
  <si>
    <t>Journalism Studies - Theory And Practice</t>
  </si>
  <si>
    <t>Journalistica</t>
  </si>
  <si>
    <t>Journalistik og samfund</t>
  </si>
  <si>
    <t>Jump Cut</t>
  </si>
  <si>
    <t>Kinema</t>
  </si>
  <si>
    <t>Kort Og Præcist Om Medier Og Kommunikation</t>
  </si>
  <si>
    <t>Kosmorama</t>
  </si>
  <si>
    <t>Learned Publishing</t>
  </si>
  <si>
    <t>Leonardo Electronic Journal of Practices and Technologies</t>
  </si>
  <si>
    <t>Les Cahiers du Cinema</t>
  </si>
  <si>
    <t>Lexington Studies in Political Communication</t>
  </si>
  <si>
    <t>Literary Journalism Studies</t>
  </si>
  <si>
    <t>Literature Film Quarterly</t>
  </si>
  <si>
    <t>Lund Studies in Arts and Cultural Sciences</t>
  </si>
  <si>
    <t>M/C Journal</t>
  </si>
  <si>
    <t>MATRIZes</t>
  </si>
  <si>
    <t>Media &amp; Viestinta</t>
  </si>
  <si>
    <t>Media and Communication</t>
  </si>
  <si>
    <t>Media and Cultural Memory</t>
  </si>
  <si>
    <t>Media Industries</t>
  </si>
  <si>
    <t>Media International Australia</t>
  </si>
  <si>
    <t>Media Perspektiven</t>
  </si>
  <si>
    <t>Media, War &amp; Conflict</t>
  </si>
  <si>
    <t xml:space="preserve">Médiakutató </t>
  </si>
  <si>
    <t>Mediální studia / Media Studies</t>
  </si>
  <si>
    <t>Medien • Kultur • Kommunikation</t>
  </si>
  <si>
    <t>Medien Journal</t>
  </si>
  <si>
    <t>Medien und Kommunikationswissenschaft</t>
  </si>
  <si>
    <t xml:space="preserve">Medier, Kommunikation, Journalistik </t>
  </si>
  <si>
    <t>Mobile Media &amp; Communication</t>
  </si>
  <si>
    <t>Montage AV. Zeitschrift für Theorie und Geschichte audiovisueller Kommunikation</t>
  </si>
  <si>
    <t>Movie: A Journal of Film Criticism</t>
  </si>
  <si>
    <t>Multimodal Communication</t>
  </si>
  <si>
    <t>MÆRKK – Æstetik og Kommunikation</t>
  </si>
  <si>
    <t>NCA Focus on Communication Studies</t>
  </si>
  <si>
    <t>NECSUS European Journal of Media Studies</t>
  </si>
  <si>
    <t>Networking Knowledge: Journal of the MeCCSA Postgraduate Network</t>
  </si>
  <si>
    <t>Neue Perspektiven Der Medienästhetik</t>
  </si>
  <si>
    <t>New Agendas In Communication Series</t>
  </si>
  <si>
    <t>New Cinemas</t>
  </si>
  <si>
    <t>Newspaper Research Journal</t>
  </si>
  <si>
    <t>Nordic and Baltic Journal of Information and Communications Technologies</t>
  </si>
  <si>
    <t>Nordicom Information</t>
  </si>
  <si>
    <t>Norsk Medietidsskrift</t>
  </si>
  <si>
    <t>Observatorio</t>
  </si>
  <si>
    <t>Pacific Journalism Review</t>
  </si>
  <si>
    <t>Palgrave Entertainment Industries</t>
  </si>
  <si>
    <t>Palgrave Global Media Policy And Business Series</t>
  </si>
  <si>
    <t>Palgrave Studies In Screenwriting</t>
  </si>
  <si>
    <t>Participations: Journal of Audience &amp; Reception Studies</t>
  </si>
  <si>
    <t>Persona Studies</t>
  </si>
  <si>
    <t>Philosophy of Photography</t>
  </si>
  <si>
    <t>Playful Thinking</t>
  </si>
  <si>
    <t>Policy &amp; Internet</t>
  </si>
  <si>
    <t>Popular Communication</t>
  </si>
  <si>
    <t>Popular Culture Review</t>
  </si>
  <si>
    <t>POROI</t>
  </si>
  <si>
    <t>Positif</t>
  </si>
  <si>
    <t>Present Tense : A Journal of Rhetoric in Society</t>
  </si>
  <si>
    <t>Public Relations Inquiry</t>
  </si>
  <si>
    <t>Public Relations Review</t>
  </si>
  <si>
    <t>Publishing Research Quarterly</t>
  </si>
  <si>
    <t>Publizistik</t>
  </si>
  <si>
    <t>Qualitative Research Reports in Communication</t>
  </si>
  <si>
    <t>Quarterly Review of Film and Video</t>
  </si>
  <si>
    <t>Questions de communication</t>
  </si>
  <si>
    <t>Radio Journal: International Studies in Broadcast &amp; Audio Media</t>
  </si>
  <si>
    <t>Razón y Palabra</t>
  </si>
  <si>
    <t>Red Feather Journal</t>
  </si>
  <si>
    <t>Refractory a Journal of Entertainment Media</t>
  </si>
  <si>
    <t>Research Letters in Communications</t>
  </si>
  <si>
    <t>Reseaux</t>
  </si>
  <si>
    <t>Review of Communication</t>
  </si>
  <si>
    <t>Revista Latinoamericano de Ciencias de la Comunicación</t>
  </si>
  <si>
    <t>Rhetoric &amp; Public Affairs</t>
  </si>
  <si>
    <t>Rhetoric Review</t>
  </si>
  <si>
    <t>Routledge Advances In Film Studies</t>
  </si>
  <si>
    <t>Routledge Advances In Internationalising Media Studies Series</t>
  </si>
  <si>
    <t>Routledge Advances in Research Methods</t>
  </si>
  <si>
    <t>Routledge Research In Communication Studies</t>
  </si>
  <si>
    <t>Routledge Research In Cultural And Media Studies</t>
  </si>
  <si>
    <t>Routledge Research In Journalism</t>
  </si>
  <si>
    <t>Routledge Series In New Media And Cyberculture</t>
  </si>
  <si>
    <t>Routledge Studies in European Communication Research and Education</t>
  </si>
  <si>
    <t>Routledge Studies In Global Information, Politics And Society</t>
  </si>
  <si>
    <t>Routledge Studies in New Media and Cyberculture</t>
  </si>
  <si>
    <t>Routledge Studies In Technical Communication, Rhetoric, And Culture</t>
  </si>
  <si>
    <t>Rundfunk und Geschichte</t>
  </si>
  <si>
    <t>SCM Studies in Communication and Media</t>
  </si>
  <si>
    <t>Seminar.net</t>
  </si>
  <si>
    <t>Series - International Journal of TV Serial Narratives</t>
  </si>
  <si>
    <t>Short Film Studies</t>
  </si>
  <si>
    <t>Sight and Sound</t>
  </si>
  <si>
    <t>Southern Communication Journal</t>
  </si>
  <si>
    <t>Studier i krimi og kriminaljournalistik</t>
  </si>
  <si>
    <t>Studies in Australasian Cinema</t>
  </si>
  <si>
    <t>Studies in Comics</t>
  </si>
  <si>
    <t>Studies In Communication In Organisations And Professions</t>
  </si>
  <si>
    <t>Studies in Communication Sciences</t>
  </si>
  <si>
    <t>Studies in Eastern European Cinema</t>
  </si>
  <si>
    <t>Studies in French Cinema</t>
  </si>
  <si>
    <t>Studies in Narrative</t>
  </si>
  <si>
    <t>Studies in Russian and Soviet Cinema</t>
  </si>
  <si>
    <t>Studies in South Asian Film &amp; Media</t>
  </si>
  <si>
    <t>Studies in Spanish &amp; Latin-American Cinemas</t>
  </si>
  <si>
    <t>Tauris World Cinema Series</t>
  </si>
  <si>
    <t>Technoetic Arts</t>
  </si>
  <si>
    <t>Telos</t>
  </si>
  <si>
    <t>Text: Journal of Writing and Writing Courses</t>
  </si>
  <si>
    <t>Textproduktion und Medium</t>
  </si>
  <si>
    <t>Textual Cultures</t>
  </si>
  <si>
    <t>The Internet and Higher Education</t>
  </si>
  <si>
    <t>The Journal of Communication and Religion</t>
  </si>
  <si>
    <t>The Journal of Electronic Publishing</t>
  </si>
  <si>
    <t>The Journal of Popular Television</t>
  </si>
  <si>
    <t>The Moving Image</t>
  </si>
  <si>
    <t>The Moving Image Review &amp; Art Journal</t>
  </si>
  <si>
    <t>The New Review of Film and Television Studies</t>
  </si>
  <si>
    <t>The Soundtrack</t>
  </si>
  <si>
    <t xml:space="preserve">The Wiley Blackwell-ICA International Encyclopedias of Communication </t>
  </si>
  <si>
    <t>Tidsskrift for Medier, Erkendelse og Formidling</t>
  </si>
  <si>
    <t>Tijdschrift voor Communicatiewetenschap</t>
  </si>
  <si>
    <t>Traditions In World Cinema</t>
  </si>
  <si>
    <t>Transformations</t>
  </si>
  <si>
    <t>Transformative Works and Cultures</t>
  </si>
  <si>
    <t>Transforming Communications</t>
  </si>
  <si>
    <t>tripleC: Communication, Capitalism &amp; Critique</t>
  </si>
  <si>
    <t>Trípodos</t>
  </si>
  <si>
    <t>Virtual Reality</t>
  </si>
  <si>
    <t>Visual Communication Quarterly</t>
  </si>
  <si>
    <t>Voix et Images</t>
  </si>
  <si>
    <t>Webology</t>
  </si>
  <si>
    <t>Western Journal of Communication</t>
  </si>
  <si>
    <t>Westminster Papers in Communication and Culture</t>
  </si>
  <si>
    <t>Windsor Studies in Argumentation</t>
  </si>
  <si>
    <t>Working papers on interaction and communication</t>
  </si>
  <si>
    <t>Zeitschrift Schreiben</t>
  </si>
  <si>
    <t>Generelle serier</t>
  </si>
  <si>
    <t>Nature</t>
  </si>
  <si>
    <t>Science</t>
  </si>
  <si>
    <t>Nature Communications</t>
  </si>
  <si>
    <t>Nature Methods</t>
  </si>
  <si>
    <t>Proceedings of the National Academy of Sciences of the United States of America</t>
  </si>
  <si>
    <t>Annals of the New York Academy of Sciences</t>
  </si>
  <si>
    <t>PLOS ONE</t>
  </si>
  <si>
    <t>Science Advances</t>
  </si>
  <si>
    <t>Nordisk litteratur og sprog</t>
  </si>
  <si>
    <t>Arkiv foer Nordisk Filologi</t>
  </si>
  <si>
    <t>Danske Studier</t>
  </si>
  <si>
    <t>Edda</t>
  </si>
  <si>
    <t>European Journal of Scandinavian Studies</t>
  </si>
  <si>
    <t>K&amp;K: kultur og klasse</t>
  </si>
  <si>
    <t>Narratologia</t>
  </si>
  <si>
    <t>Nordica</t>
  </si>
  <si>
    <t>NyS : Nydanske Sprogstudier</t>
  </si>
  <si>
    <t>Opuscula - Bibliotheca Arnamagnæana</t>
  </si>
  <si>
    <t>Passage</t>
  </si>
  <si>
    <t>Rhetorica Scandinavica</t>
  </si>
  <si>
    <t>Scandinavian Studies</t>
  </si>
  <si>
    <t>Scandinavian Studies in Language</t>
  </si>
  <si>
    <t>Scandinavica: An International Journal of Scandinavian Studies</t>
  </si>
  <si>
    <t>SPRING - tidsskrift for moderne dansk litteratur</t>
  </si>
  <si>
    <t>Acta Ibseniana</t>
  </si>
  <si>
    <t>Acta Onomastica</t>
  </si>
  <si>
    <t>Acta Scandinavica</t>
  </si>
  <si>
    <t>Aktualitet - Litteratur, Kultur og Medier</t>
  </si>
  <si>
    <t>Barnboken</t>
  </si>
  <si>
    <t>Barnlitterært forskningstidsskrift</t>
  </si>
  <si>
    <t>Beitraege zur Nordischen Philologie</t>
  </si>
  <si>
    <t>Berliner Beiträge zur Skandinavistik</t>
  </si>
  <si>
    <t>Bibliotheca Arnamagnaeana</t>
  </si>
  <si>
    <t>Bibliotheca Nordica</t>
  </si>
  <si>
    <t>Copenhagen Studies in Genre</t>
  </si>
  <si>
    <t>Danmarks Stednavne</t>
  </si>
  <si>
    <t>Dansk Noter</t>
  </si>
  <si>
    <t>Dansk Sprognævns skrifter</t>
  </si>
  <si>
    <t>Danske klassikere</t>
  </si>
  <si>
    <t>Editiones Arnamagnaeanae. Series A</t>
  </si>
  <si>
    <t>Editiones Arnamagnæanæ. Series B</t>
  </si>
  <si>
    <t>Folia Scandinavica Posnaniensia</t>
  </si>
  <si>
    <t>Folkmålsstudier</t>
  </si>
  <si>
    <t>Fródskaparrit : Annales Societatis Scientiarum Faeroensis</t>
  </si>
  <si>
    <t>Futhark: International Journal of Runic Studies</t>
  </si>
  <si>
    <t>Gripla</t>
  </si>
  <si>
    <t>Hamsun Selskapet. Skriftserie</t>
  </si>
  <si>
    <t>Heraldisk Tidsskrift</t>
  </si>
  <si>
    <t>Ibsen Studies</t>
  </si>
  <si>
    <t>Íslenskt mál og almenn málfræði</t>
  </si>
  <si>
    <t>Jacobseniana</t>
  </si>
  <si>
    <t>Johannes V. Jensens Centrets skriftserie</t>
  </si>
  <si>
    <t>Kierkegaardiana</t>
  </si>
  <si>
    <t>Koebenhavnerstudier i Tosprogethed</t>
  </si>
  <si>
    <t>Kritik</t>
  </si>
  <si>
    <t>LexicoNordica</t>
  </si>
  <si>
    <t>Linguistica Septentrionalia</t>
  </si>
  <si>
    <t>Meijerbergs Arkiv for Svensk Ordforskning</t>
  </si>
  <si>
    <t>Moderne positioner efter 1940</t>
  </si>
  <si>
    <t>Modernisme i nordisk lyrikk</t>
  </si>
  <si>
    <t>MUDS - Møde om Udforskningen af Dansk Sprog</t>
  </si>
  <si>
    <t>Münchner Nordistische Studien</t>
  </si>
  <si>
    <t>Namn och Bygd</t>
  </si>
  <si>
    <t>Namn og Nemne: tidsskrift for norsk namnegransking</t>
  </si>
  <si>
    <t>Navnestudier</t>
  </si>
  <si>
    <t>New Directions in Scandinavian Studies</t>
  </si>
  <si>
    <t>NOA - Norsk som andrespråk</t>
  </si>
  <si>
    <t>Nordica Helsingiensia</t>
  </si>
  <si>
    <t>Nordisk Netværk for Editionsfilologer. Skrifter</t>
  </si>
  <si>
    <t>Nordisk poesi: Tidsskrift for lyrikkforskning</t>
  </si>
  <si>
    <t>Nordisk samtidspoesi</t>
  </si>
  <si>
    <t>Nordiske studier i lexikografi</t>
  </si>
  <si>
    <t>Nordlit</t>
  </si>
  <si>
    <t>Norna - Rapporter</t>
  </si>
  <si>
    <t>Norsk Litteraer Aarbok</t>
  </si>
  <si>
    <t>OKNYTT. Tidskrift för Johan Nordlander-sällskapet</t>
  </si>
  <si>
    <t>Ord &amp; Sag</t>
  </si>
  <si>
    <t>Plys</t>
  </si>
  <si>
    <t>Ritid</t>
  </si>
  <si>
    <t>Runrön</t>
  </si>
  <si>
    <t>Saga-Book. Viking Society for Northern Research</t>
  </si>
  <si>
    <t xml:space="preserve">Sakprosa </t>
  </si>
  <si>
    <t>Scandinavian - Canadian Studies</t>
  </si>
  <si>
    <t>Scandinavian Literary History and Criticism</t>
  </si>
  <si>
    <t>Scripta Islandica</t>
  </si>
  <si>
    <t>Skandinavisztikaj Füzetek</t>
  </si>
  <si>
    <t>Skirnir</t>
  </si>
  <si>
    <t>Skrifter / Nordisk forening for leksikografi</t>
  </si>
  <si>
    <t>Sprog i praksis</t>
  </si>
  <si>
    <t>Sprogforum</t>
  </si>
  <si>
    <t>Språk och interaktion</t>
  </si>
  <si>
    <t>Språk och stil: Tidskrift för svensk språkforskning</t>
  </si>
  <si>
    <t>Standart</t>
  </si>
  <si>
    <t>Studi Nordici</t>
  </si>
  <si>
    <t>Studia Anthroponymica Scandinavica</t>
  </si>
  <si>
    <t>Studia Islandica</t>
  </si>
  <si>
    <t>Studier fra Sprog- og Oldtidsforskning</t>
  </si>
  <si>
    <t>Studier i Nordisk</t>
  </si>
  <si>
    <t>Studier i Nordisk Filologi</t>
  </si>
  <si>
    <t>Studies in Contemporary Poetry / Studier i samtidslyrik</t>
  </si>
  <si>
    <t>Texte und Untersuchungen zur Germanistik und Skandinavistik</t>
  </si>
  <si>
    <t>The Viking Collection</t>
  </si>
  <si>
    <t>Tijdschrift voor Skandinavistiek</t>
  </si>
  <si>
    <t>Universitets-Jubilæets Danske Samfunds Skrifter</t>
  </si>
  <si>
    <t>University Of Southern Denmark Studies In Scandinavian Languages And Literatures</t>
  </si>
  <si>
    <t>Vagant</t>
  </si>
  <si>
    <t>Viking and Medieval Scandinavia</t>
  </si>
  <si>
    <t>Vinduet</t>
  </si>
  <si>
    <t>Wiener Studien zur Skandinavistik</t>
  </si>
  <si>
    <t>Wiener Texte zur Skandinavistik</t>
  </si>
  <si>
    <t>Writings from the Center of Narratological Studies</t>
  </si>
  <si>
    <t>Ømålsordbogen</t>
  </si>
  <si>
    <t>Teologi og Religionsvidenskab</t>
  </si>
  <si>
    <t>Ancient Judaism and Early Christianity</t>
  </si>
  <si>
    <t>Ancient Magic and Divination</t>
  </si>
  <si>
    <t>Archiv für Reformationsgeschichte</t>
  </si>
  <si>
    <t>Archive for the Psychology of Religion</t>
  </si>
  <si>
    <t>Archives de Sciences Sociales des Religions</t>
  </si>
  <si>
    <t>Brill Handbooks on Contemporary Religion</t>
  </si>
  <si>
    <t>Brill's Companion to the Christian Tradition</t>
  </si>
  <si>
    <t>Brill's Series in Church History</t>
  </si>
  <si>
    <t>Collegium Metaphysicum</t>
  </si>
  <si>
    <t>Der Islam: Journal of the History and Culture of the Middle East</t>
  </si>
  <si>
    <t>Die Welt des Islams</t>
  </si>
  <si>
    <t>Dogmatik in der Moderne</t>
  </si>
  <si>
    <t>Forschungen zum Alten Testament 2. Reihe</t>
  </si>
  <si>
    <t>Forschungen zur Kirchen- und Dogmengeschichte</t>
  </si>
  <si>
    <t>Global Pentecostal and Charismatic Studies</t>
  </si>
  <si>
    <t>Harvard Theological Review</t>
  </si>
  <si>
    <t>Hermeneutische Untersuchungen zur Theologie</t>
  </si>
  <si>
    <t>History of Religions</t>
  </si>
  <si>
    <t>Implicit Religion</t>
  </si>
  <si>
    <t>International Journal of Systematic Theology</t>
  </si>
  <si>
    <t>Japanese Journal of Religious Studies</t>
  </si>
  <si>
    <t>Jewish and Christian Perspectives Series</t>
  </si>
  <si>
    <t>Journal for the Scientific Study of Religion</t>
  </si>
  <si>
    <t>Journal for the Study of Judaism</t>
  </si>
  <si>
    <t>Journal for the Study of the New Testament</t>
  </si>
  <si>
    <t>Journal for the Study of the Old Testament</t>
  </si>
  <si>
    <t>Journal of Biblical Literature</t>
  </si>
  <si>
    <t>Journal of Church and State</t>
  </si>
  <si>
    <t>Journal of Contemporary Religion</t>
  </si>
  <si>
    <t>Journal of Ecclesiastical History</t>
  </si>
  <si>
    <t>Journal of Global Buddhism</t>
  </si>
  <si>
    <t>Journal of Jewish Studies</t>
  </si>
  <si>
    <t>Journal of Religion in Europe</t>
  </si>
  <si>
    <t>Journal of Religious Ethics</t>
  </si>
  <si>
    <t>Journal of Religious History</t>
  </si>
  <si>
    <t>Journal of Ritual Studies</t>
  </si>
  <si>
    <t>Journal of the American Academy of Religion</t>
  </si>
  <si>
    <t>Kerygma und Dogma: Zeitschrift für theologische Forschung und kirchliche Lehre</t>
  </si>
  <si>
    <t>Kierkegaard Studies. Monograph Series</t>
  </si>
  <si>
    <t>Literature and Theology</t>
  </si>
  <si>
    <t>Method &amp; Theory in the Study of Religion</t>
  </si>
  <si>
    <t>Modern Theology</t>
  </si>
  <si>
    <t>Nag Hammadi and Manichaean Studies</t>
  </si>
  <si>
    <t>Neue Zeitschrift für Systematische Theologie und Religionsphilosophie</t>
  </si>
  <si>
    <t>New Testament Studies</t>
  </si>
  <si>
    <t>Nordic Journal of Religion and Society</t>
  </si>
  <si>
    <t>Nova Religio</t>
  </si>
  <si>
    <t>Novum Testamentum</t>
  </si>
  <si>
    <t>Numen</t>
  </si>
  <si>
    <t>Numen Book Series</t>
  </si>
  <si>
    <t>Religion</t>
  </si>
  <si>
    <t>Religion in Philosophy and Theology</t>
  </si>
  <si>
    <t>Religious History and Culture Series</t>
  </si>
  <si>
    <t>Review of Religious Research</t>
  </si>
  <si>
    <t>Revue de l'Histoire des Religions</t>
  </si>
  <si>
    <t>Scandinavian Journal of the Old Testament</t>
  </si>
  <si>
    <t>Social Compass</t>
  </si>
  <si>
    <t>Sociology of Religion</t>
  </si>
  <si>
    <t>Spätmittelalter, Humanismus, Reformation / Studies in the Late Middle Ages, Humanism, and the Reformation</t>
  </si>
  <si>
    <t>Studia Theologica</t>
  </si>
  <si>
    <t>Supplements to the Journal for the Study of Judaism</t>
  </si>
  <si>
    <t>Temenos</t>
  </si>
  <si>
    <t>Texts and Studies on the Quran</t>
  </si>
  <si>
    <t>The International Journal for the Psychology of Religion</t>
  </si>
  <si>
    <t>Theologische Bibliothek Töpelmann</t>
  </si>
  <si>
    <t>Vetus Testamentum</t>
  </si>
  <si>
    <t>Vetus Testamentum. Supplements</t>
  </si>
  <si>
    <t>Wissenschaftliche Untersuchungen zum Neuen Testament</t>
  </si>
  <si>
    <t>Wissenschaftliche Untersuchungen zum Neuen Testament. Reihe 2</t>
  </si>
  <si>
    <t>Zeitschrift für Antikes Christentum/Journal of Ancient Christianity</t>
  </si>
  <si>
    <t>Zeitschrift für die alttestamentliche Wissenschaft</t>
  </si>
  <si>
    <t>Zeitschrift für die Neutestamentliche Wissenschaft und die Kunde der älteren Kirche</t>
  </si>
  <si>
    <t>Zeitschrift für Theologie und Kirche</t>
  </si>
  <si>
    <t xml:space="preserve">Academic Studies </t>
  </si>
  <si>
    <t>Acta Theologica</t>
  </si>
  <si>
    <t>Aegyptologische Abhandlungen</t>
  </si>
  <si>
    <t>Africa Theological Journal</t>
  </si>
  <si>
    <t>AJS Review</t>
  </si>
  <si>
    <t xml:space="preserve">Al-Masāq: Journal of the Medieval Mediterranean </t>
  </si>
  <si>
    <t>Alter Orient und Altes Testament</t>
  </si>
  <si>
    <t>Amsterdam Studies in Jewish Philosophy</t>
  </si>
  <si>
    <t>Analecta Cartusiana</t>
  </si>
  <si>
    <t>Anchor Yale Bible Reference Library</t>
  </si>
  <si>
    <t>Ancient Israel and Its Literature</t>
  </si>
  <si>
    <t>Approaching Religion</t>
  </si>
  <si>
    <t>Arab and Islamic Law Series</t>
  </si>
  <si>
    <t>Aramaic Studies</t>
  </si>
  <si>
    <t>Arbeiten zur Geschichte des Pietismus</t>
  </si>
  <si>
    <t>Arbeiten zur Kirchlichen Zeitgeschichte. Reihe B: Darstellungen</t>
  </si>
  <si>
    <t>Arbeiten zur Pastoraltheologie, Liturgik und Hymnologie</t>
  </si>
  <si>
    <t>Arbeiten zur Systematischen Theologie</t>
  </si>
  <si>
    <t>Archaeology and Biblical Studies</t>
  </si>
  <si>
    <t>Archiv für Liturgiewissenschaft</t>
  </si>
  <si>
    <t>Archiv für Religionsgeschichte</t>
  </si>
  <si>
    <t>ARCHÆVS. Studies in the History of Religions</t>
  </si>
  <si>
    <t>Aries</t>
  </si>
  <si>
    <t>Aries Book Series</t>
  </si>
  <si>
    <t>Ashgate New Critical Thinking In Religion, Theology, And Biblical Studies</t>
  </si>
  <si>
    <t>Auctores Britannici Medii Aevi</t>
  </si>
  <si>
    <t>Augustiniana</t>
  </si>
  <si>
    <t>Aura: Tidskrift för akademiska studier av nyreligiositet</t>
  </si>
  <si>
    <t>Basic Texts of Islamic Mysticism</t>
  </si>
  <si>
    <t>Beitraege zur Historischen Theologie</t>
  </si>
  <si>
    <t>Between the Species</t>
  </si>
  <si>
    <t>Bibleworld</t>
  </si>
  <si>
    <t>Biblica</t>
  </si>
  <si>
    <t>Biblical Encyclopedia</t>
  </si>
  <si>
    <t>Biblical Interpretation</t>
  </si>
  <si>
    <t>Biblical Interpretation Series</t>
  </si>
  <si>
    <t>Biblical Theology Bulletin</t>
  </si>
  <si>
    <t>Bibliotheque Copte de Nag Hammadi. Section Etudes</t>
  </si>
  <si>
    <t>Bibliotheque Copte de Nag Hammadi. Section Textes</t>
  </si>
  <si>
    <t>Bibliotheque de l'Ecole des Hautes Etudes Sciences Religieuses</t>
  </si>
  <si>
    <t>Biblische Zeitschrift</t>
  </si>
  <si>
    <t>Bonner biblische Beiträge</t>
  </si>
  <si>
    <t>Boundaries of Religious Freedom : Regulating Religion in Diverse Societies</t>
  </si>
  <si>
    <t>Brill Classics in Islam</t>
  </si>
  <si>
    <t>Brill's Arab and Islamic Laws Series</t>
  </si>
  <si>
    <t>Brill's Series in Jewish Studies</t>
  </si>
  <si>
    <t>British Journal of Religious Education</t>
  </si>
  <si>
    <t>Buddhist - Christian Studies</t>
  </si>
  <si>
    <t>Bulletin de Litterature Ecclesiastique</t>
  </si>
  <si>
    <t>CHAOS:  Skandinavisk tidsskrift for religionshistoriske studier</t>
  </si>
  <si>
    <t>Church History</t>
  </si>
  <si>
    <t>Church History and Religious Culture</t>
  </si>
  <si>
    <t>Church, Faith, And Culture In The Medieval West</t>
  </si>
  <si>
    <t>Comparative Studies in Religion &amp; Society</t>
  </si>
  <si>
    <t>Compendia Rerum Iudaicarum Ad Novum Testamentum</t>
  </si>
  <si>
    <t>Concilium -  International Journal Of Theology</t>
  </si>
  <si>
    <t>Concordia Theological Quarterly</t>
  </si>
  <si>
    <t>Contemporary Anthropology Of Religion</t>
  </si>
  <si>
    <t>Contemporary Buddhism</t>
  </si>
  <si>
    <t>Contextualising The Sacred</t>
  </si>
  <si>
    <t>Contraversions: Jews and Other Differences</t>
  </si>
  <si>
    <t>Contributions to Biblical Exegesis and Theology</t>
  </si>
  <si>
    <t>Corpus Fontium Manichaeorum – Analecta Manichaica (ANM)</t>
  </si>
  <si>
    <t>Corpus Fontium Manichaeorum - Biblia Manichaica</t>
  </si>
  <si>
    <t>Corpus Scriptorum Christianorum Orientalium: Aethiopica</t>
  </si>
  <si>
    <t>Corpus Scriptorum Christianorum Orientalium: Arabica</t>
  </si>
  <si>
    <t>Corpus Scriptorum Christianorum Orientalium: Armeniaca</t>
  </si>
  <si>
    <t>Corpus Scriptorum Christianorum Orientalium: Coptica</t>
  </si>
  <si>
    <t>Corpus Scriptorum Christianorum Orientalium: Iberica</t>
  </si>
  <si>
    <t>Corpus Scriptorum Christianorum Orientalium: Subsidia</t>
  </si>
  <si>
    <t>Corpus Scriptorum Christianorum Orientalium: Syriaca</t>
  </si>
  <si>
    <t>Culture and Religion</t>
  </si>
  <si>
    <t>Cultures, Beliefs, and Traditions</t>
  </si>
  <si>
    <t>Cuneiform Monographs</t>
  </si>
  <si>
    <t>Danish Golden Age Studies</t>
  </si>
  <si>
    <t>Dansk Teologisk Tidsskrift</t>
  </si>
  <si>
    <t>Dansk Tidsskrift for Teologi og Kirke</t>
  </si>
  <si>
    <t>Dead Sea Discoveries</t>
  </si>
  <si>
    <t>Dialog</t>
  </si>
  <si>
    <t>Die Welt des Orients</t>
  </si>
  <si>
    <t>DIN - Tidsskrift for religion og kultur</t>
  </si>
  <si>
    <t>Dynamics in the History of Religions</t>
  </si>
  <si>
    <t>Early Christianity</t>
  </si>
  <si>
    <t>Early Christianity and Its Literature</t>
  </si>
  <si>
    <t>Early Judaism and its Literature</t>
  </si>
  <si>
    <t>Eastern Buddhist</t>
  </si>
  <si>
    <t>Electronic Journal of Vedic Studies</t>
  </si>
  <si>
    <t>Empirical Research in Religion and Human Rights</t>
  </si>
  <si>
    <t>Empirical Studies in Theology</t>
  </si>
  <si>
    <t>Encyclopedia Of The Bible And Its Reception (EBR)</t>
  </si>
  <si>
    <t>Ephemerides Theologicae Lovanienses</t>
  </si>
  <si>
    <t>Etudes Theologiques et Religieuses</t>
  </si>
  <si>
    <t>European Judaism: A Journal for the New Europe</t>
  </si>
  <si>
    <t>Evangelische Theologie</t>
  </si>
  <si>
    <t>Exchange: Journal of Contemporary Christianities in Context</t>
  </si>
  <si>
    <t>Fieldwork in Religion</t>
  </si>
  <si>
    <t>Forschungen zum Alten Testament</t>
  </si>
  <si>
    <t>Forschungen zur Religion und Literatur des Alten und Neuen Testaments</t>
  </si>
  <si>
    <t>Forum for Bibelsk Eksegese</t>
  </si>
  <si>
    <t>Freiburger Zeitschrift für Philosophie und Theologie</t>
  </si>
  <si>
    <t>Global Perspectives on Biblical Scholarship</t>
  </si>
  <si>
    <t>Grundtvig-Studier</t>
  </si>
  <si>
    <t>Hebrew Studies</t>
  </si>
  <si>
    <t>Hebrew Union College Annual</t>
  </si>
  <si>
    <t>Henoch</t>
  </si>
  <si>
    <t>Hispania Sacra</t>
  </si>
  <si>
    <t>History of Biblical Studies</t>
  </si>
  <si>
    <t>Horizons</t>
  </si>
  <si>
    <t>Horizons in Biblical Theology</t>
  </si>
  <si>
    <t>I.B. Tauris Introductions To Religion</t>
  </si>
  <si>
    <t>Iconography of Religions</t>
  </si>
  <si>
    <t>Iconography of Religions. Section 10, North America</t>
  </si>
  <si>
    <t>Iconography of Religions. Section 11, Ancient America</t>
  </si>
  <si>
    <t>Iconography of Religions. Section 12, East and Central Asia</t>
  </si>
  <si>
    <t>Iconography of Religions. Section 13, Indian Religions</t>
  </si>
  <si>
    <t>Iconography of Religions. Section 14, Iran</t>
  </si>
  <si>
    <t>Iconography of Religions. Section 15, Mesopotamia and the Near East</t>
  </si>
  <si>
    <t>Iconography of Religions. Section 2, Polynesia</t>
  </si>
  <si>
    <t>Iconography of Religions. Section 22, Islam</t>
  </si>
  <si>
    <t>Iconography of Religions. Section 23, Judaism</t>
  </si>
  <si>
    <t>Iconography of Religions. Section 24, Christianity</t>
  </si>
  <si>
    <t>Iconography of Religions. Section 7, Africa</t>
  </si>
  <si>
    <t>Iconography of Religions. Section 8, Arctic Peoples</t>
  </si>
  <si>
    <t>Iconography of Religions. Section 9, South America</t>
  </si>
  <si>
    <t>Iconography of Religions. Supplements</t>
  </si>
  <si>
    <t>IJS Studies in Judaica</t>
  </si>
  <si>
    <t>Informationes Theologiae Europae: Internationales ökumenisches Jahrbuch für Theologie</t>
  </si>
  <si>
    <t>Interdisciplinary Journal for Religion and Transformation in Contemporary Society</t>
  </si>
  <si>
    <t>International Bulletin of Missionary Research</t>
  </si>
  <si>
    <t>International Journal for Philosophy of Religion</t>
  </si>
  <si>
    <t>International Journal for the Study of New Religions</t>
  </si>
  <si>
    <t>International Journal for the Study of the Christian Church</t>
  </si>
  <si>
    <t>International Journal of Hindu Studies</t>
  </si>
  <si>
    <t>International Journal of Practical Theology</t>
  </si>
  <si>
    <t>International Journal of Public Theology</t>
  </si>
  <si>
    <t>International Review of Mission</t>
  </si>
  <si>
    <t>International Studies in Religion and Society</t>
  </si>
  <si>
    <t>Islam and Christian-Muslim Relations</t>
  </si>
  <si>
    <t>Islamic Manuscripts and Books</t>
  </si>
  <si>
    <t>Japanese Religions</t>
  </si>
  <si>
    <t>JASANAS; Journal of Alternative Spiritualities and New Age Studies</t>
  </si>
  <si>
    <t>Jerusalem Studies in Arabic and Islam</t>
  </si>
  <si>
    <t>Jewish Social Studies</t>
  </si>
  <si>
    <t>Jiddistik Mitteilungen</t>
  </si>
  <si>
    <t>Journal for Cultural and Religious Theory</t>
  </si>
  <si>
    <t>Journal for the Academic Study of Religion</t>
  </si>
  <si>
    <t>Journal for the Study of Religion</t>
  </si>
  <si>
    <t>Journal for the Study of Religion, Nature and Culture</t>
  </si>
  <si>
    <t>Journal for the Study of Religions and Ideologies</t>
  </si>
  <si>
    <t>Journal for the Study of the Pseudepigrapha</t>
  </si>
  <si>
    <t>Journal of Africana Religions</t>
  </si>
  <si>
    <t>Journal of Ancient Judaism. Supplements</t>
  </si>
  <si>
    <t>Journal of Ancient Near Eastern Religions</t>
  </si>
  <si>
    <t>Journal of Animal Ethics</t>
  </si>
  <si>
    <t>Journal of Buddhist Ethics</t>
  </si>
  <si>
    <t>Journal of Cognitive Historiography</t>
  </si>
  <si>
    <t>Journal of Coptic Studies</t>
  </si>
  <si>
    <t>Journal of Early Christian Studies</t>
  </si>
  <si>
    <t>Journal of Ecumenical Studies</t>
  </si>
  <si>
    <t>Journal of Empirical Theology</t>
  </si>
  <si>
    <t>Journal of Feminist Studies in Religion</t>
  </si>
  <si>
    <t>Journal of Hebrew Scriptures</t>
  </si>
  <si>
    <t>Journal of Islamic Studies</t>
  </si>
  <si>
    <t>Journal of Jewish Thought and Philosophy. Supplements</t>
  </si>
  <si>
    <t>Journal of Muslim Minority Affairs</t>
  </si>
  <si>
    <t>Journal of Muslims in Europe</t>
  </si>
  <si>
    <t>Journal of Pastoral Theology</t>
  </si>
  <si>
    <t>Journal of Pentecostal Theology</t>
  </si>
  <si>
    <t>Journal of Presbyterian History</t>
  </si>
  <si>
    <t>Journal of Psychology and Theology</t>
  </si>
  <si>
    <t>Journal of Qur'anic Studies</t>
  </si>
  <si>
    <t>Journal of Religion and Popular Culture</t>
  </si>
  <si>
    <t>Journal of Religion and Society</t>
  </si>
  <si>
    <t>Journal of Religion in Africa</t>
  </si>
  <si>
    <t>Journal of Religion in Japan</t>
  </si>
  <si>
    <t>Journal of Religion, Disability &amp; Health</t>
  </si>
  <si>
    <t>Journal of Religion, Media &amp; Digital Culture</t>
  </si>
  <si>
    <t>Journal of Religion, Spirituality &amp; Aging</t>
  </si>
  <si>
    <t>Journal of Religious Education</t>
  </si>
  <si>
    <t>Journal of Southern Religion</t>
  </si>
  <si>
    <t>Journal of the International Association of Buddhist Studies</t>
  </si>
  <si>
    <t>Journal of the International Association of Tibetan Studies</t>
  </si>
  <si>
    <t>Journal of the Society of Christian Ethics</t>
  </si>
  <si>
    <t>Journal of Theological Studies</t>
  </si>
  <si>
    <t>Journal of Theology for Southern Africa</t>
  </si>
  <si>
    <t>Journal of Youth and Theology</t>
  </si>
  <si>
    <t>Judaica</t>
  </si>
  <si>
    <t>Kirche - Konfession - Religion</t>
  </si>
  <si>
    <t>Kirchliche Zeitgeschichte</t>
  </si>
  <si>
    <t>Kirkehistoriske Samlinger</t>
  </si>
  <si>
    <t>Kommentare zu Schriften Luthers</t>
  </si>
  <si>
    <t>Kultura, Media, Teologia</t>
  </si>
  <si>
    <t>Kyrkohistorisk Aarsskrift</t>
  </si>
  <si>
    <t>Käytännöllisen teologian laitoksen julkaisuja</t>
  </si>
  <si>
    <t>Liturgy</t>
  </si>
  <si>
    <t>Logos: A Journal of Catholic Thought and Culture</t>
  </si>
  <si>
    <t>Louvain Studies</t>
  </si>
  <si>
    <t>Lutheran Quarterly</t>
  </si>
  <si>
    <t>Lutherjahrbuch</t>
  </si>
  <si>
    <t>Marburg Journal of Religion</t>
  </si>
  <si>
    <t>Material Religion</t>
  </si>
  <si>
    <t>Medieval Sermon Studies</t>
  </si>
  <si>
    <t>Missiology</t>
  </si>
  <si>
    <t>Mission Studies</t>
  </si>
  <si>
    <t>Missionalia</t>
  </si>
  <si>
    <t>Modern Judaism</t>
  </si>
  <si>
    <t>Moreana</t>
  </si>
  <si>
    <t>NanoEthics</t>
  </si>
  <si>
    <t>Nazan Studies in Religion &amp; Culture</t>
  </si>
  <si>
    <t>Neue Theologische Grundrisse</t>
  </si>
  <si>
    <t>Nordisk Judaistik</t>
  </si>
  <si>
    <t>Norsk Teologisk Tidsskrift</t>
  </si>
  <si>
    <t>Norsk Tidsskrift for Misjonsvitenskap</t>
  </si>
  <si>
    <t>Novum Testamentum. Supplements</t>
  </si>
  <si>
    <t>Old Testament Essays</t>
  </si>
  <si>
    <t>Open Theology</t>
  </si>
  <si>
    <t>Orbis Biblicus et Orientalis</t>
  </si>
  <si>
    <t>Orientalia Christiana Periodica</t>
  </si>
  <si>
    <t>Orientalische Religionen in der Antike</t>
  </si>
  <si>
    <t>Oxford Theological Monographs</t>
  </si>
  <si>
    <t>Palgrave Studies In New Religions And Alternative Spiritualities</t>
  </si>
  <si>
    <t>Palgrave Studies In Religion, Politics, And Policy</t>
  </si>
  <si>
    <t>Panorama : International Journal of Comparative Religious Education and Values</t>
  </si>
  <si>
    <t>Pathways for Ecumenical and Interreligious Dialogue</t>
  </si>
  <si>
    <t>Patristic Studies</t>
  </si>
  <si>
    <t>PentecoStudies</t>
  </si>
  <si>
    <t>Philosophical Studies in Science and Religion</t>
  </si>
  <si>
    <t>Philosophy of Religion</t>
  </si>
  <si>
    <t>Pneuma: The Journal of the Society for Pentecostal Studies</t>
  </si>
  <si>
    <t>Political Theology</t>
  </si>
  <si>
    <t>Postscripts: The Journal of Sacred Texts and Contemporary Worlds</t>
  </si>
  <si>
    <t>Praktische Theologie</t>
  </si>
  <si>
    <t>Praktische Theologie in Geschichte und Gegenwart</t>
  </si>
  <si>
    <t>Princeton Studies in Muslim Politics</t>
  </si>
  <si>
    <t>Pseudepigrapha Veteris Testamenti Graece</t>
  </si>
  <si>
    <t>Publications of the Eric Samson Chair in Jewish Civilization</t>
  </si>
  <si>
    <t>Questions Liturgiques</t>
  </si>
  <si>
    <t>Rambam</t>
  </si>
  <si>
    <t>Recherches Augustiniennes et Patristiques</t>
  </si>
  <si>
    <t>Religio: revue pro religionistiku</t>
  </si>
  <si>
    <t>Religion and American Culture</t>
  </si>
  <si>
    <t>Religion and Literature</t>
  </si>
  <si>
    <t>Religion and Society</t>
  </si>
  <si>
    <t>Religion and the Arts</t>
  </si>
  <si>
    <t>Religion and Theology: A Journal of Contemporary Religious Discourse</t>
  </si>
  <si>
    <t>Religion in the Americas Series</t>
  </si>
  <si>
    <t>Religion, State and Society</t>
  </si>
  <si>
    <t>Religions in the Graeco-Roman World</t>
  </si>
  <si>
    <t>Religionsvidenskabeligt Tidsskrift</t>
  </si>
  <si>
    <t>Religious Education</t>
  </si>
  <si>
    <t>Religious Studies: An International Journal for the Philosophy of Religion</t>
  </si>
  <si>
    <t>Research in the Social Scientific Study of Religion</t>
  </si>
  <si>
    <t>Review of Rabbinic Judaism</t>
  </si>
  <si>
    <t>Revista Cultura &amp; Religión</t>
  </si>
  <si>
    <t>Revue Africaine de Theologie</t>
  </si>
  <si>
    <t>Revue de Qumran</t>
  </si>
  <si>
    <t>Revue des Etudes Juives</t>
  </si>
  <si>
    <t>Revue d'Etudes Augustiniennes et Patristiques</t>
  </si>
  <si>
    <t>Revue d'Histoire Ecclésiastique</t>
  </si>
  <si>
    <t>Revue Theologique de Louvain</t>
  </si>
  <si>
    <t>Ritus et Artes</t>
  </si>
  <si>
    <t>Rivista di Storia e Letteratura Religiosa</t>
  </si>
  <si>
    <t>Routledge Handbooks in Religion</t>
  </si>
  <si>
    <t>Routledge Studies In Pilgrimage, Religious Travel And Tourism</t>
  </si>
  <si>
    <t>Schleiermacher-Archiv</t>
  </si>
  <si>
    <t>Scientific Studies of Religion: Inquiry and Explanation</t>
  </si>
  <si>
    <t>Scottish Journal of Theology</t>
  </si>
  <si>
    <t>Scripta Instituti Donneriani Aboensis</t>
  </si>
  <si>
    <t>Scriptura: Journal of Bible, Religion, and theology in Southern Africa</t>
  </si>
  <si>
    <t>Sefarad</t>
  </si>
  <si>
    <t>Semeia Studies</t>
  </si>
  <si>
    <t>Semitic Study Series</t>
  </si>
  <si>
    <t>Septuagint and Cognate Studies Series</t>
  </si>
  <si>
    <t>Septuagint Commentary Series</t>
  </si>
  <si>
    <t>Shofar: An Interdisciplinary Journal of Jewish Studies</t>
  </si>
  <si>
    <t>Sobornost</t>
  </si>
  <si>
    <t>Social Sciences and Missions</t>
  </si>
  <si>
    <t>Social, Economic and Political Studies of the Middle East and Asia</t>
  </si>
  <si>
    <t>Stanford Studies in Jewish History and Culture</t>
  </si>
  <si>
    <t>Studia in Veteris Testamenti Pseudepigrapha</t>
  </si>
  <si>
    <t>Studia Judaeoslavica</t>
  </si>
  <si>
    <t>Studia Judaica</t>
  </si>
  <si>
    <t>Studia liturgica: An International Ecumenical Review for Liturgical Research and Renewal</t>
  </si>
  <si>
    <t>Studia Monastica</t>
  </si>
  <si>
    <t>Studia Patristica</t>
  </si>
  <si>
    <t>Studia Rosenthaliana</t>
  </si>
  <si>
    <t>Studia Semitica Neerlandica</t>
  </si>
  <si>
    <t>Studien und Texte zu Antike und Christentum</t>
  </si>
  <si>
    <t>Studien und Texte zur Geistesgeschichte des Mittelalters</t>
  </si>
  <si>
    <t>Studien zur Außereuropäischen Christentumsgeschichte (Asien, Afrika, Lateinamerika) / Studies in the History of Christianity in the Non-Western World</t>
  </si>
  <si>
    <t>Studien zur Kirchengeschichte Niedersachsens</t>
  </si>
  <si>
    <t>Studien Zur Religiösen Bildung</t>
  </si>
  <si>
    <t>Studies in Christian Ethics</t>
  </si>
  <si>
    <t>Studies in Christian Mission</t>
  </si>
  <si>
    <t>Studies in Church and State</t>
  </si>
  <si>
    <t>Studies in Contemporary Jewry</t>
  </si>
  <si>
    <t>Studies in Critical Research on Religion</t>
  </si>
  <si>
    <t>Studies In Early Christianity</t>
  </si>
  <si>
    <t>Studies in Greek and Roman Religion</t>
  </si>
  <si>
    <t>Studies in Interreligious Dialogue</t>
  </si>
  <si>
    <t>Studies in Islamic Law &amp; Society</t>
  </si>
  <si>
    <t>Studies in Jewish History</t>
  </si>
  <si>
    <t>Studies in Jewish History and Culture</t>
  </si>
  <si>
    <t>Studies in Medieval and Reformation Thought</t>
  </si>
  <si>
    <t>Studies in Medieval and Reformation Traditions</t>
  </si>
  <si>
    <t>Studies in Philosophical Theology</t>
  </si>
  <si>
    <t>Studies in Reformed Theology</t>
  </si>
  <si>
    <t>Studies in Religion</t>
  </si>
  <si>
    <t>Studies in Religion and the Arts</t>
  </si>
  <si>
    <t>Studies in Religion, Secular Beliefs and Human Rights</t>
  </si>
  <si>
    <t>Studies in Spirituality</t>
  </si>
  <si>
    <t>Studies in Spirituality Supplements</t>
  </si>
  <si>
    <t>Studies in Systematic Theology</t>
  </si>
  <si>
    <t>Studies in the Aramaic Interpretation of Scripture</t>
  </si>
  <si>
    <t>Studies in the History of Christian Traditions</t>
  </si>
  <si>
    <t>Studies in Theology and Religion</t>
  </si>
  <si>
    <t>Studies in World Christianity</t>
  </si>
  <si>
    <t>Studies in World Christianity and Interreligious Relations</t>
  </si>
  <si>
    <t>Studies on the Texts of the Desert of Judah</t>
  </si>
  <si>
    <t>Svensk Exegetisk Aarsbok</t>
  </si>
  <si>
    <t>Svensk Missionstidskrift</t>
  </si>
  <si>
    <t>Svensk Teologisk Kvartalskrift</t>
  </si>
  <si>
    <t>TC: A Journal of Biblical Textual Criticism</t>
  </si>
  <si>
    <t>Teaching Theology and Religion</t>
  </si>
  <si>
    <t>Teologisk Tidsskrift</t>
  </si>
  <si>
    <t>Texte und Studien zum Antiken Judentum</t>
  </si>
  <si>
    <t>Texts and Editions for New Testament Study</t>
  </si>
  <si>
    <t>Texts and Studies in Medieval and Early Modern Judaism</t>
  </si>
  <si>
    <t>Texts from Golden Age Denmark</t>
  </si>
  <si>
    <t>The Annotated Luther series</t>
  </si>
  <si>
    <t>The Bible and Critical Theory</t>
  </si>
  <si>
    <t>The Bible in Ancient Christianity</t>
  </si>
  <si>
    <t>The Brill Reference Library of Judaism</t>
  </si>
  <si>
    <t>The Ecumenical Review</t>
  </si>
  <si>
    <t>The History of Christian-Muslim Relations</t>
  </si>
  <si>
    <t>The Jewish Quarterly Review</t>
  </si>
  <si>
    <t>The Journal of Eastern Christian Studies</t>
  </si>
  <si>
    <t>The Journal of Hindu Studies</t>
  </si>
  <si>
    <t>The Journal of Medieval Monastic Studies</t>
  </si>
  <si>
    <t>The Journal of Religion</t>
  </si>
  <si>
    <t>The Library of New Testament Studies</t>
  </si>
  <si>
    <t>The Medieval Franciscans</t>
  </si>
  <si>
    <t>The Muslim World</t>
  </si>
  <si>
    <t>The Pomegranate</t>
  </si>
  <si>
    <t>The Studia Philonica Annual</t>
  </si>
  <si>
    <t>The Study Of Religion In A Global Context</t>
  </si>
  <si>
    <t>Themes in Biblical Narrative</t>
  </si>
  <si>
    <t>Themes in Islamic Studies</t>
  </si>
  <si>
    <t>Theological Studies</t>
  </si>
  <si>
    <t>Theologische Beitraege</t>
  </si>
  <si>
    <t>Theologische Literaturzeitung</t>
  </si>
  <si>
    <t>Theologische Rundschau</t>
  </si>
  <si>
    <t>Theology Today</t>
  </si>
  <si>
    <t>Tidsskrift for Islamforskning</t>
  </si>
  <si>
    <t>Tidsskrift for Kirke - Religion - Samfunn, Tilleggshefte</t>
  </si>
  <si>
    <t>Tidsskrift for praktisk teologi</t>
  </si>
  <si>
    <t>Tidsskrift for sjelesorg</t>
  </si>
  <si>
    <t>Topoi Biblischer Theologie</t>
  </si>
  <si>
    <t>Toronto Journal of Theology</t>
  </si>
  <si>
    <t>Traditio Exegetica Graeca</t>
  </si>
  <si>
    <t>Tradition</t>
  </si>
  <si>
    <t>Trierer Theologische Zeitschrift</t>
  </si>
  <si>
    <t>UTB S Themen der Theologie</t>
  </si>
  <si>
    <t>Verkündigung und Forschung</t>
  </si>
  <si>
    <t>Veröffentlichungen Der Wissenschaftlichen Gesellschaft Für Theologie</t>
  </si>
  <si>
    <t>Vigiliae Christianae</t>
  </si>
  <si>
    <t>Vigiliae Christianae, Supplements</t>
  </si>
  <si>
    <t>Wiener Beiträge Zur Islamforschung</t>
  </si>
  <si>
    <t>Wissenschaftliche Untersuchungen Zum Neuen Testament, 2. Reihe</t>
  </si>
  <si>
    <t>Worldviews: Global Religions, Culture, and Ecology</t>
  </si>
  <si>
    <t>Yearbook of Muslims in Europe</t>
  </si>
  <si>
    <t>Zeitschrift der Deutsche Morgenlaendischen Gesellschaft</t>
  </si>
  <si>
    <t>Zeitschrift fuer Althebraistik</t>
  </si>
  <si>
    <t>Zeitschrift fuer Dialektische Theologie</t>
  </si>
  <si>
    <t>Zeitschrift fuer Kirchengeschichte</t>
  </si>
  <si>
    <t>Zeitschrift für Evangelische Ethik</t>
  </si>
  <si>
    <t>Zeitschrift für Evangelisches Kirchenrecht</t>
  </si>
  <si>
    <t>Zeitschrift für Neuere Theologiegeschichte</t>
  </si>
  <si>
    <t>Zeitschrift für Religions- und Geistesgeschichte</t>
  </si>
  <si>
    <t>Zeitschrift für Religionswissenschaft</t>
  </si>
  <si>
    <t>Filosofi og Idéhistorie, Videnskabsteori</t>
  </si>
  <si>
    <t>American Philosophical Quarterly</t>
  </si>
  <si>
    <t>Analysis</t>
  </si>
  <si>
    <t>Analytic Philosophy</t>
  </si>
  <si>
    <t>Ancient Philosophy</t>
  </si>
  <si>
    <t>Australasian Journal of Philosophy</t>
  </si>
  <si>
    <t>Bioethics</t>
  </si>
  <si>
    <t>British Journal for the History of Philosophy</t>
  </si>
  <si>
    <t>Canadian Journal of Philosophy</t>
  </si>
  <si>
    <t>Continental Philosophy Review</t>
  </si>
  <si>
    <t>Deutsche Zeitschrift für Philosophie</t>
  </si>
  <si>
    <t>Dialectica</t>
  </si>
  <si>
    <t>Episteme</t>
  </si>
  <si>
    <t>Ergo</t>
  </si>
  <si>
    <t>Erkenntnis: An International Journal of Scientific Philosophy</t>
  </si>
  <si>
    <t>Ethical Theory and Moral Practice</t>
  </si>
  <si>
    <t>Ethics: An International Journal of Social, Political, and Legal Philosophy</t>
  </si>
  <si>
    <t>European Journal for Philosophy of Science</t>
  </si>
  <si>
    <t>European Journal of Philosophy</t>
  </si>
  <si>
    <t>Hegel-Studien</t>
  </si>
  <si>
    <t>History of European Ideas</t>
  </si>
  <si>
    <t>History of Philosophy Quarterly</t>
  </si>
  <si>
    <t>HOPOS: The Journal of the International Society for the History of Philosophy of Science</t>
  </si>
  <si>
    <t>Inquiry</t>
  </si>
  <si>
    <t>Intellectual History Review</t>
  </si>
  <si>
    <t>International Studies in the Philosophy of Science</t>
  </si>
  <si>
    <t>Journal for General Philosophy of Science</t>
  </si>
  <si>
    <t>Journal of Applied Philosophy</t>
  </si>
  <si>
    <t>Journal of Medical Ethics</t>
  </si>
  <si>
    <t>Journal of Moral Philosophy</t>
  </si>
  <si>
    <t>Journal of Philosophical Logic</t>
  </si>
  <si>
    <t>Journal of Political Philosophy</t>
  </si>
  <si>
    <t>Journal of Symbolic Logic</t>
  </si>
  <si>
    <t>Journal of the History of Ideas</t>
  </si>
  <si>
    <t>Journal of the History of Philosophy</t>
  </si>
  <si>
    <t>Kant-Studien</t>
  </si>
  <si>
    <t>Metaphilosophy</t>
  </si>
  <si>
    <t>Mind</t>
  </si>
  <si>
    <t>Modern Intellectual History</t>
  </si>
  <si>
    <t>Noûs</t>
  </si>
  <si>
    <t>Pacific Philosophical Quarterly</t>
  </si>
  <si>
    <t>Phaenomenologica</t>
  </si>
  <si>
    <t>Phenomenology and the Cognitive Sciences</t>
  </si>
  <si>
    <t>Philosophers' Imprint</t>
  </si>
  <si>
    <t>Philosophical Issues</t>
  </si>
  <si>
    <t>Philosophical Perspectives</t>
  </si>
  <si>
    <t>Philosophical Psychology</t>
  </si>
  <si>
    <t>Philosophical Review</t>
  </si>
  <si>
    <t>Philosophical Studies</t>
  </si>
  <si>
    <t>Philosophical Topics</t>
  </si>
  <si>
    <t>Philosophy &amp; Public Affairs</t>
  </si>
  <si>
    <t>Philosophy &amp; Social Criticism</t>
  </si>
  <si>
    <t>Philosophy &amp; Technology</t>
  </si>
  <si>
    <t>Philosophy and Literature</t>
  </si>
  <si>
    <t>Philosophy and Phenomenological Research</t>
  </si>
  <si>
    <t>Philosophy of Science</t>
  </si>
  <si>
    <t>Phronesis</t>
  </si>
  <si>
    <t>Politics, Philosophy &amp; Economics</t>
  </si>
  <si>
    <t>Proceedings of the Aristotelian Society</t>
  </si>
  <si>
    <t>Proceedings of the Aristotelian Society. Supplementary Volume</t>
  </si>
  <si>
    <t>Ratio</t>
  </si>
  <si>
    <t>Res Publica</t>
  </si>
  <si>
    <t>Review of Symbolic Logic</t>
  </si>
  <si>
    <t>Social Philosophy and Policy</t>
  </si>
  <si>
    <t>Social Theory and Practice</t>
  </si>
  <si>
    <t>Synthese</t>
  </si>
  <si>
    <t>The British Journal for the Philosophy of Science</t>
  </si>
  <si>
    <t>The Journal of Ethics</t>
  </si>
  <si>
    <t>The Journal of Medicine &amp; Philosophy</t>
  </si>
  <si>
    <t>The Journal of Philosophy</t>
  </si>
  <si>
    <t>The Monist</t>
  </si>
  <si>
    <t>The Philosophical Quarterly</t>
  </si>
  <si>
    <t>Theoria</t>
  </si>
  <si>
    <t>Theoria: A Journal of Social and Political Theory</t>
  </si>
  <si>
    <t>Thought: A Journal of Philosophy</t>
  </si>
  <si>
    <t>Utilitas</t>
  </si>
  <si>
    <t>Vivarium</t>
  </si>
  <si>
    <t>Abstracta</t>
  </si>
  <si>
    <t>Acta Analytica</t>
  </si>
  <si>
    <t>Acta Philosophica</t>
  </si>
  <si>
    <t>African Journal of Business Ethics</t>
  </si>
  <si>
    <t>African Philosophy</t>
  </si>
  <si>
    <t>African Philosophy: Critical Perspectives And Global Dialogue</t>
  </si>
  <si>
    <t>Agora</t>
  </si>
  <si>
    <t>Ajatus</t>
  </si>
  <si>
    <t>Allgemeine Zeitschrift für Philosophie</t>
  </si>
  <si>
    <t>Alpha: Revista de artes, letras y filosofía</t>
  </si>
  <si>
    <t>Alter</t>
  </si>
  <si>
    <t>American Catholic Philosophical Quarterly</t>
  </si>
  <si>
    <t>American Journal of Theology &amp; Philosophy</t>
  </si>
  <si>
    <t>Analecta Hermeneutica</t>
  </si>
  <si>
    <t>Analecta Husserliana: The Yearbook of Phenomenological Research</t>
  </si>
  <si>
    <t>Analisis Filosofico</t>
  </si>
  <si>
    <t>Analyse &amp; Kritik: Journal of Philosophy and Social Theory</t>
  </si>
  <si>
    <t>Analysis and Metaphysics</t>
  </si>
  <si>
    <t>Analytic Teaching and Philosophical Praxis</t>
  </si>
  <si>
    <t>Animus: The Canadian Journal of Philosophy and Humanities</t>
  </si>
  <si>
    <t>Annales Universitatis Mariae Curie-Sklodowska. Sectio I. Philosophia - Sociologia</t>
  </si>
  <si>
    <t>Anuario Filosofico</t>
  </si>
  <si>
    <t>Applied Ontology</t>
  </si>
  <si>
    <t>Applied Philosophy / Anvendt Filosofi</t>
  </si>
  <si>
    <t>Arabic Sciences and Philosophy</t>
  </si>
  <si>
    <t>Archiv für Begriffsgeschichte</t>
  </si>
  <si>
    <t>Archiv für Rechts- und Sozialphilosophie</t>
  </si>
  <si>
    <t>Archives de Philosophie</t>
  </si>
  <si>
    <t>Argument &amp; Computation</t>
  </si>
  <si>
    <t>Asian Journal of Business Ethics</t>
  </si>
  <si>
    <t>Asian Philosophy</t>
  </si>
  <si>
    <t>Astérion</t>
  </si>
  <si>
    <t>Augustinian Studies</t>
  </si>
  <si>
    <t>Augustinianum</t>
  </si>
  <si>
    <t>Australian Journal of Legal Philosophy</t>
  </si>
  <si>
    <t>AVANT. Trends in Interdisciplinary Studies</t>
  </si>
  <si>
    <t>Azafea: Revista de Filosofía</t>
  </si>
  <si>
    <t>Bibliothèque Philosophique De Louvain</t>
  </si>
  <si>
    <t>Biological Theory</t>
  </si>
  <si>
    <t>Blaue Reihe</t>
  </si>
  <si>
    <t>Bochumer Studien zur Philosophie</t>
  </si>
  <si>
    <t>Bulletin d'Analyse Phenomenologique</t>
  </si>
  <si>
    <t>Bulletin de Philosophie Medievale</t>
  </si>
  <si>
    <t>Bulletin of the Section of Logic</t>
  </si>
  <si>
    <t>Cadernos do PET Filosofia</t>
  </si>
  <si>
    <t>Cahiers d'Histoire et de Philosophie des Sciences</t>
  </si>
  <si>
    <t>Cambridge Studies in Philosophy</t>
  </si>
  <si>
    <t>Canadian Journal of Philosophy. Supplementary Volume Series</t>
  </si>
  <si>
    <t>Chiasmi International</t>
  </si>
  <si>
    <t>Cites</t>
  </si>
  <si>
    <t>Clio. Women, Gender, History</t>
  </si>
  <si>
    <t>Collingwood and British Idealism Studies</t>
  </si>
  <si>
    <t>Common Knowledge</t>
  </si>
  <si>
    <t>Comparative and Continental Philosophy</t>
  </si>
  <si>
    <t>Comparative Philosophy</t>
  </si>
  <si>
    <t>Conjectura: Filosofia e Educacao</t>
  </si>
  <si>
    <t>Contemporary Aesthetics</t>
  </si>
  <si>
    <t>Contemporary Pragmatism</t>
  </si>
  <si>
    <t>Con-Textos Kantianos. International Journal of Philosophy</t>
  </si>
  <si>
    <t>Controversies</t>
  </si>
  <si>
    <t>Convivium : Revista de Filosofía</t>
  </si>
  <si>
    <t>Cosmos and History:the journal of natural and social philosophy</t>
  </si>
  <si>
    <t>Criminal Justice Ethics</t>
  </si>
  <si>
    <t>Criminal Law and Philosophy</t>
  </si>
  <si>
    <t>Critica</t>
  </si>
  <si>
    <t>Critical Philosophy of Race</t>
  </si>
  <si>
    <t>Critical Review of International Social and Political Philosophy</t>
  </si>
  <si>
    <t>Croatian Journal of Philosophy</t>
  </si>
  <si>
    <t>Daimon: Revista de filosofía</t>
  </si>
  <si>
    <t>Danish Yearbook of Philosophy</t>
  </si>
  <si>
    <t>Dao: A Journal of Comparative Philosophy</t>
  </si>
  <si>
    <t>De Uil van Minerva</t>
  </si>
  <si>
    <t>Deleuze Studies</t>
  </si>
  <si>
    <t>Der Blaue Reiter</t>
  </si>
  <si>
    <t>Dialogue and Universalism</t>
  </si>
  <si>
    <t>Dialogue: Canadian Philosophical Review / Revue canadienne de philosophie</t>
  </si>
  <si>
    <t>Dialogues in Philosophy, Mental and Neuro Sciences</t>
  </si>
  <si>
    <t>Diametros</t>
  </si>
  <si>
    <t>Dianoia</t>
  </si>
  <si>
    <t>Dilemata</t>
  </si>
  <si>
    <t>Diogene</t>
  </si>
  <si>
    <t>Diogenes</t>
  </si>
  <si>
    <t>Diotime-L’Agora</t>
  </si>
  <si>
    <t>Discipline Filosofiche</t>
  </si>
  <si>
    <t>Discusiones Filosoficas</t>
  </si>
  <si>
    <t>Disputatio</t>
  </si>
  <si>
    <t>DoisPontos</t>
  </si>
  <si>
    <t>Dynamis: Acta Hispanica ad Medicinae Scientarumque Historiam Illustrandam</t>
  </si>
  <si>
    <t>Eco-ethica</t>
  </si>
  <si>
    <t>Educational Philosophy and Theory</t>
  </si>
  <si>
    <t>Eidos</t>
  </si>
  <si>
    <t>Elenchos</t>
  </si>
  <si>
    <t>E-Logos: Electronic journal for philosophy</t>
  </si>
  <si>
    <t>Emotion Review</t>
  </si>
  <si>
    <t>Empedocles: European journal for the philosophy of communication</t>
  </si>
  <si>
    <t>Enrahonar: An international journal of theoretical and practical reason</t>
  </si>
  <si>
    <t>Environment, Space, Place</t>
  </si>
  <si>
    <t>Environmental Ethics</t>
  </si>
  <si>
    <t>Environmental Philosophy</t>
  </si>
  <si>
    <t>Epistemologia</t>
  </si>
  <si>
    <t>Epoché: A Journal for the History of Philosophy</t>
  </si>
  <si>
    <t>Erasmus Journal for Philosophy and Economics</t>
  </si>
  <si>
    <t>Essays in Philosophy</t>
  </si>
  <si>
    <t>Essays in the Philosophy of Humanism</t>
  </si>
  <si>
    <t>Estetika: The Central European Jpurnal of Aesthetics</t>
  </si>
  <si>
    <t>Estudios de Filosofia</t>
  </si>
  <si>
    <t>Estudios Nietzsche</t>
  </si>
  <si>
    <t>Ethic@ -  An international Journal for Moral Philosophy</t>
  </si>
  <si>
    <t>Ethical Economy</t>
  </si>
  <si>
    <t>Ethical Perspectives</t>
  </si>
  <si>
    <t>Ethics &amp; the Environment</t>
  </si>
  <si>
    <t>Ethics and Social Welfare</t>
  </si>
  <si>
    <t>Ethics in Science and Environmental Politics</t>
  </si>
  <si>
    <t>Ethics of Science and Technology Assessment</t>
  </si>
  <si>
    <t>Ethics, Policy &amp; Environment</t>
  </si>
  <si>
    <t>Ethische Perspectieven</t>
  </si>
  <si>
    <t>Etikk i Praksis</t>
  </si>
  <si>
    <t xml:space="preserve">Études phénoménologiques - Phenomenological Studies </t>
  </si>
  <si>
    <t>Études Ricoeuriennes/Ricoeur Studies</t>
  </si>
  <si>
    <t>European Journal of Analytic Philosophy</t>
  </si>
  <si>
    <t>European Journal of Pragmatism and American Philosophy</t>
  </si>
  <si>
    <t>European Studies in Philosophy of Science</t>
  </si>
  <si>
    <t>Existentia</t>
  </si>
  <si>
    <t>Faith and Philosophy</t>
  </si>
  <si>
    <t>Fichte - Studien</t>
  </si>
  <si>
    <t>Fides : Revista de Filosofia do Direito, do Estado e da Sociedade</t>
  </si>
  <si>
    <t>Film-Philosophy</t>
  </si>
  <si>
    <t>Filosoficky Casopis</t>
  </si>
  <si>
    <t>Filosofisk Tidskrift</t>
  </si>
  <si>
    <t>Filozofia</t>
  </si>
  <si>
    <t>Foro Interno : Anuario de Teoría Política</t>
  </si>
  <si>
    <t>Forum Philosophicum</t>
  </si>
  <si>
    <t>Foucault Studies</t>
  </si>
  <si>
    <t>Franciscan Studies</t>
  </si>
  <si>
    <t>Fronesis</t>
  </si>
  <si>
    <t>Frontiers of Philosophy in China</t>
  </si>
  <si>
    <t>Giornale Critico della Filosofia Italiana</t>
  </si>
  <si>
    <t>Global Intellectual History</t>
  </si>
  <si>
    <t>Global Justice: Theory Practice Rhetoric</t>
  </si>
  <si>
    <t>Gnosis</t>
  </si>
  <si>
    <t>Graduate Faculty Philosophy Journal</t>
  </si>
  <si>
    <t>Grazer Philosophische Studien</t>
  </si>
  <si>
    <t>Grotiana</t>
  </si>
  <si>
    <t>Hegel Bulletin</t>
  </si>
  <si>
    <t>Heidegger Studies</t>
  </si>
  <si>
    <t>Historia philosophica</t>
  </si>
  <si>
    <t>History and Philosophy of Psychology</t>
  </si>
  <si>
    <t>History, Philosophy and Theory of the Life Sciences</t>
  </si>
  <si>
    <t>Hobbes Studies</t>
  </si>
  <si>
    <t>Humanidades Medicas</t>
  </si>
  <si>
    <t>Humanist Studies &amp; the Digital Age</t>
  </si>
  <si>
    <t>Hume Studies</t>
  </si>
  <si>
    <t>Husserl Studies</t>
  </si>
  <si>
    <t>Idealistic Studies</t>
  </si>
  <si>
    <t>Ideas y Valores</t>
  </si>
  <si>
    <t>Indiana Series in the Philosophy of Religion</t>
  </si>
  <si>
    <t>Informal Logic</t>
  </si>
  <si>
    <t>Integral Review</t>
  </si>
  <si>
    <t>Inter-American Journal of Philosophy</t>
  </si>
  <si>
    <t>International handbooks of quality-of-life</t>
  </si>
  <si>
    <t>International Journal for the Study of Skepticism</t>
  </si>
  <si>
    <t>International Journal of Applied Philosophy</t>
  </si>
  <si>
    <t>International Journal of Management Concepts and Philosophy</t>
  </si>
  <si>
    <t>International Journal of Philosophical Studies</t>
  </si>
  <si>
    <t>International Journal of Philosophy and Theology</t>
  </si>
  <si>
    <t>International Journal of the Platonic Tradition</t>
  </si>
  <si>
    <t>International Journal of Žižek Studies</t>
  </si>
  <si>
    <t>International Philosophical Quarterly</t>
  </si>
  <si>
    <t>International Review of Information Ethics</t>
  </si>
  <si>
    <t>Internationales Jahrbuch des Deutschen Idealismus / International Yearbook of German Idealism</t>
  </si>
  <si>
    <t>Internationales Jahrbuch für Hermeneutik</t>
  </si>
  <si>
    <t>Internet Encyclopedia of Philosophy</t>
  </si>
  <si>
    <t>Interpretation: A journal of political philosophy</t>
  </si>
  <si>
    <t>Investigaciones Fenomenológicas</t>
  </si>
  <si>
    <t>IRB: Ethics &amp; Human Research</t>
  </si>
  <si>
    <t>Iride: Filosofia e discussione pubblica</t>
  </si>
  <si>
    <t>Isegoria</t>
  </si>
  <si>
    <t>Islamic Philosophy, Theology and Science</t>
  </si>
  <si>
    <t>IXTLI - Revista Latinoamericana de Filosofía de la Educación</t>
  </si>
  <si>
    <t>IYYUN: The Jerusalem Philosophical Quarterly</t>
  </si>
  <si>
    <t>Jahrbuch für Wissenschaft und Ethik</t>
  </si>
  <si>
    <t>Janus Head</t>
  </si>
  <si>
    <t>Journal for Critical Animal Studies</t>
  </si>
  <si>
    <t>Journal for Peace &amp; Justice Studies</t>
  </si>
  <si>
    <t>Journal for the History of Analytical Philosophy</t>
  </si>
  <si>
    <t>Journal of Academic Ethics</t>
  </si>
  <si>
    <t>Journal of Argumentation in Context</t>
  </si>
  <si>
    <t>Journal of Ayn Rand Studies</t>
  </si>
  <si>
    <t>Journal of Beliefs and Values</t>
  </si>
  <si>
    <t>Journal of Causal Inference</t>
  </si>
  <si>
    <t>Journal of Consciousness Studies</t>
  </si>
  <si>
    <t>Journal of Ethics &amp; Social Philosophy</t>
  </si>
  <si>
    <t>Journal of French and Francophone Philosophy</t>
  </si>
  <si>
    <t>Journal of Global Ethics</t>
  </si>
  <si>
    <t>Journal of Human Values</t>
  </si>
  <si>
    <t>Journal of Islamic Philosophy</t>
  </si>
  <si>
    <t>Journal of Military Ethics</t>
  </si>
  <si>
    <t>Journal of Nietzsche Studies</t>
  </si>
  <si>
    <t>Journal of Philosophical Research</t>
  </si>
  <si>
    <t>Journal of Philosophy</t>
  </si>
  <si>
    <t>Journal of Philosophy of Life</t>
  </si>
  <si>
    <t>Journal of Scottish Philosophy</t>
  </si>
  <si>
    <t>Journal of Social Philosophy</t>
  </si>
  <si>
    <t>Journal of Somaesthetics</t>
  </si>
  <si>
    <t>Journal of Speculative Philosophy</t>
  </si>
  <si>
    <t>Journal of the British Society for Phenomenology</t>
  </si>
  <si>
    <t>Journal of the Philosophy of History</t>
  </si>
  <si>
    <t>Kabiri</t>
  </si>
  <si>
    <t>Kairos : revista de filosofia &amp; ciencia</t>
  </si>
  <si>
    <t>Kant Yearbook</t>
  </si>
  <si>
    <t>Kantian Review</t>
  </si>
  <si>
    <t>Kennedy Institute of Ethics Journal</t>
  </si>
  <si>
    <t>Kierkegaard Studies Yearbook</t>
  </si>
  <si>
    <t>Krisis: Journal for contemporary philosophy</t>
  </si>
  <si>
    <t>Kriterion</t>
  </si>
  <si>
    <t>Kritike: An Online Journal of Philosophy</t>
  </si>
  <si>
    <t>Lamella – Tidsskrift for teoretisk psykoanalyse</t>
  </si>
  <si>
    <t>Law &amp; Ethics of Human Rights</t>
  </si>
  <si>
    <t>Law, ethics and philosophy</t>
  </si>
  <si>
    <t>Legal Ethics</t>
  </si>
  <si>
    <t>Les Ateliers de l’éthique</t>
  </si>
  <si>
    <t>Les Études philosophiques</t>
  </si>
  <si>
    <t>Les Temps Modernes</t>
  </si>
  <si>
    <t>LIAS: Sources and Documents Relating to the Early Modern History of Ideas</t>
  </si>
  <si>
    <t>Libertarian Papers</t>
  </si>
  <si>
    <t>Library of Ethics and Applied Philosophy</t>
  </si>
  <si>
    <t>Linguistic and Philosophical Investigations</t>
  </si>
  <si>
    <t>Locke Studies</t>
  </si>
  <si>
    <t>Logic and Logical Philosophy</t>
  </si>
  <si>
    <t>Logic and Philosophy of Time</t>
  </si>
  <si>
    <t>Logical Analysis and History of Philosophy</t>
  </si>
  <si>
    <t>Logos &amp; Episteme. An International Journal of Epistemology</t>
  </si>
  <si>
    <t>Løgstrup Biblioteket</t>
  </si>
  <si>
    <t>Meta: Research in Hermeneutics, Phenomenology, and Practical Philosophy</t>
  </si>
  <si>
    <t>Metaphysica</t>
  </si>
  <si>
    <t>Midwest Studies in Philosophy</t>
  </si>
  <si>
    <t>Minnesota Studies in the Philosophy of Science</t>
  </si>
  <si>
    <t>Monographien und Texte zur Nietzsche-Forschung</t>
  </si>
  <si>
    <t>Moral Philosophy and Politics</t>
  </si>
  <si>
    <t>Netherlands Journal of Legal Philosophy</t>
  </si>
  <si>
    <t>Neuroethics</t>
  </si>
  <si>
    <t>New Nietzsche Studies</t>
  </si>
  <si>
    <t>Nietzsche-Studien</t>
  </si>
  <si>
    <t>Noema</t>
  </si>
  <si>
    <t>Nordic Wittgenstein Review</t>
  </si>
  <si>
    <t>Normative Orders</t>
  </si>
  <si>
    <t>Norsk Filosofisk Tidsskrift</t>
  </si>
  <si>
    <t>Notre Dame Journal of Law, Ethics &amp; Public Policy</t>
  </si>
  <si>
    <t>Nova Acta Paracelsica</t>
  </si>
  <si>
    <t>Ohio University Press. Series in Continental Thought</t>
  </si>
  <si>
    <t>Open Journal of Philosophy</t>
  </si>
  <si>
    <t>Organon F</t>
  </si>
  <si>
    <t>Outstanding contributions to logic</t>
  </si>
  <si>
    <t>Oxford Literary Review</t>
  </si>
  <si>
    <t>Oxford Studies in Ancient Philosophy</t>
  </si>
  <si>
    <t>Oxford Studies in Early Modern Philosophy</t>
  </si>
  <si>
    <t>Parallax</t>
  </si>
  <si>
    <t>Parrhesia</t>
  </si>
  <si>
    <t>Pensamiento. Revista de Investigación e Información Filosófica</t>
  </si>
  <si>
    <t>Per la Filosofia</t>
  </si>
  <si>
    <t>Perspectives in Continental Philosophy</t>
  </si>
  <si>
    <t>Perspectives in Pragmatics, Philosophy &amp; Psychology</t>
  </si>
  <si>
    <t>Perspektiven der Analytischen Philosophie</t>
  </si>
  <si>
    <t>PhaenEx</t>
  </si>
  <si>
    <t>Phaenomenologische Forschungen</t>
  </si>
  <si>
    <t>Phainomena</t>
  </si>
  <si>
    <t>Phenomenology &amp; Practice</t>
  </si>
  <si>
    <t>Philosophia</t>
  </si>
  <si>
    <t>Philosophia Africana</t>
  </si>
  <si>
    <t>Philosophia Antiqua</t>
  </si>
  <si>
    <t>Philosophia Reformata</t>
  </si>
  <si>
    <t>Philosophica</t>
  </si>
  <si>
    <t>Philosophical Explorations</t>
  </si>
  <si>
    <t>Philosophical Inquiries</t>
  </si>
  <si>
    <t>Philosophical Inquiry</t>
  </si>
  <si>
    <t>Philosophical Investigations</t>
  </si>
  <si>
    <t>Philosophical Papers</t>
  </si>
  <si>
    <t>Philosophical Practice</t>
  </si>
  <si>
    <t>Philosophical Readings</t>
  </si>
  <si>
    <t>Philosophical Studies in Education</t>
  </si>
  <si>
    <t>Philosophical Studies Series</t>
  </si>
  <si>
    <t>Philosophie Antique</t>
  </si>
  <si>
    <t>Philosophiques</t>
  </si>
  <si>
    <t>Philosophische Rundschau</t>
  </si>
  <si>
    <t>Philosophische Untersuchungen</t>
  </si>
  <si>
    <t>Philosophisches Jahrbuch</t>
  </si>
  <si>
    <t>Philosophy</t>
  </si>
  <si>
    <t>Philosophy &amp; Theology</t>
  </si>
  <si>
    <t>Philosophy and Medicine</t>
  </si>
  <si>
    <t>Philosophy and Rhetoric</t>
  </si>
  <si>
    <t>Philosophy and Theory in Biology</t>
  </si>
  <si>
    <t>Philosophy Compass</t>
  </si>
  <si>
    <t>Philosophy East and West</t>
  </si>
  <si>
    <t>Philosophy in the Contemporary World</t>
  </si>
  <si>
    <t>Philosophy of Engineering and Technology</t>
  </si>
  <si>
    <t>Philosophy Today</t>
  </si>
  <si>
    <t>Philosophy, Ethics, and Humanities in Medicine</t>
  </si>
  <si>
    <t>Philosophy, Psychiatry &amp; Psychology</t>
  </si>
  <si>
    <t>Plato Journal</t>
  </si>
  <si>
    <t>Polis</t>
  </si>
  <si>
    <t>Polish Journal of Philosophy</t>
  </si>
  <si>
    <t>Postphenomenology And The Philosophy Of Technology</t>
  </si>
  <si>
    <t>Poznan Studies in the Philosophy of the Sciences and the Humanities</t>
  </si>
  <si>
    <t>Proceedings of the American Catholic Philosophical Association</t>
  </si>
  <si>
    <t>Proceedings of the American Philosophical Society</t>
  </si>
  <si>
    <t>Proceedings of the Boston Area Colloquium in Ancient Philosophy</t>
  </si>
  <si>
    <t>Proceedings of the Institution of Civil Engineers - Engineering History and Heritage</t>
  </si>
  <si>
    <t>Process Studies</t>
  </si>
  <si>
    <t>Prolegomena</t>
  </si>
  <si>
    <t>ProtoSociology - An International Journal and Interdisciplinary Project</t>
  </si>
  <si>
    <t>Public Health Ethics</t>
  </si>
  <si>
    <t>Public Reason</t>
  </si>
  <si>
    <t>Pædagogisk filosofi</t>
  </si>
  <si>
    <t>Quaestio: Journal of the History of Metaphysics</t>
  </si>
  <si>
    <t>Questions</t>
  </si>
  <si>
    <t>Radical Philosophy</t>
  </si>
  <si>
    <t>Radical Philosophy Review</t>
  </si>
  <si>
    <t>Ramon Llull Journal of Applied Ethics</t>
  </si>
  <si>
    <t>Recherches de Theologie et Philosophie Medievales</t>
  </si>
  <si>
    <t>Reflective Practice</t>
  </si>
  <si>
    <t>Res Cogitans</t>
  </si>
  <si>
    <t>Research Ethics</t>
  </si>
  <si>
    <t>Research in Phenomenology</t>
  </si>
  <si>
    <t>Rethinking Marxism</t>
  </si>
  <si>
    <t>Review of Contemporary Philosophy</t>
  </si>
  <si>
    <t>Review of Philosophy and Psychology</t>
  </si>
  <si>
    <t>Revista de Filosofia</t>
  </si>
  <si>
    <t>Revista Latinoamericana de Filosofia</t>
  </si>
  <si>
    <t>Revista Portuguesa de Filosofia</t>
  </si>
  <si>
    <t>Revue de Metaphysique et de Morale</t>
  </si>
  <si>
    <t>Revue de Synthese</t>
  </si>
  <si>
    <t>Revue de Theologie et de Philosophie</t>
  </si>
  <si>
    <t>Revue des Sciences Philosophiques et Theologiques</t>
  </si>
  <si>
    <t>Revue d'Esthetique</t>
  </si>
  <si>
    <t>Revue d'Etudes Benthamiennes</t>
  </si>
  <si>
    <t>Revue Internationale de Philosophie</t>
  </si>
  <si>
    <t>Revue philosophique de la France et de l'étranger</t>
  </si>
  <si>
    <t>Revue Philosophique de Louvain</t>
  </si>
  <si>
    <t>Rhizomata</t>
  </si>
  <si>
    <t>Rivista di Estetica</t>
  </si>
  <si>
    <t>Rivista di Filosofia Neo-Scolastica</t>
  </si>
  <si>
    <t>Rivista di Storia della Filosofia</t>
  </si>
  <si>
    <t>Rivista Internazionale di Filosofia e Psicologia</t>
  </si>
  <si>
    <t>Rj:s Skriftserie</t>
  </si>
  <si>
    <t>Russell: the journal of Bertrand Russell studies</t>
  </si>
  <si>
    <t>Russian Studies in Philosophy</t>
  </si>
  <si>
    <t>Sartre Studies International</t>
  </si>
  <si>
    <t>SATS - Northern European Journal of Philosophy</t>
  </si>
  <si>
    <t>Schelling-Studien</t>
  </si>
  <si>
    <t>Schriftenreihe der DGAP</t>
  </si>
  <si>
    <t>Science and Philosophy</t>
  </si>
  <si>
    <t>Scienza &amp; Politica</t>
  </si>
  <si>
    <t>Skriftserie om eksistentiel fænomenologi</t>
  </si>
  <si>
    <t>Slagmark</t>
  </si>
  <si>
    <t>Social Philosophy Today</t>
  </si>
  <si>
    <t>Sophia</t>
  </si>
  <si>
    <t>South African Journal of Philosophy</t>
  </si>
  <si>
    <t>Southwest Philosophy Review</t>
  </si>
  <si>
    <t>Sport, Ethics and Philosophy</t>
  </si>
  <si>
    <t>SpringerBriefs in Ethics</t>
  </si>
  <si>
    <t>Studia Leibnitiana</t>
  </si>
  <si>
    <t>Studia Neoaristotelica</t>
  </si>
  <si>
    <t>Studia Philosophica Estonica</t>
  </si>
  <si>
    <t>Studia Phænomenologica</t>
  </si>
  <si>
    <t>Studien zur Oesterreichischen Philosophie</t>
  </si>
  <si>
    <t>Studies in Applied Philosophy, Epistemology and Rational Ethics</t>
  </si>
  <si>
    <t>Studies In Brain And Mind</t>
  </si>
  <si>
    <t>Studies in Continental Thought</t>
  </si>
  <si>
    <t>Studies in East European Thought</t>
  </si>
  <si>
    <t>Studies in History and Philosophy of Science</t>
  </si>
  <si>
    <t>Studies in Linguistics and Philosophy</t>
  </si>
  <si>
    <t>Studies in Logic, Grammar and Rhetoric</t>
  </si>
  <si>
    <t>Studies in Phenomenology and Existential Philosophy</t>
  </si>
  <si>
    <t>Studies in Social Justice</t>
  </si>
  <si>
    <t>Symposium: Canadian Journal of Continental Philosophy</t>
  </si>
  <si>
    <t>Synthese Library</t>
  </si>
  <si>
    <t>Synthesis Philosophica</t>
  </si>
  <si>
    <t>Tapuya: Latin American Science, Technology and Society</t>
  </si>
  <si>
    <t>Teaching Ethics</t>
  </si>
  <si>
    <t>Teaching Philosophy</t>
  </si>
  <si>
    <t>Teorema</t>
  </si>
  <si>
    <t>The American Journal of Jurisprudence</t>
  </si>
  <si>
    <t>The Australasian Journal of Logic</t>
  </si>
  <si>
    <t>The Baltic International Yearbook of Cognition, Logic and Communication</t>
  </si>
  <si>
    <t>The Georgetown Journal of Legal Ethics</t>
  </si>
  <si>
    <t>The Harvard Review of Philosophy</t>
  </si>
  <si>
    <t>The Heythrop Journal</t>
  </si>
  <si>
    <t>The Indo-Pacific Journal of Phenomenology</t>
  </si>
  <si>
    <t>The Journal of Jewish Thought and Philosophy</t>
  </si>
  <si>
    <t>The Journal of Philosophy, Science &amp; Law</t>
  </si>
  <si>
    <t>The Journal of Value Inquiry</t>
  </si>
  <si>
    <t>The Leibniz Review</t>
  </si>
  <si>
    <t>The Midwest Quarterly</t>
  </si>
  <si>
    <t>The New Bioethics</t>
  </si>
  <si>
    <t>The New Yearbook for Phenomenology and Phenomenological Philosophy</t>
  </si>
  <si>
    <t>The Owl of Minerva</t>
  </si>
  <si>
    <t>The Philosophical Forum</t>
  </si>
  <si>
    <t>The Pluralist</t>
  </si>
  <si>
    <t>The Review of Metaphysics</t>
  </si>
  <si>
    <t>The Southern Journal of Philosophy</t>
  </si>
  <si>
    <t>Themata</t>
  </si>
  <si>
    <t>Theoretical Inquiries in Law</t>
  </si>
  <si>
    <t>Theoría. Revista del Colegio de Filosofía</t>
  </si>
  <si>
    <t>Thomist</t>
  </si>
  <si>
    <t>Tidskrift för Politisk Filosofi</t>
  </si>
  <si>
    <t>Tijdschrift voor Filosofie</t>
  </si>
  <si>
    <t>Topoi</t>
  </si>
  <si>
    <t>Tradition &amp; Discovery</t>
  </si>
  <si>
    <t>Trans/Form/Ação</t>
  </si>
  <si>
    <t>Transactions of the American Philosophical Society</t>
  </si>
  <si>
    <t>Tropos</t>
  </si>
  <si>
    <t>Ultimate Reality and Meaning</t>
  </si>
  <si>
    <t>Universitas Philosophica</t>
  </si>
  <si>
    <t>Verifiche</t>
  </si>
  <si>
    <t>Wiener Jahrbuch fuer Philosophie</t>
  </si>
  <si>
    <t>Wittgenstein Studien</t>
  </si>
  <si>
    <t>Zeitschrift fuer Ideengeschichte</t>
  </si>
  <si>
    <t>Zeitschrift für Philosophische Forschung</t>
  </si>
  <si>
    <t>Historie</t>
  </si>
  <si>
    <t>Agricultural History Review</t>
  </si>
  <si>
    <t>Annales. Histoire, Sciences Sociales</t>
  </si>
  <si>
    <t>Archiv für Sozialgeschichte</t>
  </si>
  <si>
    <t>Archives and Records</t>
  </si>
  <si>
    <t>Bulletin of the History of Medicine</t>
  </si>
  <si>
    <t>Business History</t>
  </si>
  <si>
    <t>Business History Review</t>
  </si>
  <si>
    <t>Central European History</t>
  </si>
  <si>
    <t>Classica et Mediaevalia</t>
  </si>
  <si>
    <t>Cold War History</t>
  </si>
  <si>
    <t>Comparative Studies in Society and History</t>
  </si>
  <si>
    <t>Contemporary European History</t>
  </si>
  <si>
    <t>Deutsches Archiv für Erforschung des Mittelalters</t>
  </si>
  <si>
    <t>Diplomatic History</t>
  </si>
  <si>
    <t>Early Medieval Europe</t>
  </si>
  <si>
    <t>Enterprise &amp; Society</t>
  </si>
  <si>
    <t>Environmental History</t>
  </si>
  <si>
    <t>Food &amp; History</t>
  </si>
  <si>
    <t>Gender &amp; History</t>
  </si>
  <si>
    <t>Geschichte und Gesellschaft</t>
  </si>
  <si>
    <t>Historia</t>
  </si>
  <si>
    <t>Historical Methods</t>
  </si>
  <si>
    <t>Historische Zeitschrift</t>
  </si>
  <si>
    <t>Historisk Tidskrift</t>
  </si>
  <si>
    <t>Historisk Tidsskrift</t>
  </si>
  <si>
    <t>History</t>
  </si>
  <si>
    <t>History &amp; Memory</t>
  </si>
  <si>
    <t>History and Theory</t>
  </si>
  <si>
    <t>History of Political Economy</t>
  </si>
  <si>
    <t>History of Technology</t>
  </si>
  <si>
    <t>History of Warfare</t>
  </si>
  <si>
    <t>History Workshop Journal</t>
  </si>
  <si>
    <t>International Journal of African Historical Studies</t>
  </si>
  <si>
    <t>International Journal of Maritime History</t>
  </si>
  <si>
    <t>International Review of Social History</t>
  </si>
  <si>
    <t>Islamic History and Civilization</t>
  </si>
  <si>
    <t>Jahrbücher für Geschichte Osteuropas</t>
  </si>
  <si>
    <t>Journal of Asian History</t>
  </si>
  <si>
    <t>Journal of Cold War Studies</t>
  </si>
  <si>
    <t>Journal of Contemporary History</t>
  </si>
  <si>
    <t>Journal of Early Modern History</t>
  </si>
  <si>
    <t>Journal of European Integration History</t>
  </si>
  <si>
    <t>Journal of Family History</t>
  </si>
  <si>
    <t>Journal of Medieval and Early Modern Studies</t>
  </si>
  <si>
    <t>Journal of Medieval History</t>
  </si>
  <si>
    <t>Journal of Policy History</t>
  </si>
  <si>
    <t>Journal of Social History</t>
  </si>
  <si>
    <t>Journal of Women's History</t>
  </si>
  <si>
    <t>Journal of World History</t>
  </si>
  <si>
    <t>Labor History</t>
  </si>
  <si>
    <t>Mediterranean Historical Review</t>
  </si>
  <si>
    <t>Past &amp; Present</t>
  </si>
  <si>
    <t>Rethinking History</t>
  </si>
  <si>
    <t>Scandinavian Economic History Review</t>
  </si>
  <si>
    <t>Scandinavian Journal of History</t>
  </si>
  <si>
    <t>Social History</t>
  </si>
  <si>
    <t>Social History of Medicine</t>
  </si>
  <si>
    <t>Technology and Culture</t>
  </si>
  <si>
    <t>TEMP - tidsskrift for historie</t>
  </si>
  <si>
    <t>The American Historical Review</t>
  </si>
  <si>
    <t>The Economic History Review</t>
  </si>
  <si>
    <t>The English Historical Review</t>
  </si>
  <si>
    <t>The International History Review</t>
  </si>
  <si>
    <t>The Journal of African History</t>
  </si>
  <si>
    <t>The Journal of American History</t>
  </si>
  <si>
    <t>The Journal of Modern History</t>
  </si>
  <si>
    <t>The Sixteenth Century Journal</t>
  </si>
  <si>
    <t>Transactions of the Royal Historical Society</t>
  </si>
  <si>
    <t>Vierteljahrschrift für Sozial- und Wirtschaftsgeschichte</t>
  </si>
  <si>
    <t>Vierteljahrshefte für Zeitgeschichte</t>
  </si>
  <si>
    <t>100 Danmarkshistorier</t>
  </si>
  <si>
    <t>1650 - 1850: Ideas, Aesthetics and Inquiries in the Early Modern Era</t>
  </si>
  <si>
    <t>Acadiensis</t>
  </si>
  <si>
    <t>African Economic History</t>
  </si>
  <si>
    <t>Agricultural History</t>
  </si>
  <si>
    <t>Aleksanteri Cold War Series</t>
  </si>
  <si>
    <t>Ambix</t>
  </si>
  <si>
    <t>American Communist History</t>
  </si>
  <si>
    <t>American History</t>
  </si>
  <si>
    <t>American Jewish History</t>
  </si>
  <si>
    <t>American Nineteenth Century History</t>
  </si>
  <si>
    <t>Anales - Instituto Ibero Americano</t>
  </si>
  <si>
    <t>Ancient History Bulletin</t>
  </si>
  <si>
    <t>Anglo-Saxon England</t>
  </si>
  <si>
    <t>Annales de Bourgogne</t>
  </si>
  <si>
    <t>Annales de Demographie Historique</t>
  </si>
  <si>
    <t>Annales Historiques de la Revolution Francaise</t>
  </si>
  <si>
    <t>Annuario dell'Istituto storico italiano per l'età moderna e contemporanea</t>
  </si>
  <si>
    <t>Anuario de Historia del Derecho Espanol</t>
  </si>
  <si>
    <t>Arbeiderhistorie</t>
  </si>
  <si>
    <t>Arbejderhistorie: tidskrift for historie, kultur og politik</t>
  </si>
  <si>
    <t>Arbetarhistoria</t>
  </si>
  <si>
    <t>Archives of Natural History</t>
  </si>
  <si>
    <t>Archivio Storico Italiano</t>
  </si>
  <si>
    <t>Arms &amp; Armour</t>
  </si>
  <si>
    <t>Aspasia - The International Yearbook of Central, Eastern, and Southeastern European Women's and Gender History</t>
  </si>
  <si>
    <t>Aufklärung: Interdisziplinäres Jahrbuch zur Erforschung des 18. Jahrhunderts und seiner Wirkungsgeschichte</t>
  </si>
  <si>
    <t>Australian Economic History Review</t>
  </si>
  <si>
    <t>Australian Historical Studies</t>
  </si>
  <si>
    <t>Australian Journal of Politics and History</t>
  </si>
  <si>
    <t>Bibliotheca Historica</t>
  </si>
  <si>
    <t>Bibliothek Altes Reich</t>
  </si>
  <si>
    <t>BMGN - Low Countries Historical Review</t>
  </si>
  <si>
    <t>Brill's Studies in Intellectual History</t>
  </si>
  <si>
    <t>Britannia: a journal of Romano-British and kindred studies</t>
  </si>
  <si>
    <t>Cahiers des études anciennes</t>
  </si>
  <si>
    <t>Cahiers victoriens et édouardiens</t>
  </si>
  <si>
    <t>California History</t>
  </si>
  <si>
    <t>Cambridge Imperial And Postcolonial Studies</t>
  </si>
  <si>
    <t>Canadian Historical Review</t>
  </si>
  <si>
    <t>Canadian Journal of History</t>
  </si>
  <si>
    <t>Cass Military Studies</t>
  </si>
  <si>
    <t>Chinese Studies in History</t>
  </si>
  <si>
    <t>Church, Faith and Culture in the Medieval West</t>
  </si>
  <si>
    <t>Civil War History</t>
  </si>
  <si>
    <t>Collegium Medievale</t>
  </si>
  <si>
    <t>Comparativ: Zeitschrift für Globalgeschichte und Vergleichende Gesellschaftsforschung</t>
  </si>
  <si>
    <t>Contemporary British History</t>
  </si>
  <si>
    <t>Continuity and Change</t>
  </si>
  <si>
    <t>Contributions to the History of Concepts</t>
  </si>
  <si>
    <t>Crime, Histoire &amp; Sociétés</t>
  </si>
  <si>
    <t>Crime, History and Societies / Crime, Histoire et Sociétés</t>
  </si>
  <si>
    <t>Critical Historical Studies</t>
  </si>
  <si>
    <t>Crossing Boundaries: Turku Medieval And Early Modern Studies</t>
  </si>
  <si>
    <t>Crusades</t>
  </si>
  <si>
    <t>Cuadernos de Historia del Derecho</t>
  </si>
  <si>
    <t>Cuadernos de Historia Moderna</t>
  </si>
  <si>
    <t>Cultural and Social History</t>
  </si>
  <si>
    <t>Danske Magazin</t>
  </si>
  <si>
    <t>Demokratische Geschichte. Jahrbuch für Schleswig-Holstein</t>
  </si>
  <si>
    <t>Deutsches Schiffahrtsarchiv</t>
  </si>
  <si>
    <t>Dialogues d'Histoire Ancienne</t>
  </si>
  <si>
    <t>Dix-Huitieme Siecle</t>
  </si>
  <si>
    <t>Dzieje Najnowsze</t>
  </si>
  <si>
    <t>Electronic Antiquity</t>
  </si>
  <si>
    <t>Emotions In History</t>
  </si>
  <si>
    <t>Entreprises et Histoire</t>
  </si>
  <si>
    <t>Environment and History</t>
  </si>
  <si>
    <t>Epigraphica Anatolica</t>
  </si>
  <si>
    <t>Erhvervshistorisk Aarbog</t>
  </si>
  <si>
    <t>Essays in Medieval Studies</t>
  </si>
  <si>
    <t>Estudis: Revista de historia moderna</t>
  </si>
  <si>
    <t>European History Quarterly</t>
  </si>
  <si>
    <t>European Journal of Jewish Studies</t>
  </si>
  <si>
    <t>European Journal of the History of Economic Thought</t>
  </si>
  <si>
    <t>Exemplaria. Medieval, Early Modern, Theory</t>
  </si>
  <si>
    <t>Exilforschung: ein internationales Jahrbuch</t>
  </si>
  <si>
    <t>Explorations in Renaissance Culture</t>
  </si>
  <si>
    <t>Fabrik og Bolig</t>
  </si>
  <si>
    <t>Family &amp; Community History</t>
  </si>
  <si>
    <t>Financial History Review</t>
  </si>
  <si>
    <t>First World War Studies</t>
  </si>
  <si>
    <t>Fra Krig og Fred</t>
  </si>
  <si>
    <t>French Colonial History</t>
  </si>
  <si>
    <t>French Historical Studies</t>
  </si>
  <si>
    <t>French History</t>
  </si>
  <si>
    <t>Fruehmittelalterliche Studien</t>
  </si>
  <si>
    <t>Fund og Forskning i Det Kongelige Biblioteks Samlinger</t>
  </si>
  <si>
    <t>Fundamentals of Medieval and Early Modern Culture</t>
  </si>
  <si>
    <t>Geografica Historica</t>
  </si>
  <si>
    <t>Geographia Antiqua</t>
  </si>
  <si>
    <t>German History</t>
  </si>
  <si>
    <t>Geschichte Lernen</t>
  </si>
  <si>
    <t>Hansische Geschichtsblaetter</t>
  </si>
  <si>
    <t>Heidelberger Althistorische Beiträge und Epigraphische Studien</t>
  </si>
  <si>
    <t>Heimen</t>
  </si>
  <si>
    <t>Hémecht Zeitschrift für Luxemburger Geschichte</t>
  </si>
  <si>
    <t>Histoire De L'énergie / History Of Energy</t>
  </si>
  <si>
    <t>Histoire Sociale/Social History</t>
  </si>
  <si>
    <t>Histoire, Économie &amp; Société</t>
  </si>
  <si>
    <t>Historia Economica &amp; Historia de Empresa</t>
  </si>
  <si>
    <t>Historical Journal</t>
  </si>
  <si>
    <t>Historical Materialism</t>
  </si>
  <si>
    <t>Historical Reflections</t>
  </si>
  <si>
    <t>Historical Research</t>
  </si>
  <si>
    <t>Historical Social Research</t>
  </si>
  <si>
    <t>Historical Studies in Industrial Relations</t>
  </si>
  <si>
    <t>Historische Europa-Studien – Geschichte In Erfahrung, Gegenwart Und Zukunft</t>
  </si>
  <si>
    <t>Historische Mitteilungen. Beihefte</t>
  </si>
  <si>
    <t>Historisches Jahrbuch</t>
  </si>
  <si>
    <t>Historisk Tidskrift foer Finland</t>
  </si>
  <si>
    <t>History and Technology</t>
  </si>
  <si>
    <t>History Compass</t>
  </si>
  <si>
    <t>History of Economic Ideas</t>
  </si>
  <si>
    <t>History of Economics Review</t>
  </si>
  <si>
    <t>History of Intellectual Culture</t>
  </si>
  <si>
    <t>History Today</t>
  </si>
  <si>
    <t>Histos</t>
  </si>
  <si>
    <t>Holocaust and Genocide Studies</t>
  </si>
  <si>
    <t>Hygiea Internationalis: an interdisciplinary journal for the history of public health</t>
  </si>
  <si>
    <t>Ideas in History</t>
  </si>
  <si>
    <t>Imago Mundi: The International Journal for the History of Cartography</t>
  </si>
  <si>
    <t>InterDisciplines. Journal of History and Sociology</t>
  </si>
  <si>
    <t>International Journal of Naval History</t>
  </si>
  <si>
    <t>International Labor and Working-Class History</t>
  </si>
  <si>
    <t>International Studies In Social History Series</t>
  </si>
  <si>
    <t>Irish Economic and Social History</t>
  </si>
  <si>
    <t>Itinerario: International Journal on the History of European Expansion and Global Interaction</t>
  </si>
  <si>
    <t>Jahrbuch für Europäische Überseegeschichte</t>
  </si>
  <si>
    <t>Jahrbuch für Historische Kommunismusforschung</t>
  </si>
  <si>
    <t>Jahrbuch für Regionalgeschichte</t>
  </si>
  <si>
    <t>Jahrbuch für Wirtschaftsgeschichte</t>
  </si>
  <si>
    <t>Jernbanehistorie</t>
  </si>
  <si>
    <t>Jewish Culture and History</t>
  </si>
  <si>
    <t>Jewish History</t>
  </si>
  <si>
    <t>Journal for Maritime Research</t>
  </si>
  <si>
    <t>Journal für Begabtenförderung</t>
  </si>
  <si>
    <t>Journal of Ancient Civilizations</t>
  </si>
  <si>
    <t>Journal of Ancient History</t>
  </si>
  <si>
    <t>Journal of Colonialism &amp; Colonial History</t>
  </si>
  <si>
    <t>Journal of Early Modern Christianity</t>
  </si>
  <si>
    <t>Journal of Global History</t>
  </si>
  <si>
    <t>Journal of Industrial History</t>
  </si>
  <si>
    <t>Journal of Interdisciplinary History</t>
  </si>
  <si>
    <t>Journal of Israeli History</t>
  </si>
  <si>
    <t>Journal of Military History</t>
  </si>
  <si>
    <t>Journal of Modern Chinese History</t>
  </si>
  <si>
    <t>Journal of Planning History</t>
  </si>
  <si>
    <t>Journal of Scottish Historical Studies</t>
  </si>
  <si>
    <t>Journal of Supreme Court History</t>
  </si>
  <si>
    <t>Journal of the Early Republic</t>
  </si>
  <si>
    <t>Journal of the History of Childhood and Youth</t>
  </si>
  <si>
    <t>Journal of the History of Economic Thought</t>
  </si>
  <si>
    <t>Journal of the History of International Law</t>
  </si>
  <si>
    <t>Journal of the Southwest</t>
  </si>
  <si>
    <t>Journal of the West</t>
  </si>
  <si>
    <t>Journal of Tourism History</t>
  </si>
  <si>
    <t>Journal of Urban History</t>
  </si>
  <si>
    <t>KINtop Studies in Early Cinema</t>
  </si>
  <si>
    <t>Klio</t>
  </si>
  <si>
    <t>Kritika (Cambridge)</t>
  </si>
  <si>
    <t>Labour History</t>
  </si>
  <si>
    <t>Labour History Review</t>
  </si>
  <si>
    <t>Labour/Le Travail</t>
  </si>
  <si>
    <t>Landbohistorisk Tidsskrift</t>
  </si>
  <si>
    <t>Landscape And Heritage Studies</t>
  </si>
  <si>
    <t>Later Medieval Europe</t>
  </si>
  <si>
    <t>Le Mouvement Social</t>
  </si>
  <si>
    <t>Le Moyen Age</t>
  </si>
  <si>
    <t>Le Muséon</t>
  </si>
  <si>
    <t>Leo Baeck Institute. Year Book</t>
  </si>
  <si>
    <t>L'Histoire</t>
  </si>
  <si>
    <t>Lumen</t>
  </si>
  <si>
    <t>Mediaeval Scandinavia</t>
  </si>
  <si>
    <t>Mediaeval Studies</t>
  </si>
  <si>
    <t>Mediaevalia</t>
  </si>
  <si>
    <t>Mediaevistik</t>
  </si>
  <si>
    <t>Medieval Encounters</t>
  </si>
  <si>
    <t>Medieval Perspectives</t>
  </si>
  <si>
    <t>Medieval Prosopography: History and Collective Biography</t>
  </si>
  <si>
    <t>Medieval Worlds</t>
  </si>
  <si>
    <t>Medium Aevum Quotidianum</t>
  </si>
  <si>
    <t>Mélanges de la Casa de Velázquez, Nouvelle Série</t>
  </si>
  <si>
    <t>Memoria e Ricerca: Rivista di storia contemporanea</t>
  </si>
  <si>
    <t>Midland History</t>
  </si>
  <si>
    <t>Ming Studies</t>
  </si>
  <si>
    <t>Mitteilungen des Instituts für Österreichische Geschichtsforschung</t>
  </si>
  <si>
    <t>Modern Intellectual And Political History Of The Middle East</t>
  </si>
  <si>
    <t>Montana</t>
  </si>
  <si>
    <t>Muenstersche Beitraege zur Antiken Handelsgeschichte</t>
  </si>
  <si>
    <t>National Identities</t>
  </si>
  <si>
    <t>Nordisk Numismatisk Årsskrift - Scandinavian Numismatic Journa</t>
  </si>
  <si>
    <t>Northern History</t>
  </si>
  <si>
    <t>Notes and Records of the Royal Society of London</t>
  </si>
  <si>
    <t>Novaya i Noveishaya Istoriya</t>
  </si>
  <si>
    <t>Numismatiska Meddelanden</t>
  </si>
  <si>
    <t>Nuova Rivista Storica</t>
  </si>
  <si>
    <t>Nuovo Storia Comtemporanea</t>
  </si>
  <si>
    <t>Oesterreichische Akademie der Wissenschaften. Philosophisch-Historische Klasse. Anzeiger</t>
  </si>
  <si>
    <t>Oregon Historical Quarterly</t>
  </si>
  <si>
    <t>Outremer - Studies in the Crusades and the Latin East (OUTREMER)</t>
  </si>
  <si>
    <t>Pacific Historical Review</t>
  </si>
  <si>
    <t>Pacific Northwest Quarterly</t>
  </si>
  <si>
    <t>Palgrave Historical Studies In Witchcraft And Magic</t>
  </si>
  <si>
    <t>Palgrave Macmillan Transnational History Series</t>
  </si>
  <si>
    <t>Palgrave Studies In Modern Monarchy</t>
  </si>
  <si>
    <t>Parliamentary History</t>
  </si>
  <si>
    <t>Pensamiento critico: revista electrònica de historia</t>
  </si>
  <si>
    <t>Peritia</t>
  </si>
  <si>
    <t>Pro civitate Austriae</t>
  </si>
  <si>
    <t>Prologue</t>
  </si>
  <si>
    <t>Public History Review</t>
  </si>
  <si>
    <t>Quaderni di Storia</t>
  </si>
  <si>
    <t>Quaderni Storici</t>
  </si>
  <si>
    <t>Radical History Review</t>
  </si>
  <si>
    <t>Reading Medieval Studies</t>
  </si>
  <si>
    <t>Redescriptions. Yearbook of Political Thought and Conceptual History</t>
  </si>
  <si>
    <t>Renaissance and Reformation</t>
  </si>
  <si>
    <t>Research in Maritime History</t>
  </si>
  <si>
    <t>Research in the History of Economic Thought and Methodology</t>
  </si>
  <si>
    <t>Reviews in American History</t>
  </si>
  <si>
    <t>Revista de Historia Economica - Journal of Iberian and Latin American Economic History</t>
  </si>
  <si>
    <t>Revista de Indias</t>
  </si>
  <si>
    <t>Revolutionary Russia</t>
  </si>
  <si>
    <t>Revue Belge de Philologie et d'Histoire</t>
  </si>
  <si>
    <t>Revue d'Histoire de l'Amerique Francaise</t>
  </si>
  <si>
    <t>Revue d'Histoire Diplomatique</t>
  </si>
  <si>
    <t>Revue d'histoire maghrébine: époque moderne et contemporaine</t>
  </si>
  <si>
    <t>Revue d'Histoire Moderne et Contemporaine</t>
  </si>
  <si>
    <t>Revue Europeenne des Etudes Hebraiques</t>
  </si>
  <si>
    <t>Revue Historique</t>
  </si>
  <si>
    <t>Revue Internationale des Droits de l'Antiquite</t>
  </si>
  <si>
    <t>Rivista di Storia Economica</t>
  </si>
  <si>
    <t>Rivista Storica dell'Antichita</t>
  </si>
  <si>
    <t>Rivista Storica Italiana</t>
  </si>
  <si>
    <t>Routledge Advances In Urban History</t>
  </si>
  <si>
    <t xml:space="preserve">Routledge Studies in Medieval Religion and Culture	</t>
  </si>
  <si>
    <t>Rural History</t>
  </si>
  <si>
    <t>S:I.M.O.N.</t>
  </si>
  <si>
    <t>Saga</t>
  </si>
  <si>
    <t>Scandia: Tidskrift för historisk forskning</t>
  </si>
  <si>
    <t>Scientia Danica. Series H, Humanistica, 8</t>
  </si>
  <si>
    <t>Scripta Classica Israelica</t>
  </si>
  <si>
    <t>Sjuttonhundratal: Nordic Yearbook for Eighteenth-Century Studies</t>
  </si>
  <si>
    <t>Sjæk'len. Årbog for Fiskeri- og Søfartsmuseet</t>
  </si>
  <si>
    <t>Slavery and Abolition</t>
  </si>
  <si>
    <t>Social Histories Of Medicine</t>
  </si>
  <si>
    <t>Social Science History</t>
  </si>
  <si>
    <t>Soenderjyske Aarboeger</t>
  </si>
  <si>
    <t>South African Historical Journal</t>
  </si>
  <si>
    <t>Southwestern Historical Quarterly</t>
  </si>
  <si>
    <t>Special Publications / Royal Numismatic Society</t>
  </si>
  <si>
    <t>Storia della Storiografia</t>
  </si>
  <si>
    <t>Studi Storici</t>
  </si>
  <si>
    <t>Studia Historica Lundensia</t>
  </si>
  <si>
    <t>Studia Historica Septentrionalia</t>
  </si>
  <si>
    <t>Studia Historica. Historia Contemporanea</t>
  </si>
  <si>
    <t>Studica historica Upsaliensis. Underserie av: Acta Universitatis Upsaliensis</t>
  </si>
  <si>
    <t>Studien Zum Antisemitismus In Europa</t>
  </si>
  <si>
    <t>Studier i historie, arkiver og kulturarv</t>
  </si>
  <si>
    <t>Studies In Contemporary European History</t>
  </si>
  <si>
    <t>Studies in Eighteenth Century Culture</t>
  </si>
  <si>
    <t>Studies in History</t>
  </si>
  <si>
    <t>Studies In History, Archives And Cultural Heritage</t>
  </si>
  <si>
    <t>Sudhoffs Archiv</t>
  </si>
  <si>
    <t>Technology and Change in History</t>
  </si>
  <si>
    <t>Tekniikan Waiheita</t>
  </si>
  <si>
    <t>The Adam Smith Review</t>
  </si>
  <si>
    <t>The Americas: A Quarterly Review of Latin American History</t>
  </si>
  <si>
    <t>The Catholic Historical Review</t>
  </si>
  <si>
    <t>The Electronic Journal of Australian and New Zealand History</t>
  </si>
  <si>
    <t>The European Legacy</t>
  </si>
  <si>
    <t>The Great Circle</t>
  </si>
  <si>
    <t>The Harvard Cold War Studies Book Series</t>
  </si>
  <si>
    <t>The Haskins Society Journal</t>
  </si>
  <si>
    <t>The Historian</t>
  </si>
  <si>
    <t>The History of the Family</t>
  </si>
  <si>
    <t>The History Teacher</t>
  </si>
  <si>
    <t>The Holocaust And Its Contexts</t>
  </si>
  <si>
    <t>The Indian Economic &amp; Social History Review</t>
  </si>
  <si>
    <t>The Journal of Imperial and Commonwealth History</t>
  </si>
  <si>
    <t>The Journal of Legal History</t>
  </si>
  <si>
    <t>The Mariner's Mirror</t>
  </si>
  <si>
    <t>The Medieval History Journal</t>
  </si>
  <si>
    <t>The Michigan Historical Review</t>
  </si>
  <si>
    <t>The New Mexico Historical Review</t>
  </si>
  <si>
    <t>The Oral History Review</t>
  </si>
  <si>
    <t>The Pennsylvania Magazine of History and Biography</t>
  </si>
  <si>
    <t>The Public Historian</t>
  </si>
  <si>
    <t>The Scottish Historical Review</t>
  </si>
  <si>
    <t>The Seventeenth Century</t>
  </si>
  <si>
    <t>The Sixties: A Journal of History, Politics and Culture</t>
  </si>
  <si>
    <t>The Social History of Alcohol and Drugs</t>
  </si>
  <si>
    <t>The Western Historical Quarterly</t>
  </si>
  <si>
    <t>Tijdschrift voor Geschiedenis</t>
  </si>
  <si>
    <t>Tijdschrift voor Sociale en Economische Geschiedenis</t>
  </si>
  <si>
    <t>Time and Mind: The Journal of Archaeology, Consciousness and Culture</t>
  </si>
  <si>
    <t>Twentieth Century British History</t>
  </si>
  <si>
    <t>Tyche: Beitraege zur Alten Geschichte, Papyrologie und Epigraphik</t>
  </si>
  <si>
    <t>Történelmi Szemle</t>
  </si>
  <si>
    <t>University of Southern Denmark Studies in History and Social Sciences</t>
  </si>
  <si>
    <t>Urban History Review</t>
  </si>
  <si>
    <t>Varia Historia</t>
  </si>
  <si>
    <t>Ventunesimo Secolo</t>
  </si>
  <si>
    <t>Veröffentlichungen des Instituts für Europäische Geschichte Mainz. Beihefte</t>
  </si>
  <si>
    <t>Veröffentlichungen Der Historiker-Verbindungsgruppe Bei Der Kommission Der Europäischen Gemeinschaften = Publications Of The European Union Liaison Committee Of Historians</t>
  </si>
  <si>
    <t>Veröffentlichungen des Instituts für Europäische Geschichte Mainz</t>
  </si>
  <si>
    <t>Vestnik Drevnei Istorii</t>
  </si>
  <si>
    <t>Viking Society for Northern Research. Saga Book</t>
  </si>
  <si>
    <t>Vingtieme Siecle</t>
  </si>
  <si>
    <t>War in History</t>
  </si>
  <si>
    <t>War, Culture And Society, 1750-1850</t>
  </si>
  <si>
    <t>Water History</t>
  </si>
  <si>
    <t>Welsh History Review</t>
  </si>
  <si>
    <t>Women's History Review</t>
  </si>
  <si>
    <t>XVIIe Siecle</t>
  </si>
  <si>
    <t>Yad Vashem Studies</t>
  </si>
  <si>
    <t>Yod</t>
  </si>
  <si>
    <t>Zeitgeschichte</t>
  </si>
  <si>
    <t>Zeithistorische Forschungen</t>
  </si>
  <si>
    <t>Zeitschrift der Gesellschaft für Schleswig-Holsteinische Geschichte</t>
  </si>
  <si>
    <t>Zeitschrift fuer Agrargeschichte und Agrarsoziologie</t>
  </si>
  <si>
    <t>Zeitschrift fuer Geschichtswissenschaft</t>
  </si>
  <si>
    <t>Zeitschrift für Historische Forschung</t>
  </si>
  <si>
    <t>Zeitschrift für Unternehmensgeschichte</t>
  </si>
  <si>
    <t>Zeitschrift für Weltgeschichte</t>
  </si>
  <si>
    <t>Zeitsprünge: Forschungen zur Frühen Neuzeit / Studies in Early Modern History, Culture and Science</t>
  </si>
  <si>
    <t>Zivilisationen &amp; Geschichte / Civilizations &amp; History / Civilisations &amp; Histoire</t>
  </si>
  <si>
    <t>Zivilisationen und Geschichte / Civilizations and History / Civilisations et Histoire</t>
  </si>
  <si>
    <t>Årbok for norsk utdanningshistorie</t>
  </si>
  <si>
    <t xml:space="preserve">Aarbok Norsk Maritimt Museum. </t>
  </si>
  <si>
    <t>Arkæologi og Arkæometri, Konserveringsvidenskab</t>
  </si>
  <si>
    <t>American Antiquity</t>
  </si>
  <si>
    <t>American Journal of Archaeology</t>
  </si>
  <si>
    <t>Annual at the British School at Athens</t>
  </si>
  <si>
    <t>Antiquité Tardive</t>
  </si>
  <si>
    <t>Antiquity</t>
  </si>
  <si>
    <t>Arabian Archaeology and Epigraphy</t>
  </si>
  <si>
    <t>Archaeological Dialogues</t>
  </si>
  <si>
    <t>Archaeometry</t>
  </si>
  <si>
    <t>Archeologie Medievale</t>
  </si>
  <si>
    <t>Archäologischer Anzeiger</t>
  </si>
  <si>
    <t>Arctic Anthropology</t>
  </si>
  <si>
    <t>Bericht der Römisch-Germanischen Kommission</t>
  </si>
  <si>
    <t>Cambridge Archaeological Journal</t>
  </si>
  <si>
    <t>Danish Journal of Archaeology</t>
  </si>
  <si>
    <t>Environmental Archaeology</t>
  </si>
  <si>
    <t>Ethnographisch-Archäologische Zeitschrift</t>
  </si>
  <si>
    <t>Etudes Inuit Studies</t>
  </si>
  <si>
    <t>European Journal of Archaeology</t>
  </si>
  <si>
    <t>Germania</t>
  </si>
  <si>
    <t>Heritage Science</t>
  </si>
  <si>
    <t>Historical Archaeology</t>
  </si>
  <si>
    <t>Konferenceserier</t>
  </si>
  <si>
    <t>ICOM-CC Triennial Conferences</t>
  </si>
  <si>
    <t>International Journal of Cultural Property</t>
  </si>
  <si>
    <t>International Journal of Heritage Studies</t>
  </si>
  <si>
    <t>International Journal of Historical Archaeology</t>
  </si>
  <si>
    <t>International Journal of Nautical Archaeology</t>
  </si>
  <si>
    <t>Internet Archaeology</t>
  </si>
  <si>
    <t>Iran: Journal of the British Institute of Persian Studies</t>
  </si>
  <si>
    <t>Journal of Anthropological Archaeology</t>
  </si>
  <si>
    <t>Journal of Archaeological Method and Theory</t>
  </si>
  <si>
    <t>Journal of Archaeological Science</t>
  </si>
  <si>
    <t>Journal of Cultural Heritage</t>
  </si>
  <si>
    <t>Journal of Egyptian Archaeology</t>
  </si>
  <si>
    <t>Journal of Field Archaeology</t>
  </si>
  <si>
    <t>Journal of Maritime Archaeology</t>
  </si>
  <si>
    <t>Journal of Material Culture</t>
  </si>
  <si>
    <t>Journal of Mediterranean Archaeology</t>
  </si>
  <si>
    <t>Journal of Nordic Archeological Science</t>
  </si>
  <si>
    <t>Journal of Roman Archaeology</t>
  </si>
  <si>
    <t>Journal of Social Archaeology</t>
  </si>
  <si>
    <t>Journal of Wetland Archaeology</t>
  </si>
  <si>
    <t>Journal of World Prehistory</t>
  </si>
  <si>
    <t>JRA - The Supplementary Series</t>
  </si>
  <si>
    <t>Levant: The Journal of the Council for British Research in the Levant</t>
  </si>
  <si>
    <t>Meddelelser om Grønland. Man &amp; society</t>
  </si>
  <si>
    <t>Medieval Archaeology</t>
  </si>
  <si>
    <t>Mitteilungen der Deutschen Orient-Gesellschaft</t>
  </si>
  <si>
    <t>Museum Management and Curatorship</t>
  </si>
  <si>
    <t>Norwegian Archaeological Review</t>
  </si>
  <si>
    <t>Offa</t>
  </si>
  <si>
    <t>Oxford Journal of Archaeology</t>
  </si>
  <si>
    <t>Papers of the British School at Rome</t>
  </si>
  <si>
    <t>Post-Medieval Archaeology</t>
  </si>
  <si>
    <t>Praehistorische Zeitschrift</t>
  </si>
  <si>
    <t>Proceedings of the Prehistoric Society</t>
  </si>
  <si>
    <t>Studies in Conservation</t>
  </si>
  <si>
    <t>Vegetation History and Archaeobotany</t>
  </si>
  <si>
    <t>World Archaeology</t>
  </si>
  <si>
    <t>Zeitschrift für Archäologie des Mittelalters</t>
  </si>
  <si>
    <t>Zeitschrift für Orient-Archäologie</t>
  </si>
  <si>
    <t>Acta Archaeologica</t>
  </si>
  <si>
    <t>Acta Archaeologica Lundensia. Series in 8</t>
  </si>
  <si>
    <t>Acta Borealia</t>
  </si>
  <si>
    <t>Acta Hyperborea</t>
  </si>
  <si>
    <t>Acta Praehistorica et Archaeologica</t>
  </si>
  <si>
    <t>Adalya</t>
  </si>
  <si>
    <t>Adoranten</t>
  </si>
  <si>
    <t>Aegaeum (Annales d'archéologie égéenne de l'Université de Liège et UT-PASP)</t>
  </si>
  <si>
    <t>African Archaeological Review</t>
  </si>
  <si>
    <t>Alt-Thueringen</t>
  </si>
  <si>
    <t>American Journal of Numismatics</t>
  </si>
  <si>
    <t>American School of Prehistoric Research Monograph Series</t>
  </si>
  <si>
    <t>AmS-Skrifter</t>
  </si>
  <si>
    <t>AmS-Varia</t>
  </si>
  <si>
    <t>Analecta Praehistorica Leidensia</t>
  </si>
  <si>
    <t>Anatolian Studies</t>
  </si>
  <si>
    <t>Anatolica</t>
  </si>
  <si>
    <t>Ancient Mesoamerica</t>
  </si>
  <si>
    <t>Ancient Textile Series</t>
  </si>
  <si>
    <t>Ancient West &amp; East</t>
  </si>
  <si>
    <t>Anglo-Saxon Studies in Archaeology and History</t>
  </si>
  <si>
    <t>Annuario della Scuola Archeologica di Atene e delle Missioni Italiane in Oriente</t>
  </si>
  <si>
    <t>Anthropozoologica</t>
  </si>
  <si>
    <t>Antike Kunst</t>
  </si>
  <si>
    <t>Antike Münzen und Geschnittene Steine</t>
  </si>
  <si>
    <t>Antike Welt</t>
  </si>
  <si>
    <t>Antiquites Africaines</t>
  </si>
  <si>
    <t>Archaeofauna</t>
  </si>
  <si>
    <t>Archaeologia Austriaca</t>
  </si>
  <si>
    <t>Archaeologia Baltica</t>
  </si>
  <si>
    <t>Archaeologia Bulgarica</t>
  </si>
  <si>
    <t>Archaeologia Islandica</t>
  </si>
  <si>
    <t>Archaeologia Lituana</t>
  </si>
  <si>
    <t>Archaeologia Maritima Mediterranea</t>
  </si>
  <si>
    <t>Archaeologia Medii Aevi Finlandiae</t>
  </si>
  <si>
    <t>Archaeologia Polona</t>
  </si>
  <si>
    <t>Archaeological Orientations</t>
  </si>
  <si>
    <t>Archaeological Prospection</t>
  </si>
  <si>
    <t>Archaeological Reports</t>
  </si>
  <si>
    <t>Archaeological Textiles Review</t>
  </si>
  <si>
    <t>Archaeologie der Schweiz</t>
  </si>
  <si>
    <t>Archaeologische Berichte aus Mecklenburg-Vorpommern</t>
  </si>
  <si>
    <t>Archaeologische Informationen</t>
  </si>
  <si>
    <t>Archaeologische Mitteilungen aus Iran und Turan. Neue Folge</t>
  </si>
  <si>
    <t>Archaeologisches Korrespondenzblatt</t>
  </si>
  <si>
    <t>Archaeology and Environment</t>
  </si>
  <si>
    <t>Archaeology in New Zealand</t>
  </si>
  <si>
    <t>Archaeology in Oceania</t>
  </si>
  <si>
    <t>Archaeology Ireland</t>
  </si>
  <si>
    <t>Archaeology of York</t>
  </si>
  <si>
    <t>Archaeology, Ethnology &amp; Anthropology of Eurasia</t>
  </si>
  <si>
    <t>Archaeonautica</t>
  </si>
  <si>
    <t>Archaeopress Pre-Columbian Archaeology</t>
  </si>
  <si>
    <t>Archaiologikon Deltion</t>
  </si>
  <si>
    <t>Archeologia</t>
  </si>
  <si>
    <t>Archeologia e Calcolatori</t>
  </si>
  <si>
    <t>Archeologia Medievale</t>
  </si>
  <si>
    <t>Archeologia Polski</t>
  </si>
  <si>
    <t>Archeologia Postmedievale</t>
  </si>
  <si>
    <t>Archeologicke Rozhledy</t>
  </si>
  <si>
    <t>Archeologie du Nil Moyen</t>
  </si>
  <si>
    <t>Archeo-Nil</t>
  </si>
  <si>
    <t>Archeosciences</t>
  </si>
  <si>
    <t>Archiv für Orientforschung</t>
  </si>
  <si>
    <t>Archivo Español de Arqueología</t>
  </si>
  <si>
    <t>Archäologie in Eurasien</t>
  </si>
  <si>
    <t>Archäologie in Schleswig</t>
  </si>
  <si>
    <t>Arhaiologike Efemeris</t>
  </si>
  <si>
    <t>Arheoloski Vestnik</t>
  </si>
  <si>
    <t>Arkæologisk Forum</t>
  </si>
  <si>
    <t>Arkæologiske skrifter</t>
  </si>
  <si>
    <t>Ars Orientalis</t>
  </si>
  <si>
    <t>Art, Antiquity, and Law</t>
  </si>
  <si>
    <t>Asian Perspectives</t>
  </si>
  <si>
    <t>Assemblage: the Sheffield graduate journal of archaeology</t>
  </si>
  <si>
    <t>Athenaeum</t>
  </si>
  <si>
    <t>Atiqot</t>
  </si>
  <si>
    <t>Atlal</t>
  </si>
  <si>
    <t>Australasian Institute for Maritime Archaeology. The Bulletin</t>
  </si>
  <si>
    <t>Australian Archaeology</t>
  </si>
  <si>
    <t>B.C.A. Sicilia</t>
  </si>
  <si>
    <t>BAR International Series</t>
  </si>
  <si>
    <t>Bastanshenasi Iran</t>
  </si>
  <si>
    <t>Bebyggelsehistorisk Tidskrift</t>
  </si>
  <si>
    <t>Beitraege zur Ur- und Fruehgeschichte Mecklenburg-Vorpommerns</t>
  </si>
  <si>
    <t>Beretning fra XX tværfaglige vikingesymposier</t>
  </si>
  <si>
    <t>Bibliotheca Orientalis</t>
  </si>
  <si>
    <t>Bodendenkmalpflege in Mecklenburg-Vorpommern</t>
  </si>
  <si>
    <t>Bollettino del Centro Camuno di Studi Preistorici</t>
  </si>
  <si>
    <t>Bollettino di Archeologia</t>
  </si>
  <si>
    <t>Bonner Jahrbuecher</t>
  </si>
  <si>
    <t>Boreas : Uppsala studies in ancient Mediterranean and Near Eastern civilizations</t>
  </si>
  <si>
    <t>British Archaeological Reports</t>
  </si>
  <si>
    <t>British Museum Publications On Egypt And Sudan</t>
  </si>
  <si>
    <t>Bulletin Antieke Beschaving</t>
  </si>
  <si>
    <t>Bulletin d'Archeologie Marocaine</t>
  </si>
  <si>
    <t>Bulletin de la Société d'Égyptologie, Genève</t>
  </si>
  <si>
    <t>Bulletin de la Société préhistorique française</t>
  </si>
  <si>
    <t>Bulletin de l'Institut d'Egypte</t>
  </si>
  <si>
    <t>Bulletin d'études orientales</t>
  </si>
  <si>
    <t>Bulletin of the American Schools of Oriental Research</t>
  </si>
  <si>
    <t>Bulletin of the History of Archaeology</t>
  </si>
  <si>
    <t>Bulletin of the School of Oriental and African Studies</t>
  </si>
  <si>
    <t>By Marsk og Geest</t>
  </si>
  <si>
    <t>Bygningsarkæologiske Studier</t>
  </si>
  <si>
    <t>BAAL - Bulletin d'archéologie et d'architecture libanaises</t>
  </si>
  <si>
    <t>Cahier - Centre d'Etudes Chypriotes</t>
  </si>
  <si>
    <t>Canadian Journal of Archaeology</t>
  </si>
  <si>
    <t>Care and Conservation of Manuscripts</t>
  </si>
  <si>
    <t>Castella Maris Baltici</t>
  </si>
  <si>
    <t>Castles Of The North</t>
  </si>
  <si>
    <t>Chateau-Gaillard</t>
  </si>
  <si>
    <t>Chronique d'Egypte</t>
  </si>
  <si>
    <t>Church Archaeology</t>
  </si>
  <si>
    <t>Classical Antiquity</t>
  </si>
  <si>
    <t>Classical Receptions Journal</t>
  </si>
  <si>
    <t>Colloquia Pontica</t>
  </si>
  <si>
    <t>Commissione Archeologica Comunale di Roma. Bullettino</t>
  </si>
  <si>
    <t>Communicationes Archeologicae Hungariae</t>
  </si>
  <si>
    <t>Computer Applications and Quantitative Methods in Archaeology Annual Conference</t>
  </si>
  <si>
    <t>Conservation and Management of Archaeological Sites</t>
  </si>
  <si>
    <t>Creta Antica</t>
  </si>
  <si>
    <t>Curator</t>
  </si>
  <si>
    <t>Current Swedish Archaeology</t>
  </si>
  <si>
    <t>Cyprus. Department of Antiquities. Report</t>
  </si>
  <si>
    <t>Dacia: Revue d'Archeologie et d'Histoire Ancienne</t>
  </si>
  <si>
    <t>Deltion tis Christianikis archeologikis heterias</t>
  </si>
  <si>
    <t>Die Kunde</t>
  </si>
  <si>
    <t>Documenta Praehistorica</t>
  </si>
  <si>
    <t>Documents d'Archeologie Meridionale</t>
  </si>
  <si>
    <t>Dyes in History and Archaeology</t>
  </si>
  <si>
    <t>East Jutland Museum Publications</t>
  </si>
  <si>
    <t>Egyptian Archaeology</t>
  </si>
  <si>
    <t>Egyptological Memoirs</t>
  </si>
  <si>
    <t>Eretz-Israel: Archaeological, Historical and Geographical Studies / ארץ-ישראל: מחקרים בידיעת הארץ ועתיקותיה</t>
  </si>
  <si>
    <t>Estonian Journal of Archaelogy</t>
  </si>
  <si>
    <t>Estonian Journal of Archaeology</t>
  </si>
  <si>
    <t>Etruscan and Italic Studies: Journal of the Etruscan Foundation</t>
  </si>
  <si>
    <t>Études et Travaux</t>
  </si>
  <si>
    <t>Eurasian Prehistory</t>
  </si>
  <si>
    <t>Fasciculi Archaeologiae Historicae</t>
  </si>
  <si>
    <t>Felix Ravenna: Rivista di Antichita Ravennati, cristiane e byzantine</t>
  </si>
  <si>
    <t>Fennoscandia Archaeologica</t>
  </si>
  <si>
    <t>Folia Praehistorica Posnaniensia</t>
  </si>
  <si>
    <t>Fondation Max Van Berchem, Bulletin</t>
  </si>
  <si>
    <t>Fontes Archaeologici Posnanienses</t>
  </si>
  <si>
    <t>Fornvaennen</t>
  </si>
  <si>
    <t>Forschungen zu Burgen und Schlösser</t>
  </si>
  <si>
    <t>Forum Archaeologiae</t>
  </si>
  <si>
    <t>Gallia: archéologie de la France antique</t>
  </si>
  <si>
    <t>Geoarchaeology</t>
  </si>
  <si>
    <t>Gotarc Series A</t>
  </si>
  <si>
    <t>Gotarc Series C</t>
  </si>
  <si>
    <t>Hawliyyat Da'irat al-Athar al-'Ammath / Annual of the Department of Antiquities of Jordan (ADAJ)</t>
  </si>
  <si>
    <t xml:space="preserve">Hephaistos. Kritische Zeitschrift zu Theorie und Praxis der Archäologie und angrenzender Gebiete </t>
  </si>
  <si>
    <t>Heritage &amp; Society</t>
  </si>
  <si>
    <t>HEROM - Journal on Hellenistic and Roman Material Culture</t>
  </si>
  <si>
    <t>Hesperia</t>
  </si>
  <si>
    <t>Hikuin</t>
  </si>
  <si>
    <t>Hispania Antiqua</t>
  </si>
  <si>
    <t>Histria Archaeologica</t>
  </si>
  <si>
    <t>Human Evolution</t>
  </si>
  <si>
    <t>Hunter Gatherer Research</t>
  </si>
  <si>
    <t>In Situ Archeologica</t>
  </si>
  <si>
    <t>Industrial Archaeology Review</t>
  </si>
  <si>
    <t>International Journal of Conservation Science</t>
  </si>
  <si>
    <t>International Journal of Intangible Heritage</t>
  </si>
  <si>
    <t>International Journal of Paleopathology</t>
  </si>
  <si>
    <t>Iranica Antiqua</t>
  </si>
  <si>
    <t>Iraq</t>
  </si>
  <si>
    <t>Israel Exploration Journal</t>
  </si>
  <si>
    <t>Israel Numismatic Research</t>
  </si>
  <si>
    <t>Istanbuler Mitteilungen</t>
  </si>
  <si>
    <t>Jahrbuch des Deutschen Archäologischen Instituts</t>
  </si>
  <si>
    <t>Jahrbuch des Römisch-Germanischen Zentralmuseums Mainz</t>
  </si>
  <si>
    <t>Jahrbuch für Hausforschung</t>
  </si>
  <si>
    <t>Jahreshefte des Österreichisches Archäologisches Instituts in Wien</t>
  </si>
  <si>
    <t>Jahresschrift für mitteldeutsche Vorgeschichte</t>
  </si>
  <si>
    <t>Journal for Late Antique Religion and Culture</t>
  </si>
  <si>
    <t>Journal of African Archaeology</t>
  </si>
  <si>
    <t>Journal of Archaeological Research</t>
  </si>
  <si>
    <t>Journal of Archeology and Ancient History</t>
  </si>
  <si>
    <t>Journal of Architectural Conservation</t>
  </si>
  <si>
    <t>Journal of Caribbean Archaeology</t>
  </si>
  <si>
    <t>Journal of Community Archaeology &amp; Heritage</t>
  </si>
  <si>
    <t>Journal of Conflict Archaeology</t>
  </si>
  <si>
    <t>Journal of Conservation and Museum Studies</t>
  </si>
  <si>
    <t>Journal of Eastern Mediterranean Archaeology and Heritage Studies</t>
  </si>
  <si>
    <t>Journal of Glass Studies</t>
  </si>
  <si>
    <t>Journal of Human Evolution</t>
  </si>
  <si>
    <t>Journal of Iberian Archaeology</t>
  </si>
  <si>
    <t>Journal of Intercultural and Interdisciplinary Archaeology</t>
  </si>
  <si>
    <t>Journal of Irish Archaeology</t>
  </si>
  <si>
    <t>Journal of Island &amp; Coastal Archaeology</t>
  </si>
  <si>
    <t>Journal of Late Antiquity</t>
  </si>
  <si>
    <t>Journal of Mediterranean Studies</t>
  </si>
  <si>
    <t>Journal of Near Eastern Studies</t>
  </si>
  <si>
    <t>Journal of Neolithic Archaeology</t>
  </si>
  <si>
    <t>Journal of Paper Conservation</t>
  </si>
  <si>
    <t>Journal of Prehistoric Religion</t>
  </si>
  <si>
    <t>Journal of Roman Military Equipment Studies</t>
  </si>
  <si>
    <t>Journal of Roman Pottery Studies</t>
  </si>
  <si>
    <t>Journal of the American Institute for Conservation</t>
  </si>
  <si>
    <t>Journal of the American Research Center in Egypt</t>
  </si>
  <si>
    <t>Journal of the British Archaeological Association</t>
  </si>
  <si>
    <t>Journal of the David Collection</t>
  </si>
  <si>
    <t>Journal of the History of Collections</t>
  </si>
  <si>
    <t xml:space="preserve">Journal of the Institute of Conservation </t>
  </si>
  <si>
    <t>Journal of the North Atlantic</t>
  </si>
  <si>
    <t>Journal of the Royal Society of Antiquaries of Ireland</t>
  </si>
  <si>
    <t>Jysk Arkæologisk Selskabs Skrifter</t>
  </si>
  <si>
    <t>Kuml: Årbog for Jysk Arkæologisk Selskab</t>
  </si>
  <si>
    <t>Landscapes of Violence</t>
  </si>
  <si>
    <t>L'Antiquité Classique</t>
  </si>
  <si>
    <t>Latin American Antiquity</t>
  </si>
  <si>
    <t>Le Monde de la Bible</t>
  </si>
  <si>
    <t>Les Nouvelles de l'Archeologie</t>
  </si>
  <si>
    <t>Liber Annuus</t>
  </si>
  <si>
    <t>Lietuvos Archeologija</t>
  </si>
  <si>
    <t>Lithic Technology</t>
  </si>
  <si>
    <t>Lithics</t>
  </si>
  <si>
    <t>Lund Archaeological Review</t>
  </si>
  <si>
    <t>Lund Studies in Historical Archaeology</t>
  </si>
  <si>
    <t>LUNULA: archaeologia protohistorica</t>
  </si>
  <si>
    <t>Lykia</t>
  </si>
  <si>
    <t>Madrider Mitteilungen</t>
  </si>
  <si>
    <t>Mamlūk Studies Review</t>
  </si>
  <si>
    <t>Man &amp; Environment</t>
  </si>
  <si>
    <t>Marburger Studien zur Vor- und Fruehgeschichte</t>
  </si>
  <si>
    <t>Maritime Culture of the North</t>
  </si>
  <si>
    <t>Materiały Archeologiczne</t>
  </si>
  <si>
    <t>Meddelelser om Konservering</t>
  </si>
  <si>
    <t>Medieval Ceramics: Journal of the Medieval Pottery Research Group</t>
  </si>
  <si>
    <t>Medieval Clothing and Textiles</t>
  </si>
  <si>
    <t>Mélanges de l’École française de Rome - Italie et Méditerranée modernes et contemporaines</t>
  </si>
  <si>
    <t>Mélanges de l'École française de Rome - Antiquité</t>
  </si>
  <si>
    <t>Mélanges de l'École française de Rome - Moyen Âge</t>
  </si>
  <si>
    <t>Mercury Series</t>
  </si>
  <si>
    <t>Mesopotamia</t>
  </si>
  <si>
    <t>Metalla</t>
  </si>
  <si>
    <t>Millennium. Jahrbuch zu Kultur und Geschichte des ersten Jahrtausends n. Chr</t>
  </si>
  <si>
    <t>Millennium-Studien</t>
  </si>
  <si>
    <t>Mitteilungen des Deutschen Archäologischen Instituts, Abteilung Kairo</t>
  </si>
  <si>
    <t>Mitteilungen des deutschen Archäologischen Instituts, Athenische Abteilung</t>
  </si>
  <si>
    <t>Mitteilungen des Deutschen Archäologischen Instituts. Römische Abteilung</t>
  </si>
  <si>
    <t>Museums And Collections</t>
  </si>
  <si>
    <t>NABU: Nouvelles Assyriologiques Brèves et Utilitaires</t>
  </si>
  <si>
    <t>Nachrichten aus Niedersachsens Urgeschichte</t>
  </si>
  <si>
    <t>Nationalmuseets Arbejdsmark</t>
  </si>
  <si>
    <t>Nawpa Pacha</t>
  </si>
  <si>
    <t>Near Eastern Archaeology</t>
  </si>
  <si>
    <t>Nordiske fortidsminder, Serie B</t>
  </si>
  <si>
    <t>North American Archaeologist</t>
  </si>
  <si>
    <t>Notae praehistoricae</t>
  </si>
  <si>
    <t>Nottingham Medieval Studies</t>
  </si>
  <si>
    <t>Numismatic Chronicle</t>
  </si>
  <si>
    <t>Offa-Bucher</t>
  </si>
  <si>
    <t>Open Archaeology</t>
  </si>
  <si>
    <t>Opuscula - Annual of the Swedish Institutes at Athens and Rome</t>
  </si>
  <si>
    <t>Origini. Preistoria e protostoria delle civiltà antiche</t>
  </si>
  <si>
    <t>Pact</t>
  </si>
  <si>
    <t>Palaestina Antiqua</t>
  </si>
  <si>
    <t>Paleo</t>
  </si>
  <si>
    <t>Paleorient</t>
  </si>
  <si>
    <t>Palestine Exploration Quarterly</t>
  </si>
  <si>
    <t>Pamatky Archeologicke</t>
  </si>
  <si>
    <t>Papers and Monographs from the Norwegian Institute at Athens</t>
  </si>
  <si>
    <t>Pharos: Journal of the Netherlands Institute at Athens</t>
  </si>
  <si>
    <t>Philippika - Altertumswissenschaftliche Abhandlungen / Contributions to the Study of Ancient World Cultures</t>
  </si>
  <si>
    <t>Polish Archaeology in the Mediterranean</t>
  </si>
  <si>
    <t>Portugália</t>
  </si>
  <si>
    <t>Prace i materialy Muzeum archeologicznego i etnograficznego w Lodzi. Seria archeologiczna</t>
  </si>
  <si>
    <t>Praktika tes en Athenais Archaiologikes Etaireais</t>
  </si>
  <si>
    <t>Prehistoires Mediterraneennes</t>
  </si>
  <si>
    <t>Preistoria Alpina</t>
  </si>
  <si>
    <t>Primitive tider</t>
  </si>
  <si>
    <t>Proceedings of the Danish Institute at Athens</t>
  </si>
  <si>
    <t>Proceedings of the Seminar for Arabian Studies</t>
  </si>
  <si>
    <t>Proceedings of the Society of Antiquaries of Scotland</t>
  </si>
  <si>
    <t>Proceedings of the Viking Congresses</t>
  </si>
  <si>
    <t>Przeglad Archeologiczny</t>
  </si>
  <si>
    <t>Public Archaeology</t>
  </si>
  <si>
    <t>Publications from the National Museum. Studies in archaeology &amp; history</t>
  </si>
  <si>
    <t>Qedem</t>
  </si>
  <si>
    <t>Quartär</t>
  </si>
  <si>
    <t>Restaurator. International Journal for the Preservation of Library and Archival Material</t>
  </si>
  <si>
    <t>Restoration of Buildings and Monuments - Materials science, Conservation of architectural heritage, Sustainable construction</t>
  </si>
  <si>
    <t>Revue archéologique</t>
  </si>
  <si>
    <t>Revue d'Assyriologie et d'Archeologie Orientale</t>
  </si>
  <si>
    <t>Revue d'Egyptologie</t>
  </si>
  <si>
    <t>Revue Numismatique</t>
  </si>
  <si>
    <t>RGZM – Tagungen</t>
  </si>
  <si>
    <t>Riksantikvarieaembetet. Arkeologiska Undersoekningar. Skrifter</t>
  </si>
  <si>
    <t>Rivista di Archeologia</t>
  </si>
  <si>
    <t>Rivista di Archeologia Cristiana</t>
  </si>
  <si>
    <t>Rivista di Scienze Preistoriche</t>
  </si>
  <si>
    <t>Rivista di Studi Pompeiani</t>
  </si>
  <si>
    <t>Rock Art Research</t>
  </si>
  <si>
    <t>Rossiiskaya Arkheologiya</t>
  </si>
  <si>
    <t>Routledge Studies In Archaeology</t>
  </si>
  <si>
    <t>Ruralia</t>
  </si>
  <si>
    <t>Scottish Archaeological Journal</t>
  </si>
  <si>
    <t>Semitica</t>
  </si>
  <si>
    <t>Ships and Boats of the North</t>
  </si>
  <si>
    <t>Sicilia Archeologica</t>
  </si>
  <si>
    <t>Silesia Antiqua</t>
  </si>
  <si>
    <t xml:space="preserve">SKAS </t>
  </si>
  <si>
    <t>Skrifter utgivna av Svenska Institutet i Athen, 4˚</t>
  </si>
  <si>
    <t>Skrifter utgivna av Svenska Institutet i Athen, 8˚</t>
  </si>
  <si>
    <t>Skrifter utgivna av Svenska Institutet i Rom, 4˚ / Acta Instituti Romani Regni Sueciae, series in 4˚</t>
  </si>
  <si>
    <t>Skrifter utgivna av Svenska Institutet i Rom, 8˚ / Acta Instituti Romani Regni Sueciae, series in 8˚</t>
  </si>
  <si>
    <t>Skyllis</t>
  </si>
  <si>
    <t>Slavia Antiqua</t>
  </si>
  <si>
    <t>Slovenska Archeologia</t>
  </si>
  <si>
    <t>Society For Medieval Archaeology Monograph</t>
  </si>
  <si>
    <t>South African Archaeological Bulletin</t>
  </si>
  <si>
    <t>Sprawozdania Archeologiczne</t>
  </si>
  <si>
    <t>Stemma: sciences techniques et méthodologies modernes appliquées à l'antiquité</t>
  </si>
  <si>
    <t>Stockholm Studies in Archaeology</t>
  </si>
  <si>
    <t>STRATUM plus</t>
  </si>
  <si>
    <t>Studi Etruschi</t>
  </si>
  <si>
    <t>Studi Micenei ed Egeo Anatolici</t>
  </si>
  <si>
    <t>Studien zur Altägyptischen Kultur</t>
  </si>
  <si>
    <t>Studien zur Landschafts- und Siedlungsgeschichte im Suedlichen Nordseegebiet</t>
  </si>
  <si>
    <t>Studien zur Sachsenforschung</t>
  </si>
  <si>
    <t>Studies In Classical Archaeology</t>
  </si>
  <si>
    <t>Syria</t>
  </si>
  <si>
    <t>Syro-Mesopotamian Studies</t>
  </si>
  <si>
    <t>Saalburg Jahrbuch</t>
  </si>
  <si>
    <t>Tel Aviv: Journal of the Institute of Archaeology of Tel Aviv University</t>
  </si>
  <si>
    <t>Textile History</t>
  </si>
  <si>
    <t>The Antiquaries Journal</t>
  </si>
  <si>
    <t>The Archaeological Journal</t>
  </si>
  <si>
    <t>The Cambridge Classical Journal</t>
  </si>
  <si>
    <t>The Museum of National Antiquities, Stockholm. Studies</t>
  </si>
  <si>
    <t>The Northern World</t>
  </si>
  <si>
    <t>Tidsskriftet Grønland</t>
  </si>
  <si>
    <t>Tings tale</t>
  </si>
  <si>
    <t>Trabajos de Prehistoria</t>
  </si>
  <si>
    <t>Ugarit-Forschungen: internationales Jahrbuch für die Altertumskunde Syrien-Palästinas</t>
  </si>
  <si>
    <t>Universitätsforschungen zur Prähistorischen Archäologie</t>
  </si>
  <si>
    <t>Varia</t>
  </si>
  <si>
    <t>Viking</t>
  </si>
  <si>
    <t>Vitark: Acta archaeologica Nidrosiensia</t>
  </si>
  <si>
    <t>Wiadomosci Archeologiczne</t>
  </si>
  <si>
    <t>Yearbook of Physical Anthropology</t>
  </si>
  <si>
    <t>Zeitschrift des Deutschen Palästina-Vereins</t>
  </si>
  <si>
    <t>Zeitschrift fuer Schweizerische Archaeologie und Kunstgeschichte</t>
  </si>
  <si>
    <t>Zeitschrift für Assyriologie und Vorderasiatische Archäologie</t>
  </si>
  <si>
    <t>Aarboeger for Nordisk Oldkyndighed og Historie</t>
  </si>
  <si>
    <t>Aarhus Studies in Mediterranean Antiquity</t>
  </si>
  <si>
    <t>Græsk og Latin</t>
  </si>
  <si>
    <t>Brill's Companions in Classical Studies</t>
  </si>
  <si>
    <t>Byzantinische Zeitschrift</t>
  </si>
  <si>
    <t>Byzantion</t>
  </si>
  <si>
    <t>Cahiers de l'Institut du Moyen-Âge Grec et Latin</t>
  </si>
  <si>
    <t>Classical Philology</t>
  </si>
  <si>
    <t>Filologia Mediolatina: Studies in Medieval Latin Texts and Transmission, Rivista della «Fondazione Ezio Franceschini»</t>
  </si>
  <si>
    <t>Gnomon: Kritische Zeitschrift für die gesamte Klassische Altertumswissenschaft</t>
  </si>
  <si>
    <t>Greek, Roman and Byzantine Studies</t>
  </si>
  <si>
    <t>Harvard Studies in Classical Philology</t>
  </si>
  <si>
    <t>Hermes: Zeitschrift für Klassische Philologie</t>
  </si>
  <si>
    <t>Journal of Roman Studies</t>
  </si>
  <si>
    <t>Mittellateinische Studien und Texte</t>
  </si>
  <si>
    <t>Neulateinisches Jahrbuch: Journal of Neo-Latin Language and Literature</t>
  </si>
  <si>
    <t>Philologus</t>
  </si>
  <si>
    <t>Revue des Etudes Latines</t>
  </si>
  <si>
    <t>Revue d'Histoire des Textes</t>
  </si>
  <si>
    <t>Rinascimento</t>
  </si>
  <si>
    <t>Scriptorium</t>
  </si>
  <si>
    <t>The Classical Journal</t>
  </si>
  <si>
    <t>The Classical Quarterly</t>
  </si>
  <si>
    <t>The Journal of Hellenic Studies</t>
  </si>
  <si>
    <t>Traditio</t>
  </si>
  <si>
    <t>Viator: Medieval and Renaissance studies</t>
  </si>
  <si>
    <t>Zeitschrift für Papyrologie und Epigraphik</t>
  </si>
  <si>
    <t>Accademia Nazionale Virgiliana di Scienze Lettere ed Arti. Atti e Memorie</t>
  </si>
  <si>
    <t>ACME – Annali della Facoltà di Studi Umanistici dell’Università degli Studi di Milano</t>
  </si>
  <si>
    <t>Acta Antiqua Academiae Scientiarum Hungaricae</t>
  </si>
  <si>
    <t>Acta Byzantina Fennica</t>
  </si>
  <si>
    <t>Acta Classica</t>
  </si>
  <si>
    <t>Acta Universitatis Carolinae</t>
  </si>
  <si>
    <t>Aegyptus</t>
  </si>
  <si>
    <t>Aevum</t>
  </si>
  <si>
    <t>Aevum Antiquum</t>
  </si>
  <si>
    <t>Ágora. Estudos Clássicos em Debate</t>
  </si>
  <si>
    <t>Aigis: nordisk tidsskrift for klassiske studier</t>
  </si>
  <si>
    <t>AION: Annali dell'Università degli Studi di Napoli «L'Orientale»</t>
  </si>
  <si>
    <t>Akten der Gesellschaft für Griechische und Hellenistische Rechtsgeschichte</t>
  </si>
  <si>
    <t>American Journal of Ancient History</t>
  </si>
  <si>
    <t>American Journal of Philology</t>
  </si>
  <si>
    <t>Analecta Bollandiana</t>
  </si>
  <si>
    <t>Analecta Papyrologica</t>
  </si>
  <si>
    <t>Anales de Filologia clásica</t>
  </si>
  <si>
    <t>Ancient Narrative</t>
  </si>
  <si>
    <t>Ancient Society</t>
  </si>
  <si>
    <t>Ancient World</t>
  </si>
  <si>
    <t>Annales Latini Montium Arvernorum</t>
  </si>
  <si>
    <t>Annali della Scuola Normale Superiore di Pisa. Classe di Lettere e Filosofia</t>
  </si>
  <si>
    <t>Antichthon</t>
  </si>
  <si>
    <t>Antike und Abendland</t>
  </si>
  <si>
    <t>Anuari de Filologia. Seccio D, Studia Graeca et Latina</t>
  </si>
  <si>
    <t>Anzeiger für die Altertumswissenschaft</t>
  </si>
  <si>
    <t>Archiv für Papyrusforschung und verwandte Gebiete</t>
  </si>
  <si>
    <t>Archives d'Histoire Doctrinale et Litteraire du Moyen Age</t>
  </si>
  <si>
    <t>Arethusa</t>
  </si>
  <si>
    <t>Arion</t>
  </si>
  <si>
    <t>Aristoteles Semitico-Latinus</t>
  </si>
  <si>
    <t>Atene e Roma</t>
  </si>
  <si>
    <t>Avriga. Zpravy Jednoty Klasickych Filologu</t>
  </si>
  <si>
    <t>Badia Greca di Grottaferrata. Bollettino</t>
  </si>
  <si>
    <t>Bochumer Philosophisches Jahrbuch für Antike und Mittelalter</t>
  </si>
  <si>
    <t>Boletim de estudos clássicos</t>
  </si>
  <si>
    <t>Bollettino dei Classici</t>
  </si>
  <si>
    <t>Bollettino di Studi Latini</t>
  </si>
  <si>
    <t>Bryn Mawr Classical Review</t>
  </si>
  <si>
    <t>Bulletin de la Société toulousaine d'études classiques</t>
  </si>
  <si>
    <t>Bulletin du Cange</t>
  </si>
  <si>
    <t>Bulletin of the American Society of Papyrologists</t>
  </si>
  <si>
    <t>Bulletin of the Institute of Classical Studies</t>
  </si>
  <si>
    <t>Byzantinische Forschungen</t>
  </si>
  <si>
    <t>Byzantinoslavica - Revue internationale des Etudes Byzantines</t>
  </si>
  <si>
    <t>Byzantium</t>
  </si>
  <si>
    <t>Cassiodorus</t>
  </si>
  <si>
    <t>CEU Medievalia</t>
  </si>
  <si>
    <t>Chiron</t>
  </si>
  <si>
    <t>Ciceroniana</t>
  </si>
  <si>
    <t>Classical and Modern Literature</t>
  </si>
  <si>
    <t>Classical World</t>
  </si>
  <si>
    <t>Classics Ireland</t>
  </si>
  <si>
    <t>Columbia Studies in the Classical Tradition</t>
  </si>
  <si>
    <t>Cuadernos de Filologia Clasica. Estudios Griegos e Indoeuropeos</t>
  </si>
  <si>
    <t>Dike</t>
  </si>
  <si>
    <t>Documenti e Studi sulla Tradizione Filosofica Medievale</t>
  </si>
  <si>
    <t>Eikasmos</t>
  </si>
  <si>
    <t>Eirene</t>
  </si>
  <si>
    <t>Eranos: acta philologica Suecana</t>
  </si>
  <si>
    <t>Estudios de la antigüedad</t>
  </si>
  <si>
    <t xml:space="preserve">Evphrosyne: Revista de Filologia Clássica </t>
  </si>
  <si>
    <t>Exemplaria Classica</t>
  </si>
  <si>
    <t>Faventia</t>
  </si>
  <si>
    <t>Filologia Antica e Moderna</t>
  </si>
  <si>
    <t>Florilegium</t>
  </si>
  <si>
    <t>Gerion</t>
  </si>
  <si>
    <t>Giornale Italiano di Filologia</t>
  </si>
  <si>
    <t>Glotta: Zeitschrift für griechische und lateinische Sprache</t>
  </si>
  <si>
    <t>Goettingische Gelehrte Anzeigen</t>
  </si>
  <si>
    <t>Graecolatina et Orientalia / ZBORNÍK FILOZOFICKEJ FAKULTY UNIVERZITY KOMENSKÉHO V BRATISLAVE</t>
  </si>
  <si>
    <t>Grazer Beitraege</t>
  </si>
  <si>
    <t>Greece and Rome</t>
  </si>
  <si>
    <t>Gymnasium</t>
  </si>
  <si>
    <t>Habis</t>
  </si>
  <si>
    <t>Helios</t>
  </si>
  <si>
    <t>Hermathena</t>
  </si>
  <si>
    <t>Historiography of Rome and Its Empire Series</t>
  </si>
  <si>
    <t>Humanistica Lovaniensia - Journal of Neo-Latin Studies</t>
  </si>
  <si>
    <t>Humanitas</t>
  </si>
  <si>
    <t>Hyperboreus</t>
  </si>
  <si>
    <t>Illinois Classical Studies</t>
  </si>
  <si>
    <t>Institut de Papyrologie et d'Egyptologie de Lille. Cahiers de Recherche</t>
  </si>
  <si>
    <t>International Journal of the Classical Tradition</t>
  </si>
  <si>
    <t>Investigating Medieval Philosophy</t>
  </si>
  <si>
    <t>Itaca</t>
  </si>
  <si>
    <t>Italia Medievale e Umanistica</t>
  </si>
  <si>
    <t>Jahrbuch der Österreichischen Byzantinistik</t>
  </si>
  <si>
    <t>Journal of Classics Teaching</t>
  </si>
  <si>
    <t>Kadmos: Zeitschrift für vor- und frühgriechische Epigraphik</t>
  </si>
  <si>
    <t>Kernos</t>
  </si>
  <si>
    <t>Kratylos: Kritisches Berichts- und Rezensionsorgan für indogermanische und allgemeine Sprachwissenschaft</t>
  </si>
  <si>
    <t>Ktema: Civilisations de l'Orient, de la Grèce et de Rome antiques</t>
  </si>
  <si>
    <t>La Parola del Passato</t>
  </si>
  <si>
    <t>Lampas: Tijdschrift voor classici.</t>
  </si>
  <si>
    <t>Latinitas</t>
  </si>
  <si>
    <t>Latomus</t>
  </si>
  <si>
    <t>Leeds International Classical Studies</t>
  </si>
  <si>
    <t>Les Études Classiques</t>
  </si>
  <si>
    <t>Letteratura Italiana Antica</t>
  </si>
  <si>
    <t>Litterae Caelestes</t>
  </si>
  <si>
    <t>Littératures classiques</t>
  </si>
  <si>
    <t>Logeion</t>
  </si>
  <si>
    <t>London Studies in Classical Philology</t>
  </si>
  <si>
    <t>Lustrum</t>
  </si>
  <si>
    <t>Maia</t>
  </si>
  <si>
    <t>Manuscripta</t>
  </si>
  <si>
    <t>Materiali e Discussioni per l'Analisi dei Testi Classici</t>
  </si>
  <si>
    <t>Medievalia et Humanistica</t>
  </si>
  <si>
    <t>Medioevo e Rinascimento</t>
  </si>
  <si>
    <t>Medioevo Greco: Rivista di storia e filologia bizantina</t>
  </si>
  <si>
    <t>Medium Aevum</t>
  </si>
  <si>
    <t xml:space="preserve">Memoirs of the American Academy in Rome </t>
  </si>
  <si>
    <t>Mittellateinisches Jahrbuch</t>
  </si>
  <si>
    <t>Mnemosyne, Supplements</t>
  </si>
  <si>
    <t>Monographs of the Danish Institute at Athens</t>
  </si>
  <si>
    <t>Mouseion</t>
  </si>
  <si>
    <t>Museum Helveticum</t>
  </si>
  <si>
    <t xml:space="preserve">Nordic Journal of Renaissance Studies </t>
  </si>
  <si>
    <t>Nova Tellus</t>
  </si>
  <si>
    <t>Orbis Terrarum</t>
  </si>
  <si>
    <t>Orphea voce</t>
  </si>
  <si>
    <t>Orpheus : rivista de umanità classica e cristiana</t>
  </si>
  <si>
    <t>Pallas: revue d'études antiques</t>
  </si>
  <si>
    <t>Phoenix</t>
  </si>
  <si>
    <t>Platonselskabets Skriftserie</t>
  </si>
  <si>
    <t>Pontifical Institute of Mediaeval Studies. Studies and Texts</t>
  </si>
  <si>
    <t>Proceedings of the Virgil Society</t>
  </si>
  <si>
    <t>Prudentia</t>
  </si>
  <si>
    <t>Quaderni dell'Istituto di Lingua e Letteratura Latina, Roma</t>
  </si>
  <si>
    <t>Quaderni Urbinati di Cultura Classica</t>
  </si>
  <si>
    <t>Ramus - Critical Studies in Greek and Roman Literature</t>
  </si>
  <si>
    <t>Renaessancestudier</t>
  </si>
  <si>
    <t>Revista de Estudios Clásicos</t>
  </si>
  <si>
    <t>Revue de philologie, de littérature et d'histoire anciennes</t>
  </si>
  <si>
    <t>Revue des Études Anciennes</t>
  </si>
  <si>
    <t>Revue des études byzantines</t>
  </si>
  <si>
    <t>Rheinisches Museum fuer Philologie</t>
  </si>
  <si>
    <t>Rhetorik: Ein internationales Jahrbuch</t>
  </si>
  <si>
    <t>Rivista di Cultura Classica e Medioevale</t>
  </si>
  <si>
    <t>Rivista di Studi Bizantini e Neoellenici</t>
  </si>
  <si>
    <t>Rudiae: Ricerche sul mondo classico</t>
  </si>
  <si>
    <t>SBL - Writings from the Greco-Roman World</t>
  </si>
  <si>
    <t>Scientia Danica. Series H, Humanistica 4</t>
  </si>
  <si>
    <t>Scrinium</t>
  </si>
  <si>
    <t>Segno e testo - International Journal of Manuscripts and Text Transmission</t>
  </si>
  <si>
    <t>Selskabet til Historiske Kildeskrifters Oversaettelse</t>
  </si>
  <si>
    <t>Studi Classici e Orientali</t>
  </si>
  <si>
    <t>Studi Italiani di Filologia Classica</t>
  </si>
  <si>
    <t>Studi Medievali</t>
  </si>
  <si>
    <t>Studi Umanistici Piceni</t>
  </si>
  <si>
    <t>Studia Artistarum</t>
  </si>
  <si>
    <t>Syllecta Classica</t>
  </si>
  <si>
    <t>Symbolae Osloenses</t>
  </si>
  <si>
    <t>TAPA</t>
  </si>
  <si>
    <t>The Classical Outlook</t>
  </si>
  <si>
    <t>The Classical Review</t>
  </si>
  <si>
    <t>The Journal of Juristic Papyrology</t>
  </si>
  <si>
    <t>The Journal of Medieval Latin</t>
  </si>
  <si>
    <t>The Magazine Antiques</t>
  </si>
  <si>
    <t>Travaux et Mémoires</t>
  </si>
  <si>
    <t>Universitatis Scientiarum Debreceniensis. Acta Classica</t>
  </si>
  <si>
    <t>Vergilius</t>
  </si>
  <si>
    <t>Vichiana</t>
  </si>
  <si>
    <t>Wiener Studien: Zeitschrift für Klassische Philologie, Patristik und Lateinische Tradition</t>
  </si>
  <si>
    <t>Yale Classical Studies</t>
  </si>
  <si>
    <t>Pædagogik og Uddannelse, Didaktik</t>
  </si>
  <si>
    <t>Academy of Management Learning and Education</t>
  </si>
  <si>
    <t>Adult Education Quarterly</t>
  </si>
  <si>
    <t>American Educational Research Journal</t>
  </si>
  <si>
    <t>Anthropology &amp; Education Quarterly</t>
  </si>
  <si>
    <t>Assessment &amp; Evaluation in Higher Education</t>
  </si>
  <si>
    <t>Australian Journal of Education</t>
  </si>
  <si>
    <t>British Educational Research Journal</t>
  </si>
  <si>
    <t>British Journal of Educational Studies</t>
  </si>
  <si>
    <t>British Journal of Guidance and Counselling</t>
  </si>
  <si>
    <t>British Journal of Sociology of Education</t>
  </si>
  <si>
    <t>Citizenship, Social and Economics Education</t>
  </si>
  <si>
    <t>Cognition and Instruction</t>
  </si>
  <si>
    <t>Comparative Education</t>
  </si>
  <si>
    <t>Comparative Education Review</t>
  </si>
  <si>
    <t>Contemporary Educational Psychology</t>
  </si>
  <si>
    <t>Critical Studies in Education</t>
  </si>
  <si>
    <t>Curriculum Inquiry</t>
  </si>
  <si>
    <t>Discourse: Studies in the Cultural Politics of Education</t>
  </si>
  <si>
    <t>Dyslexia</t>
  </si>
  <si>
    <t>Early Childhood Education Journal</t>
  </si>
  <si>
    <t>Early Childhood Research Quarterly</t>
  </si>
  <si>
    <t>Economics of Education Review</t>
  </si>
  <si>
    <t>Educational Administration Quarterly</t>
  </si>
  <si>
    <t>Educational and Psychological Measurement</t>
  </si>
  <si>
    <t>Educational Evaluation and Policy Analysis</t>
  </si>
  <si>
    <t>Educational Policy</t>
  </si>
  <si>
    <t>Educational Psychologist</t>
  </si>
  <si>
    <t>Educational Research</t>
  </si>
  <si>
    <t>Educational Research Review</t>
  </si>
  <si>
    <t>Educational Researcher</t>
  </si>
  <si>
    <t>Educational Review</t>
  </si>
  <si>
    <t>Educational Studies</t>
  </si>
  <si>
    <t>Environmental Education Research</t>
  </si>
  <si>
    <t>Ethnography and Education</t>
  </si>
  <si>
    <t>European Early Childhood Education Research Journal</t>
  </si>
  <si>
    <t>European Educational Research Journal</t>
  </si>
  <si>
    <t>European Journal of Education</t>
  </si>
  <si>
    <t>European Journal of Engineering Education</t>
  </si>
  <si>
    <t>European Journal of Psychology of Education</t>
  </si>
  <si>
    <t>European Journal of Teacher Education</t>
  </si>
  <si>
    <t>Gender and Education</t>
  </si>
  <si>
    <t>Harvard Educational Review</t>
  </si>
  <si>
    <t>Health Education Research</t>
  </si>
  <si>
    <t>Higher Education</t>
  </si>
  <si>
    <t>Higher Education Research and Development</t>
  </si>
  <si>
    <t>History of Education</t>
  </si>
  <si>
    <t>Innovations in Education and Teaching International</t>
  </si>
  <si>
    <t>Instructional Science</t>
  </si>
  <si>
    <t>International Journal of Educational Development</t>
  </si>
  <si>
    <t>International Journal of Educational Research</t>
  </si>
  <si>
    <t>International Journal of Engineering Education</t>
  </si>
  <si>
    <t>International Journal of Inclusive Education</t>
  </si>
  <si>
    <t>International Journal of Qualitative Studies in Education</t>
  </si>
  <si>
    <t>International Journal of Science and Mathematics Education</t>
  </si>
  <si>
    <t>International Journal of Science Education</t>
  </si>
  <si>
    <t>International Journal of Sustainability in Higher Education</t>
  </si>
  <si>
    <t>International Journal of Technology and Design Education</t>
  </si>
  <si>
    <t>International Review of Education</t>
  </si>
  <si>
    <t>Journal of Adolescent &amp; Adult Literacy</t>
  </si>
  <si>
    <t>Journal of Adult Development</t>
  </si>
  <si>
    <t>Journal of Biological Education</t>
  </si>
  <si>
    <t>Journal of Counseling &amp; Development</t>
  </si>
  <si>
    <t>Journal of Curriculum Studies</t>
  </si>
  <si>
    <t>Journal of Education and Work</t>
  </si>
  <si>
    <t>Journal of Education for Teaching</t>
  </si>
  <si>
    <t>Journal of Education Policy</t>
  </si>
  <si>
    <t>Journal of Educational and Behavioral Statistics</t>
  </si>
  <si>
    <t>Journal of Engineering Education</t>
  </si>
  <si>
    <t>Journal of Higher Education</t>
  </si>
  <si>
    <t>Journal of Learning Disabilities</t>
  </si>
  <si>
    <t>Journal of Moral Education</t>
  </si>
  <si>
    <t>Journal of Philosophy of Education</t>
  </si>
  <si>
    <t>Journal of Psychoeducational Assessment</t>
  </si>
  <si>
    <t>Journal of Research in Science Teaching</t>
  </si>
  <si>
    <t>Journal of School Health</t>
  </si>
  <si>
    <t>Journal of Science Teacher Education</t>
  </si>
  <si>
    <t>Journal of Social Science Education</t>
  </si>
  <si>
    <t>Journal of Studies in International Education</t>
  </si>
  <si>
    <t>Journal of Teacher Education</t>
  </si>
  <si>
    <t>Journal of Teaching in Physical Education</t>
  </si>
  <si>
    <t>Language and Education</t>
  </si>
  <si>
    <t>Language Learning</t>
  </si>
  <si>
    <t>Language Teaching</t>
  </si>
  <si>
    <t>Language Teaching Research</t>
  </si>
  <si>
    <t>Learning and Individual Differences</t>
  </si>
  <si>
    <t>Learning and Instruction</t>
  </si>
  <si>
    <t>Learning and Teaching: The International Journal of Higher Education in the Social Sciences</t>
  </si>
  <si>
    <t>Learning Disability Quarterly</t>
  </si>
  <si>
    <t>Management Learning</t>
  </si>
  <si>
    <t>Medical Education</t>
  </si>
  <si>
    <t>Narrative Inquiry</t>
  </si>
  <si>
    <t>Nordic Studies in Education</t>
  </si>
  <si>
    <t>NorDiNa: Nordic Studies in Science Education</t>
  </si>
  <si>
    <t>Oxford Review of Education</t>
  </si>
  <si>
    <t>Paedagogica Historica: International Journal of the History of Education</t>
  </si>
  <si>
    <t>Race Ethnicity and Education</t>
  </si>
  <si>
    <t>Remedial and Special Education</t>
  </si>
  <si>
    <t>Research in Higher Education</t>
  </si>
  <si>
    <t>Research in Science Education</t>
  </si>
  <si>
    <t>Research in the Teaching of English</t>
  </si>
  <si>
    <t>Review of Educational Research</t>
  </si>
  <si>
    <t>Review of Research in Education</t>
  </si>
  <si>
    <t>Scandinavian Journal of Educational Research</t>
  </si>
  <si>
    <t>School Effectiveness and School Improvement</t>
  </si>
  <si>
    <t>Science &amp; Education</t>
  </si>
  <si>
    <t>Science Education</t>
  </si>
  <si>
    <t>Scientific Studies of Reading</t>
  </si>
  <si>
    <t>Sociology of Education</t>
  </si>
  <si>
    <t>Studies in Continuing Education</t>
  </si>
  <si>
    <t>Studies in Higher Education</t>
  </si>
  <si>
    <t>Studies in Philosophy and Education</t>
  </si>
  <si>
    <t>Studies in Science Education</t>
  </si>
  <si>
    <t>Studies in Second Language Acquisition</t>
  </si>
  <si>
    <t>Teachers and Teaching: Theory and Practice</t>
  </si>
  <si>
    <t>Teaching and Teacher Education: An International Journal of Research and Studies</t>
  </si>
  <si>
    <t>Teaching in Higher Education</t>
  </si>
  <si>
    <t>The Australian Educational Researcher</t>
  </si>
  <si>
    <t>The Career Development Quarterly</t>
  </si>
  <si>
    <t>The Curriculum Journal</t>
  </si>
  <si>
    <t>The Elementary School Journal</t>
  </si>
  <si>
    <t>The Journal of Educational Research</t>
  </si>
  <si>
    <t>The Journal of Environmental Education</t>
  </si>
  <si>
    <t>The Journal of Special Education</t>
  </si>
  <si>
    <t>The Reading Teacher</t>
  </si>
  <si>
    <t>The Review of Higher Education</t>
  </si>
  <si>
    <t>Theory into Practice</t>
  </si>
  <si>
    <t>Topics in Early Childhood Special Education</t>
  </si>
  <si>
    <t>Vocations and Learning</t>
  </si>
  <si>
    <t>Zeitschrift für Erziehungswissenschaft</t>
  </si>
  <si>
    <t>Zeitschrift für Pädagogik</t>
  </si>
  <si>
    <t>Academe</t>
  </si>
  <si>
    <t>Acta Didactica Norge - nasjonalt tidsskrift for fagdidaktisk forsknings- og utviklingsarbeid</t>
  </si>
  <si>
    <t xml:space="preserve">Acta Paedagogica Vilnensia </t>
  </si>
  <si>
    <t>Action Learning Action Research and Participatory Action Research World Congress</t>
  </si>
  <si>
    <t>Action Learning: research and practice</t>
  </si>
  <si>
    <t>Active Learning in Higher Education</t>
  </si>
  <si>
    <t>Adult Education and Development</t>
  </si>
  <si>
    <t>Adult Learning</t>
  </si>
  <si>
    <t>Advances in Engineering Education</t>
  </si>
  <si>
    <t>Advances in Health Sciences Education</t>
  </si>
  <si>
    <t>Advances in Mathematics Education</t>
  </si>
  <si>
    <t>Advances in Medical Education and Practice</t>
  </si>
  <si>
    <t>Advances in Physiology Education</t>
  </si>
  <si>
    <t>Advances in Research on Teaching</t>
  </si>
  <si>
    <t>AERA Annual Meeting</t>
  </si>
  <si>
    <t>AERA Open</t>
  </si>
  <si>
    <t>African Journal of Mathematics, Science and Technology Education</t>
  </si>
  <si>
    <t>African Journal of Research in Mathematics, Science and Technology Education</t>
  </si>
  <si>
    <t>Alberta Journal of Educational Research</t>
  </si>
  <si>
    <t>Alexandria: Journal of Science and Technology Education</t>
  </si>
  <si>
    <t>American Journal of Distance Education</t>
  </si>
  <si>
    <t>American Journal of Education</t>
  </si>
  <si>
    <t>American Journal of Pharmaceutical Education</t>
  </si>
  <si>
    <t>Annales de didactiques et de sciences cognitives</t>
  </si>
  <si>
    <t>Annual Conference on European Association for Education in Electrical and Information Engineering</t>
  </si>
  <si>
    <t>Applied Environmental Education and Communication</t>
  </si>
  <si>
    <t>Applied Measurement in Education</t>
  </si>
  <si>
    <t>Arts and Humanities in Higher Education</t>
  </si>
  <si>
    <t>ASEE Annual Conference and Exhibition</t>
  </si>
  <si>
    <t>ASEE International Forum</t>
  </si>
  <si>
    <t>ASHE Higher Education Report Series</t>
  </si>
  <si>
    <t>Asia Pacific Education Review</t>
  </si>
  <si>
    <t>Asia Pacific Journal of Education</t>
  </si>
  <si>
    <t>Asian Education and Development Studies</t>
  </si>
  <si>
    <t>Asia-Pacific Journal of Teacher Education</t>
  </si>
  <si>
    <t>Assessing Writing</t>
  </si>
  <si>
    <t>Assessment in Education: Principles, Policy and Practice</t>
  </si>
  <si>
    <t>Asterisk</t>
  </si>
  <si>
    <t>Australasian Journal of Early Childhood</t>
  </si>
  <si>
    <t>Australasian Journal of Engineering Education</t>
  </si>
  <si>
    <t>Australian Journal of Adult Learning</t>
  </si>
  <si>
    <t>Australian Journal of Environmental Education</t>
  </si>
  <si>
    <t>Barn</t>
  </si>
  <si>
    <t>Bhutan Journal of Research and Development</t>
  </si>
  <si>
    <t>Bildung und Erziehung</t>
  </si>
  <si>
    <t>Bildungsforschung</t>
  </si>
  <si>
    <t>Biochemistry and Molecular Biology Education</t>
  </si>
  <si>
    <t>British Journal of Learning Disabilities</t>
  </si>
  <si>
    <t>British Journal of Special Education</t>
  </si>
  <si>
    <t>BUKS - Tidsskrift for Børne- og Ungdomskultur</t>
  </si>
  <si>
    <t>Cambridge Journal of Education</t>
  </si>
  <si>
    <t>Canadian Journal of Education</t>
  </si>
  <si>
    <t>Canadian Journal of Environmental Education</t>
  </si>
  <si>
    <t>Canadian Journal of Higher Education</t>
  </si>
  <si>
    <t>Canadian Journal of Science, Mathematics and Technology Education</t>
  </si>
  <si>
    <t>CBE-Life Sciences Education</t>
  </si>
  <si>
    <t>Cepra-Striben</t>
  </si>
  <si>
    <t>Change: The Magazine of Higher Learning</t>
  </si>
  <si>
    <t>Chemical Engineering Education</t>
  </si>
  <si>
    <t>Chemistry Education Research and Practice</t>
  </si>
  <si>
    <t>Child and Youth Care Forum</t>
  </si>
  <si>
    <t>Child Language Teaching and Therapy</t>
  </si>
  <si>
    <t>Childhood &amp; Philosophy</t>
  </si>
  <si>
    <t>Childhood Education</t>
  </si>
  <si>
    <t>Children's Literature in Education</t>
  </si>
  <si>
    <t>Chinese Education and Society</t>
  </si>
  <si>
    <t>Clearinghouse-forskningsserien</t>
  </si>
  <si>
    <t xml:space="preserve">Cogent Education </t>
  </si>
  <si>
    <t>Cognition and Exploratory Learning in Digital Age</t>
  </si>
  <si>
    <t>College Teaching</t>
  </si>
  <si>
    <t>Community College Journal of Research and Practice</t>
  </si>
  <si>
    <t>Compare: a journal of comparative and international education</t>
  </si>
  <si>
    <t>Complicity: An International Journal of Complexity and Education</t>
  </si>
  <si>
    <t>Computer Applications in Engineering Education</t>
  </si>
  <si>
    <t>Computer Science Education</t>
  </si>
  <si>
    <t>Computers in Education Journal</t>
  </si>
  <si>
    <t>Computers in the Schools</t>
  </si>
  <si>
    <t>Conference of the Canadian Association for the Study of Adult Education</t>
  </si>
  <si>
    <t>Conference of the European Science Education Research Association</t>
  </si>
  <si>
    <t>conference of the Society for Information Technology and Teacher Education</t>
  </si>
  <si>
    <t>Confero: Essays on Education, Philosophy and Politics</t>
  </si>
  <si>
    <t>Contemporary Educational Technology</t>
  </si>
  <si>
    <t>Contemporary English Teaching and Learning in Non-English-Speaking Countries</t>
  </si>
  <si>
    <t>Contemporary Issues in Early Childhood</t>
  </si>
  <si>
    <t>Contributions from Science Education Research</t>
  </si>
  <si>
    <t>Counselor Education and Supervision</t>
  </si>
  <si>
    <t>Creative education</t>
  </si>
  <si>
    <t>Creativity in the Twenty First Century</t>
  </si>
  <si>
    <t>Critical Literacy</t>
  </si>
  <si>
    <t>Cultura y Educacion</t>
  </si>
  <si>
    <t xml:space="preserve">Cultural Studies of Science Education </t>
  </si>
  <si>
    <t>Current Issues in Education</t>
  </si>
  <si>
    <t>Cursiv</t>
  </si>
  <si>
    <t>D4Learning international Conference Innovations in Digital Learning for Inclusion</t>
  </si>
  <si>
    <t>Dansk Paedagogisk Tidsskrift</t>
  </si>
  <si>
    <t>Dansk Universitetspædagogisk Tidsskrift</t>
  </si>
  <si>
    <t>Deafness and Education International</t>
  </si>
  <si>
    <t>Der Mathematikunterricht</t>
  </si>
  <si>
    <t>Dialogic Pedagogy</t>
  </si>
  <si>
    <t>Didactics of music education</t>
  </si>
  <si>
    <t>Didaktik</t>
  </si>
  <si>
    <t>Didaktiske studier</t>
  </si>
  <si>
    <t>Distance Education</t>
  </si>
  <si>
    <t>Early Child Development and Care</t>
  </si>
  <si>
    <t>Early Education and Development</t>
  </si>
  <si>
    <t>Early Years</t>
  </si>
  <si>
    <t>Educação Unisinos</t>
  </si>
  <si>
    <t>Educar</t>
  </si>
  <si>
    <t>Educare</t>
  </si>
  <si>
    <t>Educate~</t>
  </si>
  <si>
    <t>Education + Training</t>
  </si>
  <si>
    <t>Education and Training in Autism and Developmental Disabilities</t>
  </si>
  <si>
    <t>Education Economics</t>
  </si>
  <si>
    <t>Éducation et Didactique</t>
  </si>
  <si>
    <t>Éducation et didactiques</t>
  </si>
  <si>
    <t>Education et Societes</t>
  </si>
  <si>
    <t>Education for Chemical Engineers</t>
  </si>
  <si>
    <t>Education Inquiry</t>
  </si>
  <si>
    <t>Education Next</t>
  </si>
  <si>
    <t>Education Policy Analysis Archives</t>
  </si>
  <si>
    <t>Education Research International</t>
  </si>
  <si>
    <t>Education Sciences</t>
  </si>
  <si>
    <t>Educational Action Research</t>
  </si>
  <si>
    <t>Educational Assessment</t>
  </si>
  <si>
    <t>Educational Assessment, Evaluation and Accountability</t>
  </si>
  <si>
    <t>Educational Communications And Technology: Issues And Innovations</t>
  </si>
  <si>
    <t>Educational Governance Research</t>
  </si>
  <si>
    <t>Educational Leadership</t>
  </si>
  <si>
    <t>Educational Management, Administration &amp; Leadership</t>
  </si>
  <si>
    <t>Educational Measurement: Issues and Practice</t>
  </si>
  <si>
    <t>Educational Psychology</t>
  </si>
  <si>
    <t>Educational Research and Evaluation</t>
  </si>
  <si>
    <t>Educational Research for Policy and Practice</t>
  </si>
  <si>
    <t>Educational Technology Letters</t>
  </si>
  <si>
    <t>Educational Theory</t>
  </si>
  <si>
    <t>E-Learning and Digital Media</t>
  </si>
  <si>
    <t>Empirical Research in Vocational Education and Training</t>
  </si>
  <si>
    <t>Empirische Paedagogik</t>
  </si>
  <si>
    <t xml:space="preserve">Engineering Project Organization Journal </t>
  </si>
  <si>
    <t>Engineering Studies</t>
  </si>
  <si>
    <t>Enseñanza de las Ciencias</t>
  </si>
  <si>
    <t>Equity &amp; Excellence in Education</t>
  </si>
  <si>
    <t>Ethics and Education</t>
  </si>
  <si>
    <t>Ethnography &amp; Education</t>
  </si>
  <si>
    <t>EURASIA Journal of Mathematics, Science and Technology Educatio</t>
  </si>
  <si>
    <t>Eureka Forskningsserie</t>
  </si>
  <si>
    <t>European Conference on e-Learning</t>
  </si>
  <si>
    <t>European Education</t>
  </si>
  <si>
    <t>European Journal for Research on the Education and Learning of Adults</t>
  </si>
  <si>
    <t>European Journal of Open, Distance and E-Learning</t>
  </si>
  <si>
    <t>European Journal of Special Needs Education</t>
  </si>
  <si>
    <t>European Journal of Training and Development</t>
  </si>
  <si>
    <t>European Journal Vocational Training</t>
  </si>
  <si>
    <t>European Society for Engineering Education. Annual Conference proceedings</t>
  </si>
  <si>
    <t>European Teacher Education Network</t>
  </si>
  <si>
    <t>Evolution: Education and Outreach</t>
  </si>
  <si>
    <t>Excellence in Higher Education</t>
  </si>
  <si>
    <t xml:space="preserve">Exploring Teaching for Active Learning in Engineering Education </t>
  </si>
  <si>
    <t>Fleks - Scandinavian Journal of Intercultural Theory and Practice</t>
  </si>
  <si>
    <t>Foro de Educación</t>
  </si>
  <si>
    <t>Forskning i Pædagogers Profession og Uddannelse</t>
  </si>
  <si>
    <t>FoU i Praksis</t>
  </si>
  <si>
    <t>Frontiers of Education in China</t>
  </si>
  <si>
    <t>Frontline Learning Research</t>
  </si>
  <si>
    <t>Frühe Bildung</t>
  </si>
  <si>
    <t>Gifted Child Quarterly</t>
  </si>
  <si>
    <t>Global Histories of Education</t>
  </si>
  <si>
    <t>Global Journal of Engineering Education</t>
  </si>
  <si>
    <t>Global Research On Teaching And Learning English</t>
  </si>
  <si>
    <t>Global Studies of Childhood</t>
  </si>
  <si>
    <t>Globalisation, Societies and Education</t>
  </si>
  <si>
    <t>Health Education</t>
  </si>
  <si>
    <t>High Ability Studies</t>
  </si>
  <si>
    <t>Higher Education Dynamics</t>
  </si>
  <si>
    <t>Higher Education Pedagogies</t>
  </si>
  <si>
    <t>Higher Education Policy</t>
  </si>
  <si>
    <t>Higher Education Practices Series</t>
  </si>
  <si>
    <t>Higher Education Quarterly</t>
  </si>
  <si>
    <t>Higher Education, Skills and Work-Based Learning</t>
  </si>
  <si>
    <t>Higher Education: Handbook of Theory and Research</t>
  </si>
  <si>
    <t>Higher Learning Research Communications</t>
  </si>
  <si>
    <t>Historical Encounters</t>
  </si>
  <si>
    <t>History of Education Quarterly</t>
  </si>
  <si>
    <t>History of Education Researcher</t>
  </si>
  <si>
    <t>History of Education Review</t>
  </si>
  <si>
    <t>Högre utbildning</t>
  </si>
  <si>
    <t>IAFOR Journal of Education</t>
  </si>
  <si>
    <t>IEEE Frontiers in Education Conference</t>
  </si>
  <si>
    <t>IEEE Global Engineering Education Conference</t>
  </si>
  <si>
    <t>IEEE Transactions on Education</t>
  </si>
  <si>
    <t>IEEE Transactions on Learning Technologies</t>
  </si>
  <si>
    <t>IJHE Bildungsgeschichte</t>
  </si>
  <si>
    <t>IJREE – International Journal for Research on Extended Education</t>
  </si>
  <si>
    <t>Improving Schools</t>
  </si>
  <si>
    <t>In Education</t>
  </si>
  <si>
    <t>IND's Skriftserie</t>
  </si>
  <si>
    <t>Industry and Higher Education</t>
  </si>
  <si>
    <t>Infancia y Aprendizaje</t>
  </si>
  <si>
    <t>INFORMS Transactions on Education</t>
  </si>
  <si>
    <t>Innovation in Language Learning and Teaching</t>
  </si>
  <si>
    <t>Innovative Higher Education</t>
  </si>
  <si>
    <t>Innovative Practice in Higher Education</t>
  </si>
  <si>
    <t>Intelligent Automation and Soft Computing</t>
  </si>
  <si>
    <t>Interaccoes</t>
  </si>
  <si>
    <t>Interchange</t>
  </si>
  <si>
    <t>Intercultural Education</t>
  </si>
  <si>
    <t>Interdisciplinary Journal of E-Learning and Learning Objects</t>
  </si>
  <si>
    <t>International Conference Integrating Content and Language in Higher Education</t>
  </si>
  <si>
    <t>International Conference on Designs for Learning</t>
  </si>
  <si>
    <t>International Conference on Engineering and Product Design Education</t>
  </si>
  <si>
    <t>International Conference on Engineering Education</t>
  </si>
  <si>
    <t>International Conference on Interactive Collaborative Learning</t>
  </si>
  <si>
    <t>International Conference on Learning Technologies and Learning Environments</t>
  </si>
  <si>
    <t>International Conference on MOOCs, Innovation and Technology in Education</t>
  </si>
  <si>
    <t>International Congress on Mathematical Education</t>
  </si>
  <si>
    <t>International Education Journal</t>
  </si>
  <si>
    <t>International Journal for Academic Development</t>
  </si>
  <si>
    <t>International Journal for Cross-Disciplinary Subjects in Education</t>
  </si>
  <si>
    <t>International Journal for Educational and Vocational Guidance</t>
  </si>
  <si>
    <t>International Journal for Leadership in Learning</t>
  </si>
  <si>
    <t>International Journal for Lesson and Learning Studies</t>
  </si>
  <si>
    <t>International Journal for Mathematics Teaching and Learning</t>
  </si>
  <si>
    <t>International Journal for Research in Vocational Education and Training</t>
  </si>
  <si>
    <t>International Journal for Service Learning in Engineering</t>
  </si>
  <si>
    <t>International Journal of Artificial Intelligence in Education</t>
  </si>
  <si>
    <t>International Journal of Bias, Identity and Diversities in Education</t>
  </si>
  <si>
    <t>International Journal of Children's Spirituality</t>
  </si>
  <si>
    <t>International Journal of Construction Education and Research</t>
  </si>
  <si>
    <t>International Journal of Continuing Engineering Education and Life-Long Learning</t>
  </si>
  <si>
    <t>International Journal of Cyber Behavior, Psychology and Learning</t>
  </si>
  <si>
    <t>International Journal of Designs for Learning</t>
  </si>
  <si>
    <t>International Journal of Distance Education Technologies</t>
  </si>
  <si>
    <t>International Journal of Doctoral Studies</t>
  </si>
  <si>
    <t>International Journal of Early Years Education</t>
  </si>
  <si>
    <t>International Journal of Education and the Arts</t>
  </si>
  <si>
    <t>International Journal of Education Through Art</t>
  </si>
  <si>
    <t>International Journal of Educational Leadership and Management</t>
  </si>
  <si>
    <t>International Journal of Educational Management</t>
  </si>
  <si>
    <t>International Journal of Educational Reform</t>
  </si>
  <si>
    <t>International Journal of Educational Technology in Higher Education</t>
  </si>
  <si>
    <t>International Journal of Electrical Engineering Education</t>
  </si>
  <si>
    <t>International Journal of Emerging Technologies in Learning</t>
  </si>
  <si>
    <t>International Journal of Engineering Pedagogy</t>
  </si>
  <si>
    <t>International Journal of Home Economics</t>
  </si>
  <si>
    <t>International Journal of Information and Learning Technology</t>
  </si>
  <si>
    <t>International Journal of Innovation and Learning</t>
  </si>
  <si>
    <t>International Journal of Knowledge and Learning</t>
  </si>
  <si>
    <t>International Journal of Leadership in Education</t>
  </si>
  <si>
    <t>International Journal of Learning and Change</t>
  </si>
  <si>
    <t>International Journal of Lifelong Education</t>
  </si>
  <si>
    <t>International Journal of Management in Education</t>
  </si>
  <si>
    <t>International Journal of Mechanical Engineering Education</t>
  </si>
  <si>
    <t>International Journal of Mobile and Blended Learning</t>
  </si>
  <si>
    <t>International Journal of Mobile Learning and Organisation</t>
  </si>
  <si>
    <t>International Journal of Online Engineering</t>
  </si>
  <si>
    <t>International Journal of Play</t>
  </si>
  <si>
    <t>International Journal of Progressive Education</t>
  </si>
  <si>
    <t>International Journal of Quantitative Research in Education</t>
  </si>
  <si>
    <t>International Journal of Research and Method in Education</t>
  </si>
  <si>
    <t>International Journal of Research Studies in Educational Technology</t>
  </si>
  <si>
    <t>International Journal of Research Studies in Language Learning</t>
  </si>
  <si>
    <t>International Journal of Science Education. Part B: Communication and Public Engagement</t>
  </si>
  <si>
    <t>International Journal of Self-Directed Learning</t>
  </si>
  <si>
    <t>International Journal of Social Media and Interactive Learning Environments</t>
  </si>
  <si>
    <t>International Journal of Social Pedagogy</t>
  </si>
  <si>
    <t>International Journal of Teaching and Learning in Higher Education</t>
  </si>
  <si>
    <t>International Journal of Technology and Engineering Education</t>
  </si>
  <si>
    <t>International Journal of Technology Enhanced Learning</t>
  </si>
  <si>
    <t>International Journal on New Trends in Education and Their Implications</t>
  </si>
  <si>
    <t>International Perspectives On Early Childhood Education And Development</t>
  </si>
  <si>
    <t>International Perspectives On English Language Teaching</t>
  </si>
  <si>
    <t>International Perspectives on the Teaching and Learning of Mathematical Modelling</t>
  </si>
  <si>
    <t>International Research in Early Childhood Education</t>
  </si>
  <si>
    <t>International Research in Geographical and Environmental Education</t>
  </si>
  <si>
    <t>International Research Symposium on PBL</t>
  </si>
  <si>
    <t>International Research Symposium on Problem-Based Learning</t>
  </si>
  <si>
    <t>International Review of Research in Open and Distributed Learning</t>
  </si>
  <si>
    <t>International Studies In Higher Education</t>
  </si>
  <si>
    <t>International Studies in Sociology of Education</t>
  </si>
  <si>
    <t>International Symposium on Project Approaches in Engineering Education</t>
  </si>
  <si>
    <t>Intervention in School and Clinic</t>
  </si>
  <si>
    <t>Investigations in Mathematics Learning</t>
  </si>
  <si>
    <t>Irish Educational Studies</t>
  </si>
  <si>
    <t>Issues in Educational Research</t>
  </si>
  <si>
    <t>ITUs skriftserie</t>
  </si>
  <si>
    <t>Journal for Critical Education Policy Studies</t>
  </si>
  <si>
    <t>Journal for Educational Research Online</t>
  </si>
  <si>
    <t>Journal for Educators, Teachers and Trainers</t>
  </si>
  <si>
    <t>Journal for the Education of the Gifted</t>
  </si>
  <si>
    <t>Journal of Accounting Education</t>
  </si>
  <si>
    <t>Journal of Adult and Continuing Education</t>
  </si>
  <si>
    <t>Journal of Adventure Education and Outdoor Learning</t>
  </si>
  <si>
    <t>Journal of Aesthetic Education</t>
  </si>
  <si>
    <t>Journal of Agricultural Education and Extension</t>
  </si>
  <si>
    <t>Journal of Applied Research in Higher Education</t>
  </si>
  <si>
    <t>Journal of Behavioral Education</t>
  </si>
  <si>
    <t>Journal of Chemical Education</t>
  </si>
  <si>
    <t>Journal of College and Character</t>
  </si>
  <si>
    <t>Journal of College Student Development</t>
  </si>
  <si>
    <t>Journal of College Student Retention: Research, Theory &amp; Practice</t>
  </si>
  <si>
    <t>Journal of Computers in Mathematics and Science Teaching</t>
  </si>
  <si>
    <t>Journal of Computing in Higher Education</t>
  </si>
  <si>
    <t>Journal of Continuing Higher Education</t>
  </si>
  <si>
    <t>Journal of Curriculum Theorizing</t>
  </si>
  <si>
    <t>Journal of Deaf Studies and Deaf Education</t>
  </si>
  <si>
    <t>Journal of Dental Education</t>
  </si>
  <si>
    <t>Journal of Early Childhood Literacy</t>
  </si>
  <si>
    <t>Journal of Early Childhood Research</t>
  </si>
  <si>
    <t>Journal of Early Childhood Teacher Education</t>
  </si>
  <si>
    <t>Journal of Education</t>
  </si>
  <si>
    <t>Journal of Education for Students Placed at Risk</t>
  </si>
  <si>
    <t>Journal of Education for Sustainable Development</t>
  </si>
  <si>
    <t>Journal of Education Research</t>
  </si>
  <si>
    <t>Journal of Education, Psychology and Social Sciences</t>
  </si>
  <si>
    <t>Journal of Educational Administration</t>
  </si>
  <si>
    <t>Journal of Educational Administration and History</t>
  </si>
  <si>
    <t>Journal of Educational Change</t>
  </si>
  <si>
    <t>Journal of Educational Controversy</t>
  </si>
  <si>
    <t>Journal of Efficiency and Responsibility in Education and Science</t>
  </si>
  <si>
    <t>Journal of Further and Higher Education</t>
  </si>
  <si>
    <t>Journal of Geography in Higher Education</t>
  </si>
  <si>
    <t>Journal of Geoscience Education</t>
  </si>
  <si>
    <t>Journal of Higher Education Policy and Management</t>
  </si>
  <si>
    <t>Journal of Hispanic Higher Education</t>
  </si>
  <si>
    <t>Journal of Hospitality &amp; Tourism Education</t>
  </si>
  <si>
    <t>Journal of Information Systems Education</t>
  </si>
  <si>
    <t>Journal of Information Technology Education: Research</t>
  </si>
  <si>
    <t>Journal of Intellectual &amp; Developmental Disability</t>
  </si>
  <si>
    <t>Journal of Intellectual Disability Research</t>
  </si>
  <si>
    <t>Journal of Language Teaching and Research</t>
  </si>
  <si>
    <t>Journal of Language, Identity, and Education</t>
  </si>
  <si>
    <t>Journal of Latinos and Education</t>
  </si>
  <si>
    <t>Journal of Learning Analytics</t>
  </si>
  <si>
    <t>Journal of Learning Development in Higher Education</t>
  </si>
  <si>
    <t>Journal of Learning for Development</t>
  </si>
  <si>
    <t>Journal of Management Education</t>
  </si>
  <si>
    <t>Journal of Mathematics Teacher Education</t>
  </si>
  <si>
    <t>Journal of Negro Education</t>
  </si>
  <si>
    <t>Journal of Nutrition Education and Behavior</t>
  </si>
  <si>
    <t>Journal of Peace Education</t>
  </si>
  <si>
    <t>Journal of Policy and Practice in Intellectual Disabilities</t>
  </si>
  <si>
    <t>Journal of Pre-College Engineering Education Research</t>
  </si>
  <si>
    <t>Journal of Problem Based Learning in Higher Education</t>
  </si>
  <si>
    <t>Journal of Professional Issues in Engineering Education and Practice</t>
  </si>
  <si>
    <t>Journal of Research in Childhood Education</t>
  </si>
  <si>
    <t>Journal of Research in International Education</t>
  </si>
  <si>
    <t>Journal of Research in Reading</t>
  </si>
  <si>
    <t>Journal of Research in Special Educational Needs</t>
  </si>
  <si>
    <t>Journal of Research on Educational Effectiveness</t>
  </si>
  <si>
    <t>Journal of Research, Policy &amp; Practice of Teachers and Teacher Education</t>
  </si>
  <si>
    <t>Journal of Science Education and Technology</t>
  </si>
  <si>
    <t>Journal of Social Studies Education Research</t>
  </si>
  <si>
    <t>Journal of Social Work Education</t>
  </si>
  <si>
    <t>Journal of STEM Education: Innovations and Research</t>
  </si>
  <si>
    <t>Journal of Student Affairs Research and Practice</t>
  </si>
  <si>
    <t>Journal of Teacher Education and Training</t>
  </si>
  <si>
    <t>Journal of Teaching and Learning</t>
  </si>
  <si>
    <t>Journal of Teaching and Learning with Technology</t>
  </si>
  <si>
    <t>Journal of Teaching in Travel &amp; Tourism</t>
  </si>
  <si>
    <t>Journal of Technology and Science Education</t>
  </si>
  <si>
    <t>Journal of Technology Education</t>
  </si>
  <si>
    <t>Journal of the International Society for Teacher Education</t>
  </si>
  <si>
    <t>Journal of the Writing Research</t>
  </si>
  <si>
    <t>Journal of Transformative Education</t>
  </si>
  <si>
    <t>Journal of University Teaching &amp; Learning Practice</t>
  </si>
  <si>
    <t>Journal of Urban Mathematics Education</t>
  </si>
  <si>
    <t>Journal of Veterinary Medical Education</t>
  </si>
  <si>
    <t>Journal of Vocational Education and Training</t>
  </si>
  <si>
    <t>Journal of Workplace Learning</t>
  </si>
  <si>
    <t>Kognition &amp; Paedagogik</t>
  </si>
  <si>
    <t>L1-Educational Studies in Language and Literature</t>
  </si>
  <si>
    <t>Language Learning Journal</t>
  </si>
  <si>
    <t>Large-Scale Assessments in Education</t>
  </si>
  <si>
    <t>Leadership and Policy in Schools</t>
  </si>
  <si>
    <t>Learning and Teaching in Computing and Engineering</t>
  </si>
  <si>
    <t>Learning and Teaching in Higher Education</t>
  </si>
  <si>
    <t>Learning Disabilities Research &amp; Practice</t>
  </si>
  <si>
    <t>Learning Environments Research</t>
  </si>
  <si>
    <t>Lernen und Lernstörungen</t>
  </si>
  <si>
    <t>Literacy and Numeracy Studies</t>
  </si>
  <si>
    <t>Literacy Research and Instruction</t>
  </si>
  <si>
    <t>Logopedics Phoniatrics Vocology</t>
  </si>
  <si>
    <t>London Review of Education</t>
  </si>
  <si>
    <t>Longitudinal and Life Course Studies</t>
  </si>
  <si>
    <t>LUMAT: International Journal on Math, Science and Technology Education</t>
  </si>
  <si>
    <t>Læring og Medier</t>
  </si>
  <si>
    <t>Mathematics Education Review</t>
  </si>
  <si>
    <t>Mathematics Teacher</t>
  </si>
  <si>
    <t>Meaningful Play Conference</t>
  </si>
  <si>
    <t>Medical Teacher</t>
  </si>
  <si>
    <t>MedienPädagogik: Zeitschrift für Theorie und Praxis der Medienbildung</t>
  </si>
  <si>
    <t>Mélanges Crapel: Revue en didactique des langues et sociolinguistique</t>
  </si>
  <si>
    <t>Menneskelig udvikling, deltagelse og social forandring</t>
  </si>
  <si>
    <t>Mentoring &amp; Tutoring</t>
  </si>
  <si>
    <t>Methodology Of Educational Measurement And Assessment</t>
  </si>
  <si>
    <t>MONA - Matematik- og Naturfagsdidaktik</t>
  </si>
  <si>
    <t>MONA Forskningsrapportserie</t>
  </si>
  <si>
    <t>Multicultural Education Review</t>
  </si>
  <si>
    <t>Multicultural Learning and Teaching</t>
  </si>
  <si>
    <t>Multicultural Perspectives</t>
  </si>
  <si>
    <t>Multidisciplinary Journal of Educational Research</t>
  </si>
  <si>
    <t>Musikpædagogiske Studier, DPU</t>
  </si>
  <si>
    <t>New Directions for Evaluation</t>
  </si>
  <si>
    <t>New Directions for Higher Education</t>
  </si>
  <si>
    <t>New Directions for Teaching and Learning</t>
  </si>
  <si>
    <t>New Educator</t>
  </si>
  <si>
    <t>New Perspectives on Learning and Instruction</t>
  </si>
  <si>
    <t>New Zealand Journal of Educational Studies</t>
  </si>
  <si>
    <t>Nomad</t>
  </si>
  <si>
    <t xml:space="preserve">Nordand – Nordisk tidsskrift for andrespråksforskning </t>
  </si>
  <si>
    <t>Nordic Journal of Comparative and International Education</t>
  </si>
  <si>
    <t>Nordic Journal of Digital Literacy</t>
  </si>
  <si>
    <t>Nordic Journal of Educational History</t>
  </si>
  <si>
    <t>Nordic Journal of Literacy Research</t>
  </si>
  <si>
    <t>Nordic Journal of Modern Language Methodology</t>
  </si>
  <si>
    <t>Nordic Journal of Studies in Educational Policy</t>
  </si>
  <si>
    <t>Nordic Journal of Vocational Education and Training</t>
  </si>
  <si>
    <t>Nordidactica - Journal of Humanities and Social Science Education</t>
  </si>
  <si>
    <t>Nordisk Barnehageforskning</t>
  </si>
  <si>
    <t>Nordisk Matematikkdidaktikk</t>
  </si>
  <si>
    <t>Nordisk nettverk for morsmålsdidaktisk forskning</t>
  </si>
  <si>
    <t>Nordisk tidskrift för Hörsel- och Dövundervisning</t>
  </si>
  <si>
    <t>Nordisk Tidsskrift for Allmän Didaktik</t>
  </si>
  <si>
    <t>Nordisk tidsskrift for pedagogikk og kritikk</t>
  </si>
  <si>
    <t>Norsk Pedagogisk Tidsskrift</t>
  </si>
  <si>
    <t>Norsk tidsskrift for logopedi</t>
  </si>
  <si>
    <t>On the Horizon</t>
  </si>
  <si>
    <t>Online Educational Research Journal</t>
  </si>
  <si>
    <t>Open Learning: The Journal of Open, Distance and e-Learning</t>
  </si>
  <si>
    <t>Organisation Und Pädagogik</t>
  </si>
  <si>
    <t>Organizational Aesthetics</t>
  </si>
  <si>
    <t>Organizational Learning and Management Studies</t>
  </si>
  <si>
    <t>Oxford Research Encyclopedia of Education</t>
  </si>
  <si>
    <t>Oxford Studies in Comparative Education</t>
  </si>
  <si>
    <t xml:space="preserve">Paideia - tidsskrift for professionel pædagogisk praksis </t>
  </si>
  <si>
    <t>Paideusis: Journal of the Canadian Philosophy of Education Society</t>
  </si>
  <si>
    <t>PAIDEUTIKA.</t>
  </si>
  <si>
    <t>Palgrave Studies In The History Of Childhood</t>
  </si>
  <si>
    <t>Palgrave Studies on Chinese Education in a Global Perspective</t>
  </si>
  <si>
    <t xml:space="preserve">Pastoral Care in Education: An International Journal of Personal, Social and Emotional Development </t>
  </si>
  <si>
    <t>Peabody Journal of Education</t>
  </si>
  <si>
    <t>Pedagogisk Forskning i Sverige</t>
  </si>
  <si>
    <t>Pedagogy, Culture and Society</t>
  </si>
  <si>
    <t>Pedagogy: Critical Approaches to Teaching Literature, Language, Composition, and Culture</t>
  </si>
  <si>
    <t>Perspectives in Education</t>
  </si>
  <si>
    <t>Perspectives in Learning</t>
  </si>
  <si>
    <t>Perspectives on Medical Education</t>
  </si>
  <si>
    <t>Perspectives: Policy and Practice in Higher Education</t>
  </si>
  <si>
    <t>Pharmacy Education</t>
  </si>
  <si>
    <t>Phi Delta Kappan</t>
  </si>
  <si>
    <t>Philosophy and Theory in Higher Education</t>
  </si>
  <si>
    <t>Philosophy of Mathematics Education Journal</t>
  </si>
  <si>
    <t>Physical Review Physics Education Research</t>
  </si>
  <si>
    <t>Physics Education</t>
  </si>
  <si>
    <t>Policy Futures in Education</t>
  </si>
  <si>
    <t>Policy implications of research in education</t>
  </si>
  <si>
    <t>Power and Education</t>
  </si>
  <si>
    <t>Practical Assessment, Research &amp; Evaluation</t>
  </si>
  <si>
    <t>PRIMUS - Problems, Resources, and Issues in Mathematics Undergraduate Studies</t>
  </si>
  <si>
    <t>Professional Development in Education</t>
  </si>
  <si>
    <t>Prospects: Comparative Journal of Curriculum, Learning, and Assessment</t>
  </si>
  <si>
    <t>Pædagogisk Psykologisk Tidsskrift</t>
  </si>
  <si>
    <t>Qualitative Research in Education</t>
  </si>
  <si>
    <t>Quality Assurance in Education</t>
  </si>
  <si>
    <t>Quality in Higher Education</t>
  </si>
  <si>
    <t>RDST - Recherches en Didactiques des Sciences et des Technologies</t>
  </si>
  <si>
    <t>Reading &amp; Writing Quarterly</t>
  </si>
  <si>
    <t>Reading and Writing</t>
  </si>
  <si>
    <t>ReCall</t>
  </si>
  <si>
    <t>Reconceptualizing Educational Research Methodology</t>
  </si>
  <si>
    <t>Relaciones - Sociedad Argentina de Antropología</t>
  </si>
  <si>
    <t>RELIVE: Revista ELectrónica de Investigación y EValuación Educativa</t>
  </si>
  <si>
    <t>Research and Practice in Technology Enhanced Learning</t>
  </si>
  <si>
    <t>Research in Comparative and International Education</t>
  </si>
  <si>
    <t>Research in Education</t>
  </si>
  <si>
    <t>Research in Post-Compulsory Education</t>
  </si>
  <si>
    <t>Research in Science &amp; Technological Education</t>
  </si>
  <si>
    <t>Research Papers in Education</t>
  </si>
  <si>
    <t>Research Synthesis Methods</t>
  </si>
  <si>
    <t>Review of Education</t>
  </si>
  <si>
    <t>Revista Electrónica de Investigación Psicoeducativa / Electronic Journal of Research in Educational Psychology</t>
  </si>
  <si>
    <t>Revista Española de Educación Comparada</t>
  </si>
  <si>
    <t>Revista Eureka sobre Enseñanza y Divulgación de las Ciencias</t>
  </si>
  <si>
    <t>Revista Latinoamericana de Etnomatematica</t>
  </si>
  <si>
    <t>Revista Mexicana de Investigacion Educativa</t>
  </si>
  <si>
    <t>Revista redELE</t>
  </si>
  <si>
    <t>Revue Francaise de Pédagogie</t>
  </si>
  <si>
    <t>RoSE – Research on Steiner Education</t>
  </si>
  <si>
    <t>Routledge International Studies In The Philosophy Of Education</t>
  </si>
  <si>
    <t>Routledge Research In Education</t>
  </si>
  <si>
    <t>Routlegde Research In Higher Education</t>
  </si>
  <si>
    <t>Russian Education and Society</t>
  </si>
  <si>
    <t>Räume In Der Pädagogik</t>
  </si>
  <si>
    <t>Sammenlignende Fagdidaktik</t>
  </si>
  <si>
    <t>School Leadership &amp; Management</t>
  </si>
  <si>
    <t>School Science and Mathematics</t>
  </si>
  <si>
    <t>School Science Review</t>
  </si>
  <si>
    <t>Science and Children</t>
  </si>
  <si>
    <t>Science Educator</t>
  </si>
  <si>
    <t>Serie om lærings-, forandrings- og organisationsudviklingsprocesser</t>
  </si>
  <si>
    <t>Sex Education: Sexuality, Society and Learning</t>
  </si>
  <si>
    <t>SiSAL Journal</t>
  </si>
  <si>
    <t>Social Pedagogy Quarlerly//Pedagogika Społeczna</t>
  </si>
  <si>
    <t>Social Psychology of Education</t>
  </si>
  <si>
    <t>Society for the Scientific Study of Reading Annual Meeting</t>
  </si>
  <si>
    <t>Soziale Arbeit als Wohlfahrtsproduktion</t>
  </si>
  <si>
    <t>Specialpaedagogik</t>
  </si>
  <si>
    <t>Sprache - Stimme - Gehoer</t>
  </si>
  <si>
    <t>Studia Educationis Historica</t>
  </si>
  <si>
    <t>Studier i læreruddannelse og -profession</t>
  </si>
  <si>
    <t>Studier i Læreruddannelse og Profession</t>
  </si>
  <si>
    <t>Studier i problembaseret læring ved videregående uddannelser</t>
  </si>
  <si>
    <t>Studier i Pædagogisk Filosofi</t>
  </si>
  <si>
    <t>Studies in Art Education</t>
  </si>
  <si>
    <t>Studies In Curriculum Theory Series</t>
  </si>
  <si>
    <t>Studies in Educational Evaluation</t>
  </si>
  <si>
    <t>Studies in Graduate and Postdoctoral Education</t>
  </si>
  <si>
    <t>Studies in the Education of Adults</t>
  </si>
  <si>
    <t>Studying Teacher Education</t>
  </si>
  <si>
    <t>Support for Learning</t>
  </si>
  <si>
    <t>Taboo: The Journal of Culture and Education</t>
  </si>
  <si>
    <t>Talent Development and Excellence</t>
  </si>
  <si>
    <t>Teacher Development</t>
  </si>
  <si>
    <t>Teacher Education and Special Education</t>
  </si>
  <si>
    <t>Teachers College Record</t>
  </si>
  <si>
    <t>Teaching and Learning in Medicine</t>
  </si>
  <si>
    <t>Teaching Education</t>
  </si>
  <si>
    <t>Teaching Science</t>
  </si>
  <si>
    <t>Techne Series - Research in Sloyd Education and Craft Science A</t>
  </si>
  <si>
    <t>Teoria de la Educacion: Revista Interuniversitaria</t>
  </si>
  <si>
    <t>Tertiary Education and Management</t>
  </si>
  <si>
    <t>TESOL Quarterly</t>
  </si>
  <si>
    <t>The Advances in Higher Education and Professional Development</t>
  </si>
  <si>
    <t>The American Biology Teacher</t>
  </si>
  <si>
    <t>The Chemical Educator</t>
  </si>
  <si>
    <t>The Educational Forum</t>
  </si>
  <si>
    <t>The Enabling Power of Assessment</t>
  </si>
  <si>
    <t>The Interdisciplinary Journal of Problem-Based Learning</t>
  </si>
  <si>
    <t>The International Journal of Art &amp; Design Education</t>
  </si>
  <si>
    <t>The International Journal of Learning</t>
  </si>
  <si>
    <t>The International Journal of Management Education</t>
  </si>
  <si>
    <t>The International Journal of Training Research</t>
  </si>
  <si>
    <t>The International Journal on School Disaffection</t>
  </si>
  <si>
    <t>The Journal of General Education</t>
  </si>
  <si>
    <t>The Journal of Sustainability Education</t>
  </si>
  <si>
    <t>The Learning Organization</t>
  </si>
  <si>
    <t>The Mathematics Educator</t>
  </si>
  <si>
    <t>The New Educational Review</t>
  </si>
  <si>
    <t>The Physics Teacher</t>
  </si>
  <si>
    <t>The Review of Education, Pedagogy &amp; Cultural Studies</t>
  </si>
  <si>
    <t>The Science Education Review</t>
  </si>
  <si>
    <t>The Turkish Online Journal of Educational Technology</t>
  </si>
  <si>
    <t>Theory &amp; Research in Social Education</t>
  </si>
  <si>
    <t>Theory and Research in Education</t>
  </si>
  <si>
    <t>Thinking Skills and Creativity</t>
  </si>
  <si>
    <t>Tidsskrift for professionsstudier</t>
  </si>
  <si>
    <t>Tidsskrift for Socialpædagogik</t>
  </si>
  <si>
    <t>Tidsskrift for Universiteternes efter- og videreuddannelse</t>
  </si>
  <si>
    <t>Tidsskriftet Norges Barnevern</t>
  </si>
  <si>
    <t>Turkish Online Journal of Distance Education</t>
  </si>
  <si>
    <t>Uddannelse og læring</t>
  </si>
  <si>
    <t>Uddannelseshistorie</t>
  </si>
  <si>
    <t>Undervisning og medialisering</t>
  </si>
  <si>
    <t>Ungdomsliv</t>
  </si>
  <si>
    <t>Unge Paedagoger</t>
  </si>
  <si>
    <t>Unge Pædagoger</t>
  </si>
  <si>
    <t>Uniped</t>
  </si>
  <si>
    <t>Universal Journal of Educational Research</t>
  </si>
  <si>
    <t>Unterrichtswissenschaft</t>
  </si>
  <si>
    <t>Utbildning &amp; Demokrati</t>
  </si>
  <si>
    <t>Utbildning &amp; Lärande</t>
  </si>
  <si>
    <t>Velfærd, professioner og hverdagsliv under forandring</t>
  </si>
  <si>
    <t xml:space="preserve">Visual Inquiry : Learning &amp; Teaching Art </t>
  </si>
  <si>
    <t>Voces y Silencios: Revista Latinoamericana de Educacion</t>
  </si>
  <si>
    <t>Workshop on Virtual and Augmented Assistive Technology</t>
  </si>
  <si>
    <t>World Studies in Education</t>
  </si>
  <si>
    <t>World Transactions on Engineering and Technology Education</t>
  </si>
  <si>
    <t>World Yearbook of Education</t>
  </si>
  <si>
    <t>Written Language and Literacy</t>
  </si>
  <si>
    <t>Yearbook. International Society for the Didactics of History</t>
  </si>
  <si>
    <t>Young Children</t>
  </si>
  <si>
    <t>Zbornik Instituta za pedagoska istrazivanja</t>
  </si>
  <si>
    <t>Zeitschrift fur Bildungsforschung</t>
  </si>
  <si>
    <t>Zeitschrift für Hochschulentwicklung</t>
  </si>
  <si>
    <t>Zeitschrift für Soziologie der Erziehung und Sozialisation</t>
  </si>
  <si>
    <t>Zeitschrift für Weiterbildungsforschung - Report</t>
  </si>
  <si>
    <t xml:space="preserve">Antropologi, Etnologi, etnografi </t>
  </si>
  <si>
    <t>American Anthropologist</t>
  </si>
  <si>
    <t>American Ethnologist</t>
  </si>
  <si>
    <t>Annual Review of Anthropology</t>
  </si>
  <si>
    <t>Anthropologica</t>
  </si>
  <si>
    <t>Anthropological Forum - A Journal of Social Anthropology and Comparative Sociology</t>
  </si>
  <si>
    <t>Anthropological Quarterly</t>
  </si>
  <si>
    <t>Anthropological Theory</t>
  </si>
  <si>
    <t>Anthropology &amp; Medicine</t>
  </si>
  <si>
    <t>Anthropology in Action</t>
  </si>
  <si>
    <t>Anthropology of Work Review</t>
  </si>
  <si>
    <t>Anthrozoos</t>
  </si>
  <si>
    <t>City &amp; Society</t>
  </si>
  <si>
    <t>Critique of Anthropology</t>
  </si>
  <si>
    <t>Cultural Anthropology</t>
  </si>
  <si>
    <t>Cultural Dynamics</t>
  </si>
  <si>
    <t>Culture, Medicine and Psychiatry</t>
  </si>
  <si>
    <t>Current Anthropology</t>
  </si>
  <si>
    <t>Dialectical Anthropology</t>
  </si>
  <si>
    <t>Economic Anthropology</t>
  </si>
  <si>
    <t>Ethnic and Racial Studies</t>
  </si>
  <si>
    <t>Ethnicities</t>
  </si>
  <si>
    <t>Ethnography</t>
  </si>
  <si>
    <t>Ethnohistory</t>
  </si>
  <si>
    <t>Ethnopolitics</t>
  </si>
  <si>
    <t>Ethnos</t>
  </si>
  <si>
    <t>Ethos</t>
  </si>
  <si>
    <t>Etnofoor</t>
  </si>
  <si>
    <t>Evolutionary Anthropology</t>
  </si>
  <si>
    <t>Field Methods</t>
  </si>
  <si>
    <t>Focaal: Journal of Global and Historical Anthropology</t>
  </si>
  <si>
    <t>Globalizations</t>
  </si>
  <si>
    <t>HAU: Journal of Ethnographic Theory</t>
  </si>
  <si>
    <t>History and Anthropology</t>
  </si>
  <si>
    <t>Human Ecology: An Interdisciplinary Journal</t>
  </si>
  <si>
    <t>Human Organization</t>
  </si>
  <si>
    <t>Identities - Global Studies in Culture and Power</t>
  </si>
  <si>
    <t>Immigrants and Minorities</t>
  </si>
  <si>
    <t>International Journal on Minority and Group Rights</t>
  </si>
  <si>
    <t>International Migration Review</t>
  </si>
  <si>
    <t>Journal of Anthropological Research</t>
  </si>
  <si>
    <t>Journal of Contemporary Ethnography</t>
  </si>
  <si>
    <t>Journal of Ethnic and Migration Studies</t>
  </si>
  <si>
    <t>Journal of International Migration and Integration</t>
  </si>
  <si>
    <t>Journal of Refugee Studies</t>
  </si>
  <si>
    <t>Journal of the Royal Anthropological Institute</t>
  </si>
  <si>
    <t>Language, Culture and Curriculum</t>
  </si>
  <si>
    <t>Medical Anthropology</t>
  </si>
  <si>
    <t>Medical Anthropology Quarterly</t>
  </si>
  <si>
    <t>Middle East Journal of Culture and Communication</t>
  </si>
  <si>
    <t>Nations and Nationalism</t>
  </si>
  <si>
    <t>Nordic Journal of Migration Research</t>
  </si>
  <si>
    <t>Public Culture</t>
  </si>
  <si>
    <t>Race &amp; Class</t>
  </si>
  <si>
    <t>Research in Economic Anthropology</t>
  </si>
  <si>
    <t>Social Analysis: The International Journal of Anthropology</t>
  </si>
  <si>
    <t>Social Anthropology</t>
  </si>
  <si>
    <t>Social Dynamics: A journal of African studies</t>
  </si>
  <si>
    <t>The Australian Journal of Anthropology</t>
  </si>
  <si>
    <t>The Journal of Peasant Studies</t>
  </si>
  <si>
    <t>Transforming Anthropology</t>
  </si>
  <si>
    <t>Visual Anthropology</t>
  </si>
  <si>
    <t>Acta Academiae Regiae Gustavi Adolphi</t>
  </si>
  <si>
    <t>Acta Ethnographica Hungarica</t>
  </si>
  <si>
    <t>Advances in Anthropology</t>
  </si>
  <si>
    <t>African and Black Diaspora</t>
  </si>
  <si>
    <t>African Conflict and Peacebuilding Review</t>
  </si>
  <si>
    <t>African Dynamics</t>
  </si>
  <si>
    <t>Alaska Journal of Anthropology</t>
  </si>
  <si>
    <t>AlterNative: An International Journal of Indigenous Peoples</t>
  </si>
  <si>
    <t>America Negra</t>
  </si>
  <si>
    <t>American Indian Quarterly</t>
  </si>
  <si>
    <t>Amerindia</t>
  </si>
  <si>
    <t>Anales de Antropologia</t>
  </si>
  <si>
    <t>Annals of the Náprstek Museum</t>
  </si>
  <si>
    <t>Annuaire Roumain d'Anthropologie</t>
  </si>
  <si>
    <t>Antennae: The Journal of Nature in visual culture</t>
  </si>
  <si>
    <t>Anthropological Journal of European Cultures</t>
  </si>
  <si>
    <t>Anthropological Notebooks</t>
  </si>
  <si>
    <t>Anthropological Review</t>
  </si>
  <si>
    <t>Anthropological Science</t>
  </si>
  <si>
    <t>Anthropological Studies Of Creativity And Perception</t>
  </si>
  <si>
    <t>Anthropologie et Societes</t>
  </si>
  <si>
    <t>Anthropologischer Anzeiger</t>
  </si>
  <si>
    <t>Anthropology &amp;</t>
  </si>
  <si>
    <t>Anthropology &amp; Aging</t>
  </si>
  <si>
    <t>Anthropology and Archeology of Eurasia</t>
  </si>
  <si>
    <t>Anthropology And Business: Crossing Boundaries, Innovating Praxis</t>
  </si>
  <si>
    <t>Anthropology and Humanism</t>
  </si>
  <si>
    <t>Anthropology Matters Journal</t>
  </si>
  <si>
    <t>Anthropology News</t>
  </si>
  <si>
    <t>Anthropology Now</t>
  </si>
  <si>
    <t>Anthropology of Consciousness</t>
  </si>
  <si>
    <t>Anthropology of Food</t>
  </si>
  <si>
    <t>Anthropology of the Middle East</t>
  </si>
  <si>
    <t>Anthropology Today</t>
  </si>
  <si>
    <t>Anthropology, Change And Development</t>
  </si>
  <si>
    <t>Anthropology, Culture and Society</t>
  </si>
  <si>
    <t>Anthropos: internationale Zeitschrift für Völker- und Sprachenkunde.</t>
  </si>
  <si>
    <t>Anthropos: Yearbook in Anthropology</t>
  </si>
  <si>
    <t>Anthrovision</t>
  </si>
  <si>
    <t>Antípoda. Revista de Antropología y Arqueología</t>
  </si>
  <si>
    <t>Antropologia Portuguesa</t>
  </si>
  <si>
    <t>Antropologicas</t>
  </si>
  <si>
    <t>Antropologiske Studier</t>
  </si>
  <si>
    <t>Archiv für Völkerkunde</t>
  </si>
  <si>
    <t>ASA Monographs</t>
  </si>
  <si>
    <t>Asian Anthropology</t>
  </si>
  <si>
    <t>Asian Ethnicity</t>
  </si>
  <si>
    <t>Asian Ethnology</t>
  </si>
  <si>
    <t>Asian Population Studies</t>
  </si>
  <si>
    <t>Austrian Studies in Social Anthropology</t>
  </si>
  <si>
    <t>Bealoideas</t>
  </si>
  <si>
    <t>Blackwell Readers in Anthropology</t>
  </si>
  <si>
    <t>Cambridge Studies in Medical Anthropology</t>
  </si>
  <si>
    <t>Canadian Journal of Native Studies</t>
  </si>
  <si>
    <t>CEPAL Review</t>
  </si>
  <si>
    <t>Chungara: Revista de Antropología Chilena</t>
  </si>
  <si>
    <t>Collaborative Anthropologies</t>
  </si>
  <si>
    <t>Collegium Antropologicum</t>
  </si>
  <si>
    <t>Colombia Internacional</t>
  </si>
  <si>
    <t>Comparative Civilizations Review</t>
  </si>
  <si>
    <t>Conflict and Health</t>
  </si>
  <si>
    <t>Conflict and Society</t>
  </si>
  <si>
    <t>Contributions to Southeast Asian Ethnography</t>
  </si>
  <si>
    <t>Critical Anthropology</t>
  </si>
  <si>
    <t xml:space="preserve">Critical Arts: South-North Cultural and Media Studies </t>
  </si>
  <si>
    <t>Cross-Cultural Perspectives on Women</t>
  </si>
  <si>
    <t>Crossings</t>
  </si>
  <si>
    <t>Culture, Agriculture, Food &amp; Environment</t>
  </si>
  <si>
    <t>Culture, Place, and Nature: Studies in Anthropology and Environment</t>
  </si>
  <si>
    <t>Cultus: The Journal of Intercultural Mediation and Communication</t>
  </si>
  <si>
    <t>Digital Health</t>
  </si>
  <si>
    <t>Diversities</t>
  </si>
  <si>
    <t>Durham Anthropological Journal</t>
  </si>
  <si>
    <t>Earth's Future</t>
  </si>
  <si>
    <t>EASA Series</t>
  </si>
  <si>
    <t>Eastern Anthropologist</t>
  </si>
  <si>
    <t>Elementa: Science of the Anthropocene</t>
  </si>
  <si>
    <t>Environment and Society</t>
  </si>
  <si>
    <t>Environmental Humanities</t>
  </si>
  <si>
    <t>Estudios Indiana</t>
  </si>
  <si>
    <t>Estudos Feministas</t>
  </si>
  <si>
    <t>Ethnographia</t>
  </si>
  <si>
    <t>Ethnographic Studies</t>
  </si>
  <si>
    <t>Ethnography, Theory, Experiment</t>
  </si>
  <si>
    <t>Ethnologia Balkanica. Journal of Southeast European Anthropology</t>
  </si>
  <si>
    <t>Ethnologia Europae Centralis</t>
  </si>
  <si>
    <t>Ethnologia Fennica</t>
  </si>
  <si>
    <t>Ethnologia Slovaca et Slavica</t>
  </si>
  <si>
    <t>Ethnologia. Journal of the Greek Society for Ethnology</t>
  </si>
  <si>
    <t>Ethnologie Française</t>
  </si>
  <si>
    <t>Etnografia Polska</t>
  </si>
  <si>
    <t>Etnográfica - Revista do Centro em Rede de Investigação em Antropologia</t>
  </si>
  <si>
    <t>Etnograficheskoe Obozrenie</t>
  </si>
  <si>
    <t>Etnologiske Studier</t>
  </si>
  <si>
    <t xml:space="preserve">Etnološka tribina </t>
  </si>
  <si>
    <t>European Diversity and Autonomy Papers</t>
  </si>
  <si>
    <t>European Yearbook of Minority Issues</t>
  </si>
  <si>
    <t>Explorations in Anthropology</t>
  </si>
  <si>
    <t>FF Communications</t>
  </si>
  <si>
    <t>Folia Ethnographica</t>
  </si>
  <si>
    <t>Folk Life</t>
  </si>
  <si>
    <t>Folklore</t>
  </si>
  <si>
    <t>Food, Culture &amp; Society: An International Journal of Multidisciplinary Research</t>
  </si>
  <si>
    <t>Francophone Postcolonial Studies</t>
  </si>
  <si>
    <t>Frontiers in Neural Circuits</t>
  </si>
  <si>
    <t>Historische Anthropologie</t>
  </si>
  <si>
    <t>Horizontes Antropologicos</t>
  </si>
  <si>
    <t>Identity, Culture and Politics</t>
  </si>
  <si>
    <t>IMIS-Beiträge</t>
  </si>
  <si>
    <t>IMISCOE Research Series</t>
  </si>
  <si>
    <t>Indilinga: African Journal of Indigenous Knowledge Systems</t>
  </si>
  <si>
    <t>International Journal of Business Research</t>
  </si>
  <si>
    <t>International Journal of Culture and Mental Health</t>
  </si>
  <si>
    <t>International Journal of Intercultural Information Management</t>
  </si>
  <si>
    <t>International Journal of Migration, Health and Social Care</t>
  </si>
  <si>
    <t>International Journal of Tourism Anthropology</t>
  </si>
  <si>
    <t>Irish Journal of Anthropology</t>
  </si>
  <si>
    <t>Jahrbuch für Antisemitismusforschung</t>
  </si>
  <si>
    <t>Jahrbuch für Volkskunde</t>
  </si>
  <si>
    <t>Japanese Journal of Cultural Anthropology</t>
  </si>
  <si>
    <t>Jewish Identities in a Changing World</t>
  </si>
  <si>
    <t>Jordens Folk</t>
  </si>
  <si>
    <t>Journal de la Société des Océanistes</t>
  </si>
  <si>
    <t>Journal des Anthropologues</t>
  </si>
  <si>
    <t>Journal for the Anthropological Study of Human Movement</t>
  </si>
  <si>
    <t>Journal of Business Anthropology</t>
  </si>
  <si>
    <t>Journal of Cultural Analysis and Social Change</t>
  </si>
  <si>
    <t>Journal of Ecological Anthropology</t>
  </si>
  <si>
    <t>Journal of Ethnicity in Criminal Justice</t>
  </si>
  <si>
    <t>Journal of Ethnicity in Substance Abuse</t>
  </si>
  <si>
    <t>Journal of Ethnobiology</t>
  </si>
  <si>
    <t>Journal of Ethnobiology and Ethnomedicine</t>
  </si>
  <si>
    <t>Journal of Ethnographic and Qualitative Research</t>
  </si>
  <si>
    <t>Journal of Ethnology and Folkloristics</t>
  </si>
  <si>
    <t>Journal of Extreme Anthropology</t>
  </si>
  <si>
    <t>Journal of Gastronomy and Tourism</t>
  </si>
  <si>
    <t>Journal of Global Responsibility</t>
  </si>
  <si>
    <t>Journal of Human Security</t>
  </si>
  <si>
    <t>Journal of Identity and Migration Studies</t>
  </si>
  <si>
    <t>Journal of Modern Jewish Studies</t>
  </si>
  <si>
    <t>Journal of Organizational Ethnography</t>
  </si>
  <si>
    <t>Journal of Physiological Anthropology</t>
  </si>
  <si>
    <t>Journal of Service Theory and Practice</t>
  </si>
  <si>
    <t>Journal of the Anthropological Society of Oxford</t>
  </si>
  <si>
    <t xml:space="preserve">Journal of the North American and Indigenous Studies Association </t>
  </si>
  <si>
    <t>Journal of the Polynesian Society</t>
  </si>
  <si>
    <t>Journal of the Royal Asiatic Society</t>
  </si>
  <si>
    <t>Journal of Urban Ethnology</t>
  </si>
  <si>
    <t>Journal of World-Systems Research</t>
  </si>
  <si>
    <t>Jurnal Antropologi Indonesia</t>
  </si>
  <si>
    <t>Knowledge Cultures</t>
  </si>
  <si>
    <t>KULT. Postkolonial Temaserie</t>
  </si>
  <si>
    <t>kult-ur</t>
  </si>
  <si>
    <t>Kultura i Spoleczenstwo</t>
  </si>
  <si>
    <t>La Ricerca Folklorica</t>
  </si>
  <si>
    <t>Language, Cognition, and Mind</t>
  </si>
  <si>
    <t>L'Anthropologie</t>
  </si>
  <si>
    <t>L'Ethnographie</t>
  </si>
  <si>
    <t>L'Homme</t>
  </si>
  <si>
    <t>Lud</t>
  </si>
  <si>
    <t>Magic, Ritual, and Witchcraft</t>
  </si>
  <si>
    <t>Mana: Estudos de Antropologia Social</t>
  </si>
  <si>
    <t>Mankind Quarterly</t>
  </si>
  <si>
    <t>MAT Medicine Anthropology Theory</t>
  </si>
  <si>
    <t>Materializing Culture</t>
  </si>
  <si>
    <t>Medicine Anthropology Theory</t>
  </si>
  <si>
    <t>Mental Health, Religion &amp; Culture</t>
  </si>
  <si>
    <t>Migration Letters</t>
  </si>
  <si>
    <t>Monographs In Anthropology</t>
  </si>
  <si>
    <t>Museum Anthropology</t>
  </si>
  <si>
    <t>Museums Worlds: Advances in Research</t>
  </si>
  <si>
    <t>Nationalities Papers</t>
  </si>
  <si>
    <t>Nature Human Behavior</t>
  </si>
  <si>
    <t>New Formations</t>
  </si>
  <si>
    <t>New Perspectives on Turkey</t>
  </si>
  <si>
    <t>Nomadas</t>
  </si>
  <si>
    <t>Nomadic Peoples</t>
  </si>
  <si>
    <t>Norsk Antropologisk Tidsskrift</t>
  </si>
  <si>
    <t>Paideuma: Zeitschrift für kulturanthropologische Forschung</t>
  </si>
  <si>
    <t>Parabola</t>
  </si>
  <si>
    <t>PASOS. Revista de Turismo y Patrimonio Cultural</t>
  </si>
  <si>
    <t>Plains Anthropologist</t>
  </si>
  <si>
    <t>PoLAR: Political and Legal Anthropology Review</t>
  </si>
  <si>
    <t>Politica &amp; Trabalho</t>
  </si>
  <si>
    <t>Political Ethnography</t>
  </si>
  <si>
    <t>Quaderns de l'Institut Català d'Antropologia</t>
  </si>
  <si>
    <t>Quaderns Del CAC</t>
  </si>
  <si>
    <t>Religions</t>
  </si>
  <si>
    <t>Reproductive Biomedicine &amp; Society Online</t>
  </si>
  <si>
    <t>Res: anthropology and aesthetics</t>
  </si>
  <si>
    <t>Reviews in Anthropology</t>
  </si>
  <si>
    <t>Revista Colombiana de Antropologia</t>
  </si>
  <si>
    <t>Revista de Antropologia Social</t>
  </si>
  <si>
    <t>Revista Espanola de Antropologia Americana</t>
  </si>
  <si>
    <t>Revista Latinoamericana de Antropología del Trabajo</t>
  </si>
  <si>
    <t>Revue Europeenne des Migrations Internationales</t>
  </si>
  <si>
    <t>Roma</t>
  </si>
  <si>
    <t>Routledge Advances In Ethnography</t>
  </si>
  <si>
    <t>Routledge Studies In Anthropology</t>
  </si>
  <si>
    <t>Rural Landscapes: Society, Environment, History</t>
  </si>
  <si>
    <t xml:space="preserve">Safundi: The Journal of South African and American Studies </t>
  </si>
  <si>
    <t>Sahara J</t>
  </si>
  <si>
    <t>Scripta Ethnologica</t>
  </si>
  <si>
    <t>Senri Ethnological Studies</t>
  </si>
  <si>
    <t>Shima</t>
  </si>
  <si>
    <t>Slovensky Narodopis</t>
  </si>
  <si>
    <t>Social and Economic Studies</t>
  </si>
  <si>
    <t>Social Evolution &amp; History</t>
  </si>
  <si>
    <t>Social Movement Studies</t>
  </si>
  <si>
    <t>South African Review of Sociology</t>
  </si>
  <si>
    <t>Studia Fennica. Ethnologica</t>
  </si>
  <si>
    <t>Studies in Ethnicity and Nationalism</t>
  </si>
  <si>
    <t>Studies In Public And Applied Anthropology</t>
  </si>
  <si>
    <t>Suomen Antropologi</t>
  </si>
  <si>
    <t>Tabula Rasa</t>
  </si>
  <si>
    <t>Techniques &amp; Culture</t>
  </si>
  <si>
    <t>Terrain</t>
  </si>
  <si>
    <t>Thaqafat</t>
  </si>
  <si>
    <t>The African Anthropologist</t>
  </si>
  <si>
    <t>The Anthropocene Review</t>
  </si>
  <si>
    <t>The Asia Pacific Journal of Anthropology</t>
  </si>
  <si>
    <t>The Black Scholar</t>
  </si>
  <si>
    <t>The Cambridge Journal of Anthropology</t>
  </si>
  <si>
    <t>The International Journal of Diversity in Organisations, Communities and Nations</t>
  </si>
  <si>
    <t>The Modern Anthropology Of Southeast Asia</t>
  </si>
  <si>
    <t>The Open Anthropology Journal</t>
  </si>
  <si>
    <t>Tidsskriftet Antropologi</t>
  </si>
  <si>
    <t>Torture : quarterly journal on rehabilitation of torture victims and prevention of torture</t>
  </si>
  <si>
    <t>Traditiones</t>
  </si>
  <si>
    <t>Tsantsa: Zeitschrift der Schweizerischen Ethnologischen Gesellschaft</t>
  </si>
  <si>
    <t>Urban Anthropology and Studies of Cultural Systems and World Economic Development</t>
  </si>
  <si>
    <t>Video Journal of Education and Pedagogy</t>
  </si>
  <si>
    <t>Visual Anthropology Review</t>
  </si>
  <si>
    <t>Visual Culture &amp; Gender</t>
  </si>
  <si>
    <t>Voices</t>
  </si>
  <si>
    <t>Wyse Series In Social Anthropology Ser.</t>
  </si>
  <si>
    <t>IT og Humaniora</t>
  </si>
  <si>
    <t>ACM Transactions on Computer-Human Interaction</t>
  </si>
  <si>
    <t>Action Research</t>
  </si>
  <si>
    <t>British Journal of Educational Technology</t>
  </si>
  <si>
    <t>Cognition, Technology and Work</t>
  </si>
  <si>
    <t>Computer Supported Cooperative Work</t>
  </si>
  <si>
    <t>Computers &amp; Education</t>
  </si>
  <si>
    <t>Educational Technology &amp; Society</t>
  </si>
  <si>
    <t>Educational Technology Research and Development</t>
  </si>
  <si>
    <t>Human-Computer Interaction</t>
  </si>
  <si>
    <t>Interacting with Computers</t>
  </si>
  <si>
    <t>International Journal of Computer-Supported Collaborative Learning</t>
  </si>
  <si>
    <t>Journal of Computer Assisted Learning</t>
  </si>
  <si>
    <t>Journal of the Learning Sciences</t>
  </si>
  <si>
    <t>Proceedings of the Participatory Design Conference</t>
  </si>
  <si>
    <t>Surveillance &amp; Society</t>
  </si>
  <si>
    <t>Technology, Pedagogy and Education</t>
  </si>
  <si>
    <t>Australasian Journal of Educational Technology</t>
  </si>
  <si>
    <t>Australian Educational Computing</t>
  </si>
  <si>
    <t>CH Working Papers</t>
  </si>
  <si>
    <t>Computer Assisted Language Learning</t>
  </si>
  <si>
    <t>Computers in Human Behavior</t>
  </si>
  <si>
    <t>Designs for Learning</t>
  </si>
  <si>
    <t>Digital Education Review</t>
  </si>
  <si>
    <t>Digital Humanities Quarterly</t>
  </si>
  <si>
    <t>Digital Scholarship in the Humanities</t>
  </si>
  <si>
    <t>Education and Information Technologies</t>
  </si>
  <si>
    <t>E-Learning and Education</t>
  </si>
  <si>
    <t>Electronic Journal of E-Learning</t>
  </si>
  <si>
    <t>Ethicomp</t>
  </si>
  <si>
    <t>Ethics and Information Technology</t>
  </si>
  <si>
    <t>Frontiers in Digital Humanities</t>
  </si>
  <si>
    <t>Futuribles</t>
  </si>
  <si>
    <t>Gender, Technology and Development</t>
  </si>
  <si>
    <t>Human–Computer Interaction Series</t>
  </si>
  <si>
    <t>Human-Robot Interaction Conference</t>
  </si>
  <si>
    <t>Informatics</t>
  </si>
  <si>
    <t>Inteligencia Artificial</t>
  </si>
  <si>
    <t>Interactive Learning Environments</t>
  </si>
  <si>
    <t>Interactive Technology and Smart Education</t>
  </si>
  <si>
    <t>International Conference on Computer Supported Collaborative Learning</t>
  </si>
  <si>
    <t>International Conference on Computer-Supported Education</t>
  </si>
  <si>
    <t>International Conference on Social Implications of Computers in Developing Countries</t>
  </si>
  <si>
    <t>International Journal of Arts and Technology</t>
  </si>
  <si>
    <t>International Journal of Digital Literacy and Digital Competence</t>
  </si>
  <si>
    <t>International Journal of Education and Development Using Information and Communication Technology</t>
  </si>
  <si>
    <t>International Journal of Game-Based Learning</t>
  </si>
  <si>
    <t>International Journal of Gaming and Computer-Mediated Simulations</t>
  </si>
  <si>
    <t>International Journal of Humanities and Arts Computing</t>
  </si>
  <si>
    <t>International Journal of Instructional Technology and Distance Learning</t>
  </si>
  <si>
    <t>International Journal of Learning Technology</t>
  </si>
  <si>
    <t>International Journal of Public Information Systems</t>
  </si>
  <si>
    <t>International Journal of Virtual and Personal Learning Environments</t>
  </si>
  <si>
    <t>International Journal on Disability and Human Development</t>
  </si>
  <si>
    <t>International Journal on E-learning</t>
  </si>
  <si>
    <t>Italian Journal of Educational Technology</t>
  </si>
  <si>
    <t>Journal of Computer Games and Communication</t>
  </si>
  <si>
    <t>Journal of Interactive Humanities</t>
  </si>
  <si>
    <t>Journal of Interactive Learning Research</t>
  </si>
  <si>
    <t>Journal of Research on Technology in Education</t>
  </si>
  <si>
    <t>Journal of Sonic Studies</t>
  </si>
  <si>
    <t>Journal of Technology and Teacher Education</t>
  </si>
  <si>
    <t>Journal of Technology in Human Services</t>
  </si>
  <si>
    <t>Journal on Multimodal User Interfaces</t>
  </si>
  <si>
    <t>Language Learning and Technology</t>
  </si>
  <si>
    <t>Learning Tech – Tidsskrift for læremidler, didaktik og teknologi</t>
  </si>
  <si>
    <t>Learning, Media and Technology</t>
  </si>
  <si>
    <t>Lecture Notes in Social Networks</t>
  </si>
  <si>
    <t>Minds and Machines</t>
  </si>
  <si>
    <t>Networked Learning Conference</t>
  </si>
  <si>
    <t>Postdigital Science and Education</t>
  </si>
  <si>
    <t>Preservation, Digital Technology &amp; Culture</t>
  </si>
  <si>
    <t>Proceedings of the Conference on Software Engineering Education and Training</t>
  </si>
  <si>
    <t>Proceedings of the Digital Games Research Association (DiGRA)</t>
  </si>
  <si>
    <t>Proceedings of The International Conference of the Learning Sciences</t>
  </si>
  <si>
    <t>Qwerty - Open and Interdisciplinary Journal of Technology, Culture and Education</t>
  </si>
  <si>
    <t>REICE. Revista Iberoamericana sobre Calidad, Eficacia y Cambio en Educación</t>
  </si>
  <si>
    <t>Research in Learning Technology</t>
  </si>
  <si>
    <t>Research in Networked Learning</t>
  </si>
  <si>
    <t>Routledge Advances In Game Studies</t>
  </si>
  <si>
    <t>Scandinavian Conference on Health Informatics</t>
  </si>
  <si>
    <t>Science, Technology and Society</t>
  </si>
  <si>
    <t>Simulation &amp; Gaming</t>
  </si>
  <si>
    <t>Technology Enhanced Learning</t>
  </si>
  <si>
    <t>Technology in Society</t>
  </si>
  <si>
    <t>TechTrends</t>
  </si>
  <si>
    <t>Tecnoscienza: Italian Journal of Science &amp; Technology Studies</t>
  </si>
  <si>
    <t>The Computer Games Journal</t>
  </si>
  <si>
    <t>World Conference on Educational Media and Technology</t>
  </si>
  <si>
    <t>World Conference on E-Learning</t>
  </si>
  <si>
    <t>Områdestudier: Asien, Afrika, Mellemøsten, Arktisk</t>
  </si>
  <si>
    <t>Africa</t>
  </si>
  <si>
    <t>African Studies Review</t>
  </si>
  <si>
    <t>Anthropology of Asia</t>
  </si>
  <si>
    <t>Arabica</t>
  </si>
  <si>
    <t>Arctic</t>
  </si>
  <si>
    <t>Asia - Pacific Review</t>
  </si>
  <si>
    <t>Asian Journal of Social Science</t>
  </si>
  <si>
    <t>Asian Survey</t>
  </si>
  <si>
    <t>British Journal of Middle Eastern Studies</t>
  </si>
  <si>
    <t>Canadian Journal of African Studies</t>
  </si>
  <si>
    <t>China Quarterly</t>
  </si>
  <si>
    <t>China: An International Journal</t>
  </si>
  <si>
    <t>Chinese Literature, Essays, Articles, Reviews</t>
  </si>
  <si>
    <t>Contemporary South Asia</t>
  </si>
  <si>
    <t>Contemporary Southeast Asia</t>
  </si>
  <si>
    <t>Contributions to Indian Sociology</t>
  </si>
  <si>
    <t>Critical Asian Studies</t>
  </si>
  <si>
    <t>Indonesia and the Malay World</t>
  </si>
  <si>
    <t>International Journal of Middle East Studies</t>
  </si>
  <si>
    <t>Japan Forum</t>
  </si>
  <si>
    <t>Journal of Arabic Literature</t>
  </si>
  <si>
    <t>Journal of Asian Studies</t>
  </si>
  <si>
    <t>Journal of Contemporary Asia</t>
  </si>
  <si>
    <t>Journal of Contemporary China</t>
  </si>
  <si>
    <t>Journal of Current Chinese Affairs</t>
  </si>
  <si>
    <t>Journal of Eastern African Studies</t>
  </si>
  <si>
    <t>Journal of Japanese Studies</t>
  </si>
  <si>
    <t>Journal of Modern African Studies</t>
  </si>
  <si>
    <t>Journal of Southeast Asian Studies</t>
  </si>
  <si>
    <t>Journal of Southern African Studies</t>
  </si>
  <si>
    <t>Middle East Critique</t>
  </si>
  <si>
    <t>Middle East Journal</t>
  </si>
  <si>
    <t>Modern Asian Studies</t>
  </si>
  <si>
    <t>Modern China</t>
  </si>
  <si>
    <t>Modern Chinese Literature and Culture</t>
  </si>
  <si>
    <t>positions</t>
  </si>
  <si>
    <t>The Contemporary Pacific</t>
  </si>
  <si>
    <t>The Pacific Review</t>
  </si>
  <si>
    <t>Acta Iranica</t>
  </si>
  <si>
    <t>Acta Orientalia</t>
  </si>
  <si>
    <t>Aethiopica</t>
  </si>
  <si>
    <t>Aethiopistische Forschungen</t>
  </si>
  <si>
    <t>Africa Spectrum</t>
  </si>
  <si>
    <t>African and Asian Studies</t>
  </si>
  <si>
    <t>African Diaspora</t>
  </si>
  <si>
    <t>African Historical Review</t>
  </si>
  <si>
    <t>African Identities</t>
  </si>
  <si>
    <t>African Journal of Economic and Management Studies</t>
  </si>
  <si>
    <t>African Security</t>
  </si>
  <si>
    <t>African Studies</t>
  </si>
  <si>
    <t>African Studies Quarterly</t>
  </si>
  <si>
    <t>African-Europe Group for Interdisciplinary Studies</t>
  </si>
  <si>
    <t>Afrique Contemporaine</t>
  </si>
  <si>
    <t>Al-Qantara</t>
  </si>
  <si>
    <t>American Oriental Series</t>
  </si>
  <si>
    <t>Ancient Near Eastern Studies</t>
  </si>
  <si>
    <t>Arab Studies Quarterly</t>
  </si>
  <si>
    <t>Archipel</t>
  </si>
  <si>
    <t>Archiv Orientalni</t>
  </si>
  <si>
    <t>Arctic Yearbook</t>
  </si>
  <si>
    <t>Asian Affairs</t>
  </si>
  <si>
    <t>Asian and Pacific Migration Journal</t>
  </si>
  <si>
    <t>Asian Studies Review</t>
  </si>
  <si>
    <t>Asiatische Studien</t>
  </si>
  <si>
    <t>ASIEN – The German Journal on Contemporary Asia</t>
  </si>
  <si>
    <t>Australasian Review of African Studies</t>
  </si>
  <si>
    <t>Austrian Journal of South-East Asian Studies</t>
  </si>
  <si>
    <t>Azania: Archaeological Research in Africa</t>
  </si>
  <si>
    <t>Babylon - Nordisk tidsskrift for Midtøstenstudier</t>
  </si>
  <si>
    <t>Bijdragen Tot de Taal-, Land- en Volkenkunde</t>
  </si>
  <si>
    <t>Bioscope: South Asian Screen Studies</t>
  </si>
  <si>
    <t>Brill's Tibetan Studies Library</t>
  </si>
  <si>
    <t>Buddhist Studies Review</t>
  </si>
  <si>
    <t>Bulletin d'Etudes Orientales</t>
  </si>
  <si>
    <t>Cahiers d’Études africaines</t>
  </si>
  <si>
    <t>Cahiers de Linguistique Asie Orientale</t>
  </si>
  <si>
    <t>Central Asian Survey</t>
  </si>
  <si>
    <t>Central Asiatic Journal</t>
  </si>
  <si>
    <t>China Economic Journal</t>
  </si>
  <si>
    <t>China Information</t>
  </si>
  <si>
    <t>China Policy Series</t>
  </si>
  <si>
    <t>China Report</t>
  </si>
  <si>
    <t>China Studies</t>
  </si>
  <si>
    <t>Chinese Management Studies</t>
  </si>
  <si>
    <t>CHINOPERL: Journal of Chinese Oral and Performing Literature</t>
  </si>
  <si>
    <t>Comparative Islamic Studies</t>
  </si>
  <si>
    <t>Comparative Oriental Manuscript Studies Bulletin</t>
  </si>
  <si>
    <t>Comparative Studies of South Asia, Africa and the Middle East</t>
  </si>
  <si>
    <t>Contemporary Arab Affairs</t>
  </si>
  <si>
    <t>Contemporary Central Asia: Societies, Politics, And Cultures</t>
  </si>
  <si>
    <t>Contemporary Chinese Thought</t>
  </si>
  <si>
    <t>Contemporary Islam</t>
  </si>
  <si>
    <t>Copenhagen Journal of Asian Studies</t>
  </si>
  <si>
    <t>Culture and History of the Ancient Near East</t>
  </si>
  <si>
    <t>Current Writing: Text and Reception in Southern Africa</t>
  </si>
  <si>
    <t>Cyberorient: Online Journal of the Virtual Middle East</t>
  </si>
  <si>
    <t>East Asia</t>
  </si>
  <si>
    <t>Electronics and Communications in Japan</t>
  </si>
  <si>
    <t>Études mongoles &amp; sibériennes, centrasiatiques &amp; tibétaines</t>
  </si>
  <si>
    <t>European Bulletin of Himalayan Research</t>
  </si>
  <si>
    <t>European Journal of East Asian Studies</t>
  </si>
  <si>
    <t>Fudan Journal of the Humanities and Social Sciences</t>
  </si>
  <si>
    <t>Gendering Asia</t>
  </si>
  <si>
    <t>Governing China In The 21st Century</t>
  </si>
  <si>
    <t>Handbook of Oriental Studies. Section 1 The Near and Middle East</t>
  </si>
  <si>
    <t>Handbooks Of Research On Contemporary China Series</t>
  </si>
  <si>
    <t>Handbuch der Orientalistik. 4. Abteilung, China / Handbook of Oriental Studies. Section 4. China</t>
  </si>
  <si>
    <t>Himalaya</t>
  </si>
  <si>
    <t>Indo-Iranian Journal</t>
  </si>
  <si>
    <t>Inner Asia</t>
  </si>
  <si>
    <t>Intellectual History of the Islamicate World</t>
  </si>
  <si>
    <t>Inter-Asia Cultural Studies</t>
  </si>
  <si>
    <t>International Journal of African Renaissance Studies</t>
  </si>
  <si>
    <t>International Journal of Asian Studies</t>
  </si>
  <si>
    <t>Internationales Asienforum</t>
  </si>
  <si>
    <t>Iranian Studies</t>
  </si>
  <si>
    <t>Islam in Africa</t>
  </si>
  <si>
    <t>Islamic Law and Society</t>
  </si>
  <si>
    <t>Israel Studies Review</t>
  </si>
  <si>
    <t>Japanese Studies</t>
  </si>
  <si>
    <t>Journal Asiatique</t>
  </si>
  <si>
    <t>Journal of African Cultural Studies</t>
  </si>
  <si>
    <t>Journal of Ancient Near Eastern History</t>
  </si>
  <si>
    <t>Journal of Arabian Studies</t>
  </si>
  <si>
    <t>Journal of Arabic and Islamic Studies</t>
  </si>
  <si>
    <t>Journal of Asia Business Studies</t>
  </si>
  <si>
    <t>Journal of Asian and African Studies</t>
  </si>
  <si>
    <t>Journal of Asian Public Policy</t>
  </si>
  <si>
    <t>Journal of Burma Studies</t>
  </si>
  <si>
    <t>Journal of China and International Relations</t>
  </si>
  <si>
    <t>Journal of Chinese Linguistics</t>
  </si>
  <si>
    <t>Journal of Chinese Overseas</t>
  </si>
  <si>
    <t>Journal of Chinese Philosophy</t>
  </si>
  <si>
    <t>Journal of Contemporary African Studies</t>
  </si>
  <si>
    <t>Journal of East Asian Linguistics</t>
  </si>
  <si>
    <t>Journal of Indian Philosophy</t>
  </si>
  <si>
    <t>Journal of Korean Studies</t>
  </si>
  <si>
    <t>Journal of Palestine Studies</t>
  </si>
  <si>
    <t>Journal of Pan African Studies</t>
  </si>
  <si>
    <t>Journal of Semitic Studies</t>
  </si>
  <si>
    <t>Journal of Southeast Asian Economies</t>
  </si>
  <si>
    <t>Journal of Sufi Studies</t>
  </si>
  <si>
    <t>Journal of the American Oriental Society</t>
  </si>
  <si>
    <t>Journal of the Asia Pacific Economy</t>
  </si>
  <si>
    <t>Journal of the Economic and Social History of the Orient</t>
  </si>
  <si>
    <t>Journal of Vietnamese Studies</t>
  </si>
  <si>
    <t>KASKAL: Rivista di storia, ambienti e culture del Vicino Oriente Antico</t>
  </si>
  <si>
    <t>Korea Journal</t>
  </si>
  <si>
    <t>Korean Studies</t>
  </si>
  <si>
    <t>Ladakh Studies</t>
  </si>
  <si>
    <t>Late Imperial China</t>
  </si>
  <si>
    <t>Libyan Studies</t>
  </si>
  <si>
    <t>Linguistics of the Tibeto-Burman Area</t>
  </si>
  <si>
    <t>Manuscripta Orientalia</t>
  </si>
  <si>
    <t>Mashreq and Majar: Journal of Middle East and North African Migration Studies</t>
  </si>
  <si>
    <t>Matatu</t>
  </si>
  <si>
    <t>Melanges de l'Institut Dominicaine des Etudes Orientales du Caire</t>
  </si>
  <si>
    <t>Melilah : Manchester Journal of Jewish Studies</t>
  </si>
  <si>
    <t>Mesopotamian Civilizations</t>
  </si>
  <si>
    <t>Middle East Policy</t>
  </si>
  <si>
    <t>Middle East Quarterly</t>
  </si>
  <si>
    <t>Middle East Report</t>
  </si>
  <si>
    <t>Middle Eastern Literatures</t>
  </si>
  <si>
    <t>Middle Eastern Studies</t>
  </si>
  <si>
    <t>Monumenta Nipponica</t>
  </si>
  <si>
    <t>Monumenta Serica</t>
  </si>
  <si>
    <t>Moussons</t>
  </si>
  <si>
    <t>Nordic Institute of Asian Studies. Monograph Series</t>
  </si>
  <si>
    <t>Northeast African Studies</t>
  </si>
  <si>
    <t>Orientalia Suecana</t>
  </si>
  <si>
    <t>Orientalistische Literaturzeitung</t>
  </si>
  <si>
    <t>Oriente Moderno</t>
  </si>
  <si>
    <t>Pacific Affairs</t>
  </si>
  <si>
    <t>Perspectives Chinoises</t>
  </si>
  <si>
    <t>Przeglad Orientalistyczny</t>
  </si>
  <si>
    <t>Research in African Literatures</t>
  </si>
  <si>
    <t>Review of Middle East Studies</t>
  </si>
  <si>
    <t>Revue des Mondes Musulman de la Mediterranee</t>
  </si>
  <si>
    <t>Romano-Arabica</t>
  </si>
  <si>
    <t xml:space="preserve">Routledge - Contemporary Southeast Asia Series </t>
  </si>
  <si>
    <t>Routledge Contemporary China Series</t>
  </si>
  <si>
    <t>Routledge Europe-Asia Studies</t>
  </si>
  <si>
    <t>Routledge Research In Polar Regions</t>
  </si>
  <si>
    <t>Routledge Studies on the Chinese Economy</t>
  </si>
  <si>
    <t>South African Journal of Science</t>
  </si>
  <si>
    <t>South Asia Multidisciplinary Academic Journal</t>
  </si>
  <si>
    <t>South Asia Research</t>
  </si>
  <si>
    <t>South Asia: Journal of South Asian Studies</t>
  </si>
  <si>
    <t>South Asian Popular Culture</t>
  </si>
  <si>
    <t>South Asian Studies</t>
  </si>
  <si>
    <t>South East Asia Research</t>
  </si>
  <si>
    <t>Southeast Asian Affairs</t>
  </si>
  <si>
    <t>Studia Iranica</t>
  </si>
  <si>
    <t>Studia Islamica</t>
  </si>
  <si>
    <t>Supplements to Aethiopica</t>
  </si>
  <si>
    <t>Tamkang Review</t>
  </si>
  <si>
    <t>The China Journal</t>
  </si>
  <si>
    <t>The China Review - An Interdisciplinary Journal on Greater China</t>
  </si>
  <si>
    <t>The Maghreb Review</t>
  </si>
  <si>
    <t>The Modern Muslim World</t>
  </si>
  <si>
    <t>The Modern Muslim World Series</t>
  </si>
  <si>
    <t>Topoi - Berlin Studies of the Ancient World</t>
  </si>
  <si>
    <t>Topoi Orient Occident</t>
  </si>
  <si>
    <t>T'oung Pao</t>
  </si>
  <si>
    <t>Transactions of the Royal Society of South Africa</t>
  </si>
  <si>
    <t>Turkbilig: turkoloji arastirmalari</t>
  </si>
  <si>
    <t>Twentieth-Century China</t>
  </si>
  <si>
    <t>Retsvidenskab</t>
  </si>
  <si>
    <t>Arbitration International</t>
  </si>
  <si>
    <t>Cahiers de Droit Europeen</t>
  </si>
  <si>
    <t>Cambridge Yearbook of European Legal Studies</t>
  </si>
  <si>
    <t>Columbia Law Review</t>
  </si>
  <si>
    <t>Common Market Law Review</t>
  </si>
  <si>
    <t>Computer Law &amp; Security Review</t>
  </si>
  <si>
    <t>Criminal Law Forum</t>
  </si>
  <si>
    <t>Duke Journal of Comparative and International Law</t>
  </si>
  <si>
    <t>Europarecht</t>
  </si>
  <si>
    <t>European Business Law Review</t>
  </si>
  <si>
    <t>European Business Organization Law Review</t>
  </si>
  <si>
    <t>European Company and Financial Law Review</t>
  </si>
  <si>
    <t>European Competition Law Review</t>
  </si>
  <si>
    <t>European Constitutional Law Review</t>
  </si>
  <si>
    <t>European Energy and Environmental Law Review</t>
  </si>
  <si>
    <t>European Journal of Crime, Criminal Law and Criminal Justice</t>
  </si>
  <si>
    <t>European Journal of Health Law</t>
  </si>
  <si>
    <t>European Journal of International Law</t>
  </si>
  <si>
    <t>European Journal of Law and Economics</t>
  </si>
  <si>
    <t>European Journal of Migration and Law</t>
  </si>
  <si>
    <t>European Journal of Social Security</t>
  </si>
  <si>
    <t>European Labour Law Journal</t>
  </si>
  <si>
    <t>European Law Journal</t>
  </si>
  <si>
    <t>European Law Review</t>
  </si>
  <si>
    <t>European Public Law</t>
  </si>
  <si>
    <t>European Review of Contract Law</t>
  </si>
  <si>
    <t>European State Aid Law Quarterly</t>
  </si>
  <si>
    <t>European Taxation</t>
  </si>
  <si>
    <t>Harvard International Law Journal</t>
  </si>
  <si>
    <t>Harvard Law Review</t>
  </si>
  <si>
    <t>Human Rights Quarterly</t>
  </si>
  <si>
    <t>IIC - International Review of Intellectual Property and Competition Law</t>
  </si>
  <si>
    <t>International and Comparative Law Quarterly</t>
  </si>
  <si>
    <t>International Construction Law Review</t>
  </si>
  <si>
    <t>International Data Privacy Law</t>
  </si>
  <si>
    <t>International Journal of Constitutional Law</t>
  </si>
  <si>
    <t>International Journal of Law, Policy and the Family</t>
  </si>
  <si>
    <t>International Journal of Refugee Law</t>
  </si>
  <si>
    <t>International Review of Law and Economics</t>
  </si>
  <si>
    <t>Intertax</t>
  </si>
  <si>
    <t>IPRax - Praxis des Internationalen Privat- und Verfahrensrechts</t>
  </si>
  <si>
    <t>Journal of Energy and Natural Resources Law</t>
  </si>
  <si>
    <t>Journal of Environmental Law</t>
  </si>
  <si>
    <t>Journal of International Economic Law</t>
  </si>
  <si>
    <t>Journal of Law and Society</t>
  </si>
  <si>
    <t>Journal of Private International Law</t>
  </si>
  <si>
    <t>Journal of World Trade</t>
  </si>
  <si>
    <t>Juristen</t>
  </si>
  <si>
    <t>Law &amp; Society Review</t>
  </si>
  <si>
    <t>Law and Philosophy</t>
  </si>
  <si>
    <t>Legal Theory</t>
  </si>
  <si>
    <t>Lloyd's Maritime &amp; Commercial Law Quarterly</t>
  </si>
  <si>
    <t>Medical Law International</t>
  </si>
  <si>
    <t>Maastricht Journal of European and Comparative Law</t>
  </si>
  <si>
    <t>Netherlands Quarterly of Human Rights</t>
  </si>
  <si>
    <t>New Journal of European Criminal Law</t>
  </si>
  <si>
    <t>NIR: Nordiskt Immateriellt Rättsskydd</t>
  </si>
  <si>
    <t>Nordic Journal of Commercial Law</t>
  </si>
  <si>
    <t>Nordic Journal of Human Rights</t>
  </si>
  <si>
    <t>Nordic Journal of International Law</t>
  </si>
  <si>
    <t>Nordic Tax Journal</t>
  </si>
  <si>
    <t>Nordisk socialrättslig tidskrift</t>
  </si>
  <si>
    <t>Nordisk Tidsskrift for Kriminalvidenskab</t>
  </si>
  <si>
    <t>Nordisk Tidsskrift for Selskabsret</t>
  </si>
  <si>
    <t>Oxford Journal of Legal Studies</t>
  </si>
  <si>
    <t>Pace International Law Review</t>
  </si>
  <si>
    <t>Public Law</t>
  </si>
  <si>
    <t>Public Procurement Law Review</t>
  </si>
  <si>
    <t>Rabels Zeitschrift für ausländisches und internationales Privatrecht</t>
  </si>
  <si>
    <t>Ratio Juris</t>
  </si>
  <si>
    <t>Retfærd: Nordisk Juridisk Tidsskrift</t>
  </si>
  <si>
    <t>Scandinavian Studies in Law</t>
  </si>
  <si>
    <t>Stanford Law Review</t>
  </si>
  <si>
    <t>The Columbia Journal of European Law</t>
  </si>
  <si>
    <t>The International Journal of Comparative Labour Law and Industrial Relations</t>
  </si>
  <si>
    <t>The Journal of Corporate Law Studies</t>
  </si>
  <si>
    <t>The Journal of Social Welfare and Family Law</t>
  </si>
  <si>
    <t>The Law Quarterly Review</t>
  </si>
  <si>
    <t>The Modern Law Review</t>
  </si>
  <si>
    <t>The Yale Law Journal</t>
  </si>
  <si>
    <t>Tidsskrift for Rettsvitenskap</t>
  </si>
  <si>
    <t>Ugeskrift for Retsvaesen</t>
  </si>
  <si>
    <t>World Tax Journal</t>
  </si>
  <si>
    <t>World Trade Review</t>
  </si>
  <si>
    <t>Yearbook of European Law</t>
  </si>
  <si>
    <t>Zeitschrift für Europäisches Privatrecht</t>
  </si>
  <si>
    <t>African Journal of International and Comparative Law</t>
  </si>
  <si>
    <t>African Yearbook of International Law</t>
  </si>
  <si>
    <t>AIPPI Law Series</t>
  </si>
  <si>
    <t>American Bankruptcy Law Journal</t>
  </si>
  <si>
    <t>American Business Law Journal</t>
  </si>
  <si>
    <t>American Criminal Law Review</t>
  </si>
  <si>
    <t>American Journal of International Law</t>
  </si>
  <si>
    <t>American Journal of Legal History</t>
  </si>
  <si>
    <t>American Law and Economics Review</t>
  </si>
  <si>
    <t>Antitrust Law Journal</t>
  </si>
  <si>
    <t>Arbeidsrett</t>
  </si>
  <si>
    <t>Arbeidsrett og arbeidsliv</t>
  </si>
  <si>
    <t>Archiv des Voelkerrechts</t>
  </si>
  <si>
    <t>Archiv für Urheber- und Medienrecht</t>
  </si>
  <si>
    <t>Arctic Review on Law and Politics</t>
  </si>
  <si>
    <t>Artificial Intelligence and Law</t>
  </si>
  <si>
    <t>ASCOLA Competition Law series</t>
  </si>
  <si>
    <t>Asia - Pacific Journal on Human Rights and the Law</t>
  </si>
  <si>
    <t>Asia Pacific Law Review</t>
  </si>
  <si>
    <t>Asian Journal of WTO &amp; International Health Law and Policy</t>
  </si>
  <si>
    <t>Australian and New Zealand Journal of Criminology</t>
  </si>
  <si>
    <t>Australian Year Book of International Law</t>
  </si>
  <si>
    <t>Baltic Journal of Law &amp; Politics</t>
  </si>
  <si>
    <t>Behavioral Sciences &amp; the Law</t>
  </si>
  <si>
    <t>Bergen Journal of Criminal Law &amp; Criminal Justice</t>
  </si>
  <si>
    <t>BioLaw Journal</t>
  </si>
  <si>
    <t>Bio-Science Law Review</t>
  </si>
  <si>
    <t>Biotechnology Law Report</t>
  </si>
  <si>
    <t>British Year Book of International Law</t>
  </si>
  <si>
    <t>Bulletin de Droit Comparé du Travail et de la Securité Sociale</t>
  </si>
  <si>
    <t>Business and Human Rights Journal</t>
  </si>
  <si>
    <t>Cahiers de Droit Fiscal International</t>
  </si>
  <si>
    <t>California Law Review</t>
  </si>
  <si>
    <t>Cambridge Journal of International and Comparative Law</t>
  </si>
  <si>
    <t>Cambridge Studies in European Law and Policy</t>
  </si>
  <si>
    <t>Cambridge Studies In Law And Society</t>
  </si>
  <si>
    <t>Canadian Journal of Criminology and Criminal Justice</t>
  </si>
  <si>
    <t>Canadian Journal of Law and Jurisprudence</t>
  </si>
  <si>
    <t>Canadian Journal of Law and Society / La Revue Canadienne Droit et Société</t>
  </si>
  <si>
    <t>Canadian Yearbook of International Law</t>
  </si>
  <si>
    <t>Capital Markets Law Journal</t>
  </si>
  <si>
    <t>Cardozo Journal of International and Comparative Law</t>
  </si>
  <si>
    <t>CEIPI Collection</t>
  </si>
  <si>
    <t>Chicago Kent Journal of Intellectual Property Law (CKJIP)</t>
  </si>
  <si>
    <t>Child and Family Law Quarterly</t>
  </si>
  <si>
    <t>Chinese Journal of International Law</t>
  </si>
  <si>
    <t>Chinese Yearbook of Human Rights</t>
  </si>
  <si>
    <t>Collection droit administratif = Administrative law</t>
  </si>
  <si>
    <t>Columbia Journal of Law and Social Problems</t>
  </si>
  <si>
    <t>Columbia Journal of Transnational Law</t>
  </si>
  <si>
    <t>Communication Law and Policy</t>
  </si>
  <si>
    <t>Communications Law</t>
  </si>
  <si>
    <t>Comparative Constitutional Change</t>
  </si>
  <si>
    <t>Comparative Labor Law &amp; Policy Journal</t>
  </si>
  <si>
    <t>Comparative Legal History</t>
  </si>
  <si>
    <t>Computer Law Review International</t>
  </si>
  <si>
    <t>Construction Law Journal</t>
  </si>
  <si>
    <t>Contemporary Justice Review</t>
  </si>
  <si>
    <t>Cornell International Law Journal</t>
  </si>
  <si>
    <t>Crime, Law and Social Change</t>
  </si>
  <si>
    <t>Criminal Justice Policy Review</t>
  </si>
  <si>
    <t>Criminal Justice Studies</t>
  </si>
  <si>
    <t>Criminology &amp; Criminal Justice</t>
  </si>
  <si>
    <t>Criminology and Justice Studies</t>
  </si>
  <si>
    <t>Critical Concepts in Intellectual Property Law series</t>
  </si>
  <si>
    <t>Critical Criminology</t>
  </si>
  <si>
    <t>Cultural Diversity And Law</t>
  </si>
  <si>
    <t>De Lege</t>
  </si>
  <si>
    <t>Die Aktiengesellschaft</t>
  </si>
  <si>
    <t>Digital Evidence and Electronic Signature Law Review</t>
  </si>
  <si>
    <t>Dublin University Law Journal</t>
  </si>
  <si>
    <t>Duke Environmental Law &amp; Policy Forum</t>
  </si>
  <si>
    <t>EC Tax Review</t>
  </si>
  <si>
    <t>Electronic Journal of Comparative Law</t>
  </si>
  <si>
    <t>Elgar Encyclopedia of Environmental Law series</t>
  </si>
  <si>
    <t>Elgar European Law series</t>
  </si>
  <si>
    <t>Elgar Intellectual Property Law and Practice series</t>
  </si>
  <si>
    <t>Elgar Monographs in Constitutional and Administrative Law series</t>
  </si>
  <si>
    <t>Emory Law Journal</t>
  </si>
  <si>
    <t>Environmental Law Review</t>
  </si>
  <si>
    <t>Environmental Liability</t>
  </si>
  <si>
    <t>Environmental Practice: Journal of the National Association of Environmental Professionals</t>
  </si>
  <si>
    <t>ERA Forum</t>
  </si>
  <si>
    <t>Erasmus Law Review</t>
  </si>
  <si>
    <t>Erhvervsjuridisk Tidsskrift</t>
  </si>
  <si>
    <t>EU-ret &amp; Menneskeret</t>
  </si>
  <si>
    <t>Europaraettslig Tidskrift</t>
  </si>
  <si>
    <t>European Company Law</t>
  </si>
  <si>
    <t>European Competition Journal</t>
  </si>
  <si>
    <t>European Constitutional Law Network-Series</t>
  </si>
  <si>
    <t>European Criminal Law Review</t>
  </si>
  <si>
    <t>European Family Law</t>
  </si>
  <si>
    <t>European Food and Feed Law Review</t>
  </si>
  <si>
    <t>European Human Rights Law Review</t>
  </si>
  <si>
    <t>European Intellectual Property Review</t>
  </si>
  <si>
    <t>European Journal of Criminology</t>
  </si>
  <si>
    <t>European Journal of Law Reform</t>
  </si>
  <si>
    <t>European Journal of Legal Studies</t>
  </si>
  <si>
    <t>European Journal of Policing Studies</t>
  </si>
  <si>
    <t>European Journal on Criminal Policy and Research</t>
  </si>
  <si>
    <t>European Papers - A Journal on Law and Integration</t>
  </si>
  <si>
    <t>European Procurement &amp; Public Private Partnership Law Review</t>
  </si>
  <si>
    <t>European Procurement Law Series</t>
  </si>
  <si>
    <t>European Review of Private Law</t>
  </si>
  <si>
    <t>European Yearbook</t>
  </si>
  <si>
    <t>Europäische Zeitschrift für Wirtschaftsrecht</t>
  </si>
  <si>
    <t>Federal Law Review</t>
  </si>
  <si>
    <t>Federal Probation</t>
  </si>
  <si>
    <t>Feminist Legal Studies</t>
  </si>
  <si>
    <t>Foervaltningsraettslig Tidskrift</t>
  </si>
  <si>
    <t>Food and Drug Law Journal</t>
  </si>
  <si>
    <t>Fordham Intellectual Property, Media &amp; Entertainment Law Journal</t>
  </si>
  <si>
    <t>Fordham International Law Journal</t>
  </si>
  <si>
    <t>Fordham Law Review</t>
  </si>
  <si>
    <t>German Yearbook of International Law</t>
  </si>
  <si>
    <t>Gewerblicher Rechtsschutz und Urheberrecht</t>
  </si>
  <si>
    <t>Gewerblicher Rechtsschutz und Urheberrecht. Internationaler Teil</t>
  </si>
  <si>
    <t>Global Crime</t>
  </si>
  <si>
    <t>Global Jurist</t>
  </si>
  <si>
    <t>Globalization: Law And Policy</t>
  </si>
  <si>
    <t>Goltdammer's Archiv für Strafrecht</t>
  </si>
  <si>
    <t>Green Criminology</t>
  </si>
  <si>
    <t>Hague Yearbook of International Law</t>
  </si>
  <si>
    <t>Hart Studies in Security and Justice</t>
  </si>
  <si>
    <t>Harvard Environmental Law Review</t>
  </si>
  <si>
    <t>Harvard Human Rights Journal</t>
  </si>
  <si>
    <t>Harvard Journal of Law and Public Policy</t>
  </si>
  <si>
    <t>Hastings International and Comparative Law Review</t>
  </si>
  <si>
    <t>Hastings Law Journal</t>
  </si>
  <si>
    <t>Health and Human Rights</t>
  </si>
  <si>
    <t>Houston Journal of International Law</t>
  </si>
  <si>
    <t>Human Rights &amp; International Legal Discourse</t>
  </si>
  <si>
    <t>Human Rights Law Journal</t>
  </si>
  <si>
    <t>Human Rights Law Review</t>
  </si>
  <si>
    <t>Human Rights Review</t>
  </si>
  <si>
    <t>Humanitaeres Voelkerrecht</t>
  </si>
  <si>
    <t>IEL Energy Law</t>
  </si>
  <si>
    <t>Immigration and Asylum Law and Policy in Europe</t>
  </si>
  <si>
    <t>Indiana Journal of Global Legal Studies</t>
  </si>
  <si>
    <t>Industrial Law Journal</t>
  </si>
  <si>
    <t>Information and Communications Technology Law</t>
  </si>
  <si>
    <t>Insolvensrättslig Tidskrift</t>
  </si>
  <si>
    <t>Intellectual Property Quarterly</t>
  </si>
  <si>
    <t>International and Comparative Corporate Law Journal</t>
  </si>
  <si>
    <t>International Community Law Review</t>
  </si>
  <si>
    <t>International Criminal Law Review</t>
  </si>
  <si>
    <t>International Encyclopedia For Medical Law</t>
  </si>
  <si>
    <t>International Energy Law Review</t>
  </si>
  <si>
    <t>International Family Law</t>
  </si>
  <si>
    <t>International Insolvency Review</t>
  </si>
  <si>
    <t>International Journal for the Semiotics of Law</t>
  </si>
  <si>
    <t>International Journal of Business and Economics Perspectives</t>
  </si>
  <si>
    <t>International Journal of Communications Law and Policy</t>
  </si>
  <si>
    <t>International Journal of Comparative and Applied Criminal Justice</t>
  </si>
  <si>
    <t>International Journal of Franchising Law</t>
  </si>
  <si>
    <t>International Journal of Law and Information Technology</t>
  </si>
  <si>
    <t>International Journal of Law in Context</t>
  </si>
  <si>
    <t>International Journal of Law, Crime and Justice</t>
  </si>
  <si>
    <t>International Journal of Private Law</t>
  </si>
  <si>
    <t>International Journal of Public Law and Policy</t>
  </si>
  <si>
    <t>International Journal of Technology Policy and Law</t>
  </si>
  <si>
    <t>International Journal of the Legal Profession</t>
  </si>
  <si>
    <t>International Journal of Transitional Justice</t>
  </si>
  <si>
    <t>International Law series</t>
  </si>
  <si>
    <t>International Library of Ethics, Law, and the New Medicine</t>
  </si>
  <si>
    <t>International Organizations Law Review</t>
  </si>
  <si>
    <t>International Review of Law, Computers &amp; Technology</t>
  </si>
  <si>
    <t>International Review of the Red Cross</t>
  </si>
  <si>
    <t>International Review of Victimology</t>
  </si>
  <si>
    <t>International Tax Journal</t>
  </si>
  <si>
    <t>International Transfer Pricing Journal</t>
  </si>
  <si>
    <t>International V A T Monitor</t>
  </si>
  <si>
    <t>Internationales Handelsrecht</t>
  </si>
  <si>
    <t>Internet Policy Review</t>
  </si>
  <si>
    <t>Irish Journal of European Law</t>
  </si>
  <si>
    <t>Irish Jurist</t>
  </si>
  <si>
    <t>Issues in Law and Medicine</t>
  </si>
  <si>
    <t>Italian Yearbook of International Law</t>
  </si>
  <si>
    <t xml:space="preserve">Ius Communitatis – Textbooks on European Union Law de lege lata </t>
  </si>
  <si>
    <t>Ius Comparatum - Global Studies in Comparative Law</t>
  </si>
  <si>
    <t>JFT: Tidskrift utgiven av Juridiska Föreningen i Finland</t>
  </si>
  <si>
    <t>John Marshall Journal of Computer &amp; Information Law</t>
  </si>
  <si>
    <t>Journal for European Environmental &amp; Planning Law</t>
  </si>
  <si>
    <t>Journal of Antitrust Enforcement</t>
  </si>
  <si>
    <t>Journal of Business Law</t>
  </si>
  <si>
    <t>Journal of Competition Law &amp; Economics</t>
  </si>
  <si>
    <t>Journal of Conflict and Security Law</t>
  </si>
  <si>
    <t>Journal of Contemporary Criminal Justice</t>
  </si>
  <si>
    <t>Journal of Criminal Law &amp; Criminology</t>
  </si>
  <si>
    <t>Journal of Empirical Legal Studies</t>
  </si>
  <si>
    <t>Journal of European Consumer and Market Law</t>
  </si>
  <si>
    <t>Journal of European Tort Law</t>
  </si>
  <si>
    <t>Journal of Human Rights</t>
  </si>
  <si>
    <t>Journal of Human Rights and the Environment</t>
  </si>
  <si>
    <t>Journal of Information, Law and Technology</t>
  </si>
  <si>
    <t>Journal of Intellectual Property Law &amp; Practice</t>
  </si>
  <si>
    <t>Journal of International and Comparative Law</t>
  </si>
  <si>
    <t>Journal of International Banking Law &amp; Regulation</t>
  </si>
  <si>
    <t>Journal of International Criminal Justice</t>
  </si>
  <si>
    <t>Journal of International Dispute Settlement</t>
  </si>
  <si>
    <t>Journal of International Humanitarian Legal Studies</t>
  </si>
  <si>
    <t>Journal of International Taxation</t>
  </si>
  <si>
    <t>Journal of International Wildlife Law &amp; Policy</t>
  </si>
  <si>
    <t>Journal of Law &amp; Commerce</t>
  </si>
  <si>
    <t>Journal of Law &amp; Public Policy</t>
  </si>
  <si>
    <t>Journal of Law and Religion</t>
  </si>
  <si>
    <t xml:space="preserve">Journal of Law and the Biosciences </t>
  </si>
  <si>
    <t>Journal of Legal Economics</t>
  </si>
  <si>
    <t>Journal of Legal Education</t>
  </si>
  <si>
    <t>Journal of Maritime Law and Commerce</t>
  </si>
  <si>
    <t>Journal of National Security Law &amp; Policy</t>
  </si>
  <si>
    <t>Journal of Planning and Environment Law</t>
  </si>
  <si>
    <t>Journal of Public Procurement</t>
  </si>
  <si>
    <t>Judicial Review and Cooperation series</t>
  </si>
  <si>
    <t>Juridisk Tidskrift</t>
  </si>
  <si>
    <t>Juristenzeitung</t>
  </si>
  <si>
    <t>Jus Politicum</t>
  </si>
  <si>
    <t>Jussens Venner</t>
  </si>
  <si>
    <t>Juvenile and Family Court Journal</t>
  </si>
  <si>
    <t>Kriminalistik</t>
  </si>
  <si>
    <t>Kriminologisches Journal</t>
  </si>
  <si>
    <t>Kritisk Juss</t>
  </si>
  <si>
    <t>Law &amp; Cosmopolitan Values</t>
  </si>
  <si>
    <t>Law &amp; Policy</t>
  </si>
  <si>
    <t>Law and Contemporary Problems</t>
  </si>
  <si>
    <t>Law and Critique</t>
  </si>
  <si>
    <t>Law and History Review</t>
  </si>
  <si>
    <t>Law and Social Inquiry</t>
  </si>
  <si>
    <t>Law in Context</t>
  </si>
  <si>
    <t>Law, Culture and the Humanities</t>
  </si>
  <si>
    <t>Law, Probability and Risk</t>
  </si>
  <si>
    <t>Law, Social Justice and Global Development</t>
  </si>
  <si>
    <t>Le Dalloz</t>
  </si>
  <si>
    <t>Legal and Criminological Psychology</t>
  </si>
  <si>
    <t>Legal Issues of Economic Integration</t>
  </si>
  <si>
    <t>Legal Issues of Services of General Interest</t>
  </si>
  <si>
    <t>Legal Studies on Access and Benefit-sharing</t>
  </si>
  <si>
    <t>Legisprudence Library</t>
  </si>
  <si>
    <t>Leiden Journal of International Law</t>
  </si>
  <si>
    <t>Lov og Rett</t>
  </si>
  <si>
    <t>Maritime Safety and Security Law Journal</t>
  </si>
  <si>
    <t>MarIus</t>
  </si>
  <si>
    <t>Medical Law Review</t>
  </si>
  <si>
    <t>Medicine and Law</t>
  </si>
  <si>
    <t>Michigan Journal of International Law</t>
  </si>
  <si>
    <t>Michigan Law Review</t>
  </si>
  <si>
    <t>Miljøretlige Afgørelser og Domme (M.A.D)</t>
  </si>
  <si>
    <t>Modern Studies in European Law</t>
  </si>
  <si>
    <t>Natur und Recht</t>
  </si>
  <si>
    <t>Natural Resources Journal</t>
  </si>
  <si>
    <t>NAVEIÑ REET: Nordic Journal of Law and Social Research</t>
  </si>
  <si>
    <t>Negotiation Journal</t>
  </si>
  <si>
    <t>Netherlands International Law Review</t>
  </si>
  <si>
    <t>Netherlands Yearbook of International Law</t>
  </si>
  <si>
    <t>Neue Juristische Wochenschrift</t>
  </si>
  <si>
    <t>Neue Zeitschrift fuer Gesellschaftsrecht</t>
  </si>
  <si>
    <t>Neue Zeitschrift fuer Strafrecht</t>
  </si>
  <si>
    <t>New Horizons In Competition Law And Economics</t>
  </si>
  <si>
    <t>New Horizons In Environmental And Energy Law</t>
  </si>
  <si>
    <t>New York University Journal of International Law and Politics</t>
  </si>
  <si>
    <t>New York University Law Review</t>
  </si>
  <si>
    <t>Nordic Journal of European Law</t>
  </si>
  <si>
    <t>Nordisk Miljörättslig Tidskrift</t>
  </si>
  <si>
    <t>Nordisk Politiforskning</t>
  </si>
  <si>
    <t>Ocean Development and International Law</t>
  </si>
  <si>
    <t>Oslo Law Review</t>
  </si>
  <si>
    <t>Oxford Studies In European Law</t>
  </si>
  <si>
    <t>Palgrave Studies In Prisons And Penology</t>
  </si>
  <si>
    <t>Parliamentary Democracy in Europe</t>
  </si>
  <si>
    <t>Police Practice and Research: An International Journal</t>
  </si>
  <si>
    <t>Police Quarterly</t>
  </si>
  <si>
    <t>Policing and Society</t>
  </si>
  <si>
    <t>Policing: An International Journal</t>
  </si>
  <si>
    <t>Politihistorisk Forening</t>
  </si>
  <si>
    <t>Principles Of European Tort Law</t>
  </si>
  <si>
    <t>Prison Service Journal</t>
  </si>
  <si>
    <t>Privacy Law Bulletin</t>
  </si>
  <si>
    <t>Probation Journal</t>
  </si>
  <si>
    <t>Punishment &amp; Society</t>
  </si>
  <si>
    <t>Queen Mary Journal of Intellectual Property</t>
  </si>
  <si>
    <t>Recht der Internationalen Wirtschaft</t>
  </si>
  <si>
    <t>Rechtsgeschichte – Legal History</t>
  </si>
  <si>
    <t>Recueil des Cours: Collected Courses of the Hague Academy of International Law</t>
  </si>
  <si>
    <t>Religion and Human Rights</t>
  </si>
  <si>
    <t>Research Handbooks in Corporate Law and Governance series</t>
  </si>
  <si>
    <t>Research Handbooks in Environmental Law series</t>
  </si>
  <si>
    <t>Research Handbooks in European Law</t>
  </si>
  <si>
    <t>Research Handbooks in International Law</t>
  </si>
  <si>
    <t>Research Handbooks on Globalisation and the Law series</t>
  </si>
  <si>
    <t>Review of Central and East European Law</t>
  </si>
  <si>
    <t>Review of European Administrative Law</t>
  </si>
  <si>
    <t>Review of European Community and International Environmental Law</t>
  </si>
  <si>
    <t>Revision &amp; Regnskabsvæsen</t>
  </si>
  <si>
    <t>Revue Droit et Societe</t>
  </si>
  <si>
    <t>Revue du Droit de l'Union Europeenne</t>
  </si>
  <si>
    <t>Revue du Marche Commun et de l'Union Europeenne</t>
  </si>
  <si>
    <t>Revue Trimestrielle de Droit Europeen</t>
  </si>
  <si>
    <t>Routledge Frontiers of Criminal Justice</t>
  </si>
  <si>
    <t>Routledge Research in Constitutional Law</t>
  </si>
  <si>
    <t>Routledge Research in International Economic Law</t>
  </si>
  <si>
    <t>Routledge Research in International Environmental Law</t>
  </si>
  <si>
    <t>Routledge Studies In Crime And Society</t>
  </si>
  <si>
    <t>Routledge Studies in Human Rights</t>
  </si>
  <si>
    <t>Rutgers Computer &amp; Technology Law Journal</t>
  </si>
  <si>
    <t>ScienceRise: Juridical Science</t>
  </si>
  <si>
    <t>SCRIPTed: A Journal of Law, Technology &amp; Society</t>
  </si>
  <si>
    <t>Skat Udland</t>
  </si>
  <si>
    <t>Skattepolitisk Oversigt</t>
  </si>
  <si>
    <t>Skatterett</t>
  </si>
  <si>
    <t>Social &amp; Legal Studies</t>
  </si>
  <si>
    <t>Social Justice</t>
  </si>
  <si>
    <t>SR-Skat</t>
  </si>
  <si>
    <t>Stanford Journal of International Law</t>
  </si>
  <si>
    <t>Statute Law Review</t>
  </si>
  <si>
    <t>Studies in European Economic Law and Regulation</t>
  </si>
  <si>
    <t>Studies of the Oxford Institute of European and Comparative Law</t>
  </si>
  <si>
    <t>Svensk Skattetidning</t>
  </si>
  <si>
    <t>Swiss Review of International &amp; European Law</t>
  </si>
  <si>
    <t>Tax Planning International</t>
  </si>
  <si>
    <t>TemaNord</t>
  </si>
  <si>
    <t>Texas Law Review</t>
  </si>
  <si>
    <t>The American Journal of Comparative Law</t>
  </si>
  <si>
    <t>The Cambridge Law Journal</t>
  </si>
  <si>
    <t>The European Review of Public Law</t>
  </si>
  <si>
    <t>The Finnish Yearbook of International Law</t>
  </si>
  <si>
    <t>The Howard Journal of Criminal Justice</t>
  </si>
  <si>
    <t>The International Journal of Children's Rights</t>
  </si>
  <si>
    <t>The International Journal of Human Rights</t>
  </si>
  <si>
    <t>The International Journal of Marine and Coastal Law</t>
  </si>
  <si>
    <t>The International Sports Law Journal</t>
  </si>
  <si>
    <t>The IUCN Academy of Environmental Law series</t>
  </si>
  <si>
    <t>The Journal of International Maritime Law</t>
  </si>
  <si>
    <t>The Journal of International Tax, Trust and Corporate Planning</t>
  </si>
  <si>
    <t>The Journal of Legal Studies</t>
  </si>
  <si>
    <t>The Journal of World Intellectual Property</t>
  </si>
  <si>
    <t>The Law and Practice of International Courts and Tribunals</t>
  </si>
  <si>
    <t>The Law Teacher</t>
  </si>
  <si>
    <t>The Oxford Handbooks Online: Criminology And Criminal Justice</t>
  </si>
  <si>
    <t>The Prison Journal</t>
  </si>
  <si>
    <t>The Theory and Practice of Legislation</t>
  </si>
  <si>
    <t>The Trademark Reporter</t>
  </si>
  <si>
    <t>The University of Chicago Law Review</t>
  </si>
  <si>
    <t>The Vindobona Journal of International Commercial Law and Arbitration</t>
  </si>
  <si>
    <t>The Yearbook of Polar Law</t>
  </si>
  <si>
    <t>Theoretical Criminology</t>
  </si>
  <si>
    <t>Tidsskrift for Bolig- og Byggeret</t>
  </si>
  <si>
    <t>Tidsskrift for erstatningsrett, forsikringsrett og trygderett</t>
  </si>
  <si>
    <t>Tidsskrift for Familie- og Arveret</t>
  </si>
  <si>
    <t>Tidsskrift for Familierett, Arverett og Barnevernrettslige Spørgsmål</t>
  </si>
  <si>
    <t>Tidsskrift for Forretningsjus</t>
  </si>
  <si>
    <t>Tidsskrift for Kriminalret</t>
  </si>
  <si>
    <t>Tidsskrift for Landbrugsret</t>
  </si>
  <si>
    <t>Tidsskrift for Miljø</t>
  </si>
  <si>
    <t>Tidsskrift for Skatter og Afgifter</t>
  </si>
  <si>
    <t>Tidsskrift for strafferett</t>
  </si>
  <si>
    <t>Tijdschrift voor Rechtsgeschiedenis / Revue d'Histoire du Droit / The Legal History Review</t>
  </si>
  <si>
    <t>Tilburg Law Review</t>
  </si>
  <si>
    <t>Transnational Legal Theory</t>
  </si>
  <si>
    <t>Transportrecht</t>
  </si>
  <si>
    <t>Trends in Organized Crime</t>
  </si>
  <si>
    <t>Trust Law International</t>
  </si>
  <si>
    <t>Trusts &amp; Trustees</t>
  </si>
  <si>
    <t>Tulane Maritime Law Journal</t>
  </si>
  <si>
    <t>Uniform Law Review</t>
  </si>
  <si>
    <t>University of Pennsylvania Journal of International Law</t>
  </si>
  <si>
    <t>University of Pennsylvania. Law Review</t>
  </si>
  <si>
    <t>Utrecht Journal of International and European Law</t>
  </si>
  <si>
    <t>Utrecht Law Review</t>
  </si>
  <si>
    <t>Vanderbilt Journal of Transnational Law</t>
  </si>
  <si>
    <t>Virginia Law Review</t>
  </si>
  <si>
    <t>Wiley Handbooks in Criminology and Criminal Justice</t>
  </si>
  <si>
    <t>Wirtschaft und Wettbewerb</t>
  </si>
  <si>
    <t>World Competition</t>
  </si>
  <si>
    <t>World Customs Journal</t>
  </si>
  <si>
    <t>Yale Law &amp; Policy Review</t>
  </si>
  <si>
    <t>Yearbook of International Environmental Law</t>
  </si>
  <si>
    <t>Yearbook of International Humanitarian Law</t>
  </si>
  <si>
    <t>Zeitschrift der Savigny-Stiftung für Rechtsgeschichte, Germanistische Abteilung</t>
  </si>
  <si>
    <t>Zeitschrift der Savigny-Stiftung für Rechtsgeschichte, Kanonistische Abteilung</t>
  </si>
  <si>
    <t>Zeitschrift der Savigny-Stiftung für Rechtsgeschichte. Romanistische Abteilung</t>
  </si>
  <si>
    <t>Zeitschrift fuer Auslaendisches und Internationales Arbeits- und Sozialrecht</t>
  </si>
  <si>
    <t>Zeitschrift fuer das Gesamte Handelsrecht und Wirtschaftsrecht</t>
  </si>
  <si>
    <t>Zeitschrift fuer Europarecht</t>
  </si>
  <si>
    <t>Zeitschrift fuer Rechtssoziologie</t>
  </si>
  <si>
    <t>Zeitschrift fuer Unternehmens- und Gesellschaftsrecht</t>
  </si>
  <si>
    <t>Zeitschrift fuer Wirtschaftsrecht</t>
  </si>
  <si>
    <t>Zeitschrift fuer Zoelle und Verbrauchsteuern</t>
  </si>
  <si>
    <t>Zeitschrift für ausländisches öffentliches Recht und Völkerrecht / Heidelberg journal of international law</t>
  </si>
  <si>
    <t>Zeitschrift für Recht &amp; Islam</t>
  </si>
  <si>
    <t>Zeitschrift für öffentliches Recht / Journal of Public Law</t>
  </si>
  <si>
    <t>Sociologi</t>
  </si>
  <si>
    <t>Acta Sociologica</t>
  </si>
  <si>
    <t>Actes de la Recherche en Sciences Sociales</t>
  </si>
  <si>
    <t>American Journal of Sociology</t>
  </si>
  <si>
    <t>American Sociological Review</t>
  </si>
  <si>
    <t>Annual Review of Sociology</t>
  </si>
  <si>
    <t>British Journal of Sociology</t>
  </si>
  <si>
    <t>Childhood</t>
  </si>
  <si>
    <t>Criminology</t>
  </si>
  <si>
    <t>Critical Social Policy</t>
  </si>
  <si>
    <t>Cultural Sociology</t>
  </si>
  <si>
    <t>Current Sociology</t>
  </si>
  <si>
    <t>Distinktion</t>
  </si>
  <si>
    <t>European Journal of Social Theory</t>
  </si>
  <si>
    <t>European Journal of Social Work</t>
  </si>
  <si>
    <t>European Journal of Sociology</t>
  </si>
  <si>
    <t>European Societies</t>
  </si>
  <si>
    <t>European Sociological Review</t>
  </si>
  <si>
    <t>Health, Risk &amp; Society</t>
  </si>
  <si>
    <t>Housing Studies</t>
  </si>
  <si>
    <t>International Journal of Social Welfare</t>
  </si>
  <si>
    <t>International Social Work</t>
  </si>
  <si>
    <t>International Sociology</t>
  </si>
  <si>
    <t>Journal of Classical Sociology</t>
  </si>
  <si>
    <t>Journal of Criminal Justice</t>
  </si>
  <si>
    <t>Journal of Family Issues</t>
  </si>
  <si>
    <t>Journal of Health and Social Behavior</t>
  </si>
  <si>
    <t>Journal of Historical Sociology</t>
  </si>
  <si>
    <t>Journal of Marriage and Family</t>
  </si>
  <si>
    <t>Journal of Professions and Organization</t>
  </si>
  <si>
    <t>Journal of Quantitative Criminology</t>
  </si>
  <si>
    <t>Journal of Research in Crime and Delinquency</t>
  </si>
  <si>
    <t>Journal of Social Issues</t>
  </si>
  <si>
    <t>Journal of Youth Studies</t>
  </si>
  <si>
    <t>Justice Quarterly</t>
  </si>
  <si>
    <t>Kölner Zeitschrift für Soziologie und Sozialpsychologie</t>
  </si>
  <si>
    <t>Princeton Studies in Cultural Sociology</t>
  </si>
  <si>
    <t>Qualitative Inquiry</t>
  </si>
  <si>
    <t>Qualitative Research</t>
  </si>
  <si>
    <t>Rationality and Society</t>
  </si>
  <si>
    <t>Research in Social Stratification and Mobility</t>
  </si>
  <si>
    <t>Revue Francaise de Sociologie</t>
  </si>
  <si>
    <t>Rural Sociology</t>
  </si>
  <si>
    <t>Social Forces</t>
  </si>
  <si>
    <t>Social Indicators Research</t>
  </si>
  <si>
    <t>Social Networks</t>
  </si>
  <si>
    <t>Social Problems</t>
  </si>
  <si>
    <t>Social Science Research</t>
  </si>
  <si>
    <t>Social Service Review</t>
  </si>
  <si>
    <t>Social Work</t>
  </si>
  <si>
    <t>Social Work Research</t>
  </si>
  <si>
    <t>Sociological Methodology</t>
  </si>
  <si>
    <t>Sociological Methods &amp; Research</t>
  </si>
  <si>
    <t>Sociological Theory</t>
  </si>
  <si>
    <t>Sociology</t>
  </si>
  <si>
    <t>Sociology of Health and Illness</t>
  </si>
  <si>
    <t>Symbolic Interaction</t>
  </si>
  <si>
    <t>The British Journal of Social Work</t>
  </si>
  <si>
    <t>The Sociological Review</t>
  </si>
  <si>
    <t>Theory and Society</t>
  </si>
  <si>
    <t>Theory, Culture &amp; Society</t>
  </si>
  <si>
    <t>Thesis Eleven</t>
  </si>
  <si>
    <t>Time &amp; Society</t>
  </si>
  <si>
    <t>Work and Occupations</t>
  </si>
  <si>
    <t>Work, Employment and Society</t>
  </si>
  <si>
    <t>Youth &amp; Society</t>
  </si>
  <si>
    <t>Zeitschrift für Soziologie</t>
  </si>
  <si>
    <t>Accountability in Research</t>
  </si>
  <si>
    <t>Addiction Research and Theory</t>
  </si>
  <si>
    <t>Advances in Applied Sociology</t>
  </si>
  <si>
    <t>Advances in Life Course Research</t>
  </si>
  <si>
    <t>Advances in Medical Sociology</t>
  </si>
  <si>
    <t>Advances in Social Work</t>
  </si>
  <si>
    <t>African Sociological Review</t>
  </si>
  <si>
    <t>Alternative Criminology</t>
  </si>
  <si>
    <t>American Behavioral Scientist</t>
  </si>
  <si>
    <t>American Journal of Cultural Sociology</t>
  </si>
  <si>
    <t>American Journal of Economics and Sociology</t>
  </si>
  <si>
    <t>Annals of the International Institute of Sociology</t>
  </si>
  <si>
    <t>Approaches To Social Inequality And Difference</t>
  </si>
  <si>
    <t>Arbejdsmarkedsforhold</t>
  </si>
  <si>
    <t>Arbetsmarknad &amp; Arbetsliv</t>
  </si>
  <si>
    <t>Arkiv. Tidskrift för samhällsanalys</t>
  </si>
  <si>
    <t>Armed Forces and Society</t>
  </si>
  <si>
    <t>Asia Pacific Journal of Social Work and Development</t>
  </si>
  <si>
    <t>Australian Journal of Social Issues</t>
  </si>
  <si>
    <t>Australian Social Work</t>
  </si>
  <si>
    <t>Behavior and Social Issues</t>
  </si>
  <si>
    <t>Berliner Journal für Soziologie</t>
  </si>
  <si>
    <t>Biodemography and Social Biology</t>
  </si>
  <si>
    <t>Boyhood Studies: An Interdisciplinary Journal</t>
  </si>
  <si>
    <t>Bulletin of Sociological Methodology</t>
  </si>
  <si>
    <t>Cahiers de Sociologie Economique et Culturelle</t>
  </si>
  <si>
    <t>Canadian Journal of Sociology</t>
  </si>
  <si>
    <t>Canadian Review of Social Policy</t>
  </si>
  <si>
    <t>Canadian Review of Sociology / Revue canadienne de sociologie</t>
  </si>
  <si>
    <t>Capital and Class</t>
  </si>
  <si>
    <t>Child &amp; Family Social Work</t>
  </si>
  <si>
    <t>Child &amp; Youth Services</t>
  </si>
  <si>
    <t>Child and Adolescent Social Work Journal</t>
  </si>
  <si>
    <t>Child Indicators Research</t>
  </si>
  <si>
    <t>Child Welfare</t>
  </si>
  <si>
    <t>Children &amp; Schools</t>
  </si>
  <si>
    <t>Children &amp; Society</t>
  </si>
  <si>
    <t>Children and Youth Services Review</t>
  </si>
  <si>
    <t>Children, Youth and Environments</t>
  </si>
  <si>
    <t>Chinese Journal of Sociology</t>
  </si>
  <si>
    <t>Chinese Sociological Review</t>
  </si>
  <si>
    <t>City &amp; Community</t>
  </si>
  <si>
    <t>Classical And Contemporary Social Theory</t>
  </si>
  <si>
    <t>Clinical Social Work Journal</t>
  </si>
  <si>
    <t>Clinical Sociology</t>
  </si>
  <si>
    <t>Community, Work &amp; Family</t>
  </si>
  <si>
    <t>Comparative Social Research</t>
  </si>
  <si>
    <t>Comparative Sociology</t>
  </si>
  <si>
    <t>Connections</t>
  </si>
  <si>
    <t>Constellations: an international journal of critical and democratic theory</t>
  </si>
  <si>
    <t>Constructivist Foundations</t>
  </si>
  <si>
    <t>Contemporary Sociology</t>
  </si>
  <si>
    <t>Contexts</t>
  </si>
  <si>
    <t>Crime &amp; Delinquency</t>
  </si>
  <si>
    <t>Crime and Justice</t>
  </si>
  <si>
    <t>Critical and Radical Social Work</t>
  </si>
  <si>
    <t>Critical Sociology</t>
  </si>
  <si>
    <t>Cultural Politics</t>
  </si>
  <si>
    <t>Culture, Health and Sexuality</t>
  </si>
  <si>
    <t>Culture, Practice &amp; Europeanization</t>
  </si>
  <si>
    <t>Current Perspectives in Social Theory</t>
  </si>
  <si>
    <t>Dados: Revista de Ciências Sociais</t>
  </si>
  <si>
    <t>Dansk Sociologi</t>
  </si>
  <si>
    <t>Den kommunikerende organisation</t>
  </si>
  <si>
    <t>Deviance et Societe</t>
  </si>
  <si>
    <t>Documentacion Social</t>
  </si>
  <si>
    <t xml:space="preserve">Društvena Istraživanja </t>
  </si>
  <si>
    <t>Durkheimian Studies</t>
  </si>
  <si>
    <t>Eastern Africa Social Science Research Review</t>
  </si>
  <si>
    <t>Economics &amp; Sociology</t>
  </si>
  <si>
    <t>Education, Citizenship and Social Justice</t>
  </si>
  <si>
    <t>Empiria: Revista de metodología de ciencias sociales</t>
  </si>
  <si>
    <t>Employee Relations</t>
  </si>
  <si>
    <t>Ephemera: Theory &amp; politics in organization</t>
  </si>
  <si>
    <t>Estudios Sociologicos</t>
  </si>
  <si>
    <t>Estudos de Sociologia</t>
  </si>
  <si>
    <t>Etudes Rurales</t>
  </si>
  <si>
    <t xml:space="preserve">European Journal of Cultural and Political Sociology </t>
  </si>
  <si>
    <t>Evaluation and Program Planning</t>
  </si>
  <si>
    <t>Families in Society</t>
  </si>
  <si>
    <t>Families, Relationships and Societies</t>
  </si>
  <si>
    <t>Family Relations</t>
  </si>
  <si>
    <t>Feminist Criminology</t>
  </si>
  <si>
    <t>Formation Emploi</t>
  </si>
  <si>
    <t>Forskning og Forandring</t>
  </si>
  <si>
    <t>Forum Qualitative Sozialforschung</t>
  </si>
  <si>
    <t>Genèses: Sciences Sociales et Histoire</t>
  </si>
  <si>
    <t>Global Youth</t>
  </si>
  <si>
    <t>Groupwork</t>
  </si>
  <si>
    <t>Health &amp; Social Work</t>
  </si>
  <si>
    <t>Health Sociology Review</t>
  </si>
  <si>
    <t>Human Figurations</t>
  </si>
  <si>
    <t xml:space="preserve">Human Service Organizations: Management, Leadership &amp; Governance </t>
  </si>
  <si>
    <t>Human Studies</t>
  </si>
  <si>
    <t>Humanity &amp; Society</t>
  </si>
  <si>
    <t>Humboldt Journal of Social Relations</t>
  </si>
  <si>
    <t>Indian Journal of Social Work</t>
  </si>
  <si>
    <t>Innovation: The European Journal of Social Science Research</t>
  </si>
  <si>
    <t>Interdisciplinary Science Reviews</t>
  </si>
  <si>
    <t>Interface: a journal for and about social movements</t>
  </si>
  <si>
    <t>International Journal of Action Research</t>
  </si>
  <si>
    <t>International Journal of Baudrillard Studies</t>
  </si>
  <si>
    <t>International Journal of Care and Caring</t>
  </si>
  <si>
    <t>International Journal of Comparative Sociology</t>
  </si>
  <si>
    <t>International Journal of Contemporary Sociology</t>
  </si>
  <si>
    <t>International Journal of Humanities and Social Science</t>
  </si>
  <si>
    <t>International Journal of Intercultural Relations</t>
  </si>
  <si>
    <t>International Journal of Japanese Sociology</t>
  </si>
  <si>
    <t>International Journal of Qualitative Methods</t>
  </si>
  <si>
    <t>International Journal of Social Research Methodology</t>
  </si>
  <si>
    <t>International Journal of Sociology</t>
  </si>
  <si>
    <t>International Journal of Sociology and Social Policy</t>
  </si>
  <si>
    <t>International Journal of Sociology of Agriculture and Food</t>
  </si>
  <si>
    <t>International Quarterly of Community Health Education</t>
  </si>
  <si>
    <t>International Review of Sociology</t>
  </si>
  <si>
    <t>International Social Science Journal</t>
  </si>
  <si>
    <t>International Social Science Review</t>
  </si>
  <si>
    <t>International Studies in Sociology and Social Anthropology</t>
  </si>
  <si>
    <t>Intersectionalities : A Global Journal of Social Work Analysis, Research, Polity and Practice</t>
  </si>
  <si>
    <t>Irish Journal of Sociology</t>
  </si>
  <si>
    <t>Journal for Labour Market Research</t>
  </si>
  <si>
    <t>Journal for the Study of Radicalism</t>
  </si>
  <si>
    <t>Journal for the Theory of Social Behaviour</t>
  </si>
  <si>
    <t>Journal of Aging &amp; Social Policy</t>
  </si>
  <si>
    <t>Journal of Applied Social Science</t>
  </si>
  <si>
    <t>Journal of Child and Family Studies</t>
  </si>
  <si>
    <t>Journal of Children &amp; Poverty</t>
  </si>
  <si>
    <t>Journal of Children's Services</t>
  </si>
  <si>
    <t>Journal of Civil Society</t>
  </si>
  <si>
    <t>Journal of Comparative Family Studies</t>
  </si>
  <si>
    <t>Journal of Comparative Social Work</t>
  </si>
  <si>
    <t>Journal of Critical Realism</t>
  </si>
  <si>
    <t>Journal of Cultural Economy</t>
  </si>
  <si>
    <t>Journal of Disability Policy Studies</t>
  </si>
  <si>
    <t>Journal of Divorce &amp; Remarriage</t>
  </si>
  <si>
    <t>Journal of Environmental Policy and Planning</t>
  </si>
  <si>
    <t>Journal of Ethnic &amp; Cultural Diversity in Social Work</t>
  </si>
  <si>
    <t xml:space="preserve">Journal of Evidence-Informed Social Work </t>
  </si>
  <si>
    <t>Journal of Experimental Criminology</t>
  </si>
  <si>
    <t>Journal of Family Social Work</t>
  </si>
  <si>
    <t>Journal of Gambling Issues</t>
  </si>
  <si>
    <t>Journal of Gang Research</t>
  </si>
  <si>
    <t>Journal of Gay &amp; Lesbian Social Services</t>
  </si>
  <si>
    <t>Journal of HIV - AIDS &amp; Social Services</t>
  </si>
  <si>
    <t>Journal of Immigrant &amp; Refugee Studies</t>
  </si>
  <si>
    <t>Journal of Mathematical Sociology</t>
  </si>
  <si>
    <t>Journal of political &amp; military sociology</t>
  </si>
  <si>
    <t>Journal of Political Power</t>
  </si>
  <si>
    <t>Journal of Progressive Human Services</t>
  </si>
  <si>
    <t>Journal of Religion and Spirituality in Social Work; Social Thought</t>
  </si>
  <si>
    <t>Journal of Risk Research</t>
  </si>
  <si>
    <t>Journal of Rural Social Sciences</t>
  </si>
  <si>
    <t>Journal of Social Service Research</t>
  </si>
  <si>
    <t>Journal of Social Structure</t>
  </si>
  <si>
    <t>Journal of Social Work</t>
  </si>
  <si>
    <t>Journal of Social Work in Disability &amp; Rehabilitation</t>
  </si>
  <si>
    <t>Journal of Social Work in End-of-Life &amp; Palliative Care</t>
  </si>
  <si>
    <t>Journal of Social Work Practice</t>
  </si>
  <si>
    <t>Journal of Social Work Practice in the Addictions</t>
  </si>
  <si>
    <t>Journal of Social Work Values &amp; Ethics</t>
  </si>
  <si>
    <t>Journal of Sociology</t>
  </si>
  <si>
    <t>Journal of Sociology and Social Welfare</t>
  </si>
  <si>
    <t>Journal of Studies on Alcohol and Drugs</t>
  </si>
  <si>
    <t>Journal of Teaching in Social Work</t>
  </si>
  <si>
    <t>Journal of the Social Sciences</t>
  </si>
  <si>
    <t>Junctures: The Journal for Thematic Dialogue</t>
  </si>
  <si>
    <t>Labor Studies Journal</t>
  </si>
  <si>
    <t>Labour &amp; Industry: A Journal of the Social and Economic Relations of Work</t>
  </si>
  <si>
    <t>L'Annee Sociologique</t>
  </si>
  <si>
    <t>LEDERLIV – inspiration til livet som leder</t>
  </si>
  <si>
    <t>Leisure Studies</t>
  </si>
  <si>
    <t>Loisir et Societe</t>
  </si>
  <si>
    <t>Marriage &amp; Family Review</t>
  </si>
  <si>
    <t>Max Weber Studies</t>
  </si>
  <si>
    <t>Measurement</t>
  </si>
  <si>
    <t>Methodological Innovations</t>
  </si>
  <si>
    <t>Methods, Data, Analyses</t>
  </si>
  <si>
    <t>Metoder i samfundsvidenskab og humaniora</t>
  </si>
  <si>
    <t>Mobilization</t>
  </si>
  <si>
    <t>Nature and Culture</t>
  </si>
  <si>
    <t>New Directions for Child and Adolescent Development</t>
  </si>
  <si>
    <t>New Directions in Social Work</t>
  </si>
  <si>
    <t>New Technology, Work and Employment</t>
  </si>
  <si>
    <t>New Zealand Sociology</t>
  </si>
  <si>
    <t>Nonprofit and Voluntary Sector Quarterly</t>
  </si>
  <si>
    <t>Nordic Journal of Criminology</t>
  </si>
  <si>
    <t>Nordic Journal of Social Research</t>
  </si>
  <si>
    <t>Nordic Journal of Working Life Studies</t>
  </si>
  <si>
    <t>Nordic Social Work Research</t>
  </si>
  <si>
    <t>Nordicum-Mediterraneum</t>
  </si>
  <si>
    <t>Nordisk tidsskrift for ungdomsforskning</t>
  </si>
  <si>
    <t>Nordisk Tidsskrift for Ungdomsforskning</t>
  </si>
  <si>
    <t>Nordisk Välfärdsforskning</t>
  </si>
  <si>
    <t>Nordiske Udkast</t>
  </si>
  <si>
    <t>Norsk Sosiologisk Tidsskrift</t>
  </si>
  <si>
    <t>Nytt Norsk Tidsskrift</t>
  </si>
  <si>
    <t>Oesterreichische Zeitschrift fuer Soziologie</t>
  </si>
  <si>
    <t>Outlines</t>
  </si>
  <si>
    <t>Palgrave Macmillan Studies In Family And Intimate Life</t>
  </si>
  <si>
    <t>Papers on Social Representations - Threads of Discussion</t>
  </si>
  <si>
    <t>Papers. Revista de Sociologia</t>
  </si>
  <si>
    <t>Patterns of Prejudice</t>
  </si>
  <si>
    <t>Peace Studies Journal</t>
  </si>
  <si>
    <t>Perspectives on Sexual and Reproductive Health</t>
  </si>
  <si>
    <t>Polish Sociological Review</t>
  </si>
  <si>
    <t>Praktiske Grunde: Nordisk tidsskrift for kultur- og samfundsvidenskab</t>
  </si>
  <si>
    <t>Princeton Studies In Global And Comparative Sociology</t>
  </si>
  <si>
    <t>Proceedings of Pragmatic Constructivism</t>
  </si>
  <si>
    <t>Professions and Professionalism</t>
  </si>
  <si>
    <t>Psychoanalytic Social Work</t>
  </si>
  <si>
    <t>Qualitative Research in Medicine and Health Care</t>
  </si>
  <si>
    <t>Qualitative Research in Organizations and Management</t>
  </si>
  <si>
    <t>Qualitative Social Work</t>
  </si>
  <si>
    <t>Qualitative Sociology</t>
  </si>
  <si>
    <t>Qualitative Sociology Review</t>
  </si>
  <si>
    <t>Race, Gender &amp; Class</t>
  </si>
  <si>
    <t>Recherches Sociographiques</t>
  </si>
  <si>
    <t>Recherches Sociologiques et Anthropologiques</t>
  </si>
  <si>
    <t>Research in Political Sociology</t>
  </si>
  <si>
    <t>Research in Rural Sociology and Development</t>
  </si>
  <si>
    <t>Research in the Sociology of Health Care</t>
  </si>
  <si>
    <t>Research in the Sociology of Organizations</t>
  </si>
  <si>
    <t>Research in the Sociology of Work</t>
  </si>
  <si>
    <t>Research in Urban Sociology</t>
  </si>
  <si>
    <t>Research on Social Work Practice</t>
  </si>
  <si>
    <t>Revista Crítica de Ciências Sociais</t>
  </si>
  <si>
    <t>Revista de Ciencias Sociales</t>
  </si>
  <si>
    <t>Revista de Sociologia e Politica</t>
  </si>
  <si>
    <t>Revista Española de Investigaciones Sociológicas</t>
  </si>
  <si>
    <t>Revista Internacional de Sociologia</t>
  </si>
  <si>
    <t>Revue d'Etudes en Agriculture et Environnement</t>
  </si>
  <si>
    <t>Revue Sociologie de l'Art</t>
  </si>
  <si>
    <t>Riron to Hoho</t>
  </si>
  <si>
    <t>Rivista Internazionale di Scienze Sociali</t>
  </si>
  <si>
    <t>Routledge Advances In Social Work</t>
  </si>
  <si>
    <t>Routledge Advances In Sociology</t>
  </si>
  <si>
    <t>Routledge Spaces Of Childhood And Youth Series</t>
  </si>
  <si>
    <t>Routledge Studies in Social and Political Thought</t>
  </si>
  <si>
    <t>Routledge Studies In The Sociology Of Health And Illness</t>
  </si>
  <si>
    <t>Safety Science Monitor</t>
  </si>
  <si>
    <t>Sage Open</t>
  </si>
  <si>
    <t>Samfund i Forandring</t>
  </si>
  <si>
    <t>Schweizerische Zeitschrift fuer Soziologie</t>
  </si>
  <si>
    <t>Serendipities</t>
  </si>
  <si>
    <t>Sexuality Research and Social Policy</t>
  </si>
  <si>
    <t>Smith College Studies in Social Work</t>
  </si>
  <si>
    <t>Social and Critical Theory</t>
  </si>
  <si>
    <t>Social Inclusion</t>
  </si>
  <si>
    <t>Social Indicators Research Series</t>
  </si>
  <si>
    <t>Social Influence</t>
  </si>
  <si>
    <t>Social Justice Research</t>
  </si>
  <si>
    <t>Social Justice: A Journal of Crime, Conflict, and World Order</t>
  </si>
  <si>
    <t>Social Kritik:Tidsskrift for social analyse &amp; debat</t>
  </si>
  <si>
    <t>Social Research</t>
  </si>
  <si>
    <t>Social Research: An International Quarterly</t>
  </si>
  <si>
    <t>Social Responsibility Journal</t>
  </si>
  <si>
    <t>Social Science Japan Journal</t>
  </si>
  <si>
    <t>Social Science Quarterly</t>
  </si>
  <si>
    <t>Social Sciences</t>
  </si>
  <si>
    <t>Social Sciences in Asia</t>
  </si>
  <si>
    <t>Social Theory &amp; Health</t>
  </si>
  <si>
    <t>Social Work &amp; Society</t>
  </si>
  <si>
    <t>Social Work Education</t>
  </si>
  <si>
    <t>Social Work in Health Care</t>
  </si>
  <si>
    <t>Social Work in Mental Health</t>
  </si>
  <si>
    <t>Social Work with Groups</t>
  </si>
  <si>
    <t>Socialvetenskaplig Tidskrift</t>
  </si>
  <si>
    <t>Sociétés</t>
  </si>
  <si>
    <t>Sociétés &amp; Représentations</t>
  </si>
  <si>
    <t>Societies</t>
  </si>
  <si>
    <t>Society</t>
  </si>
  <si>
    <t>Society &amp; Animals</t>
  </si>
  <si>
    <t>Society and Mental Health</t>
  </si>
  <si>
    <t>Sociológia - Slovak Sociological Review</t>
  </si>
  <si>
    <t>Sociologia del Diritto</t>
  </si>
  <si>
    <t>Sociologia del Lavoro</t>
  </si>
  <si>
    <t>Sociologia del Trabajo</t>
  </si>
  <si>
    <t>Sociologia e Politiche Sociali</t>
  </si>
  <si>
    <t>Sociologia e Ricerca Sociale</t>
  </si>
  <si>
    <t>Sociologia Problemas e Práticas</t>
  </si>
  <si>
    <t>Sociologia Ruralis</t>
  </si>
  <si>
    <t>Sociologias</t>
  </si>
  <si>
    <t>Sociologica</t>
  </si>
  <si>
    <t>Sociological Bulletin</t>
  </si>
  <si>
    <t>Sociological Focus</t>
  </si>
  <si>
    <t>Sociological Forum</t>
  </si>
  <si>
    <t>Sociological Inquiry</t>
  </si>
  <si>
    <t>Sociological Perspectives</t>
  </si>
  <si>
    <t>Sociological Research Online</t>
  </si>
  <si>
    <t>Sociological Science</t>
  </si>
  <si>
    <t>Sociological Spectrum</t>
  </si>
  <si>
    <t>Sociological Studies of Children and Youth</t>
  </si>
  <si>
    <t>Sociologický casopis / Czech Sociological Review</t>
  </si>
  <si>
    <t>Sociologie</t>
  </si>
  <si>
    <t>Sociologie du Travail</t>
  </si>
  <si>
    <t>Sociologie et Societes</t>
  </si>
  <si>
    <t>Sociologija</t>
  </si>
  <si>
    <t>Sociologisk Forskning</t>
  </si>
  <si>
    <t>Sociologiske Studier</t>
  </si>
  <si>
    <t>Sociologus</t>
  </si>
  <si>
    <t>Sociology Compass</t>
  </si>
  <si>
    <t>Sociology Mind</t>
  </si>
  <si>
    <t>Sociology of Crime, Law and Deviance</t>
  </si>
  <si>
    <t>Sosiologia</t>
  </si>
  <si>
    <t>Sosiologisk Aarbok. Ny Serie</t>
  </si>
  <si>
    <t>Sotsiologicheskie Issledovaniya</t>
  </si>
  <si>
    <t>Souls</t>
  </si>
  <si>
    <t>Soziale Systeme: Zeitschrift für soziologische Theorie</t>
  </si>
  <si>
    <t>Soziale Welt: Zeitschrift für sozialwissenschaftliche Forschung und Praxis</t>
  </si>
  <si>
    <t>Sozialer Sinn</t>
  </si>
  <si>
    <t>Strenæ</t>
  </si>
  <si>
    <t>Studi di Sociologia</t>
  </si>
  <si>
    <t>Studia Socjologiczne</t>
  </si>
  <si>
    <t>Studies in Critical Social Sciences</t>
  </si>
  <si>
    <t>Studies In Migration And Diaspora</t>
  </si>
  <si>
    <t>Studies In Social Analysis</t>
  </si>
  <si>
    <t>Survey Methods: Insights from the field</t>
  </si>
  <si>
    <t>Survey Research Methods</t>
  </si>
  <si>
    <t>Søkelys på arbeidslivet</t>
  </si>
  <si>
    <t>Tamara: Journal for Critical Organization Inquiry</t>
  </si>
  <si>
    <t>Teaching Sociology</t>
  </si>
  <si>
    <t>The American Sociologist</t>
  </si>
  <si>
    <t>The British Journal of Criminology</t>
  </si>
  <si>
    <t>The Family Journal</t>
  </si>
  <si>
    <t>The Future of Children</t>
  </si>
  <si>
    <t>The Grounded Theory Review</t>
  </si>
  <si>
    <t>The International Journal of Aging and Society</t>
  </si>
  <si>
    <t>The International Journal of Social Quality</t>
  </si>
  <si>
    <t>The Journal of Adult Protection</t>
  </si>
  <si>
    <t>The Mobilization Series On Social Movements, Protest And Culture</t>
  </si>
  <si>
    <t>The Qualitative Report</t>
  </si>
  <si>
    <t>The Social Science Journal</t>
  </si>
  <si>
    <t>The Sociological Quarterly</t>
  </si>
  <si>
    <t>Tidsskrift for Arbejdsliv</t>
  </si>
  <si>
    <t>Tænkepauser</t>
  </si>
  <si>
    <t>Uden for Nummer</t>
  </si>
  <si>
    <t>Utopian Studies</t>
  </si>
  <si>
    <t>Valuation Studies</t>
  </si>
  <si>
    <t>Vulnerable Children and Youth Studies</t>
  </si>
  <si>
    <t>Worlds In Motion</t>
  </si>
  <si>
    <t>Young</t>
  </si>
  <si>
    <t>Zeitschrift fuer Sozialreform</t>
  </si>
  <si>
    <t>Zeitschrift für Diskursforschung</t>
  </si>
  <si>
    <t>Statskundskab</t>
  </si>
  <si>
    <t>Acta Politica</t>
  </si>
  <si>
    <t>Administration &amp; Society</t>
  </si>
  <si>
    <t>Ageing &amp; Society</t>
  </si>
  <si>
    <t>American Journal of Evaluation</t>
  </si>
  <si>
    <t>American Journal of Political Science</t>
  </si>
  <si>
    <t>American Political Science Review</t>
  </si>
  <si>
    <t>American Review of Public Administration</t>
  </si>
  <si>
    <t>BASW/Policy Press titles</t>
  </si>
  <si>
    <t>British Journal of Industrial Relations</t>
  </si>
  <si>
    <t>British Journal of Political Science</t>
  </si>
  <si>
    <t>Cambridge Studies in Comparative Politics</t>
  </si>
  <si>
    <t>Cambridge Studies in International Relations</t>
  </si>
  <si>
    <t>Cambridge Studies in Theory of Democracy</t>
  </si>
  <si>
    <t>Chicago Series on International and Domestic Institutions</t>
  </si>
  <si>
    <t>Comparative European Politics</t>
  </si>
  <si>
    <t>Comparative Political Studies</t>
  </si>
  <si>
    <t>Comparative Politics</t>
  </si>
  <si>
    <t>Comparative Study Of Electoral Systems</t>
  </si>
  <si>
    <t>Conflict Management and Peace Science</t>
  </si>
  <si>
    <t>Contemporary Political and Social Issues</t>
  </si>
  <si>
    <t>Cooperation and Conflict</t>
  </si>
  <si>
    <t>Cornell Studies in Political Economy</t>
  </si>
  <si>
    <t>Economy and Society</t>
  </si>
  <si>
    <t>Electoral Studies</t>
  </si>
  <si>
    <t>Environment and Planning C: Politics and Space</t>
  </si>
  <si>
    <t>Environmental Politics</t>
  </si>
  <si>
    <t>European Journal of Industrial Relations</t>
  </si>
  <si>
    <t>European Journal of International Relations</t>
  </si>
  <si>
    <t>European Journal of Political Research</t>
  </si>
  <si>
    <t>European Political Science Review</t>
  </si>
  <si>
    <t>European Union Politics</t>
  </si>
  <si>
    <t>Evaluation: The International Journal of Theory, Research and Practice</t>
  </si>
  <si>
    <t>Evidence and Policy</t>
  </si>
  <si>
    <t>Governance and Public Management</t>
  </si>
  <si>
    <t>Governance: An international journal of Policy, Administration, and Institutions</t>
  </si>
  <si>
    <t>Government and Opposition</t>
  </si>
  <si>
    <t>Industrial and Labor Relations Review</t>
  </si>
  <si>
    <t>Industrial Relations</t>
  </si>
  <si>
    <t>International Affairs</t>
  </si>
  <si>
    <t>International Journal of Public Opinion Research</t>
  </si>
  <si>
    <t>International Organization</t>
  </si>
  <si>
    <t>International Political Science Review</t>
  </si>
  <si>
    <t>International Political Sociology</t>
  </si>
  <si>
    <t>International Public Management Journal</t>
  </si>
  <si>
    <t>International Review of Public Administration</t>
  </si>
  <si>
    <t>International Security</t>
  </si>
  <si>
    <t>International Studies Quarterly</t>
  </si>
  <si>
    <t>International Studies Review</t>
  </si>
  <si>
    <t>International Theory</t>
  </si>
  <si>
    <t>Journal of Common Market Studies</t>
  </si>
  <si>
    <t>Journal of Conflict Resolution</t>
  </si>
  <si>
    <t>Journal of Democracy</t>
  </si>
  <si>
    <t>Journal of Elections, Public Opinion, and Parties</t>
  </si>
  <si>
    <t>Journal of European Public Policy</t>
  </si>
  <si>
    <t>Journal of European Social Policy</t>
  </si>
  <si>
    <t>Journal of Peace Research</t>
  </si>
  <si>
    <t>Journal of Policy Analysis and Management</t>
  </si>
  <si>
    <t>Journal of Public Administration Research and Theory</t>
  </si>
  <si>
    <t>Journal of Public Policy</t>
  </si>
  <si>
    <t>Journal of Social Policy</t>
  </si>
  <si>
    <t>Leadership and Decision Making in International Relations</t>
  </si>
  <si>
    <t>Legislative Politics and Policy Making</t>
  </si>
  <si>
    <t>Legislative Studies Quarterly</t>
  </si>
  <si>
    <t>Local Government Studies</t>
  </si>
  <si>
    <t>Mediterranean Politics</t>
  </si>
  <si>
    <t>Michigan Studies in International Political Economy</t>
  </si>
  <si>
    <t>Michigan Studies in Political Analysis</t>
  </si>
  <si>
    <t>Millennium: Journal of International Studies</t>
  </si>
  <si>
    <t>New Comparative Politics</t>
  </si>
  <si>
    <t>New Left Review</t>
  </si>
  <si>
    <t>New Political Economy</t>
  </si>
  <si>
    <t>Oxford Political Philosophy</t>
  </si>
  <si>
    <t>Oxford Political Theory</t>
  </si>
  <si>
    <t>Oxford Studies in Democratization</t>
  </si>
  <si>
    <t>Palgrave Studies in European Union Politics</t>
  </si>
  <si>
    <t>Palgrave Studies in International Relations</t>
  </si>
  <si>
    <t>Party Politics</t>
  </si>
  <si>
    <t>Perspectives on Politics</t>
  </si>
  <si>
    <t>Policy and Politics</t>
  </si>
  <si>
    <t>Policy Sciences</t>
  </si>
  <si>
    <t>Policy Studies Journal</t>
  </si>
  <si>
    <t>Political Analysis</t>
  </si>
  <si>
    <t>Political Behavior</t>
  </si>
  <si>
    <t>Political Psychology</t>
  </si>
  <si>
    <t>Political Research Quarterly</t>
  </si>
  <si>
    <t>Political Science Research and Methods</t>
  </si>
  <si>
    <t>Political Studies</t>
  </si>
  <si>
    <t>Political Theory</t>
  </si>
  <si>
    <t>Politics &amp; Society</t>
  </si>
  <si>
    <t>Public Administration</t>
  </si>
  <si>
    <t>Public Administration Review</t>
  </si>
  <si>
    <t>Public Choice</t>
  </si>
  <si>
    <t xml:space="preserve">Public Management Review </t>
  </si>
  <si>
    <t>Public Opinion Quarterly</t>
  </si>
  <si>
    <t>Public Policy and Politics</t>
  </si>
  <si>
    <t>Public Policy and Social Welfare</t>
  </si>
  <si>
    <t>Quarterly Journal of Political Science</t>
  </si>
  <si>
    <t>Regulation &amp; Governance</t>
  </si>
  <si>
    <t>Review of International Political Economy</t>
  </si>
  <si>
    <t>Review of International Studies</t>
  </si>
  <si>
    <t>RIPE Series in Global Political Economy</t>
  </si>
  <si>
    <t>Routledge Research in Employment Relations</t>
  </si>
  <si>
    <t>Routledge Research in Environmental Politics</t>
  </si>
  <si>
    <t>Routledge Research on Social and Political Elites</t>
  </si>
  <si>
    <t>Routledge Siena Studies in Political Economy</t>
  </si>
  <si>
    <t>Routledge Studies in Comparative Political Thought</t>
  </si>
  <si>
    <t>Routledge Studies in Contemporary Political Economy</t>
  </si>
  <si>
    <t>Routledge Studies in Governance and Change in the Global Era</t>
  </si>
  <si>
    <t>Routledge Studies in Politics and International Communication</t>
  </si>
  <si>
    <t>Routledge Studies in Religion and Politics</t>
  </si>
  <si>
    <t>Routledge Studies on Democratising Europe</t>
  </si>
  <si>
    <t>Routledge Studies on History and Globalization</t>
  </si>
  <si>
    <t>Routledge/ECPR Studies in European Political Science</t>
  </si>
  <si>
    <t>Routledge/EUI Studies in the Political Economy of the Welfare State</t>
  </si>
  <si>
    <t>Routledge/RIPE Studies in Global Political Economy</t>
  </si>
  <si>
    <t>Routledge/UACES Contemporary European Studies</t>
  </si>
  <si>
    <t>Routledge/Warwick Studies in Globalisation</t>
  </si>
  <si>
    <t>Scandinavian Political Studies</t>
  </si>
  <si>
    <t>Security Dialogue</t>
  </si>
  <si>
    <t>Security Studies</t>
  </si>
  <si>
    <t>Social Policy and Administration</t>
  </si>
  <si>
    <t>Socio-Economic Review</t>
  </si>
  <si>
    <t>The Annals of American Academy of Political and Social Science</t>
  </si>
  <si>
    <t>The British Journal of Politics and International Relations</t>
  </si>
  <si>
    <t>The Journal of Law, Economics, &amp; Organization</t>
  </si>
  <si>
    <t>The Journal of Politics</t>
  </si>
  <si>
    <t>The New European Union Series</t>
  </si>
  <si>
    <t>The Review of International Organizations</t>
  </si>
  <si>
    <t>Themes in European Governance</t>
  </si>
  <si>
    <t>Theories in Institutional Design</t>
  </si>
  <si>
    <t>Welfare and Society</t>
  </si>
  <si>
    <t>West European Politics</t>
  </si>
  <si>
    <t>West European Politics Series</t>
  </si>
  <si>
    <t>Work and Welfare in Europe</t>
  </si>
  <si>
    <t>World Politics</t>
  </si>
  <si>
    <t>Acta Politologica</t>
  </si>
  <si>
    <t>Action Publique</t>
  </si>
  <si>
    <t>Adelphi Series</t>
  </si>
  <si>
    <t>Administrative Theory &amp; Praxis</t>
  </si>
  <si>
    <t>African Security Review</t>
  </si>
  <si>
    <t>Agenda</t>
  </si>
  <si>
    <t>Alternatives: Global, Local, Political</t>
  </si>
  <si>
    <t>American Politics Research</t>
  </si>
  <si>
    <t>Analyses of Social Issues and Public Policy</t>
  </si>
  <si>
    <t>Annual Review of Law and Social Science</t>
  </si>
  <si>
    <t>Annual Review of Political Science</t>
  </si>
  <si>
    <t>Anthem Politics and International Relations</t>
  </si>
  <si>
    <t>Anthem Studies in European Ideas and Identities</t>
  </si>
  <si>
    <t>Anthropology of Policy</t>
  </si>
  <si>
    <t>Applied Economic Perspectives and Policy</t>
  </si>
  <si>
    <t>Arbeit und Sozialer Schutz</t>
  </si>
  <si>
    <t>Arbeit, Bildung und Gesellschaft / Labour, Education and Society</t>
  </si>
  <si>
    <t>Arbejdsliv, social- og arbejdsmarkedspolitik</t>
  </si>
  <si>
    <t>Arbejdsmarkedet</t>
  </si>
  <si>
    <t>Asia Policy</t>
  </si>
  <si>
    <t>Asian Affairs: An American Review</t>
  </si>
  <si>
    <t>Asian American Policy Review</t>
  </si>
  <si>
    <t>Asian Journal of Political Science</t>
  </si>
  <si>
    <t>Asian Perspective</t>
  </si>
  <si>
    <t>Asian Politics and Policy</t>
  </si>
  <si>
    <t>Asian Social Work and Policy Review</t>
  </si>
  <si>
    <t>Association for the Study of Nationalities</t>
  </si>
  <si>
    <t>Astropolitics: the international journal of space politics and policy</t>
  </si>
  <si>
    <t>Australasian Dispute Resolution Journal</t>
  </si>
  <si>
    <t>Australian Journal of International Affairs</t>
  </si>
  <si>
    <t>Australian Journal of Labour Economics</t>
  </si>
  <si>
    <t>Australian Journal of Political Science</t>
  </si>
  <si>
    <t>Australian Journal of Public Administration</t>
  </si>
  <si>
    <t>Basic Income Studies</t>
  </si>
  <si>
    <t>Behavioral Sciences of Terrorism and Political Aggression</t>
  </si>
  <si>
    <t>Beijing Law Review</t>
  </si>
  <si>
    <t>Blätter für deutsche und internationale Politik</t>
  </si>
  <si>
    <t>British Politics</t>
  </si>
  <si>
    <t>Business and Public Policy</t>
  </si>
  <si>
    <t>Cahiers du CEVIPOF</t>
  </si>
  <si>
    <t>California Journal of Politics and Policy</t>
  </si>
  <si>
    <t>Cambridge Asia - Pacific Studies</t>
  </si>
  <si>
    <t>Cambridge Cultural Social Studies</t>
  </si>
  <si>
    <t>Cambridge Review of International Affairs</t>
  </si>
  <si>
    <t>Cambridge Studies in Contentious Politics</t>
  </si>
  <si>
    <t>Cambridge Studies in Social Theory, Religion and Politics</t>
  </si>
  <si>
    <t>Cambridge Textbooks in Comparative Politics</t>
  </si>
  <si>
    <t>Canadian Foreign Policy</t>
  </si>
  <si>
    <t>Canadian Journal of Political Science/Revue canadienne de science politique</t>
  </si>
  <si>
    <t>Canadian Political Science Review</t>
  </si>
  <si>
    <t>Canadian Public Administration</t>
  </si>
  <si>
    <t>Canadian Public Policy</t>
  </si>
  <si>
    <t>Central European Journal of International and Security Studies</t>
  </si>
  <si>
    <t>Central European Journal of Public Policy</t>
  </si>
  <si>
    <t>Central European Value Studies</t>
  </si>
  <si>
    <t>Challenges of Globalisation</t>
  </si>
  <si>
    <t>Challenges to Democracy in the 21st Century</t>
  </si>
  <si>
    <t>Chinese Law and Government</t>
  </si>
  <si>
    <t>Citizenship and Migration in the Americas</t>
  </si>
  <si>
    <t>Citizenship Studies</t>
  </si>
  <si>
    <t>Citizenship Teaching &amp; Learning</t>
  </si>
  <si>
    <t>Civil Wars</t>
  </si>
  <si>
    <t>Climate Policy</t>
  </si>
  <si>
    <t>Collection  : Contester</t>
  </si>
  <si>
    <t>Columbia Series on Religion and Politics</t>
  </si>
  <si>
    <t>Commonwealth and Comparative Politics</t>
  </si>
  <si>
    <t>Communist and Post-Communist Studies</t>
  </si>
  <si>
    <t xml:space="preserve">Comparative Migration Studies </t>
  </si>
  <si>
    <t>Comparative Policy Evaluation</t>
  </si>
  <si>
    <t>Comparative Strategy</t>
  </si>
  <si>
    <t>Conceptualising Comparative Politics</t>
  </si>
  <si>
    <t>Conflict Resolution Quarterly</t>
  </si>
  <si>
    <t>Conflict, Security &amp; Development</t>
  </si>
  <si>
    <t>Contemporary Anarchist Studies</t>
  </si>
  <si>
    <t>Contemporary Issues in Asia and the Pacific</t>
  </si>
  <si>
    <t>Contemporary Political Theory</t>
  </si>
  <si>
    <t>Contemporary Politics</t>
  </si>
  <si>
    <t>Contemporary Security Policy</t>
  </si>
  <si>
    <t>Contemporary Social Work Studies</t>
  </si>
  <si>
    <t>Controversies in Electoral Democracy and Representation</t>
  </si>
  <si>
    <t>Controversies in Inequality</t>
  </si>
  <si>
    <t>Corbett Centre for Maritime Policy Studies Series</t>
  </si>
  <si>
    <t>Cornell Studies in Security Affairs</t>
  </si>
  <si>
    <t>Creative Marxism series</t>
  </si>
  <si>
    <t>Crime Prevention And Security Management.</t>
  </si>
  <si>
    <t>Crisis in World Politics</t>
  </si>
  <si>
    <t>Critical Interventions: A Forum for Social Analysis</t>
  </si>
  <si>
    <t>Critical Perspectives On Work And Employment</t>
  </si>
  <si>
    <t>Critical Policy Studies</t>
  </si>
  <si>
    <t>Critical Review</t>
  </si>
  <si>
    <t>Critical Studies on Security</t>
  </si>
  <si>
    <t>Critical Studies on Terrorism</t>
  </si>
  <si>
    <t>Critical Theory and Contemporary Society</t>
  </si>
  <si>
    <t>Critique of Political Economy</t>
  </si>
  <si>
    <t>CSR, Sustainability, Ethics &amp; Governance</t>
  </si>
  <si>
    <t>Culture and Politics of Health Care Work</t>
  </si>
  <si>
    <t>Cultures &amp; Conflits</t>
  </si>
  <si>
    <t>Current History</t>
  </si>
  <si>
    <t>Current Politics and Economics of Europe</t>
  </si>
  <si>
    <t>Danish Foreign Policy Review</t>
  </si>
  <si>
    <t>Defence Studies</t>
  </si>
  <si>
    <t>Defense and Security Analysis</t>
  </si>
  <si>
    <t xml:space="preserve">Democracy, Citizenship, and Constitutionalism </t>
  </si>
  <si>
    <t>Democratic Theory: An Interdisciplinary Journal</t>
  </si>
  <si>
    <t>Démocratie et institutions parlementaires</t>
  </si>
  <si>
    <t>Democratization</t>
  </si>
  <si>
    <t>Democratization Studies</t>
  </si>
  <si>
    <t>Der Buerger im Staat</t>
  </si>
  <si>
    <t>Der moderne Staat. Zeitschrift für Public Policy, Recht und Management</t>
  </si>
  <si>
    <t>Der Oeffentliche Sektor</t>
  </si>
  <si>
    <t>Diplomacy &amp; Statecraft</t>
  </si>
  <si>
    <t>Dissent</t>
  </si>
  <si>
    <t>Dynamics Of Virtual Work</t>
  </si>
  <si>
    <t>Earthscan Science In Society Series</t>
  </si>
  <si>
    <t>Economic &amp; Political Weekly</t>
  </si>
  <si>
    <t>Economic and Industrial Democracy</t>
  </si>
  <si>
    <t>Economics &amp; Politics</t>
  </si>
  <si>
    <t>Edinburgh Studies in Anglo-American Relations</t>
  </si>
  <si>
    <t>Edingburgh Studies in World Ethics</t>
  </si>
  <si>
    <t>E-Journal of International and Comparative Labour Studies</t>
  </si>
  <si>
    <t>Election Law Journal</t>
  </si>
  <si>
    <t>Election Law, Politics, and Theory</t>
  </si>
  <si>
    <t>Electronic Government</t>
  </si>
  <si>
    <t>Electronic Green Journal</t>
  </si>
  <si>
    <t>Electronic Journal of e-Government</t>
  </si>
  <si>
    <t>Elemente der Politik</t>
  </si>
  <si>
    <t>Emerging Technologies, Ethics and International Affairs</t>
  </si>
  <si>
    <t>Emerging Technologies, Ethics And International Affairs</t>
  </si>
  <si>
    <t>Energiepolitik und Klimaschutz</t>
  </si>
  <si>
    <t>Energy and Environmental Policy</t>
  </si>
  <si>
    <t>Enquête d'ailleurs</t>
  </si>
  <si>
    <t>Entwicklungspolitik</t>
  </si>
  <si>
    <t>Erhverv og samfund</t>
  </si>
  <si>
    <t>Espaces Politiques</t>
  </si>
  <si>
    <t>Estudios Constitucionales</t>
  </si>
  <si>
    <t>Ethics &amp; Global Politics</t>
  </si>
  <si>
    <t>Ethics &amp; International Affairs</t>
  </si>
  <si>
    <t>Ethics and Global Politics</t>
  </si>
  <si>
    <t>Ethnicity and Democratic Governance Series</t>
  </si>
  <si>
    <t>Ethnography of Political Violence</t>
  </si>
  <si>
    <t>Europa Regional Perspectives</t>
  </si>
  <si>
    <t>Europe in Transition: The NYU European Studies Series</t>
  </si>
  <si>
    <t>European Conceptual History</t>
  </si>
  <si>
    <t>European Foreign Affairs Review</t>
  </si>
  <si>
    <t>European Journal of International Security</t>
  </si>
  <si>
    <t>European Journal of Political Theory</t>
  </si>
  <si>
    <t>European Policy Analysis</t>
  </si>
  <si>
    <t>European Political Science</t>
  </si>
  <si>
    <t>European Review</t>
  </si>
  <si>
    <t>European Review of International Studies</t>
  </si>
  <si>
    <t>European Security</t>
  </si>
  <si>
    <t>Explorations in Culture and International History</t>
  </si>
  <si>
    <t>Federalism Studies</t>
  </si>
  <si>
    <t>Forced Migration</t>
  </si>
  <si>
    <t>Foreign Affairs</t>
  </si>
  <si>
    <t>Foreign Policy Analysis</t>
  </si>
  <si>
    <t>Foro Internacional</t>
  </si>
  <si>
    <t>French Politics</t>
  </si>
  <si>
    <t>Frontiers of the Political: Doing International Politics</t>
  </si>
  <si>
    <t>Gender and Cultures Series</t>
  </si>
  <si>
    <t>Gender and Well-Being</t>
  </si>
  <si>
    <t>Gender in a Global/Local World</t>
  </si>
  <si>
    <t>Gender in Law, Culture, and Society</t>
  </si>
  <si>
    <t>Genders and Sexualities in the Social Sciences</t>
  </si>
  <si>
    <t>Genocide Studies International</t>
  </si>
  <si>
    <t>Genocide, Political Violence, Human Rights</t>
  </si>
  <si>
    <t>Georgia Journal of Public Policy</t>
  </si>
  <si>
    <t>German Policy Studies</t>
  </si>
  <si>
    <t>German Politics</t>
  </si>
  <si>
    <t>German Politics and Society</t>
  </si>
  <si>
    <t>Gerontologi</t>
  </si>
  <si>
    <t>Gesellschaft – Technik – Umwelt. Neue Folge</t>
  </si>
  <si>
    <t>Gestion des ressources humaines et Relations industrielles</t>
  </si>
  <si>
    <t>Gestión y Análisis de Políticas Públicas</t>
  </si>
  <si>
    <t>Global Affairs</t>
  </si>
  <si>
    <t>Global Change, Peace &amp; Security</t>
  </si>
  <si>
    <t>Global Discourse: An Interdisciplinary Journal of Current Affairs and Applied Contemporary Thought</t>
  </si>
  <si>
    <t>Global Environmental Governance</t>
  </si>
  <si>
    <t>Global Ethics and Politics Series</t>
  </si>
  <si>
    <t>Global Governance</t>
  </si>
  <si>
    <t>Global Governance: A Review of Multilateralism and International Organizations</t>
  </si>
  <si>
    <t>Global Institutions</t>
  </si>
  <si>
    <t>Global Issues</t>
  </si>
  <si>
    <t>Global Issues in Water Policy</t>
  </si>
  <si>
    <t>Global Policy</t>
  </si>
  <si>
    <t>Global Responsibility to Protect</t>
  </si>
  <si>
    <t>Global Security in a Changing World</t>
  </si>
  <si>
    <t>Global Social Policy</t>
  </si>
  <si>
    <t>Global Society</t>
  </si>
  <si>
    <t>Globalisation, Comparative Education and Policy Research</t>
  </si>
  <si>
    <t>Globalisation, Europe, Multilateralism</t>
  </si>
  <si>
    <t>Globalization and Governance</t>
  </si>
  <si>
    <t>Globalization and Welfare Series</t>
  </si>
  <si>
    <t>Gouvernance et gestion publique</t>
  </si>
  <si>
    <t>Governance and Limited Statehood</t>
  </si>
  <si>
    <t>Government Beyond the Centre</t>
  </si>
  <si>
    <t>Grundwissen Politik</t>
  </si>
  <si>
    <t>Guerres Mondiales et Conflits Contemporains</t>
  </si>
  <si>
    <t>Handbooks in Economics</t>
  </si>
  <si>
    <t>Handbooks of Research on International Political Economy series</t>
  </si>
  <si>
    <t>Harvard Journal of African American Public Policy</t>
  </si>
  <si>
    <t>Historical Materialism Book Series</t>
  </si>
  <si>
    <t>History of Political Thought</t>
  </si>
  <si>
    <t>Housing and Urban Policy Studies</t>
  </si>
  <si>
    <t>Immigrants and Minorities, Politics and Policy</t>
  </si>
  <si>
    <t>Indian Journal of Political Science</t>
  </si>
  <si>
    <t>Industrial Relations Journal</t>
  </si>
  <si>
    <t>Information Revolution and Global Politics</t>
  </si>
  <si>
    <t>Initiatives in Strategic Studies: Issues and Policies</t>
  </si>
  <si>
    <t>Innovation and the Public Sector</t>
  </si>
  <si>
    <t>Integration and Conflict Studies</t>
  </si>
  <si>
    <t>Intelligence and National Security</t>
  </si>
  <si>
    <t>Interdisciplinary Political Studies</t>
  </si>
  <si>
    <t>Interest Groups and Advocacy</t>
  </si>
  <si>
    <t>Internasjonal Politikk</t>
  </si>
  <si>
    <t>Internatioanal Review of Public Policy</t>
  </si>
  <si>
    <t>International Environmental Agreements: Politics, Law and Economics</t>
  </si>
  <si>
    <t>International Handbook of Gender Series</t>
  </si>
  <si>
    <t>International Interactions</t>
  </si>
  <si>
    <t>International Journal</t>
  </si>
  <si>
    <t>International Journal of Conflict and Violence</t>
  </si>
  <si>
    <t>International Journal of Conflict Management</t>
  </si>
  <si>
    <t>International Journal of Electronic Government Research</t>
  </si>
  <si>
    <t>International Journal of Intelligence and Counterintelligence</t>
  </si>
  <si>
    <t>International Journal of Migration and Border Studies</t>
  </si>
  <si>
    <t>International Journal of Peace Studies</t>
  </si>
  <si>
    <t>International Journal of Political Economy</t>
  </si>
  <si>
    <t>International Journal of Public Administration</t>
  </si>
  <si>
    <t>International Journal of Public Policy</t>
  </si>
  <si>
    <t>International Journal of Public Sector Management</t>
  </si>
  <si>
    <t>International Journal of Tourism Policy</t>
  </si>
  <si>
    <t>International Journal of Wellbeing</t>
  </si>
  <si>
    <t>International Negotiation</t>
  </si>
  <si>
    <t>International Negotiation Series</t>
  </si>
  <si>
    <t>International Papers in Political Economy</t>
  </si>
  <si>
    <t>International Peacekeeping</t>
  </si>
  <si>
    <t>International Perspectives on Equality, Diversity and Inclusion</t>
  </si>
  <si>
    <t>International Perspectives on Social Policy, Administration, and Practice</t>
  </si>
  <si>
    <t>International Policy Exchange</t>
  </si>
  <si>
    <t>International Political Economy Series</t>
  </si>
  <si>
    <t>International Political Theory</t>
  </si>
  <si>
    <t>International Politics</t>
  </si>
  <si>
    <t>International Public Management Review</t>
  </si>
  <si>
    <t>International Relations</t>
  </si>
  <si>
    <t>International Relations and Development Series</t>
  </si>
  <si>
    <t xml:space="preserve">International Relations for the 21st Century </t>
  </si>
  <si>
    <t>International Relations of the Asia-Pacific</t>
  </si>
  <si>
    <t>International Review of Administrative Sciences</t>
  </si>
  <si>
    <t>International Security Readers</t>
  </si>
  <si>
    <t>International Social Security Review</t>
  </si>
  <si>
    <t>International Studies</t>
  </si>
  <si>
    <t>International Studies in Human Rights</t>
  </si>
  <si>
    <t>International Studies in Social History</t>
  </si>
  <si>
    <t>International Studies Perspectives</t>
  </si>
  <si>
    <t>Internationale Politik</t>
  </si>
  <si>
    <t>Interrogations</t>
  </si>
  <si>
    <t>IntUne</t>
  </si>
  <si>
    <t>IPRI Journal</t>
  </si>
  <si>
    <t>Irish Political Studies</t>
  </si>
  <si>
    <t>Irish Studies in International Affairs</t>
  </si>
  <si>
    <t>Israel Affairs</t>
  </si>
  <si>
    <t>Issues &amp; Studies</t>
  </si>
  <si>
    <t>Jahrbuch Extremismus &amp; Demokratie</t>
  </si>
  <si>
    <t>Japanese Journal of Political Science</t>
  </si>
  <si>
    <t>Jebat</t>
  </si>
  <si>
    <t>Journal des Economistes et des Etudes Humaines</t>
  </si>
  <si>
    <t>Journal für Entwicklungspolitik</t>
  </si>
  <si>
    <t>Journal of African Elections</t>
  </si>
  <si>
    <t>Journal of Australian Political Economy</t>
  </si>
  <si>
    <t>Journal of Chinese Political Science</t>
  </si>
  <si>
    <t>Journal of Comparative Policy Analysis</t>
  </si>
  <si>
    <t>Journal of Comparative Politics</t>
  </si>
  <si>
    <t>Journal of Contemporary European Research</t>
  </si>
  <si>
    <t>Journal of Critical Globalisation Studies</t>
  </si>
  <si>
    <t xml:space="preserve">Journal of Cyber Policy </t>
  </si>
  <si>
    <t>Journal of Drug Policy Analysis</t>
  </si>
  <si>
    <t>Journal of Economic Policy Reform</t>
  </si>
  <si>
    <t>Journal of Educational Research &amp; Policy Studies</t>
  </si>
  <si>
    <t>Journal of European Integration</t>
  </si>
  <si>
    <t>Journal Of European Integration Special Issues</t>
  </si>
  <si>
    <t>Journal of European Public Policy Series</t>
  </si>
  <si>
    <t>Journal of Experimental Political Science</t>
  </si>
  <si>
    <t>Journal of Genocide Research</t>
  </si>
  <si>
    <t>Journal of Global Security Studies</t>
  </si>
  <si>
    <t>Journal of Happiness Studies</t>
  </si>
  <si>
    <t>Journal of Industrial Relations</t>
  </si>
  <si>
    <t>Journal of International Affairs</t>
  </si>
  <si>
    <t>Journal of International and Comparative Social Policy</t>
  </si>
  <si>
    <t>Journal of International Political Theory</t>
  </si>
  <si>
    <t>Journal of International Politics and Development</t>
  </si>
  <si>
    <t>Journal of International Relations and Development</t>
  </si>
  <si>
    <t>Journal of Intervention and Statebuilding</t>
  </si>
  <si>
    <t xml:space="preserve">Journal of Law and Social Sciences </t>
  </si>
  <si>
    <t>Journal of Narrative Politics</t>
  </si>
  <si>
    <t>Journal of Peacebuilding and Development</t>
  </si>
  <si>
    <t>Journal of Policy Practice</t>
  </si>
  <si>
    <t>Journal of Political Ecology</t>
  </si>
  <si>
    <t>Journal of Political Ideologies</t>
  </si>
  <si>
    <t>Journal of Political Science Education</t>
  </si>
  <si>
    <t>Journal of Population Ageing</t>
  </si>
  <si>
    <t>Journal of Public Affairs</t>
  </si>
  <si>
    <t>Journal of Public Affairs Education</t>
  </si>
  <si>
    <t>Journal of Public Deliberation</t>
  </si>
  <si>
    <t>Journal of Regional Security</t>
  </si>
  <si>
    <t>Journal of Social Research &amp; Policy</t>
  </si>
  <si>
    <t>Journal of Social, Political and Economic Studies</t>
  </si>
  <si>
    <t>Journal of Strategic Contracting and Negotiation</t>
  </si>
  <si>
    <t>Journal of Strategic Studies</t>
  </si>
  <si>
    <t>Journal of Theoretical Politics</t>
  </si>
  <si>
    <t xml:space="preserve">Justice, Power, and Politics </t>
  </si>
  <si>
    <t>Key Studies in Diplomacy</t>
  </si>
  <si>
    <t>Kommunal ekonomi och politik</t>
  </si>
  <si>
    <t>Konstantinos Karamanlis Institute for Democracy Series on European and International Affairs</t>
  </si>
  <si>
    <t>Korean Journal of Defense Analysis</t>
  </si>
  <si>
    <t>La Revue Internationale et Strategique</t>
  </si>
  <si>
    <t>Les Champs de Mars. Revue d'Études Stratégiques</t>
  </si>
  <si>
    <t>Leviathan: Berliner Zeitschrift für Sozialwissenschaft</t>
  </si>
  <si>
    <t>Lex localis - Journal of Local Self-Government</t>
  </si>
  <si>
    <t>Library of Essays in International Relations</t>
  </si>
  <si>
    <t>Library of Public Policy and Public Administration</t>
  </si>
  <si>
    <t>Life Sciences, Society and Policy</t>
  </si>
  <si>
    <t>LSE Monographs in International Studies</t>
  </si>
  <si>
    <t>Major Conservative and Libertarian Thinkers</t>
  </si>
  <si>
    <t>Making Sense of History</t>
  </si>
  <si>
    <t>Management in Education</t>
  </si>
  <si>
    <t>Markets and Governments in Economic History</t>
  </si>
  <si>
    <t>MatchPoints</t>
  </si>
  <si>
    <t>Media &amp; Public Affairs</t>
  </si>
  <si>
    <t>Metode &amp; Forskningsdesign</t>
  </si>
  <si>
    <t>Middle East Review of International Affairs</t>
  </si>
  <si>
    <t>Migration, Diasporas and Citizenship</t>
  </si>
  <si>
    <t>Migration, Minorities and Citizenship</t>
  </si>
  <si>
    <t>Modernisierung des öffentlichen Sektors</t>
  </si>
  <si>
    <t>Monash Studies in Global Movements Series</t>
  </si>
  <si>
    <t>Monthly review: an independent socialist magazine.</t>
  </si>
  <si>
    <t>Morality and Society Series</t>
  </si>
  <si>
    <t>Multilateralism and the United Nations System</t>
  </si>
  <si>
    <t>National and Ethnic Conflict in the 21st Century</t>
  </si>
  <si>
    <t>National Bureau of Economic Research Conference Report</t>
  </si>
  <si>
    <t>National Bureau of Economic Research Innovation Policy and the Economy</t>
  </si>
  <si>
    <t>National Bureau of Economic Research Studies in Income and Wealth</t>
  </si>
  <si>
    <t>National Civic Review</t>
  </si>
  <si>
    <t>National Cultivation of Culture</t>
  </si>
  <si>
    <t>Nationalism and Ethnic Politics</t>
  </si>
  <si>
    <t>New Balkan Politics</t>
  </si>
  <si>
    <t>New England Journal of Public Policy</t>
  </si>
  <si>
    <t>New Horizons in Leadership Studies series</t>
  </si>
  <si>
    <t>New Perspectives on Political Economy</t>
  </si>
  <si>
    <t>New Perspectives On The Right</t>
  </si>
  <si>
    <t>New Perspectives Quarterly</t>
  </si>
  <si>
    <t>New Political Science</t>
  </si>
  <si>
    <t>New Zealand Journal of Employment Relations</t>
  </si>
  <si>
    <t>NISPAcee Journal of Public Administration and Policy</t>
  </si>
  <si>
    <t>Non-Governmental Public Action</t>
  </si>
  <si>
    <t>Nonprofit Policy Forum</t>
  </si>
  <si>
    <t>Non-State Actors in International Law, Politics and Governance Series</t>
  </si>
  <si>
    <t>Nordiques</t>
  </si>
  <si>
    <t>Nordisk Administrativt Tidsskrift</t>
  </si>
  <si>
    <t>Nordiske Organisationsstudier</t>
  </si>
  <si>
    <t>Norsk Statsvitenskapelig Tidsskrift</t>
  </si>
  <si>
    <t xml:space="preserve">Oldenbourg’s Politics, Philosophy and Economics </t>
  </si>
  <si>
    <t>Open Journal of Political Science</t>
  </si>
  <si>
    <t>Orient: Deutsche Zeitschrift für Politik, Wirtschaft und Kultur des Orients - German Journal for Politics, Economics and Culture of the Middle East</t>
  </si>
  <si>
    <t>Pacific Focus</t>
  </si>
  <si>
    <t>Palgrave Politics of Identity and Citizenship Series</t>
  </si>
  <si>
    <t>Palgrave Studies In European Political Sociology</t>
  </si>
  <si>
    <t>Palgrave Studies In Global Citizenship Education And Democracy</t>
  </si>
  <si>
    <t>Paradigms from Asian Politics</t>
  </si>
  <si>
    <t>Parliamentary Affairs</t>
  </si>
  <si>
    <t>Peace &amp; Change</t>
  </si>
  <si>
    <t>Peace and Conflict Studies</t>
  </si>
  <si>
    <t>Peace Research: The Canadian Journal of Peace and Conflict Studies</t>
  </si>
  <si>
    <t>Peace Review</t>
  </si>
  <si>
    <t>Peacebuilding</t>
  </si>
  <si>
    <t>Peninsula</t>
  </si>
  <si>
    <t>Pennsylvania Studies in Human Rights</t>
  </si>
  <si>
    <t>Perspectives in Politics</t>
  </si>
  <si>
    <t>Perspectives on Democratic Practice</t>
  </si>
  <si>
    <t>Perspectives on Global Development and Technology</t>
  </si>
  <si>
    <t>Perspectives on Political Science</t>
  </si>
  <si>
    <t>Perspectives on Public Management and Governance</t>
  </si>
  <si>
    <t>Perspectives on Rural Policy and Planning</t>
  </si>
  <si>
    <t>Perspectives on Terrorism</t>
  </si>
  <si>
    <t>Perspektiven der Sozialpolitik</t>
  </si>
  <si>
    <t>Perspektiven der Wirtschaftspolitik</t>
  </si>
  <si>
    <t>Policy and Politics in the Twenty-First Century series</t>
  </si>
  <si>
    <t>Policy and Society</t>
  </si>
  <si>
    <t>Policy Perspectives</t>
  </si>
  <si>
    <t>Policy Studies</t>
  </si>
  <si>
    <t>Politica - Tidsskrift for politisk videnskab</t>
  </si>
  <si>
    <t>Politica y Cultura</t>
  </si>
  <si>
    <t>Politica y Gobierno</t>
  </si>
  <si>
    <t>Political Economy of Institutions and Decisions</t>
  </si>
  <si>
    <t>Political Research Exchange</t>
  </si>
  <si>
    <t>Political Science</t>
  </si>
  <si>
    <t>Political Science Quarterly</t>
  </si>
  <si>
    <t>Political Studies Review</t>
  </si>
  <si>
    <t>Politiche Sociali</t>
  </si>
  <si>
    <t>Politics</t>
  </si>
  <si>
    <t>Politics &amp; Policy</t>
  </si>
  <si>
    <t>Politics and Governance</t>
  </si>
  <si>
    <t>Politics and Religion</t>
  </si>
  <si>
    <t>Politics and the Life Sciences</t>
  </si>
  <si>
    <t>Politics in Central Europe</t>
  </si>
  <si>
    <t>Politics of Race and Ethnicity</t>
  </si>
  <si>
    <t>Politics, Groups and Identities</t>
  </si>
  <si>
    <t>Politics, Institutions, and Public Policy in America</t>
  </si>
  <si>
    <t>Politics, Religion &amp; Ideology</t>
  </si>
  <si>
    <t>Politik</t>
  </si>
  <si>
    <t>Politik in sozialer und ökologischer Verantwortung</t>
  </si>
  <si>
    <t>Politik und Religion</t>
  </si>
  <si>
    <t>Politikatudomanyi Szemle</t>
  </si>
  <si>
    <t>Politikon</t>
  </si>
  <si>
    <t>Politikwissenschaftliche Paperbacks</t>
  </si>
  <si>
    <t>Politikwissenschaftliche Theorie</t>
  </si>
  <si>
    <t>Politique Africaine</t>
  </si>
  <si>
    <t>Politique éclatée</t>
  </si>
  <si>
    <t>Politique Etrangere</t>
  </si>
  <si>
    <t>Politique européenne</t>
  </si>
  <si>
    <t>Politische Ideen</t>
  </si>
  <si>
    <t>Politische Vierteljahresschrift</t>
  </si>
  <si>
    <t>Politologicka Revue</t>
  </si>
  <si>
    <t>Politologicky Casopis</t>
  </si>
  <si>
    <t>Polity</t>
  </si>
  <si>
    <t>Postdisciplinary Studies In Discourse</t>
  </si>
  <si>
    <t>Post-Soviet Affairs</t>
  </si>
  <si>
    <t>Post-Soviet Politics</t>
  </si>
  <si>
    <t>Princeton Studies in American Politics</t>
  </si>
  <si>
    <t>Problems of International Politics</t>
  </si>
  <si>
    <t>PS: Political Science &amp; Politics</t>
  </si>
  <si>
    <t>Public Administration and Development</t>
  </si>
  <si>
    <t>Public Administration and Policy</t>
  </si>
  <si>
    <t>Public Administration Quarterly</t>
  </si>
  <si>
    <t>Public Affairs Quarterly</t>
  </si>
  <si>
    <t>Public Budgeting and Finance</t>
  </si>
  <si>
    <t>Public Governance Research</t>
  </si>
  <si>
    <t>Public Management and Change series</t>
  </si>
  <si>
    <t>Public Money and Management</t>
  </si>
  <si>
    <t>Public Organization Review</t>
  </si>
  <si>
    <t>Public Performance and Management Review</t>
  </si>
  <si>
    <t>Public Policy and Administration</t>
  </si>
  <si>
    <t>Public Sector Organizations</t>
  </si>
  <si>
    <t>Publius: The Journal of Federalism</t>
  </si>
  <si>
    <t>Relations industrielles/Industrial Relations</t>
  </si>
  <si>
    <t>Relations Internationales</t>
  </si>
  <si>
    <t>Religion and Postmodernism</t>
  </si>
  <si>
    <t>Religion Culture and Public Life</t>
  </si>
  <si>
    <t>Representation</t>
  </si>
  <si>
    <t>Research &amp; Politics</t>
  </si>
  <si>
    <t>Research in Migration and Ethnic Relations Series</t>
  </si>
  <si>
    <t>Research in Social Movements, Conflicts and Change</t>
  </si>
  <si>
    <t>Rethinking Asia and International Relations</t>
  </si>
  <si>
    <t>Rethinking Globalizations</t>
  </si>
  <si>
    <t>Rethinking Political and International Theory</t>
  </si>
  <si>
    <t>Review of Policy Research</t>
  </si>
  <si>
    <t>Revista Brasileira de Política Internacional</t>
  </si>
  <si>
    <t>Revista Brasileira de Politicas Publicas</t>
  </si>
  <si>
    <t>Revista de Ciencia Politica</t>
  </si>
  <si>
    <t>Revista Uruguaya de Ciencia Politica</t>
  </si>
  <si>
    <t>Revue Francaise de Science Politique</t>
  </si>
  <si>
    <t>Revue Francaise des Affaires Sociales</t>
  </si>
  <si>
    <t>Rhetoric and Democratic Deliberation</t>
  </si>
  <si>
    <t>Rivista Italiana di Scienza Politica</t>
  </si>
  <si>
    <t>Romanian Journal of European Affairs</t>
  </si>
  <si>
    <t>Routledge Advances In European Politics</t>
  </si>
  <si>
    <t>Routledge Advances In International Relations And Global Politics</t>
  </si>
  <si>
    <t>Routledge Critical Security Studies</t>
  </si>
  <si>
    <t>Routledge Critical Studies In Public Management</t>
  </si>
  <si>
    <t>Routledge Global Security Studies</t>
  </si>
  <si>
    <t>Routledge Humanitarian Studies</t>
  </si>
  <si>
    <t>Routledge Innovators In Political Theory</t>
  </si>
  <si>
    <t>Routledge New Security Studies</t>
  </si>
  <si>
    <t>Routledge Research in Comparative Politics</t>
  </si>
  <si>
    <t>Routledge Series on Global Order Studies</t>
  </si>
  <si>
    <t>Routledge Series On Global Order Studies</t>
  </si>
  <si>
    <t>Routledge Studies In Biodiversity Politics And Management</t>
  </si>
  <si>
    <t>Routledge Studies In Conflict, Security And Technology</t>
  </si>
  <si>
    <t>Routledge Studies in Employment and Work Relations in Context</t>
  </si>
  <si>
    <t>Routledge Studies In European Security And Strategy</t>
  </si>
  <si>
    <t>Routledge Studies In Extremism And Democracy</t>
  </si>
  <si>
    <t>Routledge Studies In International Political Sociology</t>
  </si>
  <si>
    <t>Routledge Studies in Management, Organizations and Society</t>
  </si>
  <si>
    <t>Routledge Studies In Science, Technology And Society</t>
  </si>
  <si>
    <t>Routledge Studies Om Peace And Conflict Resolution</t>
  </si>
  <si>
    <t>Routledge Studies On Government And The European Union</t>
  </si>
  <si>
    <t>Routlege Crititcal Studies In Public Management</t>
  </si>
  <si>
    <t>Samfundsvidenskabernes metoder</t>
  </si>
  <si>
    <t>Samfundsøkonomen</t>
  </si>
  <si>
    <t>Scandinavian Journal of Military Studies</t>
  </si>
  <si>
    <t>Scandinavian Journal of Public Administration</t>
  </si>
  <si>
    <t>Schmollers Jahrbuch</t>
  </si>
  <si>
    <t>Science &amp; Global Security</t>
  </si>
  <si>
    <t>Science &amp; Society</t>
  </si>
  <si>
    <t>Sciences de l'administration</t>
  </si>
  <si>
    <t>Security and Human Rights</t>
  </si>
  <si>
    <t>Security Science and Technology</t>
  </si>
  <si>
    <t>Sistema</t>
  </si>
  <si>
    <t>Slovenská Politologická Revue</t>
  </si>
  <si>
    <t>Small Wars and Insurgencies</t>
  </si>
  <si>
    <t>Social And Political Power</t>
  </si>
  <si>
    <t>Social Logic of Politics</t>
  </si>
  <si>
    <t>Social Movements, Protest, and Contention Series</t>
  </si>
  <si>
    <t>Social Policy and Society</t>
  </si>
  <si>
    <t>Social Science Information</t>
  </si>
  <si>
    <t>Social Security Bulletin</t>
  </si>
  <si>
    <t>Socialism and Democracy</t>
  </si>
  <si>
    <t>Society and Economy</t>
  </si>
  <si>
    <t>Soundings</t>
  </si>
  <si>
    <t>South African Journal of Labour Relations</t>
  </si>
  <si>
    <t>South European Society and Politics</t>
  </si>
  <si>
    <t>Sozialer Fortschritt</t>
  </si>
  <si>
    <t>Soziologie der Politiken</t>
  </si>
  <si>
    <t>Space and Polity</t>
  </si>
  <si>
    <t>Space Policy</t>
  </si>
  <si>
    <t>Spektrum Politikwissenschaft</t>
  </si>
  <si>
    <t>SPSR - Swiss Political Science Review</t>
  </si>
  <si>
    <t>Stanford Studies in Comparative Race and Ethnicity</t>
  </si>
  <si>
    <t>Stanford Studies in Human Rights</t>
  </si>
  <si>
    <t>State Politics &amp; Policy Quarterly</t>
  </si>
  <si>
    <t>Statistics, Politics, and Policy</t>
  </si>
  <si>
    <t>Statskundskabens Klassikere</t>
  </si>
  <si>
    <t>Statsvetenskaplig Tidskrift</t>
  </si>
  <si>
    <t>Strategic Analysis</t>
  </si>
  <si>
    <t>Strategic Survey</t>
  </si>
  <si>
    <t>Strategies for Social Enquiry</t>
  </si>
  <si>
    <t>Structural Analysis in the Social Sciences</t>
  </si>
  <si>
    <t>Studia Diplomatica</t>
  </si>
  <si>
    <t>Studier i dansk politik</t>
  </si>
  <si>
    <t>Studier i europæisk samarbejde</t>
  </si>
  <si>
    <t>Studier i global politik og sikkerhed</t>
  </si>
  <si>
    <t>Studies in American Political Development</t>
  </si>
  <si>
    <t>Studies in Conflict &amp; Terrorism</t>
  </si>
  <si>
    <t>Studies in Diplomacy and International Relations</t>
  </si>
  <si>
    <t>Studies in E U External Relations</t>
  </si>
  <si>
    <t>Studies in Global Justice and Human Rights</t>
  </si>
  <si>
    <t>Studies in Industrial Relations</t>
  </si>
  <si>
    <t>Studies in International Institutional Dynamics</t>
  </si>
  <si>
    <t>Studies in Modernity and National Identity</t>
  </si>
  <si>
    <t>Studies in Political Economy</t>
  </si>
  <si>
    <t>Studies in Social Inequality</t>
  </si>
  <si>
    <t>Studies In The Political Economy Of Public Policy</t>
  </si>
  <si>
    <t>Studies of Transition States and Societies</t>
  </si>
  <si>
    <t>Survival</t>
  </si>
  <si>
    <t>Swiss Political Science Review</t>
  </si>
  <si>
    <t>Taking on the Political</t>
  </si>
  <si>
    <t>Telecommunications Policy</t>
  </si>
  <si>
    <t>Teorija in Praksa</t>
  </si>
  <si>
    <t>Territory, Politics, Governance</t>
  </si>
  <si>
    <t>Terrorism and Political Violence</t>
  </si>
  <si>
    <t>The Cato Journal</t>
  </si>
  <si>
    <t>The Chinese Journal of Global Governance</t>
  </si>
  <si>
    <t>The Chinese Journal of International Politics</t>
  </si>
  <si>
    <t>The Cyprus Review</t>
  </si>
  <si>
    <t>The Economic and Labour Relations Review</t>
  </si>
  <si>
    <t>The Ethnography Of Political Violence</t>
  </si>
  <si>
    <t>The European Union in International Affairs</t>
  </si>
  <si>
    <t>The European Union Series</t>
  </si>
  <si>
    <t>The Hague Journal of Diplomacy</t>
  </si>
  <si>
    <t>The Independent Review: a journal of political economy</t>
  </si>
  <si>
    <t>The Indian Journal of Industrial Relations</t>
  </si>
  <si>
    <t>The International Journal of Leadership in Public Service</t>
  </si>
  <si>
    <t>The International Political Economy of New Regionalisms Series</t>
  </si>
  <si>
    <t>The International Spectator: Italian Journal of International Affairs</t>
  </si>
  <si>
    <t>The IUP Journal of International Relations</t>
  </si>
  <si>
    <t>The Journal of Legislative Studies</t>
  </si>
  <si>
    <t>The Journal of Poverty and Social Justice</t>
  </si>
  <si>
    <t>The Journal of Regional Analysis &amp; Policy</t>
  </si>
  <si>
    <t>The Journal of Slavic Military Studies</t>
  </si>
  <si>
    <t>The Library of Contemporary Essays in Political Theory and Public Policy</t>
  </si>
  <si>
    <t>The Military Balance</t>
  </si>
  <si>
    <t>The Nation</t>
  </si>
  <si>
    <t>The National Interest</t>
  </si>
  <si>
    <t>The New Republic</t>
  </si>
  <si>
    <t>The Nonproliferation Review</t>
  </si>
  <si>
    <t>The Political Quarterly</t>
  </si>
  <si>
    <t>The Public Manager</t>
  </si>
  <si>
    <t>The Review of Politics</t>
  </si>
  <si>
    <t>The Round Table</t>
  </si>
  <si>
    <t>The S A I S Review of International Affairs</t>
  </si>
  <si>
    <t>The Sciences Po Series in International Relations and Political Economy</t>
  </si>
  <si>
    <t>Thinking Politics</t>
  </si>
  <si>
    <t>Tidsskrift for Samfunnsforskning</t>
  </si>
  <si>
    <t>Tidsskrift for Velferdsforskning</t>
  </si>
  <si>
    <t>Totalitarismus und Demokratie</t>
  </si>
  <si>
    <t>Tourism Social Science Series</t>
  </si>
  <si>
    <t>Transfer: European review of Labour and Research</t>
  </si>
  <si>
    <t>Transformations of the State</t>
  </si>
  <si>
    <t>Transforming Environmental Politics and Policy</t>
  </si>
  <si>
    <t>Transforming Government</t>
  </si>
  <si>
    <t>Transition Studies Review</t>
  </si>
  <si>
    <t>Transnational Crime, Crime Control and Security</t>
  </si>
  <si>
    <t>Transylvanian Review of Administrative Sciences</t>
  </si>
  <si>
    <t>Travail social</t>
  </si>
  <si>
    <t>Trends In European IR Theory</t>
  </si>
  <si>
    <t>Uluslararasi Hukuk ve Politika</t>
  </si>
  <si>
    <t>Understanding Governance</t>
  </si>
  <si>
    <t>UNISCI Discussion Papers</t>
  </si>
  <si>
    <t>University Center for Human Values Series</t>
  </si>
  <si>
    <t>Velfærdsstat og velfærdssamfund</t>
  </si>
  <si>
    <t>VOLUNTAS: International Journal of Voluntary and Nonprofit Organizations</t>
  </si>
  <si>
    <t>Vælgere, holdningsdannelse og politik</t>
  </si>
  <si>
    <t>Wiley Interdisciplinary Reviews: Climate Change</t>
  </si>
  <si>
    <t>Women and Politics in the Pacific Northwest</t>
  </si>
  <si>
    <t>Work Organisation, Labour &amp; Globalisation</t>
  </si>
  <si>
    <t>World Policy Journal</t>
  </si>
  <si>
    <t>World Political Science</t>
  </si>
  <si>
    <t>World Review of Political Economy</t>
  </si>
  <si>
    <t>Worlding Beyond the West</t>
  </si>
  <si>
    <t>Zeitschrift fuer Internationale Beziehungen</t>
  </si>
  <si>
    <t>Zeitschrift fuer Parlamentsfragen</t>
  </si>
  <si>
    <t>Zeitschrift fuer Politik</t>
  </si>
  <si>
    <t>Zeitschrift fuer Politikwissenschaft</t>
  </si>
  <si>
    <t>Zeitschrift fuer Vergleichende Politikwissenschaft</t>
  </si>
  <si>
    <t>Zeitschrift für Politikberatung</t>
  </si>
  <si>
    <t>Zeitschrift für Staats- und Europawissenschaften / Journal for Comparative Government and European Policy</t>
  </si>
  <si>
    <t>Ældre og Samfund</t>
  </si>
  <si>
    <t>Økonomi og Politik</t>
  </si>
  <si>
    <t>Österreichische Zeitschrift für Politikwissenschaft</t>
  </si>
  <si>
    <t>Geografi og Udviklingsstudier</t>
  </si>
  <si>
    <t>African Affairs</t>
  </si>
  <si>
    <t>Agricultural Systems</t>
  </si>
  <si>
    <t>Annals of the Association of American Geographers</t>
  </si>
  <si>
    <t>Antipode</t>
  </si>
  <si>
    <t>Applied Geography</t>
  </si>
  <si>
    <t>Climate and Development</t>
  </si>
  <si>
    <t>Cultural Geographies</t>
  </si>
  <si>
    <t>Current Opinion in Environmental Sustainability</t>
  </si>
  <si>
    <t>Demography</t>
  </si>
  <si>
    <t>Development and Change</t>
  </si>
  <si>
    <t>Development Policy Review</t>
  </si>
  <si>
    <t>Economic Geography</t>
  </si>
  <si>
    <t>Environment and Planning A</t>
  </si>
  <si>
    <t>Environment and Planning D: Society and Space</t>
  </si>
  <si>
    <t>European Urban and Regional Studies</t>
  </si>
  <si>
    <t>Food Policy</t>
  </si>
  <si>
    <t>Geoforum</t>
  </si>
  <si>
    <t>Global Environmental Change</t>
  </si>
  <si>
    <t>Global Networks: A Journal of Transnational Affairs</t>
  </si>
  <si>
    <t>Habitat International</t>
  </si>
  <si>
    <t>International Journal of Digital Earth</t>
  </si>
  <si>
    <t>International Journal of Urban and Regional Research</t>
  </si>
  <si>
    <t>Journal of Economic Geography</t>
  </si>
  <si>
    <t>Journal of Environmental Informatics</t>
  </si>
  <si>
    <t>Journal of Rural Studies</t>
  </si>
  <si>
    <t>Political Geography</t>
  </si>
  <si>
    <t>Progress in Human Geography</t>
  </si>
  <si>
    <t>Progress in Planning</t>
  </si>
  <si>
    <t>Regional Studies</t>
  </si>
  <si>
    <t>Resources Policy</t>
  </si>
  <si>
    <t>Social &amp; Cultural Geography</t>
  </si>
  <si>
    <t>The Journal of Development Studies</t>
  </si>
  <si>
    <t>Transactions of the Institute of British Geographers</t>
  </si>
  <si>
    <t>Urban Geography</t>
  </si>
  <si>
    <t>Urban Studies</t>
  </si>
  <si>
    <t>World Development</t>
  </si>
  <si>
    <t>ACME: An International Journal for Critical Geographies</t>
  </si>
  <si>
    <t>Advances in Geographical and Environmental Sciences</t>
  </si>
  <si>
    <t>Africa Development</t>
  </si>
  <si>
    <t>Africa Today</t>
  </si>
  <si>
    <t>African Development Review</t>
  </si>
  <si>
    <t>African Journal of AIDS Research</t>
  </si>
  <si>
    <t>African Journal of Environmental Assessment and Management</t>
  </si>
  <si>
    <t>African Population Studies</t>
  </si>
  <si>
    <t xml:space="preserve">Almatourism - Journal of Tourism, Culture and Territorial Development </t>
  </si>
  <si>
    <t>Amerasia Journal</t>
  </si>
  <si>
    <t>Annales de Geographie</t>
  </si>
  <si>
    <t>Area</t>
  </si>
  <si>
    <t>Asia Pacific Viewpoint</t>
  </si>
  <si>
    <t>Asian Development Review</t>
  </si>
  <si>
    <t>Australian Geographer</t>
  </si>
  <si>
    <t>Belgeo</t>
  </si>
  <si>
    <t>Bulletin of Geography. Socio-Economic Series</t>
  </si>
  <si>
    <t>Cahiers de Geographie du Quebec</t>
  </si>
  <si>
    <t>Canadian Journal of Development Studies/Revue canadienne d'études du développement</t>
  </si>
  <si>
    <t>Canadian Journal of Urban Research</t>
  </si>
  <si>
    <t>Children's Geographies</t>
  </si>
  <si>
    <t>Community Development Journal</t>
  </si>
  <si>
    <t>Contemporary Journal of African Studies (CJAS)</t>
  </si>
  <si>
    <t>Current Issues in Tourism</t>
  </si>
  <si>
    <t>CyberGEO</t>
  </si>
  <si>
    <t>Development</t>
  </si>
  <si>
    <t>Development in Practice</t>
  </si>
  <si>
    <t>Development Southern Africa</t>
  </si>
  <si>
    <t>Dialogues in Human Geography</t>
  </si>
  <si>
    <t>Disaster Prevention and Management</t>
  </si>
  <si>
    <t>Disasters</t>
  </si>
  <si>
    <t>Dve Domovini</t>
  </si>
  <si>
    <t>East European Jewish Affairs</t>
  </si>
  <si>
    <t>Economic Development and Cultural Change</t>
  </si>
  <si>
    <t>Environment and Urbanization</t>
  </si>
  <si>
    <t>Environment, Development and Sustainability</t>
  </si>
  <si>
    <t>Erdkunde</t>
  </si>
  <si>
    <t>Eurasian Geography and Economics</t>
  </si>
  <si>
    <t>EURE: Revista Latinoamericana de Estudios Urbano Regionales</t>
  </si>
  <si>
    <t>European Journal of Population</t>
  </si>
  <si>
    <t>European Journal of Spatial Development</t>
  </si>
  <si>
    <t>European Planning Studies</t>
  </si>
  <si>
    <t>European Spatial Research and Policy</t>
  </si>
  <si>
    <t>Fennia</t>
  </si>
  <si>
    <t>Food Chain</t>
  </si>
  <si>
    <t>Forum for Development Studies</t>
  </si>
  <si>
    <t>Gender and Development</t>
  </si>
  <si>
    <t>Gender, Place &amp; Culture: A journal of feminist geography</t>
  </si>
  <si>
    <t>Geografisk Tidsskrift</t>
  </si>
  <si>
    <t>Geografiska Annaler. Series B. Human Geography</t>
  </si>
  <si>
    <t>Geographica Helvetica</t>
  </si>
  <si>
    <t>Geographical Analysis</t>
  </si>
  <si>
    <t>Geographical Research</t>
  </si>
  <si>
    <t>Geographical Review</t>
  </si>
  <si>
    <t>Geographie, Economie, Societe</t>
  </si>
  <si>
    <t>Geographische Zeitschrift</t>
  </si>
  <si>
    <t>Geography</t>
  </si>
  <si>
    <t>Geography Compass</t>
  </si>
  <si>
    <t>GeoHumanities</t>
  </si>
  <si>
    <t>GeoJournal</t>
  </si>
  <si>
    <t>Geojournal Library</t>
  </si>
  <si>
    <t>Geopolitics</t>
  </si>
  <si>
    <t>Global Food Security</t>
  </si>
  <si>
    <t>Great Plains Quarterly</t>
  </si>
  <si>
    <t>Growth and Change</t>
  </si>
  <si>
    <t>History in Africa</t>
  </si>
  <si>
    <t>Human Affairs</t>
  </si>
  <si>
    <t>Human Geography</t>
  </si>
  <si>
    <t>Humanity: An International Journal of Human Rights, Humanitarianism, and Development</t>
  </si>
  <si>
    <t>IDS Bulletin</t>
  </si>
  <si>
    <t>India Review</t>
  </si>
  <si>
    <t>Innovation and Development</t>
  </si>
  <si>
    <t>International Development Planning Review</t>
  </si>
  <si>
    <t>International Journal of Asia Pacific Studies</t>
  </si>
  <si>
    <t>International Journal of Climate Change Strategies and Management</t>
  </si>
  <si>
    <t>International Journal of Disaster Risk Reduction</t>
  </si>
  <si>
    <t>International Journal of Hospitality and Tourism Administration</t>
  </si>
  <si>
    <t>International Journal of Population Geography</t>
  </si>
  <si>
    <t>International Journal of Rural Management</t>
  </si>
  <si>
    <t>International Journal of Spatial Data Infrastructures Research</t>
  </si>
  <si>
    <t>International Journal of Sustainable Development</t>
  </si>
  <si>
    <t>International Journal of Sustainable Development and World Ecology</t>
  </si>
  <si>
    <t>International Journal of Technological Learning, Innovation and Development</t>
  </si>
  <si>
    <t>International Journal of Technology and Globalisation</t>
  </si>
  <si>
    <t>International Journal of the Commons</t>
  </si>
  <si>
    <t>International Journal of Urban Sustainable Development</t>
  </si>
  <si>
    <t>International Journal of Wildland Fire</t>
  </si>
  <si>
    <t>International Migration</t>
  </si>
  <si>
    <t>International Regional Science Review</t>
  </si>
  <si>
    <t>Irish Geography</t>
  </si>
  <si>
    <t>Island Studies Journal</t>
  </si>
  <si>
    <t>ISPRS International Journal of Geo-Information</t>
  </si>
  <si>
    <t>Journal of Arid Environments</t>
  </si>
  <si>
    <t>Journal of Australian Studies</t>
  </si>
  <si>
    <t>Journal of Borderlands Studies</t>
  </si>
  <si>
    <t>Journal of Current Southeast Asian Affairs</t>
  </si>
  <si>
    <t>Journal of Developing Areas</t>
  </si>
  <si>
    <t>Journal of Developing Societies</t>
  </si>
  <si>
    <t>Journal of Ecotourism</t>
  </si>
  <si>
    <t>Journal of Environmental Planning and Management</t>
  </si>
  <si>
    <t>Journal of Geographic Information System</t>
  </si>
  <si>
    <t>Journal of Geography</t>
  </si>
  <si>
    <t>Journal of Historical Geography</t>
  </si>
  <si>
    <t>Journal of Human Development and Capabilities</t>
  </si>
  <si>
    <t>Journal of International Development</t>
  </si>
  <si>
    <t>Journal of Latin American Geography</t>
  </si>
  <si>
    <t>Journal of Natal and Zulu History</t>
  </si>
  <si>
    <t>Journal of Northern Studies</t>
  </si>
  <si>
    <t>Journal of Planning Literature</t>
  </si>
  <si>
    <t>Journal of Regional Science</t>
  </si>
  <si>
    <t>Journal of Social Entrepreneurship</t>
  </si>
  <si>
    <t>Journal of South Asian Development</t>
  </si>
  <si>
    <t>Journal of Spatial Information Science</t>
  </si>
  <si>
    <t>Journal of Spatial Science</t>
  </si>
  <si>
    <t>Journal of Sustainable Tourism</t>
  </si>
  <si>
    <t>Journal of the American Planning Association</t>
  </si>
  <si>
    <t>Journal of Urban Affairs</t>
  </si>
  <si>
    <t>Journal of Urban Cultural Studies</t>
  </si>
  <si>
    <t>Kart og Plan</t>
  </si>
  <si>
    <t>Land Degradation &amp; Development</t>
  </si>
  <si>
    <t>Land Tenure Journal</t>
  </si>
  <si>
    <t>Lecture notes in geoinformation and Cartography</t>
  </si>
  <si>
    <t>Literary Geographies</t>
  </si>
  <si>
    <t>Managing Sport and Leisure</t>
  </si>
  <si>
    <t>Maritime Policy and Management</t>
  </si>
  <si>
    <t>Mediterranean Quarterly</t>
  </si>
  <si>
    <t>Mediterranean Studies</t>
  </si>
  <si>
    <t>Migration Studies</t>
  </si>
  <si>
    <t>Mitigation and Adaptation Strategies for Global Change</t>
  </si>
  <si>
    <t>Mitteilungen der Österreichischen Geographischen Gesellschaft</t>
  </si>
  <si>
    <t>Mondes en Developpement</t>
  </si>
  <si>
    <t>New Zealand Geographer</t>
  </si>
  <si>
    <t>Nordic Journal of African Studies</t>
  </si>
  <si>
    <t>Norsk Geografisk Tidsskrift</t>
  </si>
  <si>
    <t>Oxford Development Studies</t>
  </si>
  <si>
    <t>Pacific Science</t>
  </si>
  <si>
    <t>Papers in Regional Science</t>
  </si>
  <si>
    <t>Photogrammetric Journal of Finland</t>
  </si>
  <si>
    <t>Photogrammetrie, Fernerkundung, Geoinformation</t>
  </si>
  <si>
    <t>Polar Geography</t>
  </si>
  <si>
    <t>Population</t>
  </si>
  <si>
    <t>Population and Development Review</t>
  </si>
  <si>
    <t>Population and Environment</t>
  </si>
  <si>
    <t>Population Research and Policy Review</t>
  </si>
  <si>
    <t>Population Studies</t>
  </si>
  <si>
    <t>Population, Space and Place</t>
  </si>
  <si>
    <t>Proceedings of the Institution of Civil Engineers - Urban Design and Planning</t>
  </si>
  <si>
    <t>Progress in Development Studies</t>
  </si>
  <si>
    <t>Progress in Industrial Ecology</t>
  </si>
  <si>
    <t>Refugee Survey Quarterly</t>
  </si>
  <si>
    <t>Région et Développement</t>
  </si>
  <si>
    <t>Regional &amp; Federal Studies</t>
  </si>
  <si>
    <t>Regional Studies, Regional Science</t>
  </si>
  <si>
    <t>Review of Development Economics</t>
  </si>
  <si>
    <t>Review of Regional Research</t>
  </si>
  <si>
    <t>Review of Urban &amp; Regional Development Studies</t>
  </si>
  <si>
    <t>Scottish Geographical Journal</t>
  </si>
  <si>
    <t>Sibirica: Interdisciplinary Journal of Siberian Studies</t>
  </si>
  <si>
    <t>Singapore Journal of Tropical Geography</t>
  </si>
  <si>
    <t>South African Geographical Journal</t>
  </si>
  <si>
    <t>South Asian Journal of Business Studies</t>
  </si>
  <si>
    <t>Standort</t>
  </si>
  <si>
    <t>Studies in Comparative International Development</t>
  </si>
  <si>
    <t>Studies in Environmental Humanities</t>
  </si>
  <si>
    <t>Survey Review</t>
  </si>
  <si>
    <t>Sustainable Development</t>
  </si>
  <si>
    <t>Temas Americanistas</t>
  </si>
  <si>
    <t>The Annals of Regional Science</t>
  </si>
  <si>
    <t>The Canadian Geographer / Le Géographe canadien</t>
  </si>
  <si>
    <t>The Developing Economies</t>
  </si>
  <si>
    <t>The European Journal of Development Research</t>
  </si>
  <si>
    <t>The Geographical Journal</t>
  </si>
  <si>
    <t>The Journal of Borderland Studies</t>
  </si>
  <si>
    <t>The Journal of Environment &amp; Development</t>
  </si>
  <si>
    <t>The Northern Mariner</t>
  </si>
  <si>
    <t>The Professional Geographer</t>
  </si>
  <si>
    <t>The World Bank Research Observer</t>
  </si>
  <si>
    <t>The World Economy</t>
  </si>
  <si>
    <t>Third World Quarterly</t>
  </si>
  <si>
    <t>Tijdschrift voor Economische en Sociale Geografie</t>
  </si>
  <si>
    <t>Tourism</t>
  </si>
  <si>
    <t>Tourism Analysis</t>
  </si>
  <si>
    <t>Tourism and Hospitality Research</t>
  </si>
  <si>
    <t>Tourism Geographies</t>
  </si>
  <si>
    <t>Tourism Planning &amp; Development</t>
  </si>
  <si>
    <t>Transformation: critical perspectives on Southern Africa</t>
  </si>
  <si>
    <t>Weather, Climate, and Society</t>
  </si>
  <si>
    <t>World Health &amp; Population</t>
  </si>
  <si>
    <t>Zeitschrift für Wirtschaftsgeographie</t>
  </si>
  <si>
    <t>zfv – Zeitschrift für Geodäsie, Geoinformation und Landmanagement</t>
  </si>
  <si>
    <t>Samfundsøkonomi</t>
  </si>
  <si>
    <t>Econometrica</t>
  </si>
  <si>
    <t>Journal of Political Economy</t>
  </si>
  <si>
    <t>The American Economic Review</t>
  </si>
  <si>
    <t>The Quarterly Journal of Economics</t>
  </si>
  <si>
    <t>The Review of Economic Studies</t>
  </si>
  <si>
    <t>American Economic Journal: Applied Economics</t>
  </si>
  <si>
    <t>American Economic Journal: Economic Policy</t>
  </si>
  <si>
    <t>American Economic Journal: Macroeconomics</t>
  </si>
  <si>
    <t>American Economic Journal: Microeconomics</t>
  </si>
  <si>
    <t>Cambridge Journal of Economics</t>
  </si>
  <si>
    <t>Econometric Theory</t>
  </si>
  <si>
    <t>Energy Economics</t>
  </si>
  <si>
    <t>European Economic Review</t>
  </si>
  <si>
    <t>Experimental Economics</t>
  </si>
  <si>
    <t>Games and Economic Behavior</t>
  </si>
  <si>
    <t>International Economic Review</t>
  </si>
  <si>
    <t>International Journal of Industrial Organization</t>
  </si>
  <si>
    <t>Journal of Applied Econometrics</t>
  </si>
  <si>
    <t>Journal of Development Economics</t>
  </si>
  <si>
    <t>Journal of Econometrics</t>
  </si>
  <si>
    <t>Journal of Economic Dynamics and Control</t>
  </si>
  <si>
    <t>Journal of Economic Growth</t>
  </si>
  <si>
    <t>Journal of Economic Theory</t>
  </si>
  <si>
    <t>Journal of Environmental Economics and Management</t>
  </si>
  <si>
    <t>Journal of International Economics</t>
  </si>
  <si>
    <t>Journal of Labor Economics</t>
  </si>
  <si>
    <t>Journal of Monetary Economics</t>
  </si>
  <si>
    <t>Journal of Public Economics</t>
  </si>
  <si>
    <t>Journal of the European Economic Association</t>
  </si>
  <si>
    <t>Journal of Urban Economics</t>
  </si>
  <si>
    <t>Labour Economics</t>
  </si>
  <si>
    <t>Quantitative Economics</t>
  </si>
  <si>
    <t>Review of Economic Dynamics</t>
  </si>
  <si>
    <t>The Econometrics Journal</t>
  </si>
  <si>
    <t>The Economic Journal</t>
  </si>
  <si>
    <t>The Journal of Economic History</t>
  </si>
  <si>
    <t>The Journal of Human Resources</t>
  </si>
  <si>
    <t>The Journal of Industrial Economics</t>
  </si>
  <si>
    <t>The RAND Journal of Economics</t>
  </si>
  <si>
    <t>The Review of Economics and Statistics</t>
  </si>
  <si>
    <t>The Scandinavian Journal of Economics</t>
  </si>
  <si>
    <t>Theoretical Economics</t>
  </si>
  <si>
    <t xml:space="preserve"> WIDER Studies in Development Economics</t>
  </si>
  <si>
    <t>Acta Oeconomica</t>
  </si>
  <si>
    <t>Advances and Applictions in Statistical Science</t>
  </si>
  <si>
    <t>Advances in Austrian Economics</t>
  </si>
  <si>
    <t>Advances in Econometrics</t>
  </si>
  <si>
    <t>Advances in Mathematical Economics</t>
  </si>
  <si>
    <t>Advances in the Economics of Environmental Resources</t>
  </si>
  <si>
    <t>African Journal of Accounting, Economics, Finance and Banking Research</t>
  </si>
  <si>
    <t>African Journal of Science, Technology, Innovation and Development</t>
  </si>
  <si>
    <t>Agricultural and Food Economics</t>
  </si>
  <si>
    <t>Agricultural Economics</t>
  </si>
  <si>
    <t>American Journal of Agricultural Economics</t>
  </si>
  <si>
    <t>Annals of Economics and Statistics</t>
  </si>
  <si>
    <t>Annals of Public and Cooperative Economics</t>
  </si>
  <si>
    <t>Annual Review of Economics</t>
  </si>
  <si>
    <t>Annual Review of Resource Economics</t>
  </si>
  <si>
    <t>Applied Economics</t>
  </si>
  <si>
    <t>Applied Economics Letters</t>
  </si>
  <si>
    <t>Applied Economics Quarterly</t>
  </si>
  <si>
    <t>Asia Pacific Journal of Human Resources</t>
  </si>
  <si>
    <t>Asian Economic Journal</t>
  </si>
  <si>
    <t>Asian Economic Papers</t>
  </si>
  <si>
    <t>Asian-Pacific Economic Literature</t>
  </si>
  <si>
    <t>Atlantic Economic Journal</t>
  </si>
  <si>
    <t>Atlantic Review of Economics</t>
  </si>
  <si>
    <t>Australian Economic Papers</t>
  </si>
  <si>
    <t>Baltic Journal of Economics</t>
  </si>
  <si>
    <t>Brookings Papers on Economic Activity</t>
  </si>
  <si>
    <t>Bulletin of Economic Research</t>
  </si>
  <si>
    <t>Bulletin of Indonesian Economic Studies</t>
  </si>
  <si>
    <t>Cambridge Journal of Regions, Economy and Society</t>
  </si>
  <si>
    <t>Campbell Systematic Reviews</t>
  </si>
  <si>
    <t>Canadian Journal of Agricultural Economics / Revue canadienne d'agroeconomie</t>
  </si>
  <si>
    <t>Canadian Journal of Economics</t>
  </si>
  <si>
    <t>Capitalism and Society</t>
  </si>
  <si>
    <t>Capitalism, Nature, Socialism</t>
  </si>
  <si>
    <t>CESifo Economic Studies</t>
  </si>
  <si>
    <t>Cesifo Seminar Series</t>
  </si>
  <si>
    <t>China Economic Review</t>
  </si>
  <si>
    <t>Climate Change Economics</t>
  </si>
  <si>
    <t>Cliometrica</t>
  </si>
  <si>
    <t>Comparative Economic Studies</t>
  </si>
  <si>
    <t>Computational Economics</t>
  </si>
  <si>
    <t>Constitutional Political Economy</t>
  </si>
  <si>
    <t>Contemporary Economic Policy</t>
  </si>
  <si>
    <t>Contemporary Economics</t>
  </si>
  <si>
    <t>Contributions to Political Economy</t>
  </si>
  <si>
    <t>De Economist</t>
  </si>
  <si>
    <t>Defence and Peace Economics</t>
  </si>
  <si>
    <t>Developments in Health Economics and Public Policy</t>
  </si>
  <si>
    <t>Dynamic Games and Applications</t>
  </si>
  <si>
    <t>Dynamic Modeling and Econometrics in Economics and Finance</t>
  </si>
  <si>
    <t>Eastern Economic Journal</t>
  </si>
  <si>
    <t>Eastern European Economics</t>
  </si>
  <si>
    <t>Ecological Economics</t>
  </si>
  <si>
    <t>Econ Journal Watch</t>
  </si>
  <si>
    <t>Econometric Reviews</t>
  </si>
  <si>
    <t>Econometrics</t>
  </si>
  <si>
    <t>Econometrics and Statistics</t>
  </si>
  <si>
    <t>Economic Affairs</t>
  </si>
  <si>
    <t>Economic Analysis and Policy</t>
  </si>
  <si>
    <t>Economic and Social Review</t>
  </si>
  <si>
    <t>Economic Change and Restructuring</t>
  </si>
  <si>
    <t>Economic Development Quarterly</t>
  </si>
  <si>
    <t>Economic Inquiry</t>
  </si>
  <si>
    <t>Economic Issues</t>
  </si>
  <si>
    <t>Economic Modelling</t>
  </si>
  <si>
    <t>Economic Notes: review of banking, finance and monetary economics</t>
  </si>
  <si>
    <t>Economic Outlook</t>
  </si>
  <si>
    <t>Economic Policy</t>
  </si>
  <si>
    <t>Economic Sociology</t>
  </si>
  <si>
    <t>Economic Systems</t>
  </si>
  <si>
    <t>Economic Systems Research</t>
  </si>
  <si>
    <t>Economic Theory</t>
  </si>
  <si>
    <t>Economica</t>
  </si>
  <si>
    <t>Economics and Human Biology</t>
  </si>
  <si>
    <t>Economics and Philosophy</t>
  </si>
  <si>
    <t>Economics Bulletin</t>
  </si>
  <si>
    <t>Economics Letters</t>
  </si>
  <si>
    <t>Economics of Energy &amp; Environmental Policy</t>
  </si>
  <si>
    <t>Economics of Governance</t>
  </si>
  <si>
    <t>Economics: the Open Access, Open Assessment,E-journal</t>
  </si>
  <si>
    <t>Économie et Prévision</t>
  </si>
  <si>
    <t>Economie Rurale</t>
  </si>
  <si>
    <t>Education Finance and Policy</t>
  </si>
  <si>
    <t>Ekonomicky Casopis</t>
  </si>
  <si>
    <t>Ekonomiska Samfundets Tidskrift</t>
  </si>
  <si>
    <t>Emerging Markets Finance &amp; Trade</t>
  </si>
  <si>
    <t>Empirica</t>
  </si>
  <si>
    <t>Empirical Economics</t>
  </si>
  <si>
    <t>Energy for Sustainable Development</t>
  </si>
  <si>
    <t>Energy Sources. Part B. Economics, Planning, and Policy</t>
  </si>
  <si>
    <t>Environment and Development Economics</t>
  </si>
  <si>
    <t>Environmental and Resource Economics</t>
  </si>
  <si>
    <t>Environmental Economics and Policy Studies</t>
  </si>
  <si>
    <t>European Journal of Economics and Economic Policies : Intervention</t>
  </si>
  <si>
    <t>European Journal of Political Economy</t>
  </si>
  <si>
    <t>European Review of Agricultural Economics</t>
  </si>
  <si>
    <t>European Review of Economic History</t>
  </si>
  <si>
    <t>Evolutionary and Institutional Economics Review</t>
  </si>
  <si>
    <t>Explorations in Economic History</t>
  </si>
  <si>
    <t>Finanzarchiv</t>
  </si>
  <si>
    <t>Fiscal Studies</t>
  </si>
  <si>
    <t>Forum for Health Economics &amp; Policy</t>
  </si>
  <si>
    <t>Forum for Social Economics</t>
  </si>
  <si>
    <t>Foundations and Trends in Econometrics</t>
  </si>
  <si>
    <t>Foundations and Trends in Microeconomics</t>
  </si>
  <si>
    <t>German Economic Review</t>
  </si>
  <si>
    <t>Global Business &amp; Economics Review</t>
  </si>
  <si>
    <t>Global Economic Review</t>
  </si>
  <si>
    <t>Global Economy Journal</t>
  </si>
  <si>
    <t>Global Labour Journal</t>
  </si>
  <si>
    <t>Handbook of Agricultural Economics</t>
  </si>
  <si>
    <t>Handbook of Computational Economics</t>
  </si>
  <si>
    <t>Handbook of Development Economics</t>
  </si>
  <si>
    <t>Handbook of Environmental Economics</t>
  </si>
  <si>
    <t>Handbook of Health Economics</t>
  </si>
  <si>
    <t>Handbook of International Economics</t>
  </si>
  <si>
    <t>Handbook of Labor Economics</t>
  </si>
  <si>
    <t>Handbook of Monetary Economics</t>
  </si>
  <si>
    <t>Handbook of Public Economics</t>
  </si>
  <si>
    <t>Handbook of the Economics of Educationn</t>
  </si>
  <si>
    <t>Hitotsubashi Journal of Economics</t>
  </si>
  <si>
    <t>Homo Oeconomicus</t>
  </si>
  <si>
    <t>IMF Economic Review</t>
  </si>
  <si>
    <t>Information Economics and Policy</t>
  </si>
  <si>
    <t>Intereconomics: Review of European Economic Policy</t>
  </si>
  <si>
    <t>International Advances in Economic Research</t>
  </si>
  <si>
    <t>International Economic Journal</t>
  </si>
  <si>
    <t>International Economics and Economic Policy</t>
  </si>
  <si>
    <t>International Game Theory Review</t>
  </si>
  <si>
    <t>International Journal of Central Banking</t>
  </si>
  <si>
    <t>International Journal of Computational Economics and Econometrics</t>
  </si>
  <si>
    <t>International Journal of Development Issues</t>
  </si>
  <si>
    <t>International Journal of Economic Sciences and Applied Research</t>
  </si>
  <si>
    <t>International Journal of Economic Theory</t>
  </si>
  <si>
    <t>International Journal of Employment Studies</t>
  </si>
  <si>
    <t>International Journal of Finance &amp; Economics</t>
  </si>
  <si>
    <t>International Journal of Game Theory</t>
  </si>
  <si>
    <t>International Journal of Green Economics</t>
  </si>
  <si>
    <t>International Journal of Innovation and Regional Development</t>
  </si>
  <si>
    <t>International Journal of Monetary Economics and Finance</t>
  </si>
  <si>
    <t>International Journal of Social Economics</t>
  </si>
  <si>
    <t>International Journal of Sustainable Economy</t>
  </si>
  <si>
    <t>International Review of Applied Economics</t>
  </si>
  <si>
    <t>International Review of Economics</t>
  </si>
  <si>
    <t>International Review of Economics Education</t>
  </si>
  <si>
    <t>International Review of Environmental and Resource Economics</t>
  </si>
  <si>
    <t>International Tax and Public Finance</t>
  </si>
  <si>
    <t>IZA Journal of Development and Migration</t>
  </si>
  <si>
    <t>IZA Journal of European Labor Studies</t>
  </si>
  <si>
    <t>IZA Journal of Labor &amp; Development</t>
  </si>
  <si>
    <t>IZA Journal of Labor Economics</t>
  </si>
  <si>
    <t>IZA Journal of Labor Policy</t>
  </si>
  <si>
    <t>Jahrbücher für Nationalökonomie und Statistik</t>
  </si>
  <si>
    <t>Japan and the World Economy</t>
  </si>
  <si>
    <t>Journal for Studies in Economics and Econometrics</t>
  </si>
  <si>
    <t>Journal of African Economies</t>
  </si>
  <si>
    <t>Journal of Agricultural and Resource Economics</t>
  </si>
  <si>
    <t>Journal of Agricultural Economics</t>
  </si>
  <si>
    <t>Journal of Applied Economics</t>
  </si>
  <si>
    <t>Journal of Asian Economics</t>
  </si>
  <si>
    <t>Journal of Behavioral and Experimental Economics</t>
  </si>
  <si>
    <t>Journal of Bioeconomics</t>
  </si>
  <si>
    <t>Journal of Comparative Economics</t>
  </si>
  <si>
    <t>Journal of Consumer Policy</t>
  </si>
  <si>
    <t>Journal of Cultural Economics</t>
  </si>
  <si>
    <t>Journal of Demographic Economics</t>
  </si>
  <si>
    <t>Journal of Development Effectiveness</t>
  </si>
  <si>
    <t>Journal of Econometric Methods</t>
  </si>
  <si>
    <t>Journal of Economic and Social Measurement</t>
  </si>
  <si>
    <t>Journal of Economic Integration</t>
  </si>
  <si>
    <t>Journal of Economic Interaction and Coordination</t>
  </si>
  <si>
    <t>Journal of Economic Issues</t>
  </si>
  <si>
    <t>Journal of Economic Literature</t>
  </si>
  <si>
    <t>Journal of Economic Methodology</t>
  </si>
  <si>
    <t>Journal of Economic Perspectives</t>
  </si>
  <si>
    <t>Journal of Economic Psychology</t>
  </si>
  <si>
    <t>Journal of Economic Studies</t>
  </si>
  <si>
    <t>Journal of Economic Surveys</t>
  </si>
  <si>
    <t>Journal of Economics</t>
  </si>
  <si>
    <t>Journal of Environmental Economics and Policy</t>
  </si>
  <si>
    <t>Journal of Family and Economic Issues</t>
  </si>
  <si>
    <t>Journal of Financial Econometrics</t>
  </si>
  <si>
    <t>Journal of Globalization and Development</t>
  </si>
  <si>
    <t>Journal of Housing Economics</t>
  </si>
  <si>
    <t>Journal of Human Capital</t>
  </si>
  <si>
    <t>Journal of Income Distribution</t>
  </si>
  <si>
    <t>Journal of Institutional and Theoretical Economics</t>
  </si>
  <si>
    <t>Journal of Institutional Economics</t>
  </si>
  <si>
    <t>Journal of Interdisciplinary Economics</t>
  </si>
  <si>
    <t>Journal of Macroeconomics</t>
  </si>
  <si>
    <t>Journal of Mathematical Economics</t>
  </si>
  <si>
    <t>Journal of Money, Credit and Banking</t>
  </si>
  <si>
    <t>Journal of Official Statistics</t>
  </si>
  <si>
    <t>Journal of Policy Modeling</t>
  </si>
  <si>
    <t>Journal of Population Economics</t>
  </si>
  <si>
    <t>Journal of Post Keynesian Economics</t>
  </si>
  <si>
    <t>Journal of Poverty</t>
  </si>
  <si>
    <t>Journal of Productivity Analysis</t>
  </si>
  <si>
    <t>Journal of Public Economic Theory</t>
  </si>
  <si>
    <t>Journal of Regulatory Economics</t>
  </si>
  <si>
    <t>Journal of Risk and Uncertainty</t>
  </si>
  <si>
    <t>Journal of Tax Administration</t>
  </si>
  <si>
    <t>Journal of Taxation</t>
  </si>
  <si>
    <t>Journal of the Association of Environmental and Resource Economists</t>
  </si>
  <si>
    <t>Journal of the Japanese and International Economies</t>
  </si>
  <si>
    <t>Journal of the Knowledge Economy</t>
  </si>
  <si>
    <t>Juncture</t>
  </si>
  <si>
    <t>Kyklos</t>
  </si>
  <si>
    <t>Land Economics</t>
  </si>
  <si>
    <t>Latin American Economic Review</t>
  </si>
  <si>
    <t>Local Economy</t>
  </si>
  <si>
    <t>Macroeconomic Dynamics</t>
  </si>
  <si>
    <t>Macroeconomics and Finance in Emerging Market Economies</t>
  </si>
  <si>
    <t>Metroeconomica</t>
  </si>
  <si>
    <t>National Institute Economic Review</t>
  </si>
  <si>
    <t>National Tax Journal</t>
  </si>
  <si>
    <t>Nationaloekonomisk Tidsskrift</t>
  </si>
  <si>
    <t>NBER Macroeconomics Annual</t>
  </si>
  <si>
    <t>Netnomics</t>
  </si>
  <si>
    <t>Neuroscience and Neuroeconomics</t>
  </si>
  <si>
    <t>Nordic Economic Policy Review</t>
  </si>
  <si>
    <t>Nordic Journal of Political Economy</t>
  </si>
  <si>
    <t>Nova Economia</t>
  </si>
  <si>
    <t>Open Economies Review</t>
  </si>
  <si>
    <t>Oxford Bulletin of Economics and Statistics</t>
  </si>
  <si>
    <t>Oxford Economic Papers</t>
  </si>
  <si>
    <t>Oxford Review of Economic Policy</t>
  </si>
  <si>
    <t>Pacific Economic Review</t>
  </si>
  <si>
    <t>Peace Economics, Peace Science and Public Policy</t>
  </si>
  <si>
    <t>Perspectives In Economic And Social History</t>
  </si>
  <si>
    <t>Politicka Ekonomie</t>
  </si>
  <si>
    <t>Portuguese Economic Journal</t>
  </si>
  <si>
    <t>Post-Communist Economies</t>
  </si>
  <si>
    <t>Public Finance and Management</t>
  </si>
  <si>
    <t>Public Finance Review</t>
  </si>
  <si>
    <t>Real Estate Economics</t>
  </si>
  <si>
    <t>Real Estate Taxation</t>
  </si>
  <si>
    <t>Real-World Economics Review</t>
  </si>
  <si>
    <t>Regional Science and Urban Economics</t>
  </si>
  <si>
    <t>Research in Economic History</t>
  </si>
  <si>
    <t>Research in Economics</t>
  </si>
  <si>
    <t>Research in Experimental Economics</t>
  </si>
  <si>
    <t>Research in Law and Economics</t>
  </si>
  <si>
    <t>Research in Political Economy</t>
  </si>
  <si>
    <t>Research on Economic Inequality</t>
  </si>
  <si>
    <t>Review of African Political Economy</t>
  </si>
  <si>
    <t>Review of Behavioral Economics</t>
  </si>
  <si>
    <t>Review of Economic Design</t>
  </si>
  <si>
    <t>Review of Economics and Institutions</t>
  </si>
  <si>
    <t>Review of Economics of the Household</t>
  </si>
  <si>
    <t>Review of Income and Wealth</t>
  </si>
  <si>
    <t>Review of International Economics</t>
  </si>
  <si>
    <t>Review of Keynesian Economics</t>
  </si>
  <si>
    <t>Review of Law &amp; Economics</t>
  </si>
  <si>
    <t>Review of Market Integration</t>
  </si>
  <si>
    <t>Review of Political Economy</t>
  </si>
  <si>
    <t>Review of Radical Political Economics</t>
  </si>
  <si>
    <t>Review of Social Economy</t>
  </si>
  <si>
    <t>Review of World Economics</t>
  </si>
  <si>
    <t>Revista de Economia Politica</t>
  </si>
  <si>
    <t>Revue d'Economie Politique</t>
  </si>
  <si>
    <t>Revue Economique</t>
  </si>
  <si>
    <t>Schweizerische Zeitschrift fuer Volkswirtschaft und Statistik</t>
  </si>
  <si>
    <t>Scottish Journal of Political Economy</t>
  </si>
  <si>
    <t>Series on Mathematical Economics &amp; Game Theory</t>
  </si>
  <si>
    <t>SERIEs: Journal of the Spanish Economic Association</t>
  </si>
  <si>
    <t>Social Choice and Welfare</t>
  </si>
  <si>
    <t>Socio-Economic Planning Sciences</t>
  </si>
  <si>
    <t>South African Journal of Economics</t>
  </si>
  <si>
    <t>South Asia Economic Journal</t>
  </si>
  <si>
    <t>South East European Journal of Economics and Business</t>
  </si>
  <si>
    <t>Southern Economic Journal</t>
  </si>
  <si>
    <t>Spatial Economic Analysis</t>
  </si>
  <si>
    <t>Statistical Journal of the IAOS</t>
  </si>
  <si>
    <t>Structural Change and Economic Dynamics</t>
  </si>
  <si>
    <t>Studies in Economics and Finance</t>
  </si>
  <si>
    <t>Studies in Nonlinear Dynamics &amp; Econometrics</t>
  </si>
  <si>
    <t>Studies on Russian Economic Development</t>
  </si>
  <si>
    <t>Tax Policy and the Economy</t>
  </si>
  <si>
    <t>The American Review of Political Economy</t>
  </si>
  <si>
    <t>The Australian Economic Review</t>
  </si>
  <si>
    <t>The Australian Journal of Agricultural and Resource Economics</t>
  </si>
  <si>
    <t>The B.E. Journal of Economic Analysis &amp; Policy</t>
  </si>
  <si>
    <t>The B.E. Journal of Macroeconomics</t>
  </si>
  <si>
    <t>The B.E. Journal of Theoretical Economics</t>
  </si>
  <si>
    <t>The Economic Record</t>
  </si>
  <si>
    <t>The Economics of Transition</t>
  </si>
  <si>
    <t>The European Journal of Comparative Economics</t>
  </si>
  <si>
    <t>The Geneva Papers on Risk and Insurance - Issues and Practice</t>
  </si>
  <si>
    <t>The Indian Journal of Labour Economics</t>
  </si>
  <si>
    <t>The Japanese Economic Review</t>
  </si>
  <si>
    <t>The Journal of Economic Education</t>
  </si>
  <si>
    <t>The Journal of Economic Inequality</t>
  </si>
  <si>
    <t>The Journal of Fixed Income</t>
  </si>
  <si>
    <t>The Journal of International Trade &amp; Economic Development</t>
  </si>
  <si>
    <t>The Journal of Law and Economics</t>
  </si>
  <si>
    <t>The Journal of Philosophical Economics</t>
  </si>
  <si>
    <t>The Journal of Prediction Markets</t>
  </si>
  <si>
    <t>The Manchester School</t>
  </si>
  <si>
    <t>The Quarterly Journal of Austrian Economics</t>
  </si>
  <si>
    <t>The Review of Austrian Economics</t>
  </si>
  <si>
    <t>The Review of Black Political Economy</t>
  </si>
  <si>
    <t>The Singapore Economic Review</t>
  </si>
  <si>
    <t>The World Bank Economic Review</t>
  </si>
  <si>
    <t>Theory and Decision</t>
  </si>
  <si>
    <t>Variance</t>
  </si>
  <si>
    <t>Erhvervsøkonomiske fag</t>
  </si>
  <si>
    <t>Abacus: A journal of accounting, finance and business studies</t>
  </si>
  <si>
    <t>Academy of Management Journal</t>
  </si>
  <si>
    <t>Academy of Management Perspectives</t>
  </si>
  <si>
    <t>Academy of Management Review</t>
  </si>
  <si>
    <t>Accounting Horizons</t>
  </si>
  <si>
    <t>Accounting, Organizations and Society</t>
  </si>
  <si>
    <t>Administrative Science Quarterly</t>
  </si>
  <si>
    <t>Asia Pacific Journal of Management</t>
  </si>
  <si>
    <t>Auditing</t>
  </si>
  <si>
    <t>Behavioral Research in Accounting</t>
  </si>
  <si>
    <t>British Journal of Management</t>
  </si>
  <si>
    <t>Business &amp; Society</t>
  </si>
  <si>
    <t>California Management Review</t>
  </si>
  <si>
    <t>Consumption, Markets &amp; Culture</t>
  </si>
  <si>
    <t>Contemporary Accounting Research</t>
  </si>
  <si>
    <t>Decision Sciences</t>
  </si>
  <si>
    <t>Entrepreneurship &amp; Regional Development</t>
  </si>
  <si>
    <t>Entrepreneurship: Theory and Practice</t>
  </si>
  <si>
    <t>European Accounting Review</t>
  </si>
  <si>
    <t>European Journal of Marketing</t>
  </si>
  <si>
    <t>Financial Accountability &amp; Management</t>
  </si>
  <si>
    <t>Financial Analysts Journal</t>
  </si>
  <si>
    <t>Financial Management</t>
  </si>
  <si>
    <t>Foundations and Trends in Accounting</t>
  </si>
  <si>
    <t>Global Strategy Journal</t>
  </si>
  <si>
    <t>Group &amp; Organization Management</t>
  </si>
  <si>
    <t>Human Relations</t>
  </si>
  <si>
    <t>Human Resource Management</t>
  </si>
  <si>
    <t>Human Resource Management Journal</t>
  </si>
  <si>
    <t>Human Resource Management Review</t>
  </si>
  <si>
    <t>Industrial and Corporate Change</t>
  </si>
  <si>
    <t>Industrial Marketing Management</t>
  </si>
  <si>
    <t>Industry and Innovation</t>
  </si>
  <si>
    <t>International Business Review</t>
  </si>
  <si>
    <t>International Journal of Forecasting</t>
  </si>
  <si>
    <t>International Journal of Management Reviews</t>
  </si>
  <si>
    <t>International Journal of Research in Marketing</t>
  </si>
  <si>
    <t>International Small Business Journal</t>
  </si>
  <si>
    <t>Journal of Accounting and Economics</t>
  </si>
  <si>
    <t>Journal of Accounting Research</t>
  </si>
  <si>
    <t>Journal of Banking &amp; Finance</t>
  </si>
  <si>
    <t>Journal of Business and Economic Statistics</t>
  </si>
  <si>
    <t>Journal of Business Ethics</t>
  </si>
  <si>
    <t>Journal of Business Finance &amp; Accounting</t>
  </si>
  <si>
    <t>Journal of Business Research</t>
  </si>
  <si>
    <t>Journal of Business Venturing</t>
  </si>
  <si>
    <t>Journal of Business-to-Business Marketing</t>
  </si>
  <si>
    <t>Journal of Consumer Research</t>
  </si>
  <si>
    <t>Journal of Corporate Finance</t>
  </si>
  <si>
    <t>Journal of Economic Behavior &amp; Organization</t>
  </si>
  <si>
    <t>Journal of Economics &amp; Management Strategy</t>
  </si>
  <si>
    <t>Journal of Empirical Finance</t>
  </si>
  <si>
    <t>Journal of Financial and Quantitative Analysis</t>
  </si>
  <si>
    <t>Journal of Financial Economics</t>
  </si>
  <si>
    <t>Journal of Financial Intermediation</t>
  </si>
  <si>
    <t>Journal of Financial Markets</t>
  </si>
  <si>
    <t>Journal of Financial Services Research</t>
  </si>
  <si>
    <t>Journal of Interactive Marketing</t>
  </si>
  <si>
    <t>Journal of International Business Studies</t>
  </si>
  <si>
    <t>Journal of International Management</t>
  </si>
  <si>
    <t>Journal of International Marketing</t>
  </si>
  <si>
    <t>Journal of International Money and Finance</t>
  </si>
  <si>
    <t>Journal of Management</t>
  </si>
  <si>
    <t>Journal of Management Studies</t>
  </si>
  <si>
    <t>Journal of Marketing</t>
  </si>
  <si>
    <t>Journal of Marketing Research</t>
  </si>
  <si>
    <t>Journal of Operations Management</t>
  </si>
  <si>
    <t>Journal of Organizational Behavior</t>
  </si>
  <si>
    <t>Journal of Product Innovation Management</t>
  </si>
  <si>
    <t>Journal of Public Policy &amp; Marketing</t>
  </si>
  <si>
    <t>Journal of Retailing</t>
  </si>
  <si>
    <t>Journal of Risk and Insurance</t>
  </si>
  <si>
    <t>Journal of Service Research</t>
  </si>
  <si>
    <t>Journal of Small Business Management</t>
  </si>
  <si>
    <t>Journal of Supply Chain Management</t>
  </si>
  <si>
    <t>Journal of the Academy of Marketing Science</t>
  </si>
  <si>
    <t>Journal of the Operational Research Society</t>
  </si>
  <si>
    <t>Journal of World Business</t>
  </si>
  <si>
    <t>Long Range Planning</t>
  </si>
  <si>
    <t>Management Accounting Research</t>
  </si>
  <si>
    <t>Management Science</t>
  </si>
  <si>
    <t>Manufacturing and Service Operations Management</t>
  </si>
  <si>
    <t>Marketing Letters</t>
  </si>
  <si>
    <t>Marketing Science</t>
  </si>
  <si>
    <t>Marketing Theory</t>
  </si>
  <si>
    <t>MIT Sloan Management Review</t>
  </si>
  <si>
    <t>Omega: The International Journal of Management Science</t>
  </si>
  <si>
    <t>Operations Research</t>
  </si>
  <si>
    <t>Organization</t>
  </si>
  <si>
    <t>Organization Science</t>
  </si>
  <si>
    <t>Organization Studies</t>
  </si>
  <si>
    <t>Organizational Research Methods</t>
  </si>
  <si>
    <t>Psychology &amp; Marketing</t>
  </si>
  <si>
    <t>Quantitative Marketing and Economics</t>
  </si>
  <si>
    <t>R&amp;D Management</t>
  </si>
  <si>
    <t>Research Policy</t>
  </si>
  <si>
    <t>Review of Accounting Studies</t>
  </si>
  <si>
    <t>Review of Finance</t>
  </si>
  <si>
    <t>Scandinavian Journal of Management</t>
  </si>
  <si>
    <t>Small Business Economics</t>
  </si>
  <si>
    <t>Strategic Entrepreneurship Journal</t>
  </si>
  <si>
    <t>Strategic Management Journal</t>
  </si>
  <si>
    <t>Strategic Organization</t>
  </si>
  <si>
    <t>Supply Chain Management: An International Journal</t>
  </si>
  <si>
    <t>The Academy of Management Annals</t>
  </si>
  <si>
    <t>The Accounting Review</t>
  </si>
  <si>
    <t>The International Journal of Human Resource Management</t>
  </si>
  <si>
    <t>The Journal of Finance</t>
  </si>
  <si>
    <t>The Leadership Quarterly</t>
  </si>
  <si>
    <t>The Review of Asset Pricing Studies</t>
  </si>
  <si>
    <t>The Review of Corporate Finance Studies</t>
  </si>
  <si>
    <t>The Review of Financial Studies</t>
  </si>
  <si>
    <t>Tourism Management</t>
  </si>
  <si>
    <t>Academy of Entrepreneurship Journal</t>
  </si>
  <si>
    <t>Academy of Management Discoveries</t>
  </si>
  <si>
    <t>Accountancy Business and the Public Interest</t>
  </si>
  <si>
    <t>Accounting &amp; Taxation</t>
  </si>
  <si>
    <t>Accounting and Business Research</t>
  </si>
  <si>
    <t>Accounting and Finance</t>
  </si>
  <si>
    <t>Accounting and the Public Interest</t>
  </si>
  <si>
    <t>Accounting Education</t>
  </si>
  <si>
    <t>Accounting Forum</t>
  </si>
  <si>
    <t>Accounting Historians Journal</t>
  </si>
  <si>
    <t>Accounting History</t>
  </si>
  <si>
    <t>Accounting History Review</t>
  </si>
  <si>
    <t>Accounting in Europe</t>
  </si>
  <si>
    <t>Accounting Perspectives</t>
  </si>
  <si>
    <t>Accounting Research Journal</t>
  </si>
  <si>
    <t>Accounting, Accountability &amp; Performance</t>
  </si>
  <si>
    <t>Accounting, Auditing and Accountability Journal</t>
  </si>
  <si>
    <t>AD-minister</t>
  </si>
  <si>
    <t>Advances in Accounting</t>
  </si>
  <si>
    <t>Advances in Accounting Behavioral Research</t>
  </si>
  <si>
    <t>Advances in Accounting Education</t>
  </si>
  <si>
    <t>Advances in Developing Human Resources</t>
  </si>
  <si>
    <t>Advances in Environmental Accounting &amp; Management</t>
  </si>
  <si>
    <t>Advances in Hospitality and Leisure</t>
  </si>
  <si>
    <t>Advances in International Management</t>
  </si>
  <si>
    <t>Advances in International Marketing</t>
  </si>
  <si>
    <t>Advances in Public Interest Accounting</t>
  </si>
  <si>
    <t>Advances in Services Marketing and Management</t>
  </si>
  <si>
    <t>Advances in Strategic Management</t>
  </si>
  <si>
    <t>Advances in the Economic Analysis of Participatory and Labor-Managed Firms</t>
  </si>
  <si>
    <t>Afro-Asian Journal of Finance and Accounting</t>
  </si>
  <si>
    <t>Airline Business</t>
  </si>
  <si>
    <t>AMS Review</t>
  </si>
  <si>
    <t>Annals of Actuarial Science</t>
  </si>
  <si>
    <t>Annals of Economics and Finance</t>
  </si>
  <si>
    <t>Annals of Finance</t>
  </si>
  <si>
    <t>Annals of Operations Research</t>
  </si>
  <si>
    <t>Annual Review of Financial Economics</t>
  </si>
  <si>
    <t>Applied Financial Economics</t>
  </si>
  <si>
    <t>Applied Mathematical Finance</t>
  </si>
  <si>
    <t>Asia - Pacific Financial Markets</t>
  </si>
  <si>
    <t>Asia Matters: Business, Culture and Theory</t>
  </si>
  <si>
    <t>Asia Pacific Business Review</t>
  </si>
  <si>
    <t>Asia Pacific Journal of Marketing and Logistics</t>
  </si>
  <si>
    <t>Asia Pacific Journal of Tourism Research</t>
  </si>
  <si>
    <t>Asian Business &amp; Management</t>
  </si>
  <si>
    <t>Asian Case Research Journal</t>
  </si>
  <si>
    <t>Asian Review of Accounting</t>
  </si>
  <si>
    <t>Asia-Pacific Journal of Accounting &amp; Economics</t>
  </si>
  <si>
    <t>Asia-Pacific Journal of Financial Studies</t>
  </si>
  <si>
    <t>Australasian Marketing Journal</t>
  </si>
  <si>
    <t>Australian Accounting Review</t>
  </si>
  <si>
    <t>Australian Journal of Management</t>
  </si>
  <si>
    <t>Baltic Journal of Management</t>
  </si>
  <si>
    <t>Benchmarking</t>
  </si>
  <si>
    <t>Beta</t>
  </si>
  <si>
    <t>BFuP - Betriebswirtschaftliche Forschung und Praxis</t>
  </si>
  <si>
    <t>BRQ Business Research Quarterly</t>
  </si>
  <si>
    <t>Business &amp; Economic Review</t>
  </si>
  <si>
    <t>Business and Management Research</t>
  </si>
  <si>
    <t>Business and Politics</t>
  </si>
  <si>
    <t>Business and Professional Ethics Journal</t>
  </si>
  <si>
    <t>Business and Society Review</t>
  </si>
  <si>
    <t>Business Economics</t>
  </si>
  <si>
    <t>Business Ethics</t>
  </si>
  <si>
    <t>Business Ethics Quarterly</t>
  </si>
  <si>
    <t>Business Horizons</t>
  </si>
  <si>
    <t>Business Strategy and the Environment</t>
  </si>
  <si>
    <t>Canadian Journal of Administrative Sciences</t>
  </si>
  <si>
    <t>Career Development International</t>
  </si>
  <si>
    <t>Central European Journal of Operations Research</t>
  </si>
  <si>
    <t>China Journal of Accounting Studies</t>
  </si>
  <si>
    <t>Compensation and Benefits Review</t>
  </si>
  <si>
    <t>Competition &amp; Change</t>
  </si>
  <si>
    <t>Competition and Regulation in Network Industries</t>
  </si>
  <si>
    <t>Competitiveness Review</t>
  </si>
  <si>
    <t>Cornell Hospitality Quarterly</t>
  </si>
  <si>
    <t>Corporate Governance: An International Review</t>
  </si>
  <si>
    <t>Corporate Governance: The international journal of business in society</t>
  </si>
  <si>
    <t>Corporate Ownership and Control</t>
  </si>
  <si>
    <t>Corporate Social Responsibility and Environmental Management</t>
  </si>
  <si>
    <t>Critical Finance Review</t>
  </si>
  <si>
    <t>Critical Perspectives on Accounting</t>
  </si>
  <si>
    <t>Critical Perspectives on International Business</t>
  </si>
  <si>
    <t>Cross Cultural Management</t>
  </si>
  <si>
    <t>Danish Journal of Management &amp; Business</t>
  </si>
  <si>
    <t>Decision Analysis</t>
  </si>
  <si>
    <t>Decisions in Economics and Finance</t>
  </si>
  <si>
    <t>Development and Learning in Organizations</t>
  </si>
  <si>
    <t>Die Betriebswirtschaft</t>
  </si>
  <si>
    <t>Die Unternehmung: Swiss Journal of Business Research and Practice</t>
  </si>
  <si>
    <t>Digital Policy, Regulation and Governance</t>
  </si>
  <si>
    <t>E+M Ekonomie a Management</t>
  </si>
  <si>
    <t>Economia e Politica Industriale</t>
  </si>
  <si>
    <t>Economics and Business Letters</t>
  </si>
  <si>
    <t>Economics of Innovation and New Technology</t>
  </si>
  <si>
    <t>Electronic Commerce Research</t>
  </si>
  <si>
    <t>Electronic Journal of Business Research Methods</t>
  </si>
  <si>
    <t>Emergence: Complexity and Organization</t>
  </si>
  <si>
    <t>Emerging Markets Review</t>
  </si>
  <si>
    <t>Enterprise Development &amp; Microfinance</t>
  </si>
  <si>
    <t>Entrepreneurship Research Journal</t>
  </si>
  <si>
    <t>Environmental Economics</t>
  </si>
  <si>
    <t>e-Service Journal</t>
  </si>
  <si>
    <t>Eurasian Business Review</t>
  </si>
  <si>
    <t>EURO Journal on Computational Optimization</t>
  </si>
  <si>
    <t>EURO Journal on Decision Processes</t>
  </si>
  <si>
    <t>EuroMed Journal of Business</t>
  </si>
  <si>
    <t>European Business Review</t>
  </si>
  <si>
    <t>European Financial Management</t>
  </si>
  <si>
    <t>European Journal of Cross-Cultural Competence and Management</t>
  </si>
  <si>
    <t>European Journal of Finance and Banking Research</t>
  </si>
  <si>
    <t>European Journal of Innovation Management</t>
  </si>
  <si>
    <t>European Journal of International Management</t>
  </si>
  <si>
    <t>European Journal of Operational Research</t>
  </si>
  <si>
    <t>European Management Journal</t>
  </si>
  <si>
    <t>European Management Review</t>
  </si>
  <si>
    <t>Event Management</t>
  </si>
  <si>
    <t>Evidence-Based HRM</t>
  </si>
  <si>
    <t>Family &amp; Consumer Sciences Research Journal</t>
  </si>
  <si>
    <t>Family Business Review</t>
  </si>
  <si>
    <t>Finance a Uver</t>
  </si>
  <si>
    <t>Finance and Capital Markets</t>
  </si>
  <si>
    <t>Finance Research Letters</t>
  </si>
  <si>
    <t>Financial Markets and Portfolio Management</t>
  </si>
  <si>
    <t>Financial Markets, Institutions and Instruments</t>
  </si>
  <si>
    <t>Finans/Invest</t>
  </si>
  <si>
    <t>Foresight</t>
  </si>
  <si>
    <t>Foundations and Trends in Entrepreneurship</t>
  </si>
  <si>
    <t>Foundations and Trends in Marketing</t>
  </si>
  <si>
    <t>Futures The journal of policy, planning and futures studies</t>
  </si>
  <si>
    <t>Fuzzy Optimization and Decision Making</t>
  </si>
  <si>
    <t>German Journal of Human Resource Management</t>
  </si>
  <si>
    <t>Global Business and Organizational Excellence</t>
  </si>
  <si>
    <t>Global Finance Journal</t>
  </si>
  <si>
    <t>Global Journal of Flexible Systems Management</t>
  </si>
  <si>
    <t>Global Telecoms Business</t>
  </si>
  <si>
    <t>Group Decision and Negotiation</t>
  </si>
  <si>
    <t>Handbooks of Management Accounting Research</t>
  </si>
  <si>
    <t>Harvard Business Review</t>
  </si>
  <si>
    <t>Health Marketing Quarterly</t>
  </si>
  <si>
    <t>Human Resource Development International</t>
  </si>
  <si>
    <t>Human Resource Development Quarterly</t>
  </si>
  <si>
    <t>Human Resource Development Review</t>
  </si>
  <si>
    <t>Human Systems Management</t>
  </si>
  <si>
    <t>IEEE Engineering Management Review</t>
  </si>
  <si>
    <t>IEEE Transactions on Engineering Management</t>
  </si>
  <si>
    <t>Industrial Management &amp; Data Systems</t>
  </si>
  <si>
    <t>Innovation Policy and the Economy</t>
  </si>
  <si>
    <t>Innovation: Organization &amp; Management</t>
  </si>
  <si>
    <t>Innovations: Technology, Governance, Globalization</t>
  </si>
  <si>
    <t>Innovative Marketing</t>
  </si>
  <si>
    <t>International Business: Research, Teaching and Practice</t>
  </si>
  <si>
    <t>International Finance</t>
  </si>
  <si>
    <t>International Gambling Studies</t>
  </si>
  <si>
    <t>International Journal of Academic Research in Accounting, Finance and Management Sciences</t>
  </si>
  <si>
    <t>International Journal of Accounting and Economics Studies</t>
  </si>
  <si>
    <t>International Journal of Accounting and Information Management</t>
  </si>
  <si>
    <t>International Journal of Accounting, Auditing and Performance Evaluation</t>
  </si>
  <si>
    <t>International Journal of Advanced Operations Management</t>
  </si>
  <si>
    <t>International Journal of Applied Financial and Managerial Control</t>
  </si>
  <si>
    <t>International Journal of Auditing</t>
  </si>
  <si>
    <t>International Journal of Bank Marketing</t>
  </si>
  <si>
    <t>International Journal of Banking, Accounting and Finance</t>
  </si>
  <si>
    <t>International Journal of Behavioural Accounting and Finance</t>
  </si>
  <si>
    <t>International Journal of Business and Economics</t>
  </si>
  <si>
    <t>International Journal of Business and Globalisation</t>
  </si>
  <si>
    <t>International Journal of Business and Systems Research</t>
  </si>
  <si>
    <t>International Journal of Business Environment</t>
  </si>
  <si>
    <t>International Journal of Business Governance and Ethics</t>
  </si>
  <si>
    <t>International Journal of Business Innovation and Research</t>
  </si>
  <si>
    <t>International Journal of Business Performance and Supply Chain Modelling</t>
  </si>
  <si>
    <t>International Journal of Business Performance Management</t>
  </si>
  <si>
    <t>International Journal of Business Process Integration and Management</t>
  </si>
  <si>
    <t>International Journal of Business Science and Applied Management</t>
  </si>
  <si>
    <t>International Journal of Business, Accounting, and Finance</t>
  </si>
  <si>
    <t>International Journal of Consumer Studies</t>
  </si>
  <si>
    <t>International Journal of Contemporary Hospitality Management</t>
  </si>
  <si>
    <t>International Journal of Corporate Governance</t>
  </si>
  <si>
    <t>International Journal of Critical Accounting</t>
  </si>
  <si>
    <t>International Journal of Cross Cultural Management</t>
  </si>
  <si>
    <t>International Journal of Digital Accounting Research</t>
  </si>
  <si>
    <t>International Journal of Disclosure and Governance</t>
  </si>
  <si>
    <t>International Journal of Economics and Accounting</t>
  </si>
  <si>
    <t>International Journal of Electronic Business</t>
  </si>
  <si>
    <t>International Journal of Electronic Marketing and Retailing</t>
  </si>
  <si>
    <t>International Journal of Emergency Management</t>
  </si>
  <si>
    <t>International Journal of Emerging Markets</t>
  </si>
  <si>
    <t>International Journal of Entrepreneurial Behavior &amp; Research</t>
  </si>
  <si>
    <t>International Journal of Entrepreneurial Venturing</t>
  </si>
  <si>
    <t>International Journal of Entrepreneurship and Innovation</t>
  </si>
  <si>
    <t>International Journal of Entrepreneurship and Innovation Management</t>
  </si>
  <si>
    <t>International Journal of Entrepreneurship and Small Business</t>
  </si>
  <si>
    <t>International Journal of Finance and Accounting</t>
  </si>
  <si>
    <t>International Journal of Financial Engineering and Risk Management</t>
  </si>
  <si>
    <t>International Journal of Foresight and Innovation Policy</t>
  </si>
  <si>
    <t>International Journal of Globalisation and Small Business</t>
  </si>
  <si>
    <t>International Journal of Hospitality Management</t>
  </si>
  <si>
    <t>International Journal of Human Resources Development and Management</t>
  </si>
  <si>
    <t>International Journal of Industrial and Systems Engineering</t>
  </si>
  <si>
    <t>International Journal of Innovation</t>
  </si>
  <si>
    <t>International Journal of Innovation and Sustainable Development</t>
  </si>
  <si>
    <t>International Journal of Innovation and Technology Management</t>
  </si>
  <si>
    <t>International Journal of Innovation Management</t>
  </si>
  <si>
    <t>International Journal of Innovation Studies</t>
  </si>
  <si>
    <t>International Journal of Internet and Enterprise Management</t>
  </si>
  <si>
    <t>International Journal of Internet Marketing and Advertising</t>
  </si>
  <si>
    <t>International Journal of Inventory Research</t>
  </si>
  <si>
    <t>International Journal of Knowledge Management</t>
  </si>
  <si>
    <t>International Journal of Knowledge Management Studies</t>
  </si>
  <si>
    <t>International Journal of Knowledge, Culture and Change Management</t>
  </si>
  <si>
    <t>International Journal of Knowledge-Based Organizations</t>
  </si>
  <si>
    <t>International Journal of Law and Management</t>
  </si>
  <si>
    <t>International Journal of Leadership Studies</t>
  </si>
  <si>
    <t>International Journal of Lean Six Sigma</t>
  </si>
  <si>
    <t>International Journal of Learning and Intellectual Capital</t>
  </si>
  <si>
    <t>International Journal of Logistics Management</t>
  </si>
  <si>
    <t>International Journal of Logistics Research and Applications</t>
  </si>
  <si>
    <t>International Journal of Management</t>
  </si>
  <si>
    <t>International Journal of Management Accounting Research</t>
  </si>
  <si>
    <t>International Journal of Management and Decision Making</t>
  </si>
  <si>
    <t>International Journal of Management and Enterprise Development</t>
  </si>
  <si>
    <t>International Journal of Management Practice</t>
  </si>
  <si>
    <t>International Journal of Managerial and Financial Accounting</t>
  </si>
  <si>
    <t>International Journal of Managerial Finance</t>
  </si>
  <si>
    <t>International Journal of Managing Projects in Business</t>
  </si>
  <si>
    <t>International Journal of Manpower</t>
  </si>
  <si>
    <t>International Journal of Manufacturing System Design</t>
  </si>
  <si>
    <t>International Journal of Market Research</t>
  </si>
  <si>
    <t>International Journal of Operations and Quantitative Management</t>
  </si>
  <si>
    <t>International Journal of Organization Theory and Behavior</t>
  </si>
  <si>
    <t>International Journal of Organizational Analysis</t>
  </si>
  <si>
    <t>International Journal of Physical Distribution &amp; Logistics Management</t>
  </si>
  <si>
    <t>International Journal of Pluralism and Economics Education</t>
  </si>
  <si>
    <t>International Journal of Procurement Management</t>
  </si>
  <si>
    <t>International Journal of Productivity and Performance Management</t>
  </si>
  <si>
    <t>International Journal of Productivity and Quality Management</t>
  </si>
  <si>
    <t>International Journal of Project Organisation and Management</t>
  </si>
  <si>
    <t>International Journal of Public Sector Performance Management</t>
  </si>
  <si>
    <t>International Journal of Quality &amp; Reliability Management</t>
  </si>
  <si>
    <t>International Journal of Quality and Service Sciences</t>
  </si>
  <si>
    <t>International Journal of Retail &amp; Distribution Management</t>
  </si>
  <si>
    <t>International Journal of Risk Assessment and Management</t>
  </si>
  <si>
    <t>International Journal of Selection and Assessment</t>
  </si>
  <si>
    <t>International Journal of Six Sigma and Competitive Advantage</t>
  </si>
  <si>
    <t>International Journal of Social Entrepreneurship and Innovation</t>
  </si>
  <si>
    <t>International Journal of Strategic Business Alliances</t>
  </si>
  <si>
    <t>International Journal of Strategic Change Management</t>
  </si>
  <si>
    <t>International Journal of Strategic Property Management</t>
  </si>
  <si>
    <t>International Journal of Supply Chain Management</t>
  </si>
  <si>
    <t>International Journal of Sustainable Society</t>
  </si>
  <si>
    <t>International Journal of Technoentrepreneurship</t>
  </si>
  <si>
    <t>International Journal of Technology Marketing</t>
  </si>
  <si>
    <t>International Journal of Technology Policy and Management</t>
  </si>
  <si>
    <t>International Journal of Technology Transfer and Commercialisation</t>
  </si>
  <si>
    <t>International Journal of the Economics of Business</t>
  </si>
  <si>
    <t>International Journal of Theoretical and Applied Finance</t>
  </si>
  <si>
    <t>International Journal of Tourism Research</t>
  </si>
  <si>
    <t>International Journal of Training and Development</t>
  </si>
  <si>
    <t>International Journal of Value Chain Management</t>
  </si>
  <si>
    <t>International Journal of Wine Business Research</t>
  </si>
  <si>
    <t>International Journal on Media Management</t>
  </si>
  <si>
    <t>International Labour Review</t>
  </si>
  <si>
    <t>International Marketing Review</t>
  </si>
  <si>
    <t>International Review of Economics &amp; Finance</t>
  </si>
  <si>
    <t>International Review of Entrepreneurship</t>
  </si>
  <si>
    <t>International Review of Finance</t>
  </si>
  <si>
    <t>International Review of Financial Analysis</t>
  </si>
  <si>
    <t>International Review on Public and Non Profit Marketing</t>
  </si>
  <si>
    <t>International Studies of Management and Organization</t>
  </si>
  <si>
    <t>International Transactions in Operational Research</t>
  </si>
  <si>
    <t>Internationals Journal of Finance and Accounting Studies</t>
  </si>
  <si>
    <t>ISACA Journal</t>
  </si>
  <si>
    <t>Issues in Accounting Education</t>
  </si>
  <si>
    <t>Journal of Academy of Business and Economics</t>
  </si>
  <si>
    <t>Journal of Accounting &amp; Organizational Change</t>
  </si>
  <si>
    <t>Journal of Accounting and Management Information Systems</t>
  </si>
  <si>
    <t>Journal of Accounting and Public Policy</t>
  </si>
  <si>
    <t>Journal of Accounting Auditing and Finance</t>
  </si>
  <si>
    <t>Journal of Accounting in Emerging Economies</t>
  </si>
  <si>
    <t>Journal of Accounting Literature</t>
  </si>
  <si>
    <t>Journal of Accounting, Business and Management</t>
  </si>
  <si>
    <t>Journal of Accounting, Finance &amp; Management Strategy</t>
  </si>
  <si>
    <t>Journal of Advertising</t>
  </si>
  <si>
    <t>Journal of Advertising Research</t>
  </si>
  <si>
    <t>Journal of African Business</t>
  </si>
  <si>
    <t>Journal of Applied Accounting Research</t>
  </si>
  <si>
    <t>Journal of Applied Business Research</t>
  </si>
  <si>
    <t>Journal of Applied Corporate Finance</t>
  </si>
  <si>
    <t>Journal of Applied Management Accounting Research</t>
  </si>
  <si>
    <t>Journal of Applied Management and Entrepreneurship</t>
  </si>
  <si>
    <t>Journal of Applied Packaging Research</t>
  </si>
  <si>
    <t>Journal of Asia - Pacific Business</t>
  </si>
  <si>
    <t>Journal of Asia Entrepreneurship and Sustainability</t>
  </si>
  <si>
    <t>Journal of Asian Business</t>
  </si>
  <si>
    <t>Journal of Asset Management</t>
  </si>
  <si>
    <t>Journal of Behavioral and Applied Management</t>
  </si>
  <si>
    <t>Journal of Behavioral Finance</t>
  </si>
  <si>
    <t>Journal of Business &amp; Entrepreneurship</t>
  </si>
  <si>
    <t>Journal of Business &amp; Industrial Marketing</t>
  </si>
  <si>
    <t>Journal of Business and Psychology</t>
  </si>
  <si>
    <t>Journal of Business Economics</t>
  </si>
  <si>
    <t>Journal of Business Economics and Management</t>
  </si>
  <si>
    <t>Journal of Business Ethics Education</t>
  </si>
  <si>
    <t>Journal of Business Logistics</t>
  </si>
  <si>
    <t>Journal of Business Market Management</t>
  </si>
  <si>
    <t>Journal of Business Models</t>
  </si>
  <si>
    <t>Journal of Business Strategies</t>
  </si>
  <si>
    <t>Journal of Business Strategy</t>
  </si>
  <si>
    <t>Journal of Business Venturing Insights</t>
  </si>
  <si>
    <t>Journal of Chinese Economics and Business Studies</t>
  </si>
  <si>
    <t>Journal of Communication Management</t>
  </si>
  <si>
    <t>Journal of Computational Finance</t>
  </si>
  <si>
    <t>Journal of Consumer Affairs</t>
  </si>
  <si>
    <t>Journal of Consumer Behaviour</t>
  </si>
  <si>
    <t>Journal of Consumer Marketing</t>
  </si>
  <si>
    <t>Journal of Consumer Psychology</t>
  </si>
  <si>
    <t>Journal of Contemporary Accounting and Economics</t>
  </si>
  <si>
    <t>Journal of Contingencies and Crisis Management</t>
  </si>
  <si>
    <t>Journal of Corporate Citizenship</t>
  </si>
  <si>
    <t>Journal of Corporate Real Estate</t>
  </si>
  <si>
    <t>Journal of Creativity and Business Innovation</t>
  </si>
  <si>
    <t>Journal of Current Issues &amp; Research in Advertising</t>
  </si>
  <si>
    <t>Journal of Destination Marketing &amp; Management</t>
  </si>
  <si>
    <t>Journal of Developmental Entrepreneurship</t>
  </si>
  <si>
    <t>Journal of East - West Business</t>
  </si>
  <si>
    <t>Journal of Economics and Business</t>
  </si>
  <si>
    <t>Journal of Economics and Finance</t>
  </si>
  <si>
    <t>Journal of Education for Business</t>
  </si>
  <si>
    <t>Journal of Electronic Commerce in Organizations</t>
  </si>
  <si>
    <t>Journal of Electronic Commerce Research</t>
  </si>
  <si>
    <t>Journal of Emerging Market Finance</t>
  </si>
  <si>
    <t>Journal of Emerging Technologies in Accounting</t>
  </si>
  <si>
    <t>Journal of Energy Markets</t>
  </si>
  <si>
    <t>Journal of Engineering and Technology Management</t>
  </si>
  <si>
    <t>Journal of Enterprising Communities</t>
  </si>
  <si>
    <t>Journal of Enterprising Culture</t>
  </si>
  <si>
    <t>Journal of Entrepreneurship and Public Policy</t>
  </si>
  <si>
    <t>Journal of Entrepreneurship Education</t>
  </si>
  <si>
    <t>Journal of Euromarketing</t>
  </si>
  <si>
    <t>Journal of Evolutionary Economics</t>
  </si>
  <si>
    <t>Journal of Extension</t>
  </si>
  <si>
    <t>Journal of Fashion Marketing and Management</t>
  </si>
  <si>
    <t>Journal of Finance, Accounting and Management</t>
  </si>
  <si>
    <t>Journal of Financial Crime</t>
  </si>
  <si>
    <t>Journal of Financial Regulation and Compliance</t>
  </si>
  <si>
    <t>Journal of Financial Reporting and Accounting</t>
  </si>
  <si>
    <t>Journal of Financial Research</t>
  </si>
  <si>
    <t>Journal of Financial Risk Management</t>
  </si>
  <si>
    <t>Journal of Financial Services Marketing</t>
  </si>
  <si>
    <t>Journal of Financial Stability</t>
  </si>
  <si>
    <t>Journal of Financial Transformation</t>
  </si>
  <si>
    <t>Journal of Food Products Marketing</t>
  </si>
  <si>
    <t>Journal of Foodservice Business Research</t>
  </si>
  <si>
    <t>Journal of Forecasting</t>
  </si>
  <si>
    <t>Journal of General Management</t>
  </si>
  <si>
    <t>Journal of Global Marketing</t>
  </si>
  <si>
    <t>Journal of Global Mobility</t>
  </si>
  <si>
    <t>Journal of Global Operations and Strategic Sourcing</t>
  </si>
  <si>
    <t>Journal of Historical Research in Marketing</t>
  </si>
  <si>
    <t>Journal of Hospitality &amp; Tourism Research</t>
  </si>
  <si>
    <t>Journal of Hospitality Marketing and Management</t>
  </si>
  <si>
    <t>Journal of Human Resources in Hospitality &amp; Tourism</t>
  </si>
  <si>
    <t>Journal of Industrial and Management Optimization</t>
  </si>
  <si>
    <t>Journal of Industrial Engineering and Management</t>
  </si>
  <si>
    <t>Journal of Industry, Competition and Trade</t>
  </si>
  <si>
    <t>Journal of Innovation Economics &amp; Management</t>
  </si>
  <si>
    <t>Journal of Insurance Regulation</t>
  </si>
  <si>
    <t>Journal of Intellectual Capital</t>
  </si>
  <si>
    <t>Journal of International Accounting Research</t>
  </si>
  <si>
    <t>Journal of International Accounting, Auditing and Taxation</t>
  </si>
  <si>
    <t>Journal of International Business and Economy</t>
  </si>
  <si>
    <t>Journal of International Consumer Marketing</t>
  </si>
  <si>
    <t>Journal of International Entrepreneurship</t>
  </si>
  <si>
    <t>Journal of International Financial Management and Accounting</t>
  </si>
  <si>
    <t>Journal of International Financial Markets, Institutions &amp; Money</t>
  </si>
  <si>
    <t>Journal of International Food &amp; Agribusiness Marketing</t>
  </si>
  <si>
    <t>Journal of Internet Commerce</t>
  </si>
  <si>
    <t>Journal of Investment Management</t>
  </si>
  <si>
    <t>Journal of Islamic Accounting and Business Research</t>
  </si>
  <si>
    <t>Journal of Islamic Marketing</t>
  </si>
  <si>
    <t>Journal of Labor Research</t>
  </si>
  <si>
    <t>Journal of Leadership Studies</t>
  </si>
  <si>
    <t>Journal of Macromarketing</t>
  </si>
  <si>
    <t>Journal of Management &amp; Governance</t>
  </si>
  <si>
    <t>Journal of Management &amp; Organization</t>
  </si>
  <si>
    <t>Journal of Management Accounting Research</t>
  </si>
  <si>
    <t>Journal of Management Control</t>
  </si>
  <si>
    <t>Journal of Management Development</t>
  </si>
  <si>
    <t>Journal of Management Inquiry</t>
  </si>
  <si>
    <t>Journal of Manufacturing Technology Management</t>
  </si>
  <si>
    <t>Journal of Marketing Behavior</t>
  </si>
  <si>
    <t>Journal of Marketing Channels</t>
  </si>
  <si>
    <t>Journal of Marketing Education</t>
  </si>
  <si>
    <t>Journal of Marketing for Higher Education</t>
  </si>
  <si>
    <t>Journal of Marketing Management</t>
  </si>
  <si>
    <t>Journal of Marketing Theory and Practice</t>
  </si>
  <si>
    <t>Journal of Material Cycles and Waste Management</t>
  </si>
  <si>
    <t>Journal of Medical Marketing: Device, Diagnostic and Pharmaceutical Marketing</t>
  </si>
  <si>
    <t>Journal of Modelling in Management</t>
  </si>
  <si>
    <t>Journal of Money Laundering Control</t>
  </si>
  <si>
    <t>Journal of Multi-Criteria Decision Analysis</t>
  </si>
  <si>
    <t>Journal of Multinational Financial Management</t>
  </si>
  <si>
    <t>Journal of Nonprofit &amp; Public Sector Marketing</t>
  </si>
  <si>
    <t>Journal of Organization Design</t>
  </si>
  <si>
    <t>Journal of Organizational Behavior Management</t>
  </si>
  <si>
    <t>Journal of Organizational Change Management</t>
  </si>
  <si>
    <t>Journal of Organizational Effectiveness</t>
  </si>
  <si>
    <t>Journal of Pension Economics and Finance</t>
  </si>
  <si>
    <t>Journal of Personal Selling and Sales Management</t>
  </si>
  <si>
    <t>Journal of Policy Research in Tourism, Leisure and Events</t>
  </si>
  <si>
    <t>Journal of Political Marketing</t>
  </si>
  <si>
    <t>Journal of Product and Brand Management</t>
  </si>
  <si>
    <t>Journal of Promotion Management</t>
  </si>
  <si>
    <t>Journal of Property Investment &amp; Finance</t>
  </si>
  <si>
    <t>Journal of Property Research</t>
  </si>
  <si>
    <t>Journal of Public Budgeting, Accounting &amp; Financial Management</t>
  </si>
  <si>
    <t>Journal of Purchasing &amp; Supply Management</t>
  </si>
  <si>
    <t>Journal of Quality Assurance in Hospitality &amp; Tourism</t>
  </si>
  <si>
    <t>Journal of Real Estate Finance and Economics</t>
  </si>
  <si>
    <t>Journal of Real Estate Literature</t>
  </si>
  <si>
    <t>Journal of Real Estate Research</t>
  </si>
  <si>
    <t>Journal of Relationship Marketing</t>
  </si>
  <si>
    <t>Journal of Research for Consumers</t>
  </si>
  <si>
    <t>Journal of Research in Marketing &amp; Entrepreneurship</t>
  </si>
  <si>
    <t>Journal of Retailing and Consumer Services</t>
  </si>
  <si>
    <t>Journal of Revenue and Pricing Management</t>
  </si>
  <si>
    <t>Journal of Risk</t>
  </si>
  <si>
    <t>Journal of Service Management</t>
  </si>
  <si>
    <t>Journal of Services Marketing</t>
  </si>
  <si>
    <t>Journal of Small Business and Enterprise Development</t>
  </si>
  <si>
    <t>Journal of Small Business and Entrepreneurship</t>
  </si>
  <si>
    <t>Journal of Strategic Marketing</t>
  </si>
  <si>
    <t>Journal of Strategy and Management</t>
  </si>
  <si>
    <t>Journal of Teaching in International Business</t>
  </si>
  <si>
    <t>Journal of Tourism, Heritage &amp; Services Marketing</t>
  </si>
  <si>
    <t>Journal of Transnational Management</t>
  </si>
  <si>
    <t>Journal of Travel &amp; Tourism Marketing</t>
  </si>
  <si>
    <t>Journal of Trust Research</t>
  </si>
  <si>
    <t>Journal of Vacation Marketing</t>
  </si>
  <si>
    <t>Journal on Chain and Network Science</t>
  </si>
  <si>
    <t>Judgment and Decision Making</t>
  </si>
  <si>
    <t>Knowledge Management Research &amp; Practice</t>
  </si>
  <si>
    <t>Kvalita Inovácia Prosperita</t>
  </si>
  <si>
    <t>LABOUR</t>
  </si>
  <si>
    <t>Leadership</t>
  </si>
  <si>
    <t>Leadership &amp; Organization Development Journal</t>
  </si>
  <si>
    <t>Leading and Managing</t>
  </si>
  <si>
    <t>Logistics Research</t>
  </si>
  <si>
    <t>London Business School Review</t>
  </si>
  <si>
    <t>M@n@gement</t>
  </si>
  <si>
    <t>Magma: Econas tidsskrift for Økonomi og Ledelse</t>
  </si>
  <si>
    <t>MANAGEMENT - Journal of Contemporary Management Issues</t>
  </si>
  <si>
    <t>Management &amp; Organizational History</t>
  </si>
  <si>
    <t>Management Accounting Quarterly</t>
  </si>
  <si>
    <t>Management and Organization Review</t>
  </si>
  <si>
    <t>Management Decision</t>
  </si>
  <si>
    <t>Management International Review</t>
  </si>
  <si>
    <t>Management Research Review</t>
  </si>
  <si>
    <t>Management Review Quarterly</t>
  </si>
  <si>
    <t>Management Revue</t>
  </si>
  <si>
    <t>Managerial and Decision Economics</t>
  </si>
  <si>
    <t>Managerial Auditing Journal</t>
  </si>
  <si>
    <t>Managerial Finance</t>
  </si>
  <si>
    <t>Managing Service Quality</t>
  </si>
  <si>
    <t>Maritime Economics &amp; Logistics</t>
  </si>
  <si>
    <t>Marketing Intelligence &amp; Planning</t>
  </si>
  <si>
    <t>Marketing Research</t>
  </si>
  <si>
    <t>Markets, Globalization &amp; Development Review: The Official Journal of the International Society of Markets and Development</t>
  </si>
  <si>
    <t>Measuring Business Excellence</t>
  </si>
  <si>
    <t>Military Operations Research</t>
  </si>
  <si>
    <t>Multinational Finance Journal</t>
  </si>
  <si>
    <t>New Directions for Institutional Research</t>
  </si>
  <si>
    <t>New England Journal of Entrepreneurship</t>
  </si>
  <si>
    <t>Nonprofit Management and Leadership</t>
  </si>
  <si>
    <t>Nordic Journal of Business</t>
  </si>
  <si>
    <t>Nordic Journal of Surveying and Real Estate Research</t>
  </si>
  <si>
    <t>Nordiske Organisasjonsstudier</t>
  </si>
  <si>
    <t>Open Journal of Accounting</t>
  </si>
  <si>
    <t>Operations and Supply Chain Management: An International Journal</t>
  </si>
  <si>
    <t>Operations Management Research</t>
  </si>
  <si>
    <t>OR Spectrum - Quantitative Approaches in Management</t>
  </si>
  <si>
    <t>Organizacija: journal of management, informatics and human resources</t>
  </si>
  <si>
    <t>Organizational Dynamics</t>
  </si>
  <si>
    <t>Pacific Rim Property Research Journal</t>
  </si>
  <si>
    <t>Pacific-Basin Finance Journal</t>
  </si>
  <si>
    <t>Performance Improvement Quarterly</t>
  </si>
  <si>
    <t>Philosophy of Management</t>
  </si>
  <si>
    <t>Property Management</t>
  </si>
  <si>
    <t>Public Personnel Management</t>
  </si>
  <si>
    <t>Public Services Quarterly</t>
  </si>
  <si>
    <t>Public Works Management &amp; Policy</t>
  </si>
  <si>
    <t>Qualitative Market Research</t>
  </si>
  <si>
    <t>Qualitative Research in Accounting &amp; Management</t>
  </si>
  <si>
    <t>Qualitative Research in Financial Markets</t>
  </si>
  <si>
    <t>Quality Management Journal</t>
  </si>
  <si>
    <t>Quality Progress</t>
  </si>
  <si>
    <t>Quality Technology and Quantitative Management</t>
  </si>
  <si>
    <t>Quantitative Finance</t>
  </si>
  <si>
    <t>RAIRO - Operations Research</t>
  </si>
  <si>
    <t>Recherche et Applications en Marketing</t>
  </si>
  <si>
    <t>Research in International Business and Finance</t>
  </si>
  <si>
    <t>Research in Labor Economics</t>
  </si>
  <si>
    <t>Research in Transportation Business and Management</t>
  </si>
  <si>
    <t>Research Journal of Finance and Accounting</t>
  </si>
  <si>
    <t>Research on Professional Responsibility and Ethics in Accounting</t>
  </si>
  <si>
    <t>Research Technology Management</t>
  </si>
  <si>
    <t>Review of Accounting and Finance</t>
  </si>
  <si>
    <t>Review of Behavioral Finance</t>
  </si>
  <si>
    <t>Review of Business and Finance Studies</t>
  </si>
  <si>
    <t>Review of Derivatives Research</t>
  </si>
  <si>
    <t>Review of Financial Economics</t>
  </si>
  <si>
    <t>Review of Industrial Organization</t>
  </si>
  <si>
    <t>Review of Managerial Science</t>
  </si>
  <si>
    <t>Review of Marketing Research</t>
  </si>
  <si>
    <t>Review of Marketing Science</t>
  </si>
  <si>
    <t>Review of Middle East Economics and Finance</t>
  </si>
  <si>
    <t>Review of Network Economics</t>
  </si>
  <si>
    <t>Review of Pacific Basin Financial Markets and Policies</t>
  </si>
  <si>
    <t>Review of Public Personnel Administration</t>
  </si>
  <si>
    <t>Review of Quantitative Finance and Accounting</t>
  </si>
  <si>
    <t>Revista Brasileira de Finanças</t>
  </si>
  <si>
    <t>Risk Management</t>
  </si>
  <si>
    <t>Risk Management and Insurance Review</t>
  </si>
  <si>
    <t>Samfundslederskab i Skandinavien</t>
  </si>
  <si>
    <t>Schmalenbach Business Review</t>
  </si>
  <si>
    <t>Schmalenbachs Zeitschrift für betriebswirtschaftliche Forschung</t>
  </si>
  <si>
    <t>Service Business</t>
  </si>
  <si>
    <t>Services Marketing Quarterly</t>
  </si>
  <si>
    <t>Small Enterprise Research</t>
  </si>
  <si>
    <t>Social Enterprise Journal</t>
  </si>
  <si>
    <t>Social Marketing Quarterly</t>
  </si>
  <si>
    <t>Social Network Analysis and Mining</t>
  </si>
  <si>
    <t>Society and Business Review</t>
  </si>
  <si>
    <t>Spanish Journal of Finance and Accounting / Revista Española de Financiación y Contabilidad</t>
  </si>
  <si>
    <t>Sport Management Review</t>
  </si>
  <si>
    <t>Sport, Business and Management</t>
  </si>
  <si>
    <t>Strategic Behavior and the Environment</t>
  </si>
  <si>
    <t>Strategic Management Review</t>
  </si>
  <si>
    <t>Strategy &amp; Leadership</t>
  </si>
  <si>
    <t>Strategy Science</t>
  </si>
  <si>
    <t>Studies in Accounting Research</t>
  </si>
  <si>
    <t>Studies in Managerial and Financial Accounting</t>
  </si>
  <si>
    <t>System Dynamics Review</t>
  </si>
  <si>
    <t>Systemic Practice and Action Research</t>
  </si>
  <si>
    <t>Systems Research and Behavioral Science</t>
  </si>
  <si>
    <t>T+D</t>
  </si>
  <si>
    <t>Team Performance Management</t>
  </si>
  <si>
    <t>The British Accounting Review</t>
  </si>
  <si>
    <t>The Data Envelopment Analysis Journal</t>
  </si>
  <si>
    <t>The Engineering Economist</t>
  </si>
  <si>
    <t>The European Journal of Finance</t>
  </si>
  <si>
    <t>The Financial Review</t>
  </si>
  <si>
    <t>The IMP Journal</t>
  </si>
  <si>
    <t>The Innovation Journal</t>
  </si>
  <si>
    <t>The International Entrepreneurship and Management Journal</t>
  </si>
  <si>
    <t>The International Journal of Accounting</t>
  </si>
  <si>
    <t>The International Review of Retail, Distribution and Consumer Research</t>
  </si>
  <si>
    <t>The International Trade Journal</t>
  </si>
  <si>
    <t>The Journal of Brand Management</t>
  </si>
  <si>
    <t>The Journal of Change Management</t>
  </si>
  <si>
    <t>The Journal of Credit Risk</t>
  </si>
  <si>
    <t>The Journal of Derivatives</t>
  </si>
  <si>
    <t>The Journal of Entrepreneurship</t>
  </si>
  <si>
    <t>The Journal of Futures Markets</t>
  </si>
  <si>
    <t>The Journal of High Technology Management Research</t>
  </si>
  <si>
    <t>The Journal of Operational Risk</t>
  </si>
  <si>
    <t>The Journal of Portfolio Management</t>
  </si>
  <si>
    <t>The Journal of Private Equity</t>
  </si>
  <si>
    <t>The Journal of Real Estate Portfolio Management</t>
  </si>
  <si>
    <t>The Journal of Risk Finance</t>
  </si>
  <si>
    <t>The Journal of Wealth Management</t>
  </si>
  <si>
    <t>The North American Journal of Economics and Finance</t>
  </si>
  <si>
    <t>The Quarterly Review of Economics and Finance</t>
  </si>
  <si>
    <t>The Service Industries Journal</t>
  </si>
  <si>
    <t>The T Q M Journal</t>
  </si>
  <si>
    <t>Thunderbird International Business Review</t>
  </si>
  <si>
    <t>Tizard Learning Disability Review</t>
  </si>
  <si>
    <t>Total Quality Management &amp; Business Excellence</t>
  </si>
  <si>
    <t>Tourism Economics</t>
  </si>
  <si>
    <t>Tourism Management Perspectives</t>
  </si>
  <si>
    <t>Tourism Recreation Research</t>
  </si>
  <si>
    <t>Tourism Review</t>
  </si>
  <si>
    <t>Tourism Review International</t>
  </si>
  <si>
    <t>Transnational Corporations</t>
  </si>
  <si>
    <t xml:space="preserve">Triple Helix </t>
  </si>
  <si>
    <t>Trziste</t>
  </si>
  <si>
    <t>Universal Journal of Management</t>
  </si>
  <si>
    <t>Venture Capital</t>
  </si>
  <si>
    <t>World Review of Entrepreneurship, Management and Sustainable Development</t>
  </si>
  <si>
    <t>Young Consumers</t>
  </si>
  <si>
    <t>Yugoslav Journal of Operations Research</t>
  </si>
  <si>
    <t>ZfKE – Zeitschrift für KMU und Entrepreneurship</t>
  </si>
  <si>
    <t>Psykologi</t>
  </si>
  <si>
    <t>Acta Psychologica</t>
  </si>
  <si>
    <t>Advances in Experimental Social Psychology</t>
  </si>
  <si>
    <t>Annual Review of Clinical Psychology</t>
  </si>
  <si>
    <t>Annual Review of Psychology</t>
  </si>
  <si>
    <t>Archives of Sexual Behavior</t>
  </si>
  <si>
    <t>Attachment &amp; Human Development</t>
  </si>
  <si>
    <t>Attention, Perception &amp; Psychophysics</t>
  </si>
  <si>
    <t>Behaviour Research and Therapy</t>
  </si>
  <si>
    <t>Biological Psychology</t>
  </si>
  <si>
    <t>Brain and Cognition</t>
  </si>
  <si>
    <t>Child Development</t>
  </si>
  <si>
    <t>Clinical Child and Family Psychology Review</t>
  </si>
  <si>
    <t>Clinical Psychology Review</t>
  </si>
  <si>
    <t>Cognition</t>
  </si>
  <si>
    <t>Cognition and Emotion</t>
  </si>
  <si>
    <t>Cognitive Neuropsychology</t>
  </si>
  <si>
    <t>Cognitive Psychology</t>
  </si>
  <si>
    <t>Cognitive Science</t>
  </si>
  <si>
    <t>Consciousness and Cognition</t>
  </si>
  <si>
    <t>Culture &amp; Psychology</t>
  </si>
  <si>
    <t>Depression and Anxiety</t>
  </si>
  <si>
    <t>Development and Psychopathology</t>
  </si>
  <si>
    <t>Developmental Psychology</t>
  </si>
  <si>
    <t>Developmental Science</t>
  </si>
  <si>
    <t>European Journal of Personality</t>
  </si>
  <si>
    <t>European Journal of Psychotraumatology</t>
  </si>
  <si>
    <t>European Journal of Social Psychology</t>
  </si>
  <si>
    <t>Evolution and Human Behavior</t>
  </si>
  <si>
    <t>Health Psychology</t>
  </si>
  <si>
    <t>Infant Behavior and Development</t>
  </si>
  <si>
    <t>Intelligence</t>
  </si>
  <si>
    <t>Journal of Abnormal Child Psychology</t>
  </si>
  <si>
    <t>Journal of Abnormal Psychology</t>
  </si>
  <si>
    <t>Journal of Applied Psychology</t>
  </si>
  <si>
    <t>Journal of Attention Disorders</t>
  </si>
  <si>
    <t>Journal of Child Psychology and Psychiatry</t>
  </si>
  <si>
    <t>Journal of Comparative Psychology</t>
  </si>
  <si>
    <t>Journal of Consulting and Clinical Psychology</t>
  </si>
  <si>
    <t>Journal of Cross-Cultural Psychology</t>
  </si>
  <si>
    <t>Journal of Educational Psychology</t>
  </si>
  <si>
    <t>Journal of Environmental Psychology</t>
  </si>
  <si>
    <t>Journal of Experimental Psychology: General</t>
  </si>
  <si>
    <t>Journal of Experimental Psychology: Human Perception and Performance</t>
  </si>
  <si>
    <t>Journal of Experimental Psychology: Learning, Memory, and Cognition</t>
  </si>
  <si>
    <t>Journal of Occupational and Organizational Psychology</t>
  </si>
  <si>
    <t>Journal of Personality</t>
  </si>
  <si>
    <t>Journal of Personality and Social Psychology</t>
  </si>
  <si>
    <t>Journal of Personality Disorders</t>
  </si>
  <si>
    <t>Journal of the International Neuropsychological Society</t>
  </si>
  <si>
    <t>Memory</t>
  </si>
  <si>
    <t>Memory &amp; Cognition</t>
  </si>
  <si>
    <t>Neuropsychologia</t>
  </si>
  <si>
    <t>Neuropsychology</t>
  </si>
  <si>
    <t>Personality and Individual Differences</t>
  </si>
  <si>
    <t>Personality and Social Psychology Bulletin</t>
  </si>
  <si>
    <t>Personality and Social Psychology Review</t>
  </si>
  <si>
    <t>Personnel Psychology</t>
  </si>
  <si>
    <t>Perspectives on Psychological Science</t>
  </si>
  <si>
    <t>Psychological Assessment</t>
  </si>
  <si>
    <t>Psychological Bulletin</t>
  </si>
  <si>
    <t>Psychological Inquiry</t>
  </si>
  <si>
    <t>Psychological Methods</t>
  </si>
  <si>
    <t>Psychological Research</t>
  </si>
  <si>
    <t>Psychological Review</t>
  </si>
  <si>
    <t>Psychological Science</t>
  </si>
  <si>
    <t>Psychological Science in the Public Interest</t>
  </si>
  <si>
    <t>Psychology and Aging</t>
  </si>
  <si>
    <t>Psychology of Aesthetics, Creativity, and the Arts</t>
  </si>
  <si>
    <t>Psychology of Learning and Motivation</t>
  </si>
  <si>
    <t>Psychometrika</t>
  </si>
  <si>
    <t>Psychonomic Bulletin &amp; Review</t>
  </si>
  <si>
    <t>Psycho-Oncology</t>
  </si>
  <si>
    <t>Psychotherapy</t>
  </si>
  <si>
    <t>Qualitative Research in Psychology</t>
  </si>
  <si>
    <t xml:space="preserve">Stress: The International Journal on the Biology of Stress </t>
  </si>
  <si>
    <t>The International Journal of Psychoanalysis</t>
  </si>
  <si>
    <t>Theory &amp; Psychology</t>
  </si>
  <si>
    <t>Trends in Cognitive Sciences</t>
  </si>
  <si>
    <t>Visual Cognition</t>
  </si>
  <si>
    <t>Work and Stress</t>
  </si>
  <si>
    <t>Activities, Adaptation &amp; Aging</t>
  </si>
  <si>
    <t>Adaptive Behavior</t>
  </si>
  <si>
    <t>Addictive Behaviors</t>
  </si>
  <si>
    <t>Addictive Behaviors Reports</t>
  </si>
  <si>
    <t>Addictive Disorders &amp; Their Treatment</t>
  </si>
  <si>
    <t>ADHD Report</t>
  </si>
  <si>
    <t>Adoption &amp; Fostering</t>
  </si>
  <si>
    <t>Adoption Quarterly</t>
  </si>
  <si>
    <t>Advances in Child Development and Behavior</t>
  </si>
  <si>
    <t>Advances in Consciousness Research</t>
  </si>
  <si>
    <t>Advances In Cultural Psychology: Constructing Human Development</t>
  </si>
  <si>
    <t>Advances in Dual Diagnosis</t>
  </si>
  <si>
    <t>Advances in Eating Disorders: Theory, Research, &amp; Practice</t>
  </si>
  <si>
    <t>Advances in the Study of Behavior</t>
  </si>
  <si>
    <t>Aggression and Violent Behavior</t>
  </si>
  <si>
    <t>Aggressive Behavior</t>
  </si>
  <si>
    <t>Alcohol and Alcoholism</t>
  </si>
  <si>
    <t>American Journal of Clinical Hypnosis</t>
  </si>
  <si>
    <t>American Journal of Community Psychology</t>
  </si>
  <si>
    <t>American Journal of Drug and Alcohol Abuse</t>
  </si>
  <si>
    <t>American Journal of Psychology</t>
  </si>
  <si>
    <t>American Journal of Psychotherapy</t>
  </si>
  <si>
    <t>American Journal on Addictions</t>
  </si>
  <si>
    <t>American Psychologist</t>
  </si>
  <si>
    <t>American Psychology-Law Society Series</t>
  </si>
  <si>
    <t>Annals of Behavioral Medicine</t>
  </si>
  <si>
    <t>Année psychologique - Topics in Cognitive Psychology</t>
  </si>
  <si>
    <t>Annual Review of Critical Psychology</t>
  </si>
  <si>
    <t>Anxiety, Stress and Coping</t>
  </si>
  <si>
    <t>Applied Cognitive Psychology</t>
  </si>
  <si>
    <t>Applied Developmental Science</t>
  </si>
  <si>
    <t>Applied Psychological Measurement</t>
  </si>
  <si>
    <t>Applied Psychology</t>
  </si>
  <si>
    <t>Applied Psychophysiology and Biofeedback</t>
  </si>
  <si>
    <t>Archives of Clinical Neuropsychology</t>
  </si>
  <si>
    <t>Asian Journal of Social Psychology</t>
  </si>
  <si>
    <t>Assessment</t>
  </si>
  <si>
    <t>Australian and New Zealand Journal of Family Therapy</t>
  </si>
  <si>
    <t>Australian Journal of Educational and Developmental Psychology</t>
  </si>
  <si>
    <t>Australian Journal of Psychology</t>
  </si>
  <si>
    <t>Australian Psychologist</t>
  </si>
  <si>
    <t>Autism</t>
  </si>
  <si>
    <t>Autism Research</t>
  </si>
  <si>
    <t>Basic and Applied Social Psychology</t>
  </si>
  <si>
    <t>Behavior and Philosophy</t>
  </si>
  <si>
    <t>Behavior Genetics</t>
  </si>
  <si>
    <t>Behavior Modification</t>
  </si>
  <si>
    <t>Behavior Research Methods</t>
  </si>
  <si>
    <t>Behavior Therapy</t>
  </si>
  <si>
    <t>Behavioral Disorders</t>
  </si>
  <si>
    <t>Behavioral Interventions</t>
  </si>
  <si>
    <t>Behavioral Medicine</t>
  </si>
  <si>
    <t>Behavioral Neuroscience</t>
  </si>
  <si>
    <t>Behaviour</t>
  </si>
  <si>
    <t>Behaviour Change</t>
  </si>
  <si>
    <t>Behavioural and Cognitive Psychotherapy</t>
  </si>
  <si>
    <t>Behavioural Brain Research</t>
  </si>
  <si>
    <t>Behavioural Processes</t>
  </si>
  <si>
    <t>BMC Psychology</t>
  </si>
  <si>
    <t>Body Image</t>
  </si>
  <si>
    <t>British Journal of Clinical Psychology</t>
  </si>
  <si>
    <t>British Journal of Developmental Psychology</t>
  </si>
  <si>
    <t>British Journal of Educational Psychology</t>
  </si>
  <si>
    <t>British Journal of Mathematical and Statistical Psychology</t>
  </si>
  <si>
    <t>British Journal of Psychology</t>
  </si>
  <si>
    <t>British Journal of Psychotherapy</t>
  </si>
  <si>
    <t>British Journal of Social Psychology</t>
  </si>
  <si>
    <t>Bulletin of the International Society for the Study of Behavioral Development</t>
  </si>
  <si>
    <t>Bulletin of the Menninger Clinic: A Journal for the Mental Health Professions</t>
  </si>
  <si>
    <t>Cambridge Handbooks In Psychology</t>
  </si>
  <si>
    <t>Canadian Journal of Behavioural Science</t>
  </si>
  <si>
    <t>Canadian Journal of Community Mental Health</t>
  </si>
  <si>
    <t>Canadian Journal of Counselling and Psychotherapy</t>
  </si>
  <si>
    <t>Canadian Journal of Experimental Psychology</t>
  </si>
  <si>
    <t>Canadian Journal of Human Sexuality</t>
  </si>
  <si>
    <t>Canadian Journal of Program Evaluation</t>
  </si>
  <si>
    <t>Canadian Journal of School Psychology</t>
  </si>
  <si>
    <t>Canadian Psychology</t>
  </si>
  <si>
    <t>Career Development and Transition for Exceptional Individuals</t>
  </si>
  <si>
    <t>Child &amp; Family Behavior Therapy</t>
  </si>
  <si>
    <t>Child Development Perspectives</t>
  </si>
  <si>
    <t>Child Development Research</t>
  </si>
  <si>
    <t>Child Psychiatry &amp; Human Development</t>
  </si>
  <si>
    <t>Child: Care, Health and Development</t>
  </si>
  <si>
    <t>Clinical Psychological Science</t>
  </si>
  <si>
    <t>Clinical Psychologist</t>
  </si>
  <si>
    <t>Clinical Psychology &amp; Psychotherapy</t>
  </si>
  <si>
    <t>Clinical Psychology: Science and Practice</t>
  </si>
  <si>
    <t>Clinical Trials</t>
  </si>
  <si>
    <t>Cognition, Equity And Society: International Perspectives</t>
  </si>
  <si>
    <t>Cognitive and Behavioral Practice</t>
  </si>
  <si>
    <t>Cognitive Behaviour Therapy</t>
  </si>
  <si>
    <t>Cognitive Development</t>
  </si>
  <si>
    <t>Cognitive Processing</t>
  </si>
  <si>
    <t>Cognitive Science and Technology</t>
  </si>
  <si>
    <t>Cognitive Systems Research</t>
  </si>
  <si>
    <t>Cognitive Therapy and Research</t>
  </si>
  <si>
    <t>Cognitive, Affective, &amp; Behavioral Neuroscience</t>
  </si>
  <si>
    <t>Communication Disorders Quarterly</t>
  </si>
  <si>
    <t>Community Mental Health Journal</t>
  </si>
  <si>
    <t>Consciousness &amp; Emotion Book Series</t>
  </si>
  <si>
    <t>Consulting Psychology Journal: Practice and Research</t>
  </si>
  <si>
    <t>Contemporary Drug Problems</t>
  </si>
  <si>
    <t>Contemporary Family Therapy</t>
  </si>
  <si>
    <t>Contemporary Hypnosis &amp; Integrative Therapy</t>
  </si>
  <si>
    <t>Contemporary Psychoanalysis</t>
  </si>
  <si>
    <t>Counseling and Values</t>
  </si>
  <si>
    <t>Counselling and Psychotherapy Research</t>
  </si>
  <si>
    <t>Counselling Psychology Quarterly</t>
  </si>
  <si>
    <t>Creativity Theory and Action in Education</t>
  </si>
  <si>
    <t>Criminal Justice and Behavior</t>
  </si>
  <si>
    <t>Cultural Diversity &amp; Ethnic Minority Psychology</t>
  </si>
  <si>
    <t>Cultural Dynamics of Social Representation</t>
  </si>
  <si>
    <t>Cultural Psychology of Education</t>
  </si>
  <si>
    <t>Cultural-Historical Psychology</t>
  </si>
  <si>
    <t>Current Addiction Reports</t>
  </si>
  <si>
    <t>Current Directions in Psychological Science</t>
  </si>
  <si>
    <t>Current Issues In Consciousness Research</t>
  </si>
  <si>
    <t>Current Opinion in Psychology</t>
  </si>
  <si>
    <t>Current Psychology</t>
  </si>
  <si>
    <t>Current Research in Social Psychology</t>
  </si>
  <si>
    <t>CyberPsychology, Behavior and Social Networking</t>
  </si>
  <si>
    <t>Death Studies</t>
  </si>
  <si>
    <t>Departures in Critical Qualitative Research</t>
  </si>
  <si>
    <t>Developmental Neuropsychology</t>
  </si>
  <si>
    <t>Developmental Review</t>
  </si>
  <si>
    <t>Deviant Behavior</t>
  </si>
  <si>
    <t>Diagnostica</t>
  </si>
  <si>
    <t>Dreaming</t>
  </si>
  <si>
    <t>Drug and Alcohol Review</t>
  </si>
  <si>
    <t>Drugs: Education, Prevention and Policy</t>
  </si>
  <si>
    <t>Eating and Weight Disorders</t>
  </si>
  <si>
    <t>Ecological Psychology</t>
  </si>
  <si>
    <t>Educational Psychology in Practice</t>
  </si>
  <si>
    <t>Educational Psychology Review</t>
  </si>
  <si>
    <t>Emerging Adulthood</t>
  </si>
  <si>
    <t>Emotion</t>
  </si>
  <si>
    <t>Emotional and Behavioural Difficulties</t>
  </si>
  <si>
    <t>Environment and Behavior</t>
  </si>
  <si>
    <t>Estudios de Psicologia</t>
  </si>
  <si>
    <t>Estudos de Psicologia</t>
  </si>
  <si>
    <t>Ethical Human Psychology and Psychiatry: an international journal of critical inquiry</t>
  </si>
  <si>
    <t>Ethics &amp; Behavior</t>
  </si>
  <si>
    <t>European Addiction Research</t>
  </si>
  <si>
    <t>European Journal of Behavior Analysis</t>
  </si>
  <si>
    <t>European Journal of Developmental Psychology</t>
  </si>
  <si>
    <t>European Journal of Humour Research</t>
  </si>
  <si>
    <t>European Journal of Psychological Assessment</t>
  </si>
  <si>
    <t>European Journal of Psychotherapy &amp; Counselling</t>
  </si>
  <si>
    <t>European Psychologist</t>
  </si>
  <si>
    <t>European Review of Social Psychology</t>
  </si>
  <si>
    <t>Europe's Journal of Psychology</t>
  </si>
  <si>
    <t>Evaluation Review</t>
  </si>
  <si>
    <t>Evolutionary Behavioral Sciences</t>
  </si>
  <si>
    <t>Evolutionary Psychology</t>
  </si>
  <si>
    <t>Exceptionality</t>
  </si>
  <si>
    <t>Experimental Aging Research</t>
  </si>
  <si>
    <t>Experimental Psychology</t>
  </si>
  <si>
    <t>Family Process</t>
  </si>
  <si>
    <t>Focus on Autism and Other Developmental Disabilities</t>
  </si>
  <si>
    <t>Fokus paa Familien</t>
  </si>
  <si>
    <t>Forum der Psychoanalyse</t>
  </si>
  <si>
    <t>Forum Kritische Psychologie - Neue Folge</t>
  </si>
  <si>
    <t>Frontiers in Psychology</t>
  </si>
  <si>
    <t>GeroPsych</t>
  </si>
  <si>
    <t>Gestalt Review</t>
  </si>
  <si>
    <t>Gestalt Theory</t>
  </si>
  <si>
    <t>Group</t>
  </si>
  <si>
    <t>Group Analysis</t>
  </si>
  <si>
    <t>Group Dynamics</t>
  </si>
  <si>
    <t>Group Processes &amp; Intergroup Relations</t>
  </si>
  <si>
    <t>Gruppendynamik und Organisationsberatung</t>
  </si>
  <si>
    <t>Gruppenpsychotherapie und Gruppendynamik</t>
  </si>
  <si>
    <t>Health Psychology and Behavioral Medicine</t>
  </si>
  <si>
    <t>Health Psychology Review</t>
  </si>
  <si>
    <t>Hellenic Journal of Psychology</t>
  </si>
  <si>
    <t>Hispanic Journal of Behavioral Sciences</t>
  </si>
  <si>
    <t>History of Psychology</t>
  </si>
  <si>
    <t>Human Arenas - An interdisciplinary Journal of Psychology, Culture, and Meaning</t>
  </si>
  <si>
    <t>Human Development</t>
  </si>
  <si>
    <t>Human Factors</t>
  </si>
  <si>
    <t>Human Nature: An Interdisciplinary Biosocial Perspective</t>
  </si>
  <si>
    <t>Human Performance</t>
  </si>
  <si>
    <t>Humor: International journal of humor research</t>
  </si>
  <si>
    <t>Identity</t>
  </si>
  <si>
    <t>Illness, Crisis, and Loss</t>
  </si>
  <si>
    <t>Imagination, Cognition and Personality</t>
  </si>
  <si>
    <t>Industrial and Organizational Psychology</t>
  </si>
  <si>
    <t>Infancy</t>
  </si>
  <si>
    <t>Infant and Child Development</t>
  </si>
  <si>
    <t>Infant Mental Health Journal</t>
  </si>
  <si>
    <t>Infant Observation</t>
  </si>
  <si>
    <t>Infants and Young Children</t>
  </si>
  <si>
    <t>Integrative Psychological &amp; Behavioral Science</t>
  </si>
  <si>
    <t>Intellectica</t>
  </si>
  <si>
    <t>Intellectual and Developmental Disabilities</t>
  </si>
  <si>
    <t>Interaction Studies</t>
  </si>
  <si>
    <t>Interamerican Journal of Psychology</t>
  </si>
  <si>
    <t>International Journal for the Advancement of Counselling</t>
  </si>
  <si>
    <t>International Journal of Adolescence and Youth</t>
  </si>
  <si>
    <t>International Journal of Behavioral Development</t>
  </si>
  <si>
    <t>International Journal of Clinical and Experimental Hypnosis</t>
  </si>
  <si>
    <t>International Journal of Cognitive Therapy</t>
  </si>
  <si>
    <t>International Journal of Comparative Psychology</t>
  </si>
  <si>
    <t>International Journal of Developmental Science</t>
  </si>
  <si>
    <t>International Journal of Early Childhood</t>
  </si>
  <si>
    <t>International Journal of Eating Disorders</t>
  </si>
  <si>
    <t>International Journal of Group Psychotherapy</t>
  </si>
  <si>
    <t>International Journal of Mental Health</t>
  </si>
  <si>
    <t>International Journal of Mental Health and Addiction</t>
  </si>
  <si>
    <t>International Journal of Mental Health Promotion</t>
  </si>
  <si>
    <t>International Journal of Offender Therapy and Comparative Criminology</t>
  </si>
  <si>
    <t>International Journal of Primatology</t>
  </si>
  <si>
    <t>International Journal of Psychoanalytic Self Psychology</t>
  </si>
  <si>
    <t>International Journal of Psychology</t>
  </si>
  <si>
    <t>International Journal of Psychophysiology</t>
  </si>
  <si>
    <t>International Journal of Sexual Health</t>
  </si>
  <si>
    <t>International Journal of Stress Management</t>
  </si>
  <si>
    <t>International Journal of Testing</t>
  </si>
  <si>
    <t>International Journal of Transitions in Childhood</t>
  </si>
  <si>
    <t>International Journal of Work Organisation and Emotion</t>
  </si>
  <si>
    <t>International Perspectives in Psychology: Research, Practice, Consultation</t>
  </si>
  <si>
    <t>International Review of Qualitative Research</t>
  </si>
  <si>
    <t>International Review of Research in Developmental Disabilities</t>
  </si>
  <si>
    <t>Internet Interventions</t>
  </si>
  <si>
    <t>Irish Journal of Psychological Medicine</t>
  </si>
  <si>
    <t>Japanese Psychological Research</t>
  </si>
  <si>
    <t>Journal de Therapie Comportamentale et Cognitive</t>
  </si>
  <si>
    <t>Journal for Specialists in Group Work</t>
  </si>
  <si>
    <t>Journal for the Cognitive Science of Religion</t>
  </si>
  <si>
    <t>Journal für Psychologie</t>
  </si>
  <si>
    <t>Journal of Addictive Diseases</t>
  </si>
  <si>
    <t>Journal of Adolescence</t>
  </si>
  <si>
    <t>Journal of Adolescent Research</t>
  </si>
  <si>
    <t>Journal of Affective Disorders</t>
  </si>
  <si>
    <t>Journal of Analytical Psychology</t>
  </si>
  <si>
    <t>Journal of Applied Behavior Analysis</t>
  </si>
  <si>
    <t>Journal of Applied Developmental Psychology</t>
  </si>
  <si>
    <t>Journal of Applied Research in Intellectual Disabilities</t>
  </si>
  <si>
    <t>Journal of Applied Research in Memory and Cognition</t>
  </si>
  <si>
    <t>Journal of Applied Social Psychology</t>
  </si>
  <si>
    <t>Journal of Articles in Support of the Null Hypothesis</t>
  </si>
  <si>
    <t>Journal of Autism and Developmental Disorders</t>
  </si>
  <si>
    <t>Journal of Behavioral Decision Making</t>
  </si>
  <si>
    <t>Journal of Behavioral Medicine</t>
  </si>
  <si>
    <t>Journal of Bisexuality</t>
  </si>
  <si>
    <t>Journal of Career Assessment</t>
  </si>
  <si>
    <t>Journal of Career Development</t>
  </si>
  <si>
    <t>Journal of Child &amp; Adolescent Substance Abuse</t>
  </si>
  <si>
    <t>Journal of Child and Adolescent Mental Health</t>
  </si>
  <si>
    <t>Journal of Child Psychotherapy</t>
  </si>
  <si>
    <t>Journal of Classification</t>
  </si>
  <si>
    <t>Journal of Clinical Child and Adolescent Psychology</t>
  </si>
  <si>
    <t>Journal of Clinical Psychology</t>
  </si>
  <si>
    <t>Journal of Clinical Psychology in Medical Settings</t>
  </si>
  <si>
    <t>Journal of Cognition and Culture</t>
  </si>
  <si>
    <t>Journal of Cognition and Development</t>
  </si>
  <si>
    <t>Journal of Cognitive and Behavioral Psychotherapies</t>
  </si>
  <si>
    <t>Journal of Cognitive Education and Psychology</t>
  </si>
  <si>
    <t>Journal of Cognitive Neuroscience</t>
  </si>
  <si>
    <t>Journal of Cognitive Psychology</t>
  </si>
  <si>
    <t>Journal of College Student Psychotherapy</t>
  </si>
  <si>
    <t>Journal of Community &amp; Applied Social Psychology</t>
  </si>
  <si>
    <t>Journal of Community Psychology</t>
  </si>
  <si>
    <t>Journal of Constructivist Psychology</t>
  </si>
  <si>
    <t>Journal of Contemporary Psychotherapy</t>
  </si>
  <si>
    <t>Journal of Counseling Psychology</t>
  </si>
  <si>
    <t>Journal of Couple &amp; Relationship Therapy</t>
  </si>
  <si>
    <t>Journal of Criminal Justice Education</t>
  </si>
  <si>
    <t>Journal of Developmental and Behavioral Pediatrics</t>
  </si>
  <si>
    <t>Journal of Drug and Alcohol Research</t>
  </si>
  <si>
    <t>Journal of Drug Issues</t>
  </si>
  <si>
    <t>Journal of Early Intervention</t>
  </si>
  <si>
    <t>Journal of Eating Disorders</t>
  </si>
  <si>
    <t>Journal of Educational and Psychological Consultation</t>
  </si>
  <si>
    <t>Journal of Emotional and Behavioral Disorders</t>
  </si>
  <si>
    <t>Journal of Employment Counseling</t>
  </si>
  <si>
    <t>Journal of Evolutionary Psychology</t>
  </si>
  <si>
    <t>Journal of Experimental Child Psychology</t>
  </si>
  <si>
    <t>Journal of Experimental Psychology: Animal Behavior Processes</t>
  </si>
  <si>
    <t>Journal of Experimental Psychology: Applied</t>
  </si>
  <si>
    <t>Journal of Experimental Psychopathology</t>
  </si>
  <si>
    <t>Journal of Experimental Social Psychology</t>
  </si>
  <si>
    <t>Journal of Family Communication</t>
  </si>
  <si>
    <t>Journal of Family Psychology</t>
  </si>
  <si>
    <t>Journal of Family Psychotherapy</t>
  </si>
  <si>
    <t>Journal of Family Therapy</t>
  </si>
  <si>
    <t>Journal of Family Violence</t>
  </si>
  <si>
    <t>Journal of Feminist Family Therapy</t>
  </si>
  <si>
    <t>Journal of Forensic Psychology Practice</t>
  </si>
  <si>
    <t>Journal of Human Behavior in the Social Environment</t>
  </si>
  <si>
    <t>Journal of Human Performance in Extreme Environments</t>
  </si>
  <si>
    <t>Journal of Individual Differences</t>
  </si>
  <si>
    <t>Journal of Intellectual Disabilities</t>
  </si>
  <si>
    <t>Journal of Intergenerational Relationships</t>
  </si>
  <si>
    <t>Journal of Language and Social Psychology</t>
  </si>
  <si>
    <t>Journal of Leadership and Organizational Studies</t>
  </si>
  <si>
    <t>Journal of Literacy Research</t>
  </si>
  <si>
    <t>Journal of Loss &amp; Trauma</t>
  </si>
  <si>
    <t>Journal of Managerial Psychology</t>
  </si>
  <si>
    <t>Journal of Marital and Family Therapy</t>
  </si>
  <si>
    <t>Journal of Mathematical Psychology</t>
  </si>
  <si>
    <t>Journal of Memory and Language</t>
  </si>
  <si>
    <t>Journal of Mental Health</t>
  </si>
  <si>
    <t>Journal of Multicultural Counseling and Development</t>
  </si>
  <si>
    <t>Journal of Neuroscience, Psychology and Economics</t>
  </si>
  <si>
    <t>Journal of Nonverbal Behavior</t>
  </si>
  <si>
    <t>Journal of Offender Rehabilitation</t>
  </si>
  <si>
    <t>Journal of Parapsychology</t>
  </si>
  <si>
    <t>Journal of Pediatric Psychology</t>
  </si>
  <si>
    <t>Journal of Personality Assessment</t>
  </si>
  <si>
    <t>Journal of Personnel Psychology</t>
  </si>
  <si>
    <t>Journal of Phenomenological Psychology</t>
  </si>
  <si>
    <t>Journal of Politeness Research</t>
  </si>
  <si>
    <t>Journal of Positive Behavior Interventions</t>
  </si>
  <si>
    <t>Journal of Psychology and Financial Markets</t>
  </si>
  <si>
    <t>Journal of Psychology in Africa</t>
  </si>
  <si>
    <t>Journal of Psychopathology and Behavioral Assessment</t>
  </si>
  <si>
    <t>Journal of Psychosocial Oncology</t>
  </si>
  <si>
    <t>Journal of Psycho-Social Studies</t>
  </si>
  <si>
    <t>Journal of Psychotherapy Integration</t>
  </si>
  <si>
    <t>Journal of Rational - Emotive and Cognitive - Behavior Therapy</t>
  </si>
  <si>
    <t>Journal of Reproductive and Infant Psychology</t>
  </si>
  <si>
    <t>Journal of Research in Personality</t>
  </si>
  <si>
    <t>Journal of Research on Adolescence</t>
  </si>
  <si>
    <t>Journal of School Psychology</t>
  </si>
  <si>
    <t>Journal of School Violence</t>
  </si>
  <si>
    <t>Journal of Sex &amp; Marital Therapy</t>
  </si>
  <si>
    <t>Journal of Sex Research</t>
  </si>
  <si>
    <t>Journal of Sexual Aggression</t>
  </si>
  <si>
    <t>Journal of Social and Clinical Psychology</t>
  </si>
  <si>
    <t>Journal of Social and Personal Relationships</t>
  </si>
  <si>
    <t>Journal of Systemic Therapies</t>
  </si>
  <si>
    <t>Journal of the American Psychoanalytic Association</t>
  </si>
  <si>
    <t>Journal of the Experimental Analysis of Behavior</t>
  </si>
  <si>
    <t>Journal of Theoretical and Philosophical Psychology</t>
  </si>
  <si>
    <t>Journal of Transpersonal Psychology</t>
  </si>
  <si>
    <t>Journal of Traumatic Stress</t>
  </si>
  <si>
    <t>Journal of Vocational Behavior</t>
  </si>
  <si>
    <t>Journal of Youth and Adolescence</t>
  </si>
  <si>
    <t>Jung Journal</t>
  </si>
  <si>
    <t>Kindheit und Entwicklung: Zeitschrift für Klinische Kinderpsychologie</t>
  </si>
  <si>
    <t>Kyoiku Shinrigaku Kenkyu</t>
  </si>
  <si>
    <t>Laterality: asymmetries of body, brain and cognition</t>
  </si>
  <si>
    <t>Law and Human Behavior</t>
  </si>
  <si>
    <t>Le Travail Humain</t>
  </si>
  <si>
    <t>Learning &amp; Behavior</t>
  </si>
  <si>
    <t>Learning and Motivation</t>
  </si>
  <si>
    <t>Learning, Culture and Social Interaction</t>
  </si>
  <si>
    <t>Matrix</t>
  </si>
  <si>
    <t>Measurement and Evaluation in Counseling and Development</t>
  </si>
  <si>
    <t>Mellanrummet:Tidsskrift om barn- og ungdomspsykoterapi</t>
  </si>
  <si>
    <t>Merrill-Palmer Quarterly</t>
  </si>
  <si>
    <t>Metacognition and Learning</t>
  </si>
  <si>
    <t>Military Psychology</t>
  </si>
  <si>
    <t>Mind, Brain, and Education</t>
  </si>
  <si>
    <t>Mindfulness</t>
  </si>
  <si>
    <t>Monographs of the Society for Research in Child Development</t>
  </si>
  <si>
    <t>Motivation and Emotion</t>
  </si>
  <si>
    <t>Multivariate Behavioral Research</t>
  </si>
  <si>
    <t>Nebraska Symposium on Motivation</t>
  </si>
  <si>
    <t>Neuropsychology Review</t>
  </si>
  <si>
    <t>New Ideas in Psychology</t>
  </si>
  <si>
    <t>New Zealand Journal of Psychology</t>
  </si>
  <si>
    <t>Nonlinear Dynamics, Psychology, and Life Sciences</t>
  </si>
  <si>
    <t>Nordic Psychology</t>
  </si>
  <si>
    <t>Nordisk Alkohol- &amp; Narkotikatidskrift / Nordic Studies on Alcohol and Drugs</t>
  </si>
  <si>
    <t>Norsk Tidsskrift for Atferdsanalyse</t>
  </si>
  <si>
    <t>Omega: Journal of Death and Dying</t>
  </si>
  <si>
    <t>Operant Subjectivity</t>
  </si>
  <si>
    <t>Organizational Psychology Review</t>
  </si>
  <si>
    <t>Oxford Library Of Psychology</t>
  </si>
  <si>
    <t>Palgrave Macmillan Memory Studies</t>
  </si>
  <si>
    <t>Parenting, Science and Practice</t>
  </si>
  <si>
    <t>Pastoral Psychology</t>
  </si>
  <si>
    <t>Peace and Conflict</t>
  </si>
  <si>
    <t>Perception</t>
  </si>
  <si>
    <t>Perceptual and Motor Skills</t>
  </si>
  <si>
    <t>Personal Relationships</t>
  </si>
  <si>
    <t>Personnel Review</t>
  </si>
  <si>
    <t>Perspectives On Cognitive Psychology</t>
  </si>
  <si>
    <t>Perspectives On Human Development</t>
  </si>
  <si>
    <t>PPmP - Psychotherapie, Psychosomatik, Medizinische Psychologie</t>
  </si>
  <si>
    <t>Pragmatic Case Studies in Psychotherapy</t>
  </si>
  <si>
    <t>Professional Psychology: Research and Practice</t>
  </si>
  <si>
    <t>Psicologica</t>
  </si>
  <si>
    <t>Psyche</t>
  </si>
  <si>
    <t>PsychNology Journal</t>
  </si>
  <si>
    <t>Psychoanalysis, Culture &amp; Society</t>
  </si>
  <si>
    <t>Psychoanalytic Dialogues</t>
  </si>
  <si>
    <t>Psychoanalytic Inquiry</t>
  </si>
  <si>
    <t>Psychoanalytic Psychology</t>
  </si>
  <si>
    <t>Psychogeriatrics</t>
  </si>
  <si>
    <t>Psychologia</t>
  </si>
  <si>
    <t>Psychologica Belgica</t>
  </si>
  <si>
    <t>Psychological Reports</t>
  </si>
  <si>
    <t>Psychological Studies</t>
  </si>
  <si>
    <t>Psychologie in Erziehung und Unterricht</t>
  </si>
  <si>
    <t>Psychologische Rundschau</t>
  </si>
  <si>
    <t>Psychology &amp; Education</t>
  </si>
  <si>
    <t>Psychology &amp; Health</t>
  </si>
  <si>
    <t>Psychology and Developing Societies</t>
  </si>
  <si>
    <t>Psychology and Psychotherapy: Theory, Research and Practice</t>
  </si>
  <si>
    <t>Psychology in Society</t>
  </si>
  <si>
    <t>Psychology in the Schools</t>
  </si>
  <si>
    <t>Psychology of Addictive Behaviors</t>
  </si>
  <si>
    <t>Psychology of Consciousness: Theory, Research, and Practice</t>
  </si>
  <si>
    <t>Psychology of Language and Communication</t>
  </si>
  <si>
    <t>Psychology of Men &amp; Masculinity</t>
  </si>
  <si>
    <t>Psychology of Popular Media Culture</t>
  </si>
  <si>
    <t>Psychology of Violence</t>
  </si>
  <si>
    <t>Psychology of Women Quarterly</t>
  </si>
  <si>
    <t>Psychology, Crime and Law</t>
  </si>
  <si>
    <t>Psychology, Health &amp; Medicine</t>
  </si>
  <si>
    <t>Psychology, Public Policy, and Law</t>
  </si>
  <si>
    <t>Psychophysiology</t>
  </si>
  <si>
    <t>Psychosis</t>
  </si>
  <si>
    <t>Psychosozial</t>
  </si>
  <si>
    <t>Psychotherapeut</t>
  </si>
  <si>
    <t>Psychotherapie im Dialog</t>
  </si>
  <si>
    <t>Psychotherapy Research</t>
  </si>
  <si>
    <t>Psyke &amp; Logos</t>
  </si>
  <si>
    <t>Psykologi i Kommunen</t>
  </si>
  <si>
    <t>Qualitative Psychology</t>
  </si>
  <si>
    <t>Qualitative Research in Sport, Exercise and Health</t>
  </si>
  <si>
    <t>Qualitative Research Journal</t>
  </si>
  <si>
    <t>Qualitative Studies</t>
  </si>
  <si>
    <t>Quarterly Journal of Experimental Psychology</t>
  </si>
  <si>
    <t>Reading Psychology</t>
  </si>
  <si>
    <t>Rehabilitation Psychology</t>
  </si>
  <si>
    <t>Religion, Brain &amp; Behavior</t>
  </si>
  <si>
    <t>Research in Autism Spectrum Disorders</t>
  </si>
  <si>
    <t>Research in Developmental Disabilities</t>
  </si>
  <si>
    <t>Research in Human Development</t>
  </si>
  <si>
    <t>Research in Organizational Behavior</t>
  </si>
  <si>
    <t>Review of General Psychology</t>
  </si>
  <si>
    <t>Revue Européenne de Psychologie Appliquée / European Review of Applied Psychology</t>
  </si>
  <si>
    <t>Revue française de psychanalyse</t>
  </si>
  <si>
    <t>Scandinavian Journal of Child and Adolescent Psychiatry and Psychology</t>
  </si>
  <si>
    <t>Scandinavian Journal of Psychology</t>
  </si>
  <si>
    <t>Scandinavian Journal of Work and Organizational Psychology</t>
  </si>
  <si>
    <t>School Psychology International</t>
  </si>
  <si>
    <t>School Psychology Quarterly</t>
  </si>
  <si>
    <t>School Psychology Review</t>
  </si>
  <si>
    <t>Self and Identity</t>
  </si>
  <si>
    <t>Self in culture in mind series</t>
  </si>
  <si>
    <t>Sensoria: A Journal of Mind, Brain &amp; Culture</t>
  </si>
  <si>
    <t>Sex Roles</t>
  </si>
  <si>
    <t>Sexologies: Revue Européenne de Santé Sexuelle / European Journal of Sexual Health</t>
  </si>
  <si>
    <t>Sexual Abuse: A Journal of Research and Treatment</t>
  </si>
  <si>
    <t>Sexual Addiction &amp; Compulsivity</t>
  </si>
  <si>
    <t>Sexual and Relationship Therapy</t>
  </si>
  <si>
    <t>SIS Journal of Projective Psychology and Mental Health</t>
  </si>
  <si>
    <t>Small Group Research</t>
  </si>
  <si>
    <t>Social Behavior and Personality</t>
  </si>
  <si>
    <t>Social Cognition</t>
  </si>
  <si>
    <t>Social Development</t>
  </si>
  <si>
    <t>Social Psychology</t>
  </si>
  <si>
    <t>Social Psychology Quarterly</t>
  </si>
  <si>
    <t>South African Journal of Psychology</t>
  </si>
  <si>
    <t>Springer Reference Psychologie</t>
  </si>
  <si>
    <t>Springerbriefs In Theoretical Advances In Psychology</t>
  </si>
  <si>
    <t>Stress and Health</t>
  </si>
  <si>
    <t>Studia Psychologica</t>
  </si>
  <si>
    <t>Subjectivity: international journal of critical psychology</t>
  </si>
  <si>
    <t>Substance Abuse</t>
  </si>
  <si>
    <t>Swiss Journal of Psychology</t>
  </si>
  <si>
    <t>Systeme</t>
  </si>
  <si>
    <t>Teaching of Psychology</t>
  </si>
  <si>
    <t>The American Journal of Family Therapy</t>
  </si>
  <si>
    <t>The Arts in Psychotherapy</t>
  </si>
  <si>
    <t>The Behavior Analyst</t>
  </si>
  <si>
    <t>The Clinical Supervisor</t>
  </si>
  <si>
    <t>The Cognitive Behaviour Therapist</t>
  </si>
  <si>
    <t>The Counseling Psychologist</t>
  </si>
  <si>
    <t>The Ergonomics Open Journal</t>
  </si>
  <si>
    <t>The Forensic Examiner</t>
  </si>
  <si>
    <t>The Humanistic Psychologist</t>
  </si>
  <si>
    <t>The International Journal of Aging &amp; Human Development</t>
  </si>
  <si>
    <t>The International Journal of Aviation Psychology</t>
  </si>
  <si>
    <t>The Journal of Applied Behavioral Science</t>
  </si>
  <si>
    <t>The Journal of Black Psychology</t>
  </si>
  <si>
    <t>The Journal of Creative Behavior</t>
  </si>
  <si>
    <t>The Journal of Early Adolescence</t>
  </si>
  <si>
    <t>The Journal of Experimental Education</t>
  </si>
  <si>
    <t>The Journal of General Psychology</t>
  </si>
  <si>
    <t>The Journal of Genetic Psychology</t>
  </si>
  <si>
    <t>The Journal of Mind and Behavior</t>
  </si>
  <si>
    <t>The Journal of Positive Psychology</t>
  </si>
  <si>
    <t>The Journal of Psychology</t>
  </si>
  <si>
    <t>The Journal of Social Psychology</t>
  </si>
  <si>
    <t>The Psychoanalytic Quarterly</t>
  </si>
  <si>
    <t>The Psychoanalytic Study of the Child</t>
  </si>
  <si>
    <t>The Psychoanalytical Notebooks of the London Circle</t>
  </si>
  <si>
    <t>The Psychological Record</t>
  </si>
  <si>
    <t>The Psychologist</t>
  </si>
  <si>
    <t>Therapeutic Communities: The International Journal of Therapeutic Communities</t>
  </si>
  <si>
    <t>Thinking &amp; Reasoning</t>
  </si>
  <si>
    <t>Tidsskrift for Norsk Psykologforening</t>
  </si>
  <si>
    <t>Topics in Cognitive Science</t>
  </si>
  <si>
    <t>Transactional Analysis Journal</t>
  </si>
  <si>
    <t>Traumatology</t>
  </si>
  <si>
    <t>Verhaltenstherapie</t>
  </si>
  <si>
    <t>Women &amp; Therapy</t>
  </si>
  <si>
    <t>Youth Violence and Juvenile Justice</t>
  </si>
  <si>
    <t>Zeitschrift fuer Psychologie mit Zeitschrift fuer Angewandte Psychologie</t>
  </si>
  <si>
    <t>Zeitschrift für Arbeits- und Organisationspsychologie</t>
  </si>
  <si>
    <t>Zeitschrift für Entwicklungspsychologie und Pädagogische Psychologie</t>
  </si>
  <si>
    <t>Zeitschrift für Klinische Psychologie und Psychotherapie</t>
  </si>
  <si>
    <t>Zeitschrift für Psychiatrie, Psychologie und Psychotherapie</t>
  </si>
  <si>
    <t>Zeitschrift für Pädagogische Psychologie</t>
  </si>
  <si>
    <t>Biblioteks- og informationsvidenskab</t>
  </si>
  <si>
    <t>ACM SIGIR Conference on Human Information Interaction and Retrieval</t>
  </si>
  <si>
    <t>American Archivist</t>
  </si>
  <si>
    <t>Archival Science</t>
  </si>
  <si>
    <t>Aslib Journal of Information Management</t>
  </si>
  <si>
    <t>Collections: A journal for Museum and Archives professionals</t>
  </si>
  <si>
    <t>Conference and Labs of the Evaluation Forum</t>
  </si>
  <si>
    <t>Conference on Recommender Systems</t>
  </si>
  <si>
    <t>European Conference on Information Retrieval</t>
  </si>
  <si>
    <t>Foundations and Trends in Information Retrieval</t>
  </si>
  <si>
    <t>Information &amp; Management</t>
  </si>
  <si>
    <t>Information Processing &amp; Management</t>
  </si>
  <si>
    <t>Information Research</t>
  </si>
  <si>
    <t>Information Retrieval</t>
  </si>
  <si>
    <t>International ACM SIGIR Conference on research and Development in Information Retrieval</t>
  </si>
  <si>
    <t>International Conference on Theory of Information Retrieval</t>
  </si>
  <si>
    <t>International Journal of Information Management</t>
  </si>
  <si>
    <t>Journal of Biomedical Informatics</t>
  </si>
  <si>
    <t>Journal of Documentation</t>
  </si>
  <si>
    <t>Journal of Information Science</t>
  </si>
  <si>
    <t>Journal of Informetrics</t>
  </si>
  <si>
    <t>Journal of Knowledge Management</t>
  </si>
  <si>
    <t>Journal of Museum Education</t>
  </si>
  <si>
    <t>Journal of Scholarly Publishing</t>
  </si>
  <si>
    <t xml:space="preserve">Journal of the Association for Information Science and Technology </t>
  </si>
  <si>
    <t>Journal of the Medical Library Association</t>
  </si>
  <si>
    <t>Knowledge Organization</t>
  </si>
  <si>
    <t>Library &amp; Information History</t>
  </si>
  <si>
    <t>Library &amp; Information Science Research</t>
  </si>
  <si>
    <t>Museum &amp; Society</t>
  </si>
  <si>
    <t>Scientometrics</t>
  </si>
  <si>
    <t>Studies in Information</t>
  </si>
  <si>
    <t>The Library Quarterly</t>
  </si>
  <si>
    <t xml:space="preserve"> Canadian Journal of Academic Librarianship / Revue canadienne de bibliothéconomie universitaire</t>
  </si>
  <si>
    <t>Advances in Information Quality and Management</t>
  </si>
  <si>
    <t>Anales de Documentacion</t>
  </si>
  <si>
    <t>Archival Issues</t>
  </si>
  <si>
    <t xml:space="preserve">Archivaria, Journal of the Association of Canadian Archivists </t>
  </si>
  <si>
    <t>Archives and Manuscripts</t>
  </si>
  <si>
    <t>Art Libraries Journal</t>
  </si>
  <si>
    <t>Australian Academic &amp; Research Libraries</t>
  </si>
  <si>
    <t>Behavioral &amp; Social Sciences Librarian</t>
  </si>
  <si>
    <t>Bibliothek Forschung und Praxis</t>
  </si>
  <si>
    <t>BiD: textos universitaris de biblioteconomia i documentació</t>
  </si>
  <si>
    <t>Bulletin of the John Rylands Library</t>
  </si>
  <si>
    <t>CAML Review / Revue de l'ACBM</t>
  </si>
  <si>
    <t>Canadian Journal of Information and Library Science</t>
  </si>
  <si>
    <t>Canadian Law Library Review</t>
  </si>
  <si>
    <t>Cataloging &amp; Classification Quarterly</t>
  </si>
  <si>
    <t>CEUR Workshop Proceedings</t>
  </si>
  <si>
    <t>Children and Libraries</t>
  </si>
  <si>
    <t>Chinese Librarianship</t>
  </si>
  <si>
    <t>Collaborative Librarianship</t>
  </si>
  <si>
    <t>Collection and Curation</t>
  </si>
  <si>
    <t>Collection Management</t>
  </si>
  <si>
    <t>College &amp; Research Libraries</t>
  </si>
  <si>
    <t>College &amp; Research Libraries News</t>
  </si>
  <si>
    <t>College &amp; Undergraduate Libraries</t>
  </si>
  <si>
    <t>Communications in Information Literacy</t>
  </si>
  <si>
    <t>Communications of the I I M A</t>
  </si>
  <si>
    <t>Community &amp; Junior College Libraries</t>
  </si>
  <si>
    <t>Conceptions in Library and Information Science</t>
  </si>
  <si>
    <t>Data and Information Management</t>
  </si>
  <si>
    <t>Digital Library Perspectives</t>
  </si>
  <si>
    <t>D-Lib Magazine</t>
  </si>
  <si>
    <t>Document Numerique</t>
  </si>
  <si>
    <t>E-beratungsjournal</t>
  </si>
  <si>
    <t>EContent</t>
  </si>
  <si>
    <t>Education for Information</t>
  </si>
  <si>
    <t>Evidence Based Library &amp; Information Practice</t>
  </si>
  <si>
    <t>Future Internet</t>
  </si>
  <si>
    <t>GMS Medizin — Bibliothek — Information</t>
  </si>
  <si>
    <t>Health Information and Libraries Journal</t>
  </si>
  <si>
    <t>IASSIST Quarterly</t>
  </si>
  <si>
    <t>IEEE Transactions on Professional Communication</t>
  </si>
  <si>
    <t>IFLA Journal</t>
  </si>
  <si>
    <t>In the Library with the Lead Pipe</t>
  </si>
  <si>
    <t>Informatics for Health and Social Care</t>
  </si>
  <si>
    <t>Information</t>
  </si>
  <si>
    <t>Information - Wissenschaft und Praxis</t>
  </si>
  <si>
    <t>Information &amp; Culture</t>
  </si>
  <si>
    <t>Information and Learning Science</t>
  </si>
  <si>
    <t>Information Development</t>
  </si>
  <si>
    <t>Information Fusion</t>
  </si>
  <si>
    <t>Information Seeking in Context Conference</t>
  </si>
  <si>
    <t>Information Services &amp; Use</t>
  </si>
  <si>
    <t>Information Technology and Libraries</t>
  </si>
  <si>
    <t>Information theory and applications</t>
  </si>
  <si>
    <t>Informing Science: The International Journal of an Emerging Transdiscipline</t>
  </si>
  <si>
    <t xml:space="preserve">Insights: the UKSG journal </t>
  </si>
  <si>
    <t>Interlending &amp; Document Supply</t>
  </si>
  <si>
    <t>International Conference on Theory and Practice of Digital Libraries</t>
  </si>
  <si>
    <t>International Information and Library Review</t>
  </si>
  <si>
    <t>International ISKO Conference</t>
  </si>
  <si>
    <t>International Journal of E-Adoption</t>
  </si>
  <si>
    <t>International Journal of Electronic Commerce</t>
  </si>
  <si>
    <t>International Journal of Information Communication Technologies and Human Development</t>
  </si>
  <si>
    <t>International Journal of Legal Information</t>
  </si>
  <si>
    <t>International Journal of Librarianship</t>
  </si>
  <si>
    <t>International Journal of Librarianship and Administration</t>
  </si>
  <si>
    <t>International Journal of Semantic Computing</t>
  </si>
  <si>
    <t>International Journal of Web Portals</t>
  </si>
  <si>
    <t>International Journal on Digital Libraries</t>
  </si>
  <si>
    <t>International Journal on Document Analysis and Recognition</t>
  </si>
  <si>
    <t>International Society for Scientometrics and Informetrics Conference</t>
  </si>
  <si>
    <t>International Society of Knowledge Organization Conference</t>
  </si>
  <si>
    <t>International Society of Knowledge Organization UK Conference</t>
  </si>
  <si>
    <t>Ischools Conference</t>
  </si>
  <si>
    <t>Issues in Information Systems</t>
  </si>
  <si>
    <t>Issues in Science and Technology Librarianship</t>
  </si>
  <si>
    <t>Joint Conference on Digital Libraries</t>
  </si>
  <si>
    <t>Journal of Access Services</t>
  </si>
  <si>
    <t>Journal of Altmetrics</t>
  </si>
  <si>
    <t>Journal of Archival Organization</t>
  </si>
  <si>
    <t>Journal of Business &amp; Finance Librarianship</t>
  </si>
  <si>
    <t>Journal of Copyright in Education &amp; Librarianship</t>
  </si>
  <si>
    <t>Journal of Critical Library and Information Studies</t>
  </si>
  <si>
    <t>Journal of Data and Information Science</t>
  </si>
  <si>
    <t>Journal of Education for Library and Information Science</t>
  </si>
  <si>
    <t>Journal of Electronic Resources Librarianship</t>
  </si>
  <si>
    <t>Journal of eScience Librarianship</t>
  </si>
  <si>
    <t>Journal of E-Technology</t>
  </si>
  <si>
    <t>Journal of Hospital Librarianship</t>
  </si>
  <si>
    <t>Journal of Information Architecture</t>
  </si>
  <si>
    <t>Journal of Information Literacy</t>
  </si>
  <si>
    <t>Journal of Information Science Theory and Practice</t>
  </si>
  <si>
    <t>Journal of Information Warfare</t>
  </si>
  <si>
    <t>Journal of Interlibrary Loan, Document Delivery &amp; Electronic Reserve</t>
  </si>
  <si>
    <t>Journal of Law, Information and Science (JLIS)</t>
  </si>
  <si>
    <t>Journal of Librarianship and Information Science</t>
  </si>
  <si>
    <t>Journal of Librarianship and Scholarly Communication</t>
  </si>
  <si>
    <t>Journal of Library &amp; Information Services in Distance Learning</t>
  </si>
  <si>
    <t>Journal of Library Administration</t>
  </si>
  <si>
    <t>Journal of Library and Information Sciences</t>
  </si>
  <si>
    <t>Journal of Library Metadata</t>
  </si>
  <si>
    <t>Journal of Map &amp; Geography Libraries</t>
  </si>
  <si>
    <t>Journal of New Librarianship</t>
  </si>
  <si>
    <t>Journal of Radical Librarianship</t>
  </si>
  <si>
    <t>Journal of Science and Technology Policy Management</t>
  </si>
  <si>
    <t>Journal of Scientometric Research</t>
  </si>
  <si>
    <t>Journal of the American Medical Informatics Association</t>
  </si>
  <si>
    <t>Journal of the Australian Library and Information Association</t>
  </si>
  <si>
    <t xml:space="preserve">Journal of the Urban and Regional Information Systems Association </t>
  </si>
  <si>
    <t>Journal of Visual Communication and Image Representation</t>
  </si>
  <si>
    <t>Journal of Web Librarianship</t>
  </si>
  <si>
    <t>Knowledge and Process Management</t>
  </si>
  <si>
    <t>Law Library Journal</t>
  </si>
  <si>
    <t>Legal Reference Services Quarterly</t>
  </si>
  <si>
    <t>Libellarium: journal for the research of writing, books, and cultural heritage institutions</t>
  </si>
  <si>
    <t>LIBER Quarterly</t>
  </si>
  <si>
    <t>Libraries in the Digital Age</t>
  </si>
  <si>
    <t>Library &amp; Archival Security</t>
  </si>
  <si>
    <t>Library and Information Research</t>
  </si>
  <si>
    <t>Library and Information Science</t>
  </si>
  <si>
    <t>Library Collections, Acquisitions, &amp; Technical Services</t>
  </si>
  <si>
    <t>Library Hi Tech</t>
  </si>
  <si>
    <t>Library Journal</t>
  </si>
  <si>
    <t>Library Leadership &amp; Management</t>
  </si>
  <si>
    <t>Library Management</t>
  </si>
  <si>
    <t>Library Philosophy and Practice</t>
  </si>
  <si>
    <t>Library Resources &amp; Technical Services</t>
  </si>
  <si>
    <t>Library Trends</t>
  </si>
  <si>
    <t>Libres: Library and Information Science Research e-Journal</t>
  </si>
  <si>
    <t>Libri</t>
  </si>
  <si>
    <t>Logos : Journal of the World Publishing Community</t>
  </si>
  <si>
    <t>Manuscript Studies</t>
  </si>
  <si>
    <t xml:space="preserve">Marketing Libraries Journal </t>
  </si>
  <si>
    <t>Medical Reference Services Quarterly</t>
  </si>
  <si>
    <t>Museum History Journal</t>
  </si>
  <si>
    <t>New Library World</t>
  </si>
  <si>
    <t>Nordic Journal of Information Literacy in Higher Education</t>
  </si>
  <si>
    <t>Nordisk Tidsskrift for Informationsvidenskab og Kulturformidling</t>
  </si>
  <si>
    <t xml:space="preserve">Norsk Museumstidsskrift </t>
  </si>
  <si>
    <t>Norsk tidsskrift for bibliotekforskning</t>
  </si>
  <si>
    <t>Online Information Review</t>
  </si>
  <si>
    <t>Online Learning</t>
  </si>
  <si>
    <t>Online Searcher</t>
  </si>
  <si>
    <t>Open Information Science</t>
  </si>
  <si>
    <t>Partnership</t>
  </si>
  <si>
    <t>Pennsylvania Libraries: Research &amp; Practice</t>
  </si>
  <si>
    <t>Performance Measurement and Metrics</t>
  </si>
  <si>
    <t>Portal</t>
  </si>
  <si>
    <t>Practical Academic Librarianship</t>
  </si>
  <si>
    <t>Proceedings of the Association for Information Science and Technology</t>
  </si>
  <si>
    <t>Proceedings of the ISKO UK Second Biennial Conference</t>
  </si>
  <si>
    <t>Proceedings: Internaional Communication Systems and Networks and Workshops</t>
  </si>
  <si>
    <t>Proceedings: International Workshop on Database and Expert Systems Applications</t>
  </si>
  <si>
    <t>Program</t>
  </si>
  <si>
    <t>Progressive Librarian</t>
  </si>
  <si>
    <t>Publications</t>
  </si>
  <si>
    <t>Qingbao Xuebao</t>
  </si>
  <si>
    <t>Quantum Information Processing</t>
  </si>
  <si>
    <t>Records Management Journal</t>
  </si>
  <si>
    <t>Reference and User Services Quarterly</t>
  </si>
  <si>
    <t>Reference Services Review</t>
  </si>
  <si>
    <t>Revista Română de Biblioteconomie și Știința Informării - Romanian Journal of Library and Information Science</t>
  </si>
  <si>
    <t>Salud(i)Ciencia</t>
  </si>
  <si>
    <t>Scandinavian Library Quarterly</t>
  </si>
  <si>
    <t>Scholarly and Research Communication</t>
  </si>
  <si>
    <t>School Libraries Worldwide</t>
  </si>
  <si>
    <t>School Library Research</t>
  </si>
  <si>
    <t>Science &amp; Technology Libraries</t>
  </si>
  <si>
    <t xml:space="preserve">Science and Technology Indicators Conference </t>
  </si>
  <si>
    <t>Script &amp; Print: Bulletin of the Bibliographical Society of Australia and New Zealand</t>
  </si>
  <si>
    <t>Serials Review</t>
  </si>
  <si>
    <t>Slavic &amp; East European Information Resources</t>
  </si>
  <si>
    <t>Social Science Computer Review</t>
  </si>
  <si>
    <t>SoftwareX</t>
  </si>
  <si>
    <t>South African Journal of Libraries and Information Science</t>
  </si>
  <si>
    <t>Studies in bibliography (Charlottesville, Va.)</t>
  </si>
  <si>
    <t>Synthesis Lectures on Information Concepts, Retrieval, and Services</t>
  </si>
  <si>
    <t>Technical Communication Quarterly</t>
  </si>
  <si>
    <t>Technical Services Quarterly</t>
  </si>
  <si>
    <t>The Association for Information Science and Technology - Annual Meeting</t>
  </si>
  <si>
    <t>The Electronic British Library Journal</t>
  </si>
  <si>
    <t>The Electronic Journal of Academic and Special Librarianship</t>
  </si>
  <si>
    <t>The Electronic Library</t>
  </si>
  <si>
    <t>The Indexer - The International Journal of Indexing</t>
  </si>
  <si>
    <t xml:space="preserve">The International Journal of Information, Diversity, &amp; Inclusion </t>
  </si>
  <si>
    <t>The International Journal of the Inclusive Museum</t>
  </si>
  <si>
    <t>The Journal of Academic Librarianship</t>
  </si>
  <si>
    <t>The Journal of Creative Library Practice</t>
  </si>
  <si>
    <t>The Library</t>
  </si>
  <si>
    <t>The Museum Review</t>
  </si>
  <si>
    <t>The New Review of Academic Librarianship</t>
  </si>
  <si>
    <t>The New Review of Children's Literature and Librarianship</t>
  </si>
  <si>
    <t>The New Review of Information Networking</t>
  </si>
  <si>
    <t>The Papers of the Bibliographical Society of America</t>
  </si>
  <si>
    <t>The Reference Librarian</t>
  </si>
  <si>
    <t>The Serials Librarian</t>
  </si>
  <si>
    <t>Ticker: The Academic Business Librarianship Review</t>
  </si>
  <si>
    <t>Transactions of the Cambridge Bibliographical Society</t>
  </si>
  <si>
    <t>Transactions on Internet Research</t>
  </si>
  <si>
    <t>Universal Access in the Information Society</t>
  </si>
  <si>
    <t>Visual Resources</t>
  </si>
  <si>
    <t>Weave: Journal of Library User Experience</t>
  </si>
  <si>
    <t>World Libraries</t>
  </si>
  <si>
    <t>World Wide Web</t>
  </si>
  <si>
    <t>Zeitschrift für Bibliothekswesen und Bibliographie</t>
  </si>
  <si>
    <t xml:space="preserve">ZTE Communications </t>
  </si>
  <si>
    <t>Geofag og Klima</t>
  </si>
  <si>
    <t>Annual Review of Earth and Planetary Sciences</t>
  </si>
  <si>
    <t>Nature Geoscience</t>
  </si>
  <si>
    <t>Reviews of Geophysics</t>
  </si>
  <si>
    <t>Advances in Geophysics</t>
  </si>
  <si>
    <t>Agricultural and Forest Meteorology</t>
  </si>
  <si>
    <t>Atmospheric Chemistry and Physics</t>
  </si>
  <si>
    <t>Bulletin of the American Meteorological Society</t>
  </si>
  <si>
    <t>Chemical Geology</t>
  </si>
  <si>
    <t>Climate Dynamics</t>
  </si>
  <si>
    <t>Contributions to Mineralogy and Petrology</t>
  </si>
  <si>
    <t>Earth and Planetary Science Letters</t>
  </si>
  <si>
    <t>Earth-Science Reviews</t>
  </si>
  <si>
    <t>Geobiology</t>
  </si>
  <si>
    <t>Geochimica et Cosmochimica Acta</t>
  </si>
  <si>
    <t>Geology</t>
  </si>
  <si>
    <t>Global Biogeochemical Cycles</t>
  </si>
  <si>
    <t>IEEE Transactions on Geoscience and Remote Sensing</t>
  </si>
  <si>
    <t>Journal of Climate</t>
  </si>
  <si>
    <t>Journal of Geodesy</t>
  </si>
  <si>
    <t>Journal of Geophysical Research</t>
  </si>
  <si>
    <t>Journal of Hydrology</t>
  </si>
  <si>
    <t>Journal of Petrology</t>
  </si>
  <si>
    <t>Paleoceanography</t>
  </si>
  <si>
    <t>Precambrian Research</t>
  </si>
  <si>
    <t>Quaternary Science Reviews</t>
  </si>
  <si>
    <t>Remote Sensing of Environment</t>
  </si>
  <si>
    <t>Tectonics</t>
  </si>
  <si>
    <t>Acta Carsologica</t>
  </si>
  <si>
    <t>Acta Geologica Polonica</t>
  </si>
  <si>
    <t>Acta Geologica Sinica - English Edition</t>
  </si>
  <si>
    <t>Acta Geophysica</t>
  </si>
  <si>
    <t>Acta Oceanologica Sinica</t>
  </si>
  <si>
    <t>Acta Palaeontologica Polonica</t>
  </si>
  <si>
    <t>Advances In Atmospheric Chemistry</t>
  </si>
  <si>
    <t>Advances in Atmospheric Sciences</t>
  </si>
  <si>
    <t>Advances in Geosciences</t>
  </si>
  <si>
    <t>Advances in Space Research</t>
  </si>
  <si>
    <t>Advances in Water Resources</t>
  </si>
  <si>
    <t>Aeolian Research</t>
  </si>
  <si>
    <t>Alcheringa</t>
  </si>
  <si>
    <t>Ameghiniana</t>
  </si>
  <si>
    <t>American Journal of Science</t>
  </si>
  <si>
    <t>American Mineralogist</t>
  </si>
  <si>
    <t>Annales de Paleontologie</t>
  </si>
  <si>
    <t>Annales Geophysicae</t>
  </si>
  <si>
    <t>Annals of Geophysics</t>
  </si>
  <si>
    <t>Annals of Glaciology</t>
  </si>
  <si>
    <t>Antarctic Science</t>
  </si>
  <si>
    <t>Applied and Environmental Soil Science</t>
  </si>
  <si>
    <t>Applied Earth Science: Transactions of the Institutions of Mining and Metallurgy</t>
  </si>
  <si>
    <t>Applied Ocean Research</t>
  </si>
  <si>
    <t>Aquatic Geochemistry</t>
  </si>
  <si>
    <t>Arabian Journal of Earth Science</t>
  </si>
  <si>
    <t>Arid Land Research and Management</t>
  </si>
  <si>
    <t>Atlantic Geology</t>
  </si>
  <si>
    <t>Atmosfera</t>
  </si>
  <si>
    <t>Atmosphere - Ocean</t>
  </si>
  <si>
    <t>Atmospheric Chemistry and Physics Discussions</t>
  </si>
  <si>
    <t>Atmospheric Environment</t>
  </si>
  <si>
    <t>Atmospheric Science Letters</t>
  </si>
  <si>
    <t>Australian Journal of Earth Sciences</t>
  </si>
  <si>
    <t>Australian Meteorological and Oceanographic Journal</t>
  </si>
  <si>
    <t>Basin Research</t>
  </si>
  <si>
    <t>Biogeochemistry</t>
  </si>
  <si>
    <t>Biogeosciences</t>
  </si>
  <si>
    <t>Bollettino di Geofisica Teorica ed Applicata</t>
  </si>
  <si>
    <t>Boreas</t>
  </si>
  <si>
    <t>Boundary-Layer Meteorology</t>
  </si>
  <si>
    <t>Bulletin de la Société Géologique de France</t>
  </si>
  <si>
    <t>Bulletin of Canadian Petroleum Geology</t>
  </si>
  <si>
    <t>Bulletin of Engineering Geology and the Environment</t>
  </si>
  <si>
    <t>Bulletin of Geosciences</t>
  </si>
  <si>
    <t>Bulletin of the Geological Society of Denmark</t>
  </si>
  <si>
    <t>Bulletin of the Seismological Society of America</t>
  </si>
  <si>
    <t>Bulletin of Volcanology</t>
  </si>
  <si>
    <t>Canadian Journal of Earth Sciences</t>
  </si>
  <si>
    <t>Canadian Journal of Remote Sensing</t>
  </si>
  <si>
    <t>Canadian Mineralogist</t>
  </si>
  <si>
    <t>Canadian Mining Journal</t>
  </si>
  <si>
    <t>Carbonates and Evaporites</t>
  </si>
  <si>
    <t>Carnets de Geologie</t>
  </si>
  <si>
    <t>Cartographic Perspectives</t>
  </si>
  <si>
    <t>Cartographica</t>
  </si>
  <si>
    <t>Cartography and Geographic Information Science</t>
  </si>
  <si>
    <t>Cave and Karst Science</t>
  </si>
  <si>
    <t>Chemie der Erde</t>
  </si>
  <si>
    <t>China Ocean Engineering</t>
  </si>
  <si>
    <t>Chinese Journal of Geophysics / Di Qiu Wu Li Xue Bao</t>
  </si>
  <si>
    <t>Clay Minerals</t>
  </si>
  <si>
    <t>Climate</t>
  </si>
  <si>
    <t>Climate of the Past</t>
  </si>
  <si>
    <t>Climate Research</t>
  </si>
  <si>
    <t>Climate Risk Management</t>
  </si>
  <si>
    <t>Climatic Change</t>
  </si>
  <si>
    <t>Cold Regions Science and Technology</t>
  </si>
  <si>
    <t>Comptes Rendus Geoscience</t>
  </si>
  <si>
    <t>Comptes Rendus Palevol</t>
  </si>
  <si>
    <t>Computational Geosciences</t>
  </si>
  <si>
    <t>Computers &amp; Geosciences</t>
  </si>
  <si>
    <t>Continental Shelf Research</t>
  </si>
  <si>
    <t>Cretaceous Research</t>
  </si>
  <si>
    <t>Deep-Sea Research Part I: Oceanographic Research Papers</t>
  </si>
  <si>
    <t>Die Erde – Journal of the Geographical Society of Berlin</t>
  </si>
  <si>
    <t>Doklady Earth Sciences</t>
  </si>
  <si>
    <t>Dynamics of Atmospheres and Oceans</t>
  </si>
  <si>
    <t>Earth</t>
  </si>
  <si>
    <t>Earth and Environmental Science Transactions of The Royal Society of Edinburgh</t>
  </si>
  <si>
    <t>Earth Interactions</t>
  </si>
  <si>
    <t>Earth Surface Dynamics</t>
  </si>
  <si>
    <t>Earth Surface Processes and Landforms</t>
  </si>
  <si>
    <t>Earth, Planets and Space</t>
  </si>
  <si>
    <t>Ecohydrology &amp; Hydrobiology</t>
  </si>
  <si>
    <t xml:space="preserve">Economic Geology </t>
  </si>
  <si>
    <t>Elements</t>
  </si>
  <si>
    <t>Energy, Climate And The Environment</t>
  </si>
  <si>
    <t>Engineering Geology</t>
  </si>
  <si>
    <t>Environmental Earth Sciences</t>
  </si>
  <si>
    <t>Environmental Geosciences</t>
  </si>
  <si>
    <t>EOS Transactions American Geophysical Union</t>
  </si>
  <si>
    <t>Episodes</t>
  </si>
  <si>
    <t>European Journal of Mineralogy</t>
  </si>
  <si>
    <t>Exploration Geophysics</t>
  </si>
  <si>
    <t>Facies</t>
  </si>
  <si>
    <t>First Break</t>
  </si>
  <si>
    <t>GeoActa</t>
  </si>
  <si>
    <t>Geobios</t>
  </si>
  <si>
    <t>Geochemical Journal</t>
  </si>
  <si>
    <t>Geochemical Transactions</t>
  </si>
  <si>
    <t>Geochemistry International</t>
  </si>
  <si>
    <t>Geochemistry, Geophysics, Geosystems</t>
  </si>
  <si>
    <t>Geochemistry: Exploration, Environment, Analysis</t>
  </si>
  <si>
    <t>Geochronometria</t>
  </si>
  <si>
    <t>Geodinamica Acta</t>
  </si>
  <si>
    <t>Geodiversitas</t>
  </si>
  <si>
    <t>Geofluids</t>
  </si>
  <si>
    <t>Geoforum Perspektiv</t>
  </si>
  <si>
    <t>Geografiska Annaler: Series A, Physical Geography</t>
  </si>
  <si>
    <t>Geologica Acta</t>
  </si>
  <si>
    <t>Geologica Carpathica</t>
  </si>
  <si>
    <t>Geological Journal</t>
  </si>
  <si>
    <t>Geological Magazine</t>
  </si>
  <si>
    <t>Geological Quarterly</t>
  </si>
  <si>
    <t>Geological Society of America Bulletin</t>
  </si>
  <si>
    <t>Geological Society, London, Special Publications</t>
  </si>
  <si>
    <t>Geological Survey of Denmark and Greenland (GEUS) Bulletin</t>
  </si>
  <si>
    <t>Geology of Ore Deposits</t>
  </si>
  <si>
    <t>Geology Today</t>
  </si>
  <si>
    <t>Geomagnetism and Aeronomy</t>
  </si>
  <si>
    <t>Geo-Marine Letters</t>
  </si>
  <si>
    <t>Geomorphology</t>
  </si>
  <si>
    <t>Geophysica</t>
  </si>
  <si>
    <t>Geophysical Journal International</t>
  </si>
  <si>
    <t>Geophysical Prospecting</t>
  </si>
  <si>
    <t>Geophysical Research Letters</t>
  </si>
  <si>
    <t>Geophysics</t>
  </si>
  <si>
    <t>Geoscience Canada</t>
  </si>
  <si>
    <t>Geoscience Frontiers</t>
  </si>
  <si>
    <t>Geosciences Journal</t>
  </si>
  <si>
    <t>Geoscientific Model Development</t>
  </si>
  <si>
    <t>Geosphere</t>
  </si>
  <si>
    <t>Geostandards and Geoanalytical Research</t>
  </si>
  <si>
    <t>Geotectonics</t>
  </si>
  <si>
    <t>Geothermal Energy</t>
  </si>
  <si>
    <t>Geothermics</t>
  </si>
  <si>
    <t>GFF</t>
  </si>
  <si>
    <t>GIScience and Remote Sensing</t>
  </si>
  <si>
    <t>Global and Planetary Change</t>
  </si>
  <si>
    <t>Gondwana Research</t>
  </si>
  <si>
    <t>Ground Water</t>
  </si>
  <si>
    <t>Ground Water Monitoring &amp; Remediation</t>
  </si>
  <si>
    <t>GSA Today</t>
  </si>
  <si>
    <t>Hydrogeology Journal</t>
  </si>
  <si>
    <t>Hydrological Processes</t>
  </si>
  <si>
    <t>Hydrological Sciences Journal</t>
  </si>
  <si>
    <t>Hydrology and Earth System Sciences</t>
  </si>
  <si>
    <t>Hydrology Research</t>
  </si>
  <si>
    <t>IEEE Geoscience and Remote Sensing Letters</t>
  </si>
  <si>
    <t>IEEE Geoscience and Remote Sensing Magazine</t>
  </si>
  <si>
    <t>IEEE Journal of Oceanic Engineering</t>
  </si>
  <si>
    <t>Il Nuovo Cimento C</t>
  </si>
  <si>
    <t>Indian Journal of Geo-Marine Sciences</t>
  </si>
  <si>
    <t>International Association of Geodesy Symposia</t>
  </si>
  <si>
    <t>International Geology Review</t>
  </si>
  <si>
    <t>International Journal of 3-D Information Modeling</t>
  </si>
  <si>
    <t>International Journal of Applied Earth Observation and Geoinformation</t>
  </si>
  <si>
    <t>International Journal of Climatology</t>
  </si>
  <si>
    <t>International Journal of Coal Geology</t>
  </si>
  <si>
    <t>International Journal of Earth Sciences</t>
  </si>
  <si>
    <t>International Journal of Mineral Processing</t>
  </si>
  <si>
    <t>International Journal of Remote Sensing</t>
  </si>
  <si>
    <t>International Journal of Speleology</t>
  </si>
  <si>
    <t>Irrigation Science</t>
  </si>
  <si>
    <t>Island Arc</t>
  </si>
  <si>
    <t>ISPRS Journal of Photogrammetry and Remote Sensing</t>
  </si>
  <si>
    <t>Italian Journal of Geosciences</t>
  </si>
  <si>
    <t>Izvestiya, Atmospheric and Oceanic Physics</t>
  </si>
  <si>
    <t>Izvestiya, Physics of the Solid Earth</t>
  </si>
  <si>
    <t>Journal of Aerosol Science</t>
  </si>
  <si>
    <t>Journal of African Earth Sciences</t>
  </si>
  <si>
    <t>Journal of Applied Geodesy</t>
  </si>
  <si>
    <t>Journal of Applied Geophysics</t>
  </si>
  <si>
    <t>Journal of Applied Meteorology and Climatology</t>
  </si>
  <si>
    <t>Journal of Asian Earth Sciences</t>
  </si>
  <si>
    <t>Journal of Atmospheric and Oceanic Technology</t>
  </si>
  <si>
    <t>Journal of Atmospheric and Solar-Terrestrial Physics</t>
  </si>
  <si>
    <t>Journal of Atmospheric Chemistry</t>
  </si>
  <si>
    <t>Journal of Cave and Karst Studies</t>
  </si>
  <si>
    <t>Journal of Earth Science</t>
  </si>
  <si>
    <t>Journal of Earth System Science</t>
  </si>
  <si>
    <t>Journal of East Africa Natural History</t>
  </si>
  <si>
    <t>Journal of Environmental &amp; Engineering Geophysics</t>
  </si>
  <si>
    <t>Journal of Environmental Radioactivity</t>
  </si>
  <si>
    <t>Journal of Foraminiferal Research</t>
  </si>
  <si>
    <t>Journal of Geochemical Exploration</t>
  </si>
  <si>
    <t>Journal of Geodetic Science</t>
  </si>
  <si>
    <t>Journal of Geodynamics</t>
  </si>
  <si>
    <t>Journal of Geographical Systems</t>
  </si>
  <si>
    <t>Journal of Geophysics and Engineering</t>
  </si>
  <si>
    <t>Journal of Glaciology</t>
  </si>
  <si>
    <t>Journal of Great Lakes Research</t>
  </si>
  <si>
    <t>Journal of Hydrometeorology</t>
  </si>
  <si>
    <t>Journal of Marine Systems</t>
  </si>
  <si>
    <t>Journal of Metamorphic Geology</t>
  </si>
  <si>
    <t>Journal of Micropalaeontology</t>
  </si>
  <si>
    <t>Journal of Mineralogical and Petrological Sciences</t>
  </si>
  <si>
    <t>Journal of Navigation</t>
  </si>
  <si>
    <t>Journal of Oceanography</t>
  </si>
  <si>
    <t>Journal of Paleontology</t>
  </si>
  <si>
    <t>Journal of Petroleum Geology</t>
  </si>
  <si>
    <t>Journal of Physical Oceanography</t>
  </si>
  <si>
    <t>Journal of Quaternary Science</t>
  </si>
  <si>
    <t>Journal of Sedimentary Research</t>
  </si>
  <si>
    <t>Journal of Seismic Exploration</t>
  </si>
  <si>
    <t>Journal of Seismology</t>
  </si>
  <si>
    <t>Journal of South American Earth Sciences</t>
  </si>
  <si>
    <t>Journal of Space Weather and Space Climate</t>
  </si>
  <si>
    <t>Journal of Spatial Hydrology</t>
  </si>
  <si>
    <t>Journal of Structural Geology</t>
  </si>
  <si>
    <t>Journal of Surveying Engineering</t>
  </si>
  <si>
    <t>Journal of Systematic Palaeontology</t>
  </si>
  <si>
    <t>Journal of the Atmospheric Sciences</t>
  </si>
  <si>
    <t>Journal of the Geological Society</t>
  </si>
  <si>
    <t>Journal of the Geological Society of India</t>
  </si>
  <si>
    <t>Journal of the Meteorological Society of Japan</t>
  </si>
  <si>
    <t>Journal of Vertebrate Paleontology</t>
  </si>
  <si>
    <t>Journal of Volcanology and Geothermal Research</t>
  </si>
  <si>
    <t>Lecture Notes in Earth Sciences</t>
  </si>
  <si>
    <t>Lethaia: An International Journal of Palaeontology and Stratigraphy</t>
  </si>
  <si>
    <t>Lithology and Mineral Resources</t>
  </si>
  <si>
    <t>Lithos</t>
  </si>
  <si>
    <t>Marine and Petroleum Geology</t>
  </si>
  <si>
    <t>Marine Geodesy</t>
  </si>
  <si>
    <t>Marine Geology</t>
  </si>
  <si>
    <t>Marine Geophysical Researches</t>
  </si>
  <si>
    <t>Marine Georesources &amp; Geotechnology</t>
  </si>
  <si>
    <t>Marine Micropaleontology</t>
  </si>
  <si>
    <t>Mathematical Geosciences</t>
  </si>
  <si>
    <t>Meteoritics and Planetary Science</t>
  </si>
  <si>
    <t>Meteorological Applications</t>
  </si>
  <si>
    <t>Meteorologische Zeitschrift</t>
  </si>
  <si>
    <t>Meteorology and Atmospheric Physics</t>
  </si>
  <si>
    <t>Micropaleontology</t>
  </si>
  <si>
    <t>Mineralium Deposita</t>
  </si>
  <si>
    <t>Mineralogical Magazine</t>
  </si>
  <si>
    <t>Mineralogy and Petrology</t>
  </si>
  <si>
    <t>Minerals Engineering</t>
  </si>
  <si>
    <t>Monthly Weather Review</t>
  </si>
  <si>
    <t>Natural Hazards</t>
  </si>
  <si>
    <t>Natural Hazards and Earth System Sciences</t>
  </si>
  <si>
    <t>Natural Hazards Review</t>
  </si>
  <si>
    <t>Navigation</t>
  </si>
  <si>
    <t>Near Surface Geophysics</t>
  </si>
  <si>
    <t>Netherlands Journal of Geosciences - Geologie en Mijnbouw</t>
  </si>
  <si>
    <t>Neues Jahrbuch für Geologie und Paläontologie</t>
  </si>
  <si>
    <t>Neues Jahrbuch für Mineralogie - Abhandlungen / Journal of Mineralogy and Geochemistry</t>
  </si>
  <si>
    <t>New Zealand Journal of Geology and Geophysics</t>
  </si>
  <si>
    <t>Newsletters on Stratigraphy</t>
  </si>
  <si>
    <t>Newton's Bulletin</t>
  </si>
  <si>
    <t>Nonlinear Processes in Geophysics</t>
  </si>
  <si>
    <t>Norsk Geologisk Tidsskrift</t>
  </si>
  <si>
    <t>Ocean and Polar Research</t>
  </si>
  <si>
    <t>Ocean Dynamics</t>
  </si>
  <si>
    <t>Ocean Engineering</t>
  </si>
  <si>
    <t>Ocean Science</t>
  </si>
  <si>
    <t>Oceanologia</t>
  </si>
  <si>
    <t>Oceanology</t>
  </si>
  <si>
    <t>Oceanus</t>
  </si>
  <si>
    <t>Ofioliti</t>
  </si>
  <si>
    <t>Open Geosciences</t>
  </si>
  <si>
    <t>Ore Geology Reviews</t>
  </si>
  <si>
    <t>Organic Geochemistry</t>
  </si>
  <si>
    <t>Palaeogeography, Palaeoclimatology, Palaeoecology - An International Journal for the Geo-Sciences</t>
  </si>
  <si>
    <t xml:space="preserve">Palaeontographica A: Paleozoology, Stratigraphy </t>
  </si>
  <si>
    <t>Palaeontologia Electronica</t>
  </si>
  <si>
    <t>Palaeontologische Zeitschrift</t>
  </si>
  <si>
    <t>Palaeontology</t>
  </si>
  <si>
    <t>Palaios</t>
  </si>
  <si>
    <t>Paleobiology</t>
  </si>
  <si>
    <t>Paleontological Journal</t>
  </si>
  <si>
    <t>Palgrave Studies In Sustainable Business In Association With Future Earth</t>
  </si>
  <si>
    <t>Palgrave Studies In World Environmental History</t>
  </si>
  <si>
    <t>Palynology</t>
  </si>
  <si>
    <t>Permafrost and Periglacial Processes</t>
  </si>
  <si>
    <t>Petroleum Geoscience</t>
  </si>
  <si>
    <t>Petrology</t>
  </si>
  <si>
    <t>Photogrammetric Engineering and Remote Sensing</t>
  </si>
  <si>
    <t>Physical Geography</t>
  </si>
  <si>
    <t>Physics and Chemistry of the Earth</t>
  </si>
  <si>
    <t>Physics of the Earth and Planetary Interiors</t>
  </si>
  <si>
    <t>Polar Research</t>
  </si>
  <si>
    <t>Polar Science</t>
  </si>
  <si>
    <t>Polish Journal of Soil Science</t>
  </si>
  <si>
    <t>Proceedings of the Geologists' Association</t>
  </si>
  <si>
    <t xml:space="preserve">Proceedings of the International Association of Hydrological Sciences </t>
  </si>
  <si>
    <t>Proceedings of the Yorkshire Geological Society</t>
  </si>
  <si>
    <t>Progress in Physical Geography</t>
  </si>
  <si>
    <t>PTB Mitteilungen</t>
  </si>
  <si>
    <t>Pure and Applied Geophysics</t>
  </si>
  <si>
    <t>Quarterly Journal of the Royal Meteorological Society</t>
  </si>
  <si>
    <t>Quaternary Geochronology</t>
  </si>
  <si>
    <t>Quaternary International</t>
  </si>
  <si>
    <t>Quaternary Research</t>
  </si>
  <si>
    <t>Radiocarbon: An International Journal of Cosmogenic Isotope Research</t>
  </si>
  <si>
    <t>Resource Geology</t>
  </si>
  <si>
    <t>Review of Palaeobotany and Palynology</t>
  </si>
  <si>
    <t>Reviews in Mineralogy and Geochemistry</t>
  </si>
  <si>
    <t>Revista Mexicana de Ciencias Geologicas</t>
  </si>
  <si>
    <t>Revue de Micropaleontologie</t>
  </si>
  <si>
    <t>Rivista Italiana di Paleontologia e Stratigrafia</t>
  </si>
  <si>
    <t>Rock Mechanics and Rock Engineering</t>
  </si>
  <si>
    <t>Rocks and Minerals</t>
  </si>
  <si>
    <t>Routledge Advances In Climate Change Research</t>
  </si>
  <si>
    <t>Routledge Explorations In Environmental Studies</t>
  </si>
  <si>
    <t>Russian Geology and Geophysics</t>
  </si>
  <si>
    <t>Science China Earth Sciences</t>
  </si>
  <si>
    <t>Scottish Journal of Geology</t>
  </si>
  <si>
    <t>Sedimentary Geology</t>
  </si>
  <si>
    <t>Sedimentology</t>
  </si>
  <si>
    <t>Seismological Research Letters</t>
  </si>
  <si>
    <t>South African Journal of Geology</t>
  </si>
  <si>
    <t>Space Weather</t>
  </si>
  <si>
    <t>Special Papers in Palaeontology</t>
  </si>
  <si>
    <t>Stratigraphy and Geological Correlation</t>
  </si>
  <si>
    <t>Studia Geophysica et Geodaetica</t>
  </si>
  <si>
    <t>Surveys in Geophysics</t>
  </si>
  <si>
    <t>Swiss Journal of Geosciences</t>
  </si>
  <si>
    <t>Tectonophysics</t>
  </si>
  <si>
    <t>Tellus A: Dynamic Meteorology and Oceanography</t>
  </si>
  <si>
    <t>Tellus B: Chemical and Physical Meteorology</t>
  </si>
  <si>
    <t>Terra Nova</t>
  </si>
  <si>
    <t>Terrestrial, Atmospheric and Oceanic Sciences</t>
  </si>
  <si>
    <t>The Cartographic Journal</t>
  </si>
  <si>
    <t>The Cryosphere</t>
  </si>
  <si>
    <t>The Cryosphere Discussions</t>
  </si>
  <si>
    <t>The Holocene</t>
  </si>
  <si>
    <t>The International Hydrographic Review</t>
  </si>
  <si>
    <t>The Journal of Geology</t>
  </si>
  <si>
    <t>The Photogrammetric Record</t>
  </si>
  <si>
    <t>Theoretical and Applied Climatology</t>
  </si>
  <si>
    <t>Transactions in GIS</t>
  </si>
  <si>
    <t>Turkish Journal of Earth Sciences</t>
  </si>
  <si>
    <t>Water and Environment Journal</t>
  </si>
  <si>
    <t>Weather and Forecasting</t>
  </si>
  <si>
    <t>West African Journal of Applied Ecology</t>
  </si>
  <si>
    <t>Yanshi Xuebao</t>
  </si>
  <si>
    <t>Zeitschrift für Geomorphologie</t>
  </si>
  <si>
    <t>AAPG Bulletin</t>
  </si>
  <si>
    <t>Fysik og Astronomi</t>
  </si>
  <si>
    <t>Advances in Physics</t>
  </si>
  <si>
    <t>Annual Review of Astronomy and Astrophysics</t>
  </si>
  <si>
    <t>Annual Review of Nuclear and Particle Science</t>
  </si>
  <si>
    <t>Applied Physics Letters</t>
  </si>
  <si>
    <t>Astronomy &amp; Astrophysics</t>
  </si>
  <si>
    <t>EPL</t>
  </si>
  <si>
    <t>Journal of Cosmology and Astroparticle Physics</t>
  </si>
  <si>
    <t>Monthly Notices of the Royal Astronomical Society</t>
  </si>
  <si>
    <t>Nature Photonics</t>
  </si>
  <si>
    <t>Nature Physics</t>
  </si>
  <si>
    <t>New Journal of Physics</t>
  </si>
  <si>
    <t>Nuclear Physics, Section B</t>
  </si>
  <si>
    <t>Optics Express</t>
  </si>
  <si>
    <t>Physical Review Letters</t>
  </si>
  <si>
    <t>Physics Letters B: Particle Physics, Nuclear Physics and Cosmology</t>
  </si>
  <si>
    <t>Physics Reports</t>
  </si>
  <si>
    <t>Physics Today</t>
  </si>
  <si>
    <t>Reports on Progress in Physics</t>
  </si>
  <si>
    <t>Reviews of Modern Physics</t>
  </si>
  <si>
    <t>Small</t>
  </si>
  <si>
    <t>The Astronomy and Astrophysics Review</t>
  </si>
  <si>
    <t>The Astrophysical Journal</t>
  </si>
  <si>
    <t>The Astrophysical Journal Supplement Series</t>
  </si>
  <si>
    <t>The Journal of High Energy Physics</t>
  </si>
  <si>
    <t>Acoustical Physics</t>
  </si>
  <si>
    <t>Acta Astronautica</t>
  </si>
  <si>
    <t>Acta Astronomica</t>
  </si>
  <si>
    <t>Acta Physica Polonica A</t>
  </si>
  <si>
    <t>Acta Physica Polonica B</t>
  </si>
  <si>
    <t>Acta Physica Slovaca</t>
  </si>
  <si>
    <t>Advances in Atomic, Molecular and Optical Physics</t>
  </si>
  <si>
    <t>Advances in Chemical Physics</t>
  </si>
  <si>
    <t>AIP Conference Proceedings</t>
  </si>
  <si>
    <t>American Journal of Physics</t>
  </si>
  <si>
    <t>Annalen der Physik</t>
  </si>
  <si>
    <t>Annales de la Fondation Louis de Broglie</t>
  </si>
  <si>
    <t>Annals of Nuclear Energy</t>
  </si>
  <si>
    <t>Annals of Physics</t>
  </si>
  <si>
    <t>Applied Physics B</t>
  </si>
  <si>
    <t>Applied Physics Express</t>
  </si>
  <si>
    <t>Applied Radiation and Isotopes</t>
  </si>
  <si>
    <t>Astronomische Nachrichten</t>
  </si>
  <si>
    <t>Astronomy &amp; Geophysics</t>
  </si>
  <si>
    <t>Astronomy Letters</t>
  </si>
  <si>
    <t>Astronomy Reports</t>
  </si>
  <si>
    <t>Astroparticle Physics</t>
  </si>
  <si>
    <t>Astrophysics</t>
  </si>
  <si>
    <t>Astrophysics and Space Science</t>
  </si>
  <si>
    <t>Atomic Data and Nuclear Data Tables</t>
  </si>
  <si>
    <t>Atomic Energy</t>
  </si>
  <si>
    <t>Brazilian Journal of Physics</t>
  </si>
  <si>
    <t>Bulletin of Materials Science</t>
  </si>
  <si>
    <t>Canadian Journal of Physics</t>
  </si>
  <si>
    <t>Celestial Mechanics and Dynamical Astronomy</t>
  </si>
  <si>
    <t>Central European Journal of Physics</t>
  </si>
  <si>
    <t>Chemical Physics Letters</t>
  </si>
  <si>
    <t>Chinese Astronomy and Astrophysics</t>
  </si>
  <si>
    <t>Chinese Journal of Physics</t>
  </si>
  <si>
    <t>Chinese Physics B</t>
  </si>
  <si>
    <t>Chinese Physics C</t>
  </si>
  <si>
    <t>Chinese Physics Letters</t>
  </si>
  <si>
    <t>Classical and Quantum Gravity</t>
  </si>
  <si>
    <t>Communications in Theoretical Physics</t>
  </si>
  <si>
    <t>Comptes Rendus Physique</t>
  </si>
  <si>
    <t>Computer Physics Communications</t>
  </si>
  <si>
    <t>Concepts in Magnetic Resonance. Part A</t>
  </si>
  <si>
    <t>Condensed Matter Physics</t>
  </si>
  <si>
    <t>Contemporary Physics</t>
  </si>
  <si>
    <t>Contributions to Plasma Physics</t>
  </si>
  <si>
    <t>Cosmic Research</t>
  </si>
  <si>
    <t>Current Applied Physics</t>
  </si>
  <si>
    <t>Doklady Physics</t>
  </si>
  <si>
    <t>Earth, Moon, and Planets</t>
  </si>
  <si>
    <t>ERCOFTAC Series</t>
  </si>
  <si>
    <t>European Journal of Physics</t>
  </si>
  <si>
    <t>Experimental Astronomy</t>
  </si>
  <si>
    <t>Ferroelectrics Letters Section</t>
  </si>
  <si>
    <t>Few-Body Systems</t>
  </si>
  <si>
    <t>FIAS Interdisciplinary Science Series</t>
  </si>
  <si>
    <t>Fortschritte der Physik</t>
  </si>
  <si>
    <t>Foundations of Physics</t>
  </si>
  <si>
    <t>Fusion Engineering and Design</t>
  </si>
  <si>
    <t>Fusion Science and Technology</t>
  </si>
  <si>
    <t>General Relativity and Gravitation</t>
  </si>
  <si>
    <t>High Pressure Research</t>
  </si>
  <si>
    <t>High Temperature</t>
  </si>
  <si>
    <t>Hyperfine Interactions</t>
  </si>
  <si>
    <t>Icarus</t>
  </si>
  <si>
    <t>IEEE Transactions on Plasma Science</t>
  </si>
  <si>
    <t>Indian Journal of Physics</t>
  </si>
  <si>
    <t>Indian Journal of Pure &amp; Applied Physics</t>
  </si>
  <si>
    <t>Indian Journal of Radio &amp; Space Physics</t>
  </si>
  <si>
    <t>Information Bulletin on Variable Stars</t>
  </si>
  <si>
    <t>Institute of Physics Conference Series</t>
  </si>
  <si>
    <t>International Journal of Acoustics and Vibration</t>
  </si>
  <si>
    <t>International Journal of Modern Physics A</t>
  </si>
  <si>
    <t>International Journal of Modern Physics B</t>
  </si>
  <si>
    <t>International Journal of Modern Physics C</t>
  </si>
  <si>
    <t>International Journal of Modern Physics D</t>
  </si>
  <si>
    <t>International Journal of Modern Physics E</t>
  </si>
  <si>
    <t>International Journal of Theoretical Physics</t>
  </si>
  <si>
    <t>Ionics</t>
  </si>
  <si>
    <t>IPPS physica status solidi (b)</t>
  </si>
  <si>
    <t>JBIS: Journal of the British Interplanetary Society</t>
  </si>
  <si>
    <t>JETP Letters</t>
  </si>
  <si>
    <t>Journal of Applied Physics</t>
  </si>
  <si>
    <t>Journal of Astrophysics and Astronomy</t>
  </si>
  <si>
    <t>Journal of Biophotonics</t>
  </si>
  <si>
    <t>Journal of Computational Physics</t>
  </si>
  <si>
    <t>Journal of Experimental and Theoretical Physics</t>
  </si>
  <si>
    <t>Journal of Fusion Energy</t>
  </si>
  <si>
    <t>Journal of Instrumentation</t>
  </si>
  <si>
    <t>Journal of Low Temperature Physics</t>
  </si>
  <si>
    <t>Journal of Luminescence</t>
  </si>
  <si>
    <t>Journal of Nanophotonics</t>
  </si>
  <si>
    <t>Journal of Nonlinear Mathematical Physics</t>
  </si>
  <si>
    <t>Journal of Nuclear Science and Technology</t>
  </si>
  <si>
    <t>Journal of Physical Studies</t>
  </si>
  <si>
    <t>Journal of Physics B: Atomic, Molecular and Optical Physics</t>
  </si>
  <si>
    <t>Journal of Physics D: Applied Physics</t>
  </si>
  <si>
    <t>Journal of Physics G: Nuclear and Particle Physics</t>
  </si>
  <si>
    <t>Journal of Physics: Condensed Matter</t>
  </si>
  <si>
    <t>Journal of Physics: Conference Series</t>
  </si>
  <si>
    <t>Journal of Plasma Physics</t>
  </si>
  <si>
    <t>Journal of Synchrotron Radiation</t>
  </si>
  <si>
    <t>Journal of the Korean Physical Society</t>
  </si>
  <si>
    <t>Journal of the Optical Society of America A</t>
  </si>
  <si>
    <t>Journal of the Physical Society of Japan</t>
  </si>
  <si>
    <t>Journal of X-Ray Science and Technology</t>
  </si>
  <si>
    <t>Journal of Zhejiang University-SCIENCE B</t>
  </si>
  <si>
    <t>Kerntechnik</t>
  </si>
  <si>
    <t>Laser &amp; Photonics Reviews</t>
  </si>
  <si>
    <t>Laser and Particle Beams</t>
  </si>
  <si>
    <t>Laser Focus World</t>
  </si>
  <si>
    <t>Laser Physics</t>
  </si>
  <si>
    <t>Laser Physics Letters</t>
  </si>
  <si>
    <t>Lecture Notes in Physics</t>
  </si>
  <si>
    <t>LEUKOS, The journal of the Illuminating Society of North America</t>
  </si>
  <si>
    <t>Light: Science &amp; Applications</t>
  </si>
  <si>
    <t>Living Reviews in Relativity</t>
  </si>
  <si>
    <t>Low Temperature Physics</t>
  </si>
  <si>
    <t>Medical Physics</t>
  </si>
  <si>
    <t>Metrologia</t>
  </si>
  <si>
    <t>Modern Physics Letters A</t>
  </si>
  <si>
    <t>Modern Physics Letters B</t>
  </si>
  <si>
    <t>Nanoscale and Microscale Thermophysical Engineering</t>
  </si>
  <si>
    <t>New Astronomy</t>
  </si>
  <si>
    <t>New Astronomy Reviews</t>
  </si>
  <si>
    <t>Nonlinear Optics, Quantum Optics</t>
  </si>
  <si>
    <t>Nuclear and Particle Physics Proceedings</t>
  </si>
  <si>
    <t>Nuclear Data Sheets</t>
  </si>
  <si>
    <t>Nuclear Engineering and Design</t>
  </si>
  <si>
    <t>Nuclear Engineering International</t>
  </si>
  <si>
    <t>Nuclear Fusion</t>
  </si>
  <si>
    <t>Nuclear Instruments and Methods in Physics Research Section A: Accelerators, Spectrometers, Detectors and Associated Equipment</t>
  </si>
  <si>
    <t>Nuclear Instruments and Methods in Physics Research Section B: Beam Interactions with Materials and Atoms</t>
  </si>
  <si>
    <t>Nuclear Physics A: Nuclear and Hadronic Physics</t>
  </si>
  <si>
    <t>Nuclear Science and Engineering</t>
  </si>
  <si>
    <t>Nukleonika</t>
  </si>
  <si>
    <t>Optik</t>
  </si>
  <si>
    <t>Phase Transitions</t>
  </si>
  <si>
    <t>Physica A: Statistical Mechanics and its Applications</t>
  </si>
  <si>
    <t>Physica B: Condensed Matter</t>
  </si>
  <si>
    <t>Physica C: Superconductivity and its Applications</t>
  </si>
  <si>
    <t>Physica D: Nonlinear Phenomena</t>
  </si>
  <si>
    <t>Physica Scripta</t>
  </si>
  <si>
    <t>Physica Scripta. Topical Issues</t>
  </si>
  <si>
    <t>Physica Status Solidi. A: Applications and Materials Science</t>
  </si>
  <si>
    <t>Physica Status Solidi. C: Current Topics in Solid State Physics</t>
  </si>
  <si>
    <t>Physical Mesomechanics</t>
  </si>
  <si>
    <t>Physical Review A</t>
  </si>
  <si>
    <t>Physical Review Accelerators and Beams</t>
  </si>
  <si>
    <t>Physical Review C</t>
  </si>
  <si>
    <t>Physical Review D</t>
  </si>
  <si>
    <t>Physical Review E</t>
  </si>
  <si>
    <t>Physical Review Fluids</t>
  </si>
  <si>
    <t>Physics - Uspekhi</t>
  </si>
  <si>
    <t>Physics Essays</t>
  </si>
  <si>
    <t>Physics in Perspective</t>
  </si>
  <si>
    <t>Physics Letters A</t>
  </si>
  <si>
    <t>Physics of Atomic Nuclei</t>
  </si>
  <si>
    <t>Physics of Particles and Nuclei</t>
  </si>
  <si>
    <t>Physics of Plasmas</t>
  </si>
  <si>
    <t>Physics of the Solid State</t>
  </si>
  <si>
    <t>Physics Research And Technology</t>
  </si>
  <si>
    <t>Physics World</t>
  </si>
  <si>
    <t>Planetary and Space Science</t>
  </si>
  <si>
    <t>Plasma Physics and Controlled Fusion</t>
  </si>
  <si>
    <t>Plasma Physics Reports</t>
  </si>
  <si>
    <t>Plasma Sources Science and Technology</t>
  </si>
  <si>
    <t>Pramana – Journal of Physics</t>
  </si>
  <si>
    <t>Proceedings of the International Astronomical Union</t>
  </si>
  <si>
    <t>Progress in Nuclear Energy</t>
  </si>
  <si>
    <t>Progress in Particle and Nuclear Physics</t>
  </si>
  <si>
    <t>Progress in Photovoltaics</t>
  </si>
  <si>
    <t>Progress of Theoretical and Experimental Physics</t>
  </si>
  <si>
    <t>Publications of Astronomical Society of Japan</t>
  </si>
  <si>
    <t>Publications of the Astronomical Society of the Pacific</t>
  </si>
  <si>
    <t>Radiation Effects and Defects in Solids</t>
  </si>
  <si>
    <t>Radiation Measurements</t>
  </si>
  <si>
    <t>Radiation Physics and Chemistry</t>
  </si>
  <si>
    <t>Radiophysics and Quantum Electronics</t>
  </si>
  <si>
    <t>Research in Astronomy and Astrophysics</t>
  </si>
  <si>
    <t>Review of Scientific Instruments</t>
  </si>
  <si>
    <t>Revista Mexicana de Astronomia y Astrofisica</t>
  </si>
  <si>
    <t>Revista Mexicana de Fisica</t>
  </si>
  <si>
    <t>Rivista del Nuovo Cimento</t>
  </si>
  <si>
    <t>Romanian Journal of Physics</t>
  </si>
  <si>
    <t>Russian Journal of Mathematical Physics</t>
  </si>
  <si>
    <t>Russian Physics Journal</t>
  </si>
  <si>
    <t>Semiconductors</t>
  </si>
  <si>
    <t>Solar Physics</t>
  </si>
  <si>
    <t>Solar System Research</t>
  </si>
  <si>
    <t>Solid State Communications</t>
  </si>
  <si>
    <t>Solid State Phenomena</t>
  </si>
  <si>
    <t>Solid State Physics</t>
  </si>
  <si>
    <t>Space Science Reviews</t>
  </si>
  <si>
    <t>Springer Tracts in Modern Physics</t>
  </si>
  <si>
    <t>Surface Review and Letters</t>
  </si>
  <si>
    <t>Synchrotron Radiation News</t>
  </si>
  <si>
    <t>The Astronomical Journal</t>
  </si>
  <si>
    <t>The Astrophysical Journal Letters</t>
  </si>
  <si>
    <t>The European Physical Journal A: Hadrons and Nuclei</t>
  </si>
  <si>
    <t>The European Physical Journal Applied Physics</t>
  </si>
  <si>
    <t>The European Physical Journal C: Particles and Fields</t>
  </si>
  <si>
    <t>The European Physical Journal D: Atomic, Molecular, Optical and Plasma Physics</t>
  </si>
  <si>
    <t>The European Physical Journal E: Soft Matter and Biological Physics</t>
  </si>
  <si>
    <t>The European Physical Journal Plus</t>
  </si>
  <si>
    <t>The European Physical Journal. Special Topics</t>
  </si>
  <si>
    <t>The Observatory</t>
  </si>
  <si>
    <t>Theoretical and Mathematical Physics</t>
  </si>
  <si>
    <t>Topics in Applied Physics</t>
  </si>
  <si>
    <t>Wuli Xuebao</t>
  </si>
  <si>
    <t>Zeitschrift für Physikalische Chemie: International journal of research in physical chemistry and chemical physics</t>
  </si>
  <si>
    <t>Engelsk, Romansk, Tysk, Nederlandsk</t>
  </si>
  <si>
    <t>Across Languages and Cultures</t>
  </si>
  <si>
    <t>American Literary History</t>
  </si>
  <si>
    <t>American Literature</t>
  </si>
  <si>
    <t>Anales de la Literatura Española Contemporánea</t>
  </si>
  <si>
    <t>Anales de Literatura Hispanoamericana</t>
  </si>
  <si>
    <t>Anglia: Journal of English Philology</t>
  </si>
  <si>
    <t>Ariane: Revue d'études littéraires françaises</t>
  </si>
  <si>
    <t>Beiträge zur Geschichte der Deutschen Sprache und Literatur</t>
  </si>
  <si>
    <t>Benjamins Translation Library</t>
  </si>
  <si>
    <t>Bibliotheque d'Humanisme et Renaissance</t>
  </si>
  <si>
    <t>Clues</t>
  </si>
  <si>
    <t>Contemporary Literature</t>
  </si>
  <si>
    <t>Costerus</t>
  </si>
  <si>
    <t>Critique: Studies in Contemporary Fiction</t>
  </si>
  <si>
    <t>Deutsch als Fremdsprache</t>
  </si>
  <si>
    <t>Deutsche Vierteljahrsschrift für Literaturwissenschaft und Geistesgeschichte</t>
  </si>
  <si>
    <t>ELH</t>
  </si>
  <si>
    <t>English for Specific Purposes</t>
  </si>
  <si>
    <t>English Language and Linguistics</t>
  </si>
  <si>
    <t>English Studies</t>
  </si>
  <si>
    <t>Etudes de Linguistique Appliquee</t>
  </si>
  <si>
    <t>Euphorion</t>
  </si>
  <si>
    <t>European Journal of English Studies</t>
  </si>
  <si>
    <t>Fachsprache: International Journal of Specialized Communication</t>
  </si>
  <si>
    <t>German Life and Letters</t>
  </si>
  <si>
    <t>Germanisch-Romanische Monatsschrift</t>
  </si>
  <si>
    <t>Goethe-Jahrbuch</t>
  </si>
  <si>
    <t>Ibérica</t>
  </si>
  <si>
    <t>Internationales Archiv für Sozialgeschichte der deutschen Literatur</t>
  </si>
  <si>
    <t>Interpreting</t>
  </si>
  <si>
    <t>Jahrbuch der Deutschen Schillergesellschaft</t>
  </si>
  <si>
    <t>Journal of Austrian Studies</t>
  </si>
  <si>
    <t>Journal of English and Germanic Philology</t>
  </si>
  <si>
    <t>Journal of English Linguistics</t>
  </si>
  <si>
    <t>Journal of French Language Studies</t>
  </si>
  <si>
    <t>Journal of Germanic Linguistics</t>
  </si>
  <si>
    <t>Journal of Spanish Cultural Studies</t>
  </si>
  <si>
    <t>Journal of Specialised Translation</t>
  </si>
  <si>
    <t>Langages: Revue internationale des sciences du langage</t>
  </si>
  <si>
    <t>Language and Literature</t>
  </si>
  <si>
    <t>Langue Francaise</t>
  </si>
  <si>
    <t>Le Langage et l'Homme</t>
  </si>
  <si>
    <t>LiLi: Zeitschrift für Literaturwissenschaft und Linguistik</t>
  </si>
  <si>
    <t>Meta: Translators' Journal</t>
  </si>
  <si>
    <t>MLN</t>
  </si>
  <si>
    <t>Modern Language Journal</t>
  </si>
  <si>
    <t>Nederlandse Letterkunde</t>
  </si>
  <si>
    <t>New German Critique</t>
  </si>
  <si>
    <t>Nineteenth-Century Literature</t>
  </si>
  <si>
    <t>Oxford German Studies</t>
  </si>
  <si>
    <t>Perspectives - Studies in Translation Theory and Practice</t>
  </si>
  <si>
    <t>Philological Quarterly</t>
  </si>
  <si>
    <t xml:space="preserve">PMLA </t>
  </si>
  <si>
    <t>Renaissance Studies</t>
  </si>
  <si>
    <t>Revista española de lingüística</t>
  </si>
  <si>
    <t>Revue d'Histoire Litteraire de la France</t>
  </si>
  <si>
    <t>Revue Romane</t>
  </si>
  <si>
    <t>Romance Philology</t>
  </si>
  <si>
    <t>Romanische Forschungen</t>
  </si>
  <si>
    <t>Science Fiction Studies</t>
  </si>
  <si>
    <t>Seminar: a journal of Germanic studies</t>
  </si>
  <si>
    <t>Shakespeare Quarterly</t>
  </si>
  <si>
    <t>Shakespeare Studies</t>
  </si>
  <si>
    <t>Speculum</t>
  </si>
  <si>
    <t>Studies in American Fiction</t>
  </si>
  <si>
    <t>Studies in American Indian Literatures</t>
  </si>
  <si>
    <t>Studies in Philology</t>
  </si>
  <si>
    <t>Studies in Romanticism</t>
  </si>
  <si>
    <t>Studies in the Novel</t>
  </si>
  <si>
    <t>Target: International Journal of Translation Studies</t>
  </si>
  <si>
    <t>Text &amp; Kontext</t>
  </si>
  <si>
    <t>Text &amp; Kontext. Sonderreihe</t>
  </si>
  <si>
    <t>Textual Practice</t>
  </si>
  <si>
    <t>The French Review</t>
  </si>
  <si>
    <t>The German Quarterly</t>
  </si>
  <si>
    <t>The Germanic Review</t>
  </si>
  <si>
    <t>The Italianist</t>
  </si>
  <si>
    <t>The Translator</t>
  </si>
  <si>
    <t>Third Text</t>
  </si>
  <si>
    <t>Tijdschrift voor Nederlandse Taal- en Letterkunde</t>
  </si>
  <si>
    <t>Victorian Poetry</t>
  </si>
  <si>
    <t>Weimarer Beiträge</t>
  </si>
  <si>
    <t>Wirkendes Wort</t>
  </si>
  <si>
    <t>World Englishes</t>
  </si>
  <si>
    <t>World Literature Today</t>
  </si>
  <si>
    <t>Yale French Studies</t>
  </si>
  <si>
    <t>Zeitschrift für Deutsche Philologie</t>
  </si>
  <si>
    <t>Zeitschrift für deutsches Altertum und deutsche Literatur</t>
  </si>
  <si>
    <t>Zeitschrift für französische Sprache und Literatur</t>
  </si>
  <si>
    <t>Zeitschrift für Germanistik</t>
  </si>
  <si>
    <t>A 10 Scienze dell'Antichita, Filologico - Letterarie e Storico - Artistiche</t>
  </si>
  <si>
    <t>Acta Universitatis Sapientiae, Film &amp; Media Studies</t>
  </si>
  <si>
    <t>Age Culture Humanities: An Interdisciplinary Journal</t>
  </si>
  <si>
    <t>Akzente</t>
  </si>
  <si>
    <t>American Literary Realism</t>
  </si>
  <si>
    <t>American Poetry Review</t>
  </si>
  <si>
    <t>Amsterdamer Beiträge zur neueren Germanistik</t>
  </si>
  <si>
    <t>Amsterdamer Beiträge zur älteren Germanistik</t>
  </si>
  <si>
    <t>Angermion</t>
  </si>
  <si>
    <t>Anglistik</t>
  </si>
  <si>
    <t>Annales de Bretagne et des Pays de l'Ouest</t>
  </si>
  <si>
    <t>Arbeiten aus Anglistik und Amerikanistik</t>
  </si>
  <si>
    <t>Arbitrium: Zeitschrift für Rezensionen zur germanistischen Literaturwissenschaft</t>
  </si>
  <si>
    <t>Arbor</t>
  </si>
  <si>
    <t>Archiv für Kulturgeschichte</t>
  </si>
  <si>
    <t>Archiv für Mediengeschichte</t>
  </si>
  <si>
    <t>Archivio Glottologico Italiano</t>
  </si>
  <si>
    <t>Archivo de Filologia Aragonesa</t>
  </si>
  <si>
    <t>Arthurian Literature</t>
  </si>
  <si>
    <t>Arthuriana</t>
  </si>
  <si>
    <t>Athenäum - Jahrbuch der Friedrich Schlegel-Gesellschaft</t>
  </si>
  <si>
    <t>Australian Journal of French Studies</t>
  </si>
  <si>
    <t>Babel</t>
  </si>
  <si>
    <t>Banque des Mots</t>
  </si>
  <si>
    <t>Beitraege zur Interkulturellen Germanistik</t>
  </si>
  <si>
    <t>Blake</t>
  </si>
  <si>
    <t>Boletín de la Real Academia Española</t>
  </si>
  <si>
    <t>Boletin de Linguistica</t>
  </si>
  <si>
    <t>Bolivian Studies Journal</t>
  </si>
  <si>
    <t>Brazilian English Language Teaching Journal</t>
  </si>
  <si>
    <t>Brecht Yearbook</t>
  </si>
  <si>
    <t>British Journal of Canadian Studies</t>
  </si>
  <si>
    <t>Brno Studies in English</t>
  </si>
  <si>
    <t>Brünner Beiträge zur Germanistik und Nordistik</t>
  </si>
  <si>
    <t>Cadernos de Traducao</t>
  </si>
  <si>
    <t>Cahiers Chronos</t>
  </si>
  <si>
    <t>Cahiers de praxématique</t>
  </si>
  <si>
    <t>Cahiers Élisabéthains: A Journal of English Renaissance Studies</t>
  </si>
  <si>
    <t>Cambrian Medieval Celtic Studies</t>
  </si>
  <si>
    <t>Canadian Journal of Netherlandic Studies</t>
  </si>
  <si>
    <t>Canadian Poetry</t>
  </si>
  <si>
    <t>Caravelle</t>
  </si>
  <si>
    <t>Cercles</t>
  </si>
  <si>
    <t>Changing English</t>
  </si>
  <si>
    <t>Cogent Arts &amp; Humanities</t>
  </si>
  <si>
    <t>College Composition and Communication</t>
  </si>
  <si>
    <t>College English</t>
  </si>
  <si>
    <t>Colloquia Germanica</t>
  </si>
  <si>
    <t>Communication &amp; Language at Work - CLAW</t>
  </si>
  <si>
    <t>Conference Proceedings of the International Conference on Professional Communication and Translation Studies</t>
  </si>
  <si>
    <t>Confluencia</t>
  </si>
  <si>
    <t>Conradiana</t>
  </si>
  <si>
    <t>Constelaciones : Revista de Teoría Crítica</t>
  </si>
  <si>
    <t>Contemporanea: Rivista di storia dell'800 e del '900</t>
  </si>
  <si>
    <t>CR: The New Centennial Review</t>
  </si>
  <si>
    <t>Critica del testo</t>
  </si>
  <si>
    <t>Critica Hispanica</t>
  </si>
  <si>
    <t>Cultura, Lenguaje y Representación</t>
  </si>
  <si>
    <t>D.H. Lawrence Review</t>
  </si>
  <si>
    <t>Dante Studies</t>
  </si>
  <si>
    <t>Danziger Beitraege zur Germanistik</t>
  </si>
  <si>
    <t>Daphnis</t>
  </si>
  <si>
    <t>Der Deutschunterricht</t>
  </si>
  <si>
    <t>Deutsche Sprache</t>
  </si>
  <si>
    <t>Deutschsprachige Gegenwartsliteratur und Medien</t>
  </si>
  <si>
    <t>Dickens Quarterly</t>
  </si>
  <si>
    <t>Dickens Studies Annual</t>
  </si>
  <si>
    <t>Dickensian</t>
  </si>
  <si>
    <t>Donezk Studien zur Germanistik, Kontrastiven und Diachronen Linguistik</t>
  </si>
  <si>
    <t>DQR Studies in Literature</t>
  </si>
  <si>
    <t>Dutch Crossing - Journal of Low Countries Studies</t>
  </si>
  <si>
    <t>Early American Literature</t>
  </si>
  <si>
    <t>Ecozon@: European Journal of Literature, Culture and Environment</t>
  </si>
  <si>
    <t>Edinburgh Companions to Scottish Literature</t>
  </si>
  <si>
    <t>EHumanista</t>
  </si>
  <si>
    <t>Eighteenth-Century Life</t>
  </si>
  <si>
    <t>Eire - Ireland</t>
  </si>
  <si>
    <t>ELT Journal</t>
  </si>
  <si>
    <t>ELUA. Estudios de Lingüística Universidad de Alicante</t>
  </si>
  <si>
    <t>English</t>
  </si>
  <si>
    <t>English Academy Review</t>
  </si>
  <si>
    <t>English in Education</t>
  </si>
  <si>
    <t>English Language Notes</t>
  </si>
  <si>
    <t>English Literary Renaissance</t>
  </si>
  <si>
    <t>English Literature in Transition, 1880-1920</t>
  </si>
  <si>
    <t>English Studies in Africa</t>
  </si>
  <si>
    <t>English Studies in Canada</t>
  </si>
  <si>
    <t>English Today</t>
  </si>
  <si>
    <t>English World-Wide</t>
  </si>
  <si>
    <t>E-rea, Revue électronique d’études sur le monde anglophone</t>
  </si>
  <si>
    <t>Eriu</t>
  </si>
  <si>
    <t>ESP Today</t>
  </si>
  <si>
    <t>ESQ: A Journal of the American Renaissance</t>
  </si>
  <si>
    <t>Estudios de Traducción</t>
  </si>
  <si>
    <t>Estudios Filologicos</t>
  </si>
  <si>
    <t>Estudios Romanicos</t>
  </si>
  <si>
    <t>Estudis Romanics</t>
  </si>
  <si>
    <t>Etudes Anglaises</t>
  </si>
  <si>
    <t>Etudes Germaniques</t>
  </si>
  <si>
    <t>Etudes Litteraires</t>
  </si>
  <si>
    <t>Etudes Romanes</t>
  </si>
  <si>
    <t>Euresis: Cahiers Roumains d'Etudes Litteraires</t>
  </si>
  <si>
    <t>Eurogermanistik</t>
  </si>
  <si>
    <t>Europaeische Hochschulschriften. Reihe 1: Deutsche Sprache und Literatur</t>
  </si>
  <si>
    <t>European Symposium on Language for Special Purposes (LSP)</t>
  </si>
  <si>
    <t>Excavatio</t>
  </si>
  <si>
    <t>Fafnir</t>
  </si>
  <si>
    <t>Finnische Beiträge zur Germanistik</t>
  </si>
  <si>
    <t>Florida Historical Quarterly</t>
  </si>
  <si>
    <t>Forma y Función</t>
  </si>
  <si>
    <t>Forum for World Literature Studies</t>
  </si>
  <si>
    <t>Forum: International Journal of Interpretation and Translation</t>
  </si>
  <si>
    <t>Francais Moderne</t>
  </si>
  <si>
    <t>Frankfurter Beiträge zur Germanistik</t>
  </si>
  <si>
    <t>Fransk nyt</t>
  </si>
  <si>
    <t>Fremdsprache Deutsch</t>
  </si>
  <si>
    <t>French Politics, Culture &amp; Society</t>
  </si>
  <si>
    <t>French Studies</t>
  </si>
  <si>
    <t>Gegenwartsliteratur</t>
  </si>
  <si>
    <t>Georg Büchner Jahrbuch</t>
  </si>
  <si>
    <t>Germanisten. Tidskrift för svensk germanistik: Zeitschrift Schwedischer Germanisten</t>
  </si>
  <si>
    <t>Germanistik: Internationales Referatenorgan mit bibliographischen Hinweisen</t>
  </si>
  <si>
    <t>Germanistische Linguistik</t>
  </si>
  <si>
    <t>Germanistische Mitteilungen</t>
  </si>
  <si>
    <t>Gradiva: International Journal of Italian Poetry</t>
  </si>
  <si>
    <t>Grundlagen der Germanistik</t>
  </si>
  <si>
    <t>Hamburger Beitraege zur Germanistik</t>
  </si>
  <si>
    <t>Heine-Jahrbuch</t>
  </si>
  <si>
    <t>Hofmannsthal Jahrbuch zur Europaeischen Moderne</t>
  </si>
  <si>
    <t>Iberoromania</t>
  </si>
  <si>
    <t>Il Capitale Culturale. Studies on the Value of Cultural Heritage</t>
  </si>
  <si>
    <t>Imaginaires</t>
  </si>
  <si>
    <t>International Journal of Canadian Studies</t>
  </si>
  <si>
    <t>International Journal of English Studies</t>
  </si>
  <si>
    <t>International Journal of Francophone Studies</t>
  </si>
  <si>
    <t>International Journal of Iberian Studies</t>
  </si>
  <si>
    <t>International Journal of Law, Language &amp; Discourse</t>
  </si>
  <si>
    <t>International Journal of Listening</t>
  </si>
  <si>
    <t>International Journal of Romani Language and Culture</t>
  </si>
  <si>
    <t>International Journal of Sociotechnology and Knowledge Development</t>
  </si>
  <si>
    <t>Irish Studies Review</t>
  </si>
  <si>
    <t>Istmo: Revista virtual de estudios literarios y culturales centroamericanos</t>
  </si>
  <si>
    <t>Italian Culture</t>
  </si>
  <si>
    <t>Italian Journal of Linguistics</t>
  </si>
  <si>
    <t>Italianistica</t>
  </si>
  <si>
    <t>Italienisch - Zeitschrift für italienische Sprache und Literatur</t>
  </si>
  <si>
    <t>Jahrbuch der Grillparzer-Gesellschaft</t>
  </si>
  <si>
    <t>Jahrbuch der Jean-Paul-Gesellschaft</t>
  </si>
  <si>
    <t>Jahrbuch der Österreichischen Goethe-Gesellschaft</t>
  </si>
  <si>
    <t>Jahrbuch des Adalbert Stifter-Institutes des Landes Oberösterreich</t>
  </si>
  <si>
    <t>Jahrbuch des Vereins für Niederdeutsche Sprachforschung</t>
  </si>
  <si>
    <t>Jahrbuch Deutsch als Fremdsprache</t>
  </si>
  <si>
    <t>Jahrbuch für Internationale Germanistik</t>
  </si>
  <si>
    <t>Jahrbuch für Internationale Germanistik - Reihe A : Kongressberichte</t>
  </si>
  <si>
    <t>Jahrbuch für Internationale Germanistik. Reihe C : Forschungsberichte</t>
  </si>
  <si>
    <t>James Joyce Quarterly</t>
  </si>
  <si>
    <t>Journal of Asia-Pacific Pop Culture</t>
  </si>
  <si>
    <t>Journal of Educational Measurement</t>
  </si>
  <si>
    <t>Journal of English as a Lingua Franca</t>
  </si>
  <si>
    <t>Journal of English for Academic Purposes</t>
  </si>
  <si>
    <t>Journal of Interpretation Research</t>
  </si>
  <si>
    <t>Journal of Italian Cinema and Media Studies</t>
  </si>
  <si>
    <t>Journal of Lusophone Studies</t>
  </si>
  <si>
    <t>Journal of Popular Romance Studies</t>
  </si>
  <si>
    <t>Journal of Romance Studies</t>
  </si>
  <si>
    <t>Journal of Technical Writing and Communication</t>
  </si>
  <si>
    <t>Journal of the Fantastic in the Arts</t>
  </si>
  <si>
    <t>Journal of the Kafka Society of America</t>
  </si>
  <si>
    <t>Journal of the Midwest Modern Language Association</t>
  </si>
  <si>
    <t>Journal of Travel Research</t>
  </si>
  <si>
    <t>Kalbotyra</t>
  </si>
  <si>
    <t>Kenyon Review</t>
  </si>
  <si>
    <t>La Lingua Italiana</t>
  </si>
  <si>
    <t>La Rassegna della Letteratura Italiana</t>
  </si>
  <si>
    <t>Language Assessment Quarterly</t>
  </si>
  <si>
    <t>L'Annee Balzacienne</t>
  </si>
  <si>
    <t>Latino Studies</t>
  </si>
  <si>
    <t>Law and Literature</t>
  </si>
  <si>
    <t>Le Francais dans le Monde</t>
  </si>
  <si>
    <t>Lebende Sprachen</t>
  </si>
  <si>
    <t>Legacy</t>
  </si>
  <si>
    <t>Letras</t>
  </si>
  <si>
    <t>Life Writing</t>
  </si>
  <si>
    <t>Linguistica e Filologia</t>
  </si>
  <si>
    <t>Linguistica Espanola Actual</t>
  </si>
  <si>
    <t>Linha d' Água</t>
  </si>
  <si>
    <t>Lit: Literature Interpretation Theory</t>
  </si>
  <si>
    <t>L'Italia Dialettale</t>
  </si>
  <si>
    <t>Literatura y Linguistica</t>
  </si>
  <si>
    <t>Liverpool Science Fiction Texts and Studies</t>
  </si>
  <si>
    <t>Localisation Focus</t>
  </si>
  <si>
    <t>London German Studies</t>
  </si>
  <si>
    <t>LSP Journal - Language for special purposes, professional communication, knowledge management and cognition</t>
  </si>
  <si>
    <t>Medioevo Romanzo</t>
  </si>
  <si>
    <t>Meiwen (Shaonian Ban)</t>
  </si>
  <si>
    <t>Meridional Revista Chilena de Estudios Latinoamericanos</t>
  </si>
  <si>
    <t>Milton Quarterly</t>
  </si>
  <si>
    <t>Milton Studies</t>
  </si>
  <si>
    <t>Miscelánea: A Journal of English and American Studies</t>
  </si>
  <si>
    <t>Modern Language Review</t>
  </si>
  <si>
    <t>Modern Philology</t>
  </si>
  <si>
    <t>Monatshefte</t>
  </si>
  <si>
    <t>Mots. Les langages du politique</t>
  </si>
  <si>
    <t>Musil-Forum: Studien zur Literatur der klassischen Moderne. Im Auftrag der Internationalen Robert-Musil-Gesellschaft</t>
  </si>
  <si>
    <t>Musiliana</t>
  </si>
  <si>
    <t>Musil-Studien</t>
  </si>
  <si>
    <t>Neophilologus: An International Journal of Modern and Medieval Language and Literature</t>
  </si>
  <si>
    <t>Neue Deutsch-Amerikanische Studien</t>
  </si>
  <si>
    <t>New Frontiers in Translation Studies</t>
  </si>
  <si>
    <t>New German Review</t>
  </si>
  <si>
    <t>New Voices in Translation Studies</t>
  </si>
  <si>
    <t>Nietzscheforschung</t>
  </si>
  <si>
    <t>Nordeuropäische Arbeiten zur Literatur, Sprache und Kultur</t>
  </si>
  <si>
    <t>Nordeuropäische Arbeiten Zur Literatur, Sprache Und Kultur / Northern European Studies In Literature, Language And Culture</t>
  </si>
  <si>
    <t>Nordic Irish Studies</t>
  </si>
  <si>
    <t>Nordic Journal of English Studies</t>
  </si>
  <si>
    <t>Notes and Queries</t>
  </si>
  <si>
    <t>Nouvelles Etudes Francophones</t>
  </si>
  <si>
    <t>Nuevos Hispanismos</t>
  </si>
  <si>
    <t>Oralia</t>
  </si>
  <si>
    <t>Orbit: Writing Around Pynchon</t>
  </si>
  <si>
    <t>Osloer Beitraege zur Germanistik</t>
  </si>
  <si>
    <t>Otherness: Essays and Studies</t>
  </si>
  <si>
    <t>Pacific Coast Philology</t>
  </si>
  <si>
    <t>Parallèles</t>
  </si>
  <si>
    <t>Perfiles Latinoamericanos</t>
  </si>
  <si>
    <t>Poiesis. Standpunkte zur Gegenwartsliteratur</t>
  </si>
  <si>
    <t>Polnische Studien zur Germanistik, Kulturwissenschaft und Linguistik</t>
  </si>
  <si>
    <t>POLYGRAPH</t>
  </si>
  <si>
    <t>Popular Culture</t>
  </si>
  <si>
    <t>Popular Culture and Philosophy</t>
  </si>
  <si>
    <t>Porta Linguarum</t>
  </si>
  <si>
    <t>Posener Beiträge zur Germanistik</t>
  </si>
  <si>
    <t>Postkoloniale Studien in der Germanistik</t>
  </si>
  <si>
    <t>Powys Journal</t>
  </si>
  <si>
    <t>Problemas del Desarrollo</t>
  </si>
  <si>
    <t>Probus: International Journal of Romance Linguistics</t>
  </si>
  <si>
    <t>Prospero</t>
  </si>
  <si>
    <t>Publikationen der Internationalen Vereinigung für Germanistik</t>
  </si>
  <si>
    <t>Publikationen zur Zeitschrift fuer Germanistik</t>
  </si>
  <si>
    <t>Recherches Germaniques</t>
  </si>
  <si>
    <t>Recherches Linguistiques</t>
  </si>
  <si>
    <t>Recherches sur Diderot et sur l'Encyclopedie</t>
  </si>
  <si>
    <t>Renæssanceforum: Tidsskrift for Renæssanceforskning</t>
  </si>
  <si>
    <t>Review: Literature and Arts of the Americas</t>
  </si>
  <si>
    <t>Revista Alicantina de Estudios Ingleses</t>
  </si>
  <si>
    <t>Revista Chilena de Literatura</t>
  </si>
  <si>
    <t>Revista de Critica Literaria Latinoamericana</t>
  </si>
  <si>
    <t>Revista de Filologia Romanica</t>
  </si>
  <si>
    <t>Revista Internacional de Linguistica Iberoamericana</t>
  </si>
  <si>
    <t>Revista Virtual de Estudos da Linguagem - ReVEL</t>
  </si>
  <si>
    <t>Revue de Linguistique Romane</t>
  </si>
  <si>
    <t>Revue de Semantique et Pragmatique</t>
  </si>
  <si>
    <t>Revue des Langues Romanes</t>
  </si>
  <si>
    <t>Revue Roumaine de Linguistique</t>
  </si>
  <si>
    <t>Revue TAL</t>
  </si>
  <si>
    <t>Rilce. Revista de Filología Hispánica</t>
  </si>
  <si>
    <t>Rivista di Storia del Cristianesimo</t>
  </si>
  <si>
    <t>Rivista Italiana di Dialettologia</t>
  </si>
  <si>
    <t>Rocky Mountain Review of Language and Literature</t>
  </si>
  <si>
    <t>Romance Notes</t>
  </si>
  <si>
    <t>Romance Quarterly</t>
  </si>
  <si>
    <t>Romance Studies</t>
  </si>
  <si>
    <t>Romanistische Zeitschrift fuer Literaturgeschichte</t>
  </si>
  <si>
    <t>Romantic Textualities: literature and print culture, 1780-1840</t>
  </si>
  <si>
    <t>Routledge Advances In Translation And Interpreting Studies</t>
  </si>
  <si>
    <t>Raabe-Gesellschaft. Jahrbuch</t>
  </si>
  <si>
    <t>Schopenhauer-Jahrbuch</t>
  </si>
  <si>
    <t>Schriften der Internationalen Arnim-Gesellschaft</t>
  </si>
  <si>
    <t>Schriften der Theodor Fontane Gesellschaft</t>
  </si>
  <si>
    <t>Science Fiction Film and Television</t>
  </si>
  <si>
    <t>Scientia Poetica</t>
  </si>
  <si>
    <t>Scintilla</t>
  </si>
  <si>
    <t>Sederi: Journal of the Spanish Society for English Renaissance Studies</t>
  </si>
  <si>
    <t>Shakespeare</t>
  </si>
  <si>
    <t>Shakespeare Bulletin</t>
  </si>
  <si>
    <t>Shakespeare Survey</t>
  </si>
  <si>
    <t>Shaw</t>
  </si>
  <si>
    <t>Sinn und Form</t>
  </si>
  <si>
    <t>Sintagma</t>
  </si>
  <si>
    <t>SKASE Journal of Translation and Interpretation</t>
  </si>
  <si>
    <t>Social History, Popular Culture, And Politics In Germany</t>
  </si>
  <si>
    <t>South Central Review</t>
  </si>
  <si>
    <t>Southern Literary Journal</t>
  </si>
  <si>
    <t>Southern Quarterly</t>
  </si>
  <si>
    <t>Spanish in Context</t>
  </si>
  <si>
    <t>Spenser Studies</t>
  </si>
  <si>
    <t>Spiegel der Letteren</t>
  </si>
  <si>
    <t>SPIEL: Siegener Periodicum zur Internationalen Empirischen Literaturwissenschaft</t>
  </si>
  <si>
    <t>Sprache und Literatur</t>
  </si>
  <si>
    <t>Stauffenburg Linguistik</t>
  </si>
  <si>
    <t>Strumenti Critici</t>
  </si>
  <si>
    <t>Studi Danteschi</t>
  </si>
  <si>
    <t>Studi di Grammatica Italiana</t>
  </si>
  <si>
    <t>Studi di Lessicografia Italiana</t>
  </si>
  <si>
    <t>Studi Italiani di Linguistica Teorica</t>
  </si>
  <si>
    <t>Studi Linguistici Italiani</t>
  </si>
  <si>
    <t>Studi Petrarcheschi</t>
  </si>
  <si>
    <t>Studi Piemontesi</t>
  </si>
  <si>
    <t>Studi Romani</t>
  </si>
  <si>
    <t>Studi Secenteschi</t>
  </si>
  <si>
    <t>Studia Anglica Posnaniensia</t>
  </si>
  <si>
    <t>Studia Austriaca</t>
  </si>
  <si>
    <t>Studia Neophilologica</t>
  </si>
  <si>
    <t>Studia Romanica Posnaniensia</t>
  </si>
  <si>
    <t>Studies in American Jewish Literature</t>
  </si>
  <si>
    <t>Studies in English Literature 1500-1900</t>
  </si>
  <si>
    <t>Studies in German Literature Linguistics and Culture</t>
  </si>
  <si>
    <t>Studies in the Age of Chaucer</t>
  </si>
  <si>
    <t>Studies in the Fantastic</t>
  </si>
  <si>
    <t>Studies on Voltaire and the Eighteenth Century</t>
  </si>
  <si>
    <t>Synergies Pays Scandinaves</t>
  </si>
  <si>
    <t>Tabularia</t>
  </si>
  <si>
    <t>Technical Communication</t>
  </si>
  <si>
    <t>Terminology and Lexicography Research and Practice</t>
  </si>
  <si>
    <t>Terminology science and research - Journal of the International Institute of Terminology Research</t>
  </si>
  <si>
    <t>TESL-EJ</t>
  </si>
  <si>
    <t>Testo</t>
  </si>
  <si>
    <t>The Ben Jonson Journal</t>
  </si>
  <si>
    <t>The Chaucer Review</t>
  </si>
  <si>
    <t>The Cormac McCarthy Journal</t>
  </si>
  <si>
    <t>The Emily Dickinson Journal</t>
  </si>
  <si>
    <t>The Henry James Review</t>
  </si>
  <si>
    <t>The Interpreter and Translator Trainer</t>
  </si>
  <si>
    <t>The Interpreters' Newsletter</t>
  </si>
  <si>
    <t>The Irish Journal of Gothic and Horror Studies</t>
  </si>
  <si>
    <t>The Journal of Commonwealth Literature</t>
  </si>
  <si>
    <t>The Journal of Comparative Germanic Linguistics</t>
  </si>
  <si>
    <t>The Journal of Internationalisation and Localisation</t>
  </si>
  <si>
    <t>The Keats-Shelley Review</t>
  </si>
  <si>
    <t>The Pater Newsletter</t>
  </si>
  <si>
    <t>The Python Papers</t>
  </si>
  <si>
    <t>The Review of English Studies</t>
  </si>
  <si>
    <t>The Sewanee Review</t>
  </si>
  <si>
    <t>The Year's Work in English Studies</t>
  </si>
  <si>
    <t>Theodor-Storm-Gesellschaft. Schriften</t>
  </si>
  <si>
    <t>Theorie Und Praxis Der Schreibwissenschaft</t>
  </si>
  <si>
    <t>Thomas Mann Jahrbuch</t>
  </si>
  <si>
    <t>Thomas Wolfe Review</t>
  </si>
  <si>
    <t>TLS. The times literary supplement</t>
  </si>
  <si>
    <t>Tourism, Culture &amp; Communication</t>
  </si>
  <si>
    <t>trans-kom. Zeitschrift für Translationswissenschaft und Fachkommunikation</t>
  </si>
  <si>
    <t>Translation &amp; Interpreting</t>
  </si>
  <si>
    <t>Translation and Interpreting Studies</t>
  </si>
  <si>
    <t>Translation and Literature</t>
  </si>
  <si>
    <t>Translation Studies</t>
  </si>
  <si>
    <t>Translation, Cognition and Behavior</t>
  </si>
  <si>
    <t>TTR: Traduction, Terminologie, Rédaction</t>
  </si>
  <si>
    <t>VERSUS - Quaderni di studi semiotici</t>
  </si>
  <si>
    <t>Victorian Review</t>
  </si>
  <si>
    <t>Victorian Studies</t>
  </si>
  <si>
    <t>Victorians</t>
  </si>
  <si>
    <t>Vox Romanica</t>
  </si>
  <si>
    <t>Walt Whitman Quarterly Review</t>
  </si>
  <si>
    <t>Western American Literature</t>
  </si>
  <si>
    <t>Wordsworth Circle</t>
  </si>
  <si>
    <t>Würzbuger Ringvorlesunge</t>
  </si>
  <si>
    <t>Zeitschrift fuer Romanische Philologie</t>
  </si>
  <si>
    <t>Zeitschrift für Mitteleuropäische Germanistik</t>
  </si>
  <si>
    <t>Matematik, anvendt matematik og Statistik</t>
  </si>
  <si>
    <t>Acta Mathematica</t>
  </si>
  <si>
    <t>Advances in Applied Mathematics</t>
  </si>
  <si>
    <t>Advances in Applied Mechanics</t>
  </si>
  <si>
    <t>Advances in Applied Probability</t>
  </si>
  <si>
    <t>Advances in Differential Equations</t>
  </si>
  <si>
    <t>Advances in Mathematics</t>
  </si>
  <si>
    <t>Algebra &amp; Number Theory</t>
  </si>
  <si>
    <t>Algebraic &amp; Geometric Topology</t>
  </si>
  <si>
    <t>American Journal of Mathematics</t>
  </si>
  <si>
    <t>Analysis &amp; PDE</t>
  </si>
  <si>
    <t>Annales de l'Institut Fourier</t>
  </si>
  <si>
    <t>Annales de l'Institut Henri Poincaré C, Analyse Non Linéaire</t>
  </si>
  <si>
    <t>Annales Henri Poincare</t>
  </si>
  <si>
    <t>Annales Scientifiques de l'Ecole Normale Superieure</t>
  </si>
  <si>
    <t>Annals of Applied Probability</t>
  </si>
  <si>
    <t>Annals of Mathematics</t>
  </si>
  <si>
    <t>Annals of Probability</t>
  </si>
  <si>
    <t>Annals of Statistics</t>
  </si>
  <si>
    <t>Annals of the Institute of Statistical Mathematics</t>
  </si>
  <si>
    <t>Applied and Computational Harmonic Analysis</t>
  </si>
  <si>
    <t>Archive for Rational Mechanics and Analysis</t>
  </si>
  <si>
    <t>Artificial Intelligence in Medicine</t>
  </si>
  <si>
    <t>Asterisque</t>
  </si>
  <si>
    <t>ASTIN Bulletin: The Journal of the IAA</t>
  </si>
  <si>
    <t>Axioms</t>
  </si>
  <si>
    <t>Bernoulli</t>
  </si>
  <si>
    <t>Biometrics</t>
  </si>
  <si>
    <t>Biometrika</t>
  </si>
  <si>
    <t>Biostatistics</t>
  </si>
  <si>
    <t>Bulletin de la Société Mathématique de France</t>
  </si>
  <si>
    <t>Bulletin of Mathematical Biology</t>
  </si>
  <si>
    <t>Calculus of Variations and Partial Differential Equations</t>
  </si>
  <si>
    <t>Chaos</t>
  </si>
  <si>
    <t>Combinatorica</t>
  </si>
  <si>
    <t>Commentarii Mathematici Helvetici</t>
  </si>
  <si>
    <t>Communications in Analysis and Geometry</t>
  </si>
  <si>
    <t>Communications in Contemporary Mathematics</t>
  </si>
  <si>
    <t>Communications in Mathematical Physics</t>
  </si>
  <si>
    <t>Communications in Partial Differential Equations</t>
  </si>
  <si>
    <t>Communications on Pure and Applied Mathematics</t>
  </si>
  <si>
    <t>Complex Variables and Elliptic Equations</t>
  </si>
  <si>
    <t>Compositio Mathematica</t>
  </si>
  <si>
    <t>Computational Statistics</t>
  </si>
  <si>
    <t>Computer-Aided Geometric Design</t>
  </si>
  <si>
    <t>Constructive Approximation</t>
  </si>
  <si>
    <t>Designs, Codes and Cryptography</t>
  </si>
  <si>
    <t>Differential and Integral Equations</t>
  </si>
  <si>
    <t>Discrete &amp; Computational Geometry</t>
  </si>
  <si>
    <t>Documenta Mathematica</t>
  </si>
  <si>
    <t>Duke Mathematical Journal</t>
  </si>
  <si>
    <t>Educational Studies in Mathematics</t>
  </si>
  <si>
    <t>Electronic Journal of Probability</t>
  </si>
  <si>
    <t>Electronic Journal of Statistics</t>
  </si>
  <si>
    <t>Ergodic Theory and Dynamical Systems</t>
  </si>
  <si>
    <t>Finance and Stochastics</t>
  </si>
  <si>
    <t>Finite Fields and Their Applications</t>
  </si>
  <si>
    <t>Foundations of Computational Mathematics</t>
  </si>
  <si>
    <t>Geometric and Functional Analysis</t>
  </si>
  <si>
    <t>Geometry &amp; Topology</t>
  </si>
  <si>
    <t>Graphs and Combinatorics</t>
  </si>
  <si>
    <t>Historia Mathematica</t>
  </si>
  <si>
    <t>IEEE Transactions on Information Theory</t>
  </si>
  <si>
    <t>IEEE Transactions on Neural Networks and Learning Systems</t>
  </si>
  <si>
    <t>IEEE Transactions on Pattern Analysis and Machine Intelligence</t>
  </si>
  <si>
    <t>IMA Journal of Numerical Analysis</t>
  </si>
  <si>
    <t>Indiana University Mathematics Journal</t>
  </si>
  <si>
    <t>Insurance: Mathematics and Economics</t>
  </si>
  <si>
    <t>Integral Equations and Operator Theory</t>
  </si>
  <si>
    <t>International Mathematics Research Notices</t>
  </si>
  <si>
    <t>International Statistical Review</t>
  </si>
  <si>
    <t>Inventiones Mathematicae</t>
  </si>
  <si>
    <t>Inverse Problems</t>
  </si>
  <si>
    <t>Inverse Problems and Imaging</t>
  </si>
  <si>
    <t>Issues in Mathematics Education</t>
  </si>
  <si>
    <t>Journal d'Analyse Mathematique</t>
  </si>
  <si>
    <t>Journal de Mathematiques Pures et Appliquees</t>
  </si>
  <si>
    <t>Journal Electronique d'Histoire des Probabilités et de la Statistique</t>
  </si>
  <si>
    <t>Journal for Research in Mathematics Education</t>
  </si>
  <si>
    <t>Journal für die reine und angewandte Mathematik</t>
  </si>
  <si>
    <t>Journal of Algebraic Geometry</t>
  </si>
  <si>
    <t>Journal of Applied Probability</t>
  </si>
  <si>
    <t>Journal of Approximation Theory</t>
  </si>
  <si>
    <t>Journal of Combinatorial Designs</t>
  </si>
  <si>
    <t>Journal of Combinatorial Theory, Series A</t>
  </si>
  <si>
    <t>Journal of Combinatorial Theory. Series B</t>
  </si>
  <si>
    <t>Journal of Complexity</t>
  </si>
  <si>
    <t>Journal of Computational and Graphical Statistics</t>
  </si>
  <si>
    <t>Journal of Cryptology</t>
  </si>
  <si>
    <t>Journal of Differential Equations</t>
  </si>
  <si>
    <t>Journal of Differential Geometry</t>
  </si>
  <si>
    <t>Journal of Dynamics and Differential Equations</t>
  </si>
  <si>
    <t>Journal of Evolution Equations</t>
  </si>
  <si>
    <t>Journal of Fourier Analysis and Applications</t>
  </si>
  <si>
    <t>Journal of Functional Analysis</t>
  </si>
  <si>
    <t>Journal of Geometric Analysis</t>
  </si>
  <si>
    <t>Journal of Graph Theory</t>
  </si>
  <si>
    <t>Journal of Hyperbolic Differential Equations</t>
  </si>
  <si>
    <t>Journal of Machine Learning Research</t>
  </si>
  <si>
    <t>Journal of Mathematical Biology</t>
  </si>
  <si>
    <t>Journal of Mathematical Imaging and Vision</t>
  </si>
  <si>
    <t>Journal of Multivariate Analysis</t>
  </si>
  <si>
    <t>Journal of Noncommutative Geometry</t>
  </si>
  <si>
    <t>Journal of Nonlinear Science</t>
  </si>
  <si>
    <t>Journal of Pseudo-Differential Operators and Applications</t>
  </si>
  <si>
    <t>Journal of Spectral Theory</t>
  </si>
  <si>
    <t>Journal of Statistical Software</t>
  </si>
  <si>
    <t>Journal of the American Mathematical Society</t>
  </si>
  <si>
    <t>Journal of the American Statistical Association</t>
  </si>
  <si>
    <t>Journal of the European Mathematical Society</t>
  </si>
  <si>
    <t>Journal of the Institute of Mathematics of Jussieu</t>
  </si>
  <si>
    <t>Journal of the London Mathematical Society</t>
  </si>
  <si>
    <t>Journal of the Royal Statistical Society, Series B (Statistical Methodology)</t>
  </si>
  <si>
    <t>Journal of the Royal Statistical Society, Series C (Applied Statistics)</t>
  </si>
  <si>
    <t>Journal of Theoretical Probability</t>
  </si>
  <si>
    <t>Journal of Time Series Analysis</t>
  </si>
  <si>
    <t>Journal of Time Series Econometrics</t>
  </si>
  <si>
    <t>Journal of Topology</t>
  </si>
  <si>
    <t>Letters in Mathematical Physics</t>
  </si>
  <si>
    <t>Lifetime Data Analysis</t>
  </si>
  <si>
    <t>Mathematical Biosciences</t>
  </si>
  <si>
    <t>Mathematical Biosciences and Engineering</t>
  </si>
  <si>
    <t>Mathematical Finance</t>
  </si>
  <si>
    <t>Mathematical Medicine and Biology</t>
  </si>
  <si>
    <t>Mathematical Methods of Operations Research</t>
  </si>
  <si>
    <t>Mathematical Programming</t>
  </si>
  <si>
    <t>Mathematical Research Letters</t>
  </si>
  <si>
    <t>Mathematical Thinking and Learning</t>
  </si>
  <si>
    <t>Mathematics of Operations Research</t>
  </si>
  <si>
    <t>Mathematische Annalen</t>
  </si>
  <si>
    <t>Mathematische Zeitschrift</t>
  </si>
  <si>
    <t>Memoirs of the American Mathematical Society</t>
  </si>
  <si>
    <t>Multiscale Modeling &amp; Simulation</t>
  </si>
  <si>
    <t>Neural Computation</t>
  </si>
  <si>
    <t>Neural Networks</t>
  </si>
  <si>
    <t>Numerische Mathematik</t>
  </si>
  <si>
    <t>Pattern Recognition</t>
  </si>
  <si>
    <t>Probability Theory and Related Fields</t>
  </si>
  <si>
    <t>Proceedings of the London Mathematical Society</t>
  </si>
  <si>
    <t>Publications mathématiques de l'IHÉS</t>
  </si>
  <si>
    <t>Quantum Topology</t>
  </si>
  <si>
    <t>Random Structures &amp; Algorithms</t>
  </si>
  <si>
    <t>Recherches en Didactique des Mathematiques</t>
  </si>
  <si>
    <t>Reviews in Mathematical Physics</t>
  </si>
  <si>
    <t>Revista Matemática Iberoamericana</t>
  </si>
  <si>
    <t>Scandinavian Actuarial Journal</t>
  </si>
  <si>
    <t>Scandinavian Journal of Statistics</t>
  </si>
  <si>
    <t>Selecta Mathematica</t>
  </si>
  <si>
    <t>SIAM Journal on Applied Dynamical Systems</t>
  </si>
  <si>
    <t>SIAM Journal on Applied Mathematics</t>
  </si>
  <si>
    <t>SIAM Journal on Control and Optimization</t>
  </si>
  <si>
    <t>SIAM Journal on Discrete Mathematics</t>
  </si>
  <si>
    <t>SIAM Journal on Mathematical Analysis</t>
  </si>
  <si>
    <t>SIAM Journal on Matrix Analysis and Applications</t>
  </si>
  <si>
    <t>SIAM Journal on Optimization</t>
  </si>
  <si>
    <t>SIAM Journal on Scientific Computing</t>
  </si>
  <si>
    <t>SIAM Review</t>
  </si>
  <si>
    <t>Spatial Statistics</t>
  </si>
  <si>
    <t>Statistica Sinica</t>
  </si>
  <si>
    <t>Statistical Applications in Genetics and Molecular Biology</t>
  </si>
  <si>
    <t>Statistical Methods in Medical Research</t>
  </si>
  <si>
    <t>Statistical Science</t>
  </si>
  <si>
    <t>Statistics and Computing</t>
  </si>
  <si>
    <t>Statistics in Medicine</t>
  </si>
  <si>
    <t>Stochastic Processes and Their Applications</t>
  </si>
  <si>
    <t>Technometrics</t>
  </si>
  <si>
    <t>The Annals of Applied Statistics</t>
  </si>
  <si>
    <t>The Electronic Journal of Combinatorics</t>
  </si>
  <si>
    <t>The Journal of Mathematical Behavior</t>
  </si>
  <si>
    <t>Transactions of the American Mathematical Society</t>
  </si>
  <si>
    <t>Transformation Groups</t>
  </si>
  <si>
    <t>ZDM</t>
  </si>
  <si>
    <t>4OR</t>
  </si>
  <si>
    <t>Abel Symposia</t>
  </si>
  <si>
    <t>Abhandlungen aus dem Mathematischen Seminar der Universität Hamburg</t>
  </si>
  <si>
    <t>Abstract and Applied Analysis</t>
  </si>
  <si>
    <t>Abstracts of Papers Presented to the American Mathematical Society</t>
  </si>
  <si>
    <t>Academia Paedagogica Nyiregyhaziensis. Acta Mathematica</t>
  </si>
  <si>
    <t>Acta Applicandae Mathematicae</t>
  </si>
  <si>
    <t>Acta Arithmetica</t>
  </si>
  <si>
    <t>Acta et Commentationes Universitatis Tartuensis de Mathematica</t>
  </si>
  <si>
    <t>Acta Mathematica Hungarica</t>
  </si>
  <si>
    <t>Acta Mathematica Scientia</t>
  </si>
  <si>
    <t>Acta Mathematica Sinica. English series</t>
  </si>
  <si>
    <t>Acta Mathematica Universitatis Comenianae</t>
  </si>
  <si>
    <t>Acta Mathematicae Applicatae Sinica</t>
  </si>
  <si>
    <t>Acta Mechanica et Automatica</t>
  </si>
  <si>
    <t>Acta Numerica</t>
  </si>
  <si>
    <t>Acta Universitatis Szegediensis. Acta Scientiarum Mathematicarum</t>
  </si>
  <si>
    <t>Adults Learning Mathematics - An International Journal</t>
  </si>
  <si>
    <t>Advanced Nonlinear Studies</t>
  </si>
  <si>
    <t>Advanced Series on Statistical Science and Applied Probability</t>
  </si>
  <si>
    <t>Advances and Applications in Discrete Mathematics</t>
  </si>
  <si>
    <t>Advances and Applications in Statistics</t>
  </si>
  <si>
    <t>Advances in Architectural Geometry</t>
  </si>
  <si>
    <t>Advances in Computational Mathematics</t>
  </si>
  <si>
    <t>Advances in Data Analysis and Classification</t>
  </si>
  <si>
    <t>Advances in Decision Sciences</t>
  </si>
  <si>
    <t>Advances in Geometry</t>
  </si>
  <si>
    <t>Advances in Mathematics of Communications</t>
  </si>
  <si>
    <t>Advances in Statistics, Probability and Actuarial Science</t>
  </si>
  <si>
    <t>Advances in Theoretical and Mathematical Physics</t>
  </si>
  <si>
    <t>Aequationes Mathematicae</t>
  </si>
  <si>
    <t>African Diaspora Journal of Mathematics</t>
  </si>
  <si>
    <t>AIMS Mathematics</t>
  </si>
  <si>
    <t>Albanian Journal of Mathematics</t>
  </si>
  <si>
    <t>Alea</t>
  </si>
  <si>
    <t>Algebra and Logic</t>
  </si>
  <si>
    <t>Algebra Colloquium</t>
  </si>
  <si>
    <t>Algebra Universalis</t>
  </si>
  <si>
    <t>Algebraic Geometry</t>
  </si>
  <si>
    <t>Algebras and Representation Theory</t>
  </si>
  <si>
    <t>American Journal of Mathematical and Management Sciences</t>
  </si>
  <si>
    <t>Analysis Mathematica</t>
  </si>
  <si>
    <t>Analysis: International mathematical journal of analysis and its applications</t>
  </si>
  <si>
    <t>Annales Academiae Scientiarum Fennicae. Mathematica</t>
  </si>
  <si>
    <t>Annales de l’Institut Henri Poincaré D</t>
  </si>
  <si>
    <t>Annales de la Faculté des Sciences de Toulouse</t>
  </si>
  <si>
    <t>Annales de l'Institut Henri Poincaré, Probabilités et Statistiques</t>
  </si>
  <si>
    <t>Annales Mathematiques Blaise Pascal</t>
  </si>
  <si>
    <t>Annales Mathematiques du Quebec</t>
  </si>
  <si>
    <t>Annales Polonici Mathematici</t>
  </si>
  <si>
    <t>Annali della Scuola Normale Superiore di Pisa - Classe di Scienze</t>
  </si>
  <si>
    <t>Annali di Matematica Pura ed Applicata</t>
  </si>
  <si>
    <t>Annals of Combinatorics</t>
  </si>
  <si>
    <t>Annals of Global Analysis and Geometry</t>
  </si>
  <si>
    <t>Annals of K-Theory</t>
  </si>
  <si>
    <t>Annals of Mathematics and Artificial Intelligence</t>
  </si>
  <si>
    <t>Annals of Mathematics Studies</t>
  </si>
  <si>
    <t>Annals of PDE</t>
  </si>
  <si>
    <t>Annual Review of Statistics and Its Application</t>
  </si>
  <si>
    <t>Applicable Analysis</t>
  </si>
  <si>
    <t>Applicable Analysis and Discrete Mathematics</t>
  </si>
  <si>
    <t>Applications of Mathematics</t>
  </si>
  <si>
    <t>Applied Bioinformatics and Biostatistics in Cancer Research</t>
  </si>
  <si>
    <t>Applied Categorical Structures</t>
  </si>
  <si>
    <t>Applied Environmental Statistics</t>
  </si>
  <si>
    <t>Applied Mathematical Modelling</t>
  </si>
  <si>
    <t>Applied Mathematical Sciences</t>
  </si>
  <si>
    <t>Applied Mathematics &amp; Information Sciences</t>
  </si>
  <si>
    <t>Applied Mathematics and Computation</t>
  </si>
  <si>
    <t>Applied Mathematics and Mechanics</t>
  </si>
  <si>
    <t>Applied Mathematics and Optimization</t>
  </si>
  <si>
    <t>Applied Mathematics Letters</t>
  </si>
  <si>
    <t>Applied Mathematics Research eXpress</t>
  </si>
  <si>
    <t>Applied Numerical Mathematics</t>
  </si>
  <si>
    <t>Applied Sciences</t>
  </si>
  <si>
    <t>Applied Stochastic Models in Business and Industry</t>
  </si>
  <si>
    <t>Archiv der Mathematik</t>
  </si>
  <si>
    <t>Archive for Mathematical Logic</t>
  </si>
  <si>
    <t>Archives of Computational Methods in Engineering</t>
  </si>
  <si>
    <t>Archivum Mathematicum</t>
  </si>
  <si>
    <t>Arkiv foer Matematik</t>
  </si>
  <si>
    <t>Ars Combinatoria</t>
  </si>
  <si>
    <t>Ars Mathematica Contemporanea</t>
  </si>
  <si>
    <t>ASA-SIAM Series on Statistics and Applied Probability</t>
  </si>
  <si>
    <t>Asian-European Journal of Mathematics</t>
  </si>
  <si>
    <t>Association for Women in Mathematics Series</t>
  </si>
  <si>
    <t>AStA Advances in Statistical Analysis</t>
  </si>
  <si>
    <t>Asymptotic Analysis</t>
  </si>
  <si>
    <t>Australasian Journal of Combinatorics</t>
  </si>
  <si>
    <t>Australian &amp; New Zealand Journal of Statistics</t>
  </si>
  <si>
    <t>Austrian Journal of Statistics</t>
  </si>
  <si>
    <t>Balkan Journal of Geometry and Its Applications</t>
  </si>
  <si>
    <t>Banach Center Publications</t>
  </si>
  <si>
    <t>Bayesian Analysis</t>
  </si>
  <si>
    <t>Beitraege zur Algebra und Geometrie</t>
  </si>
  <si>
    <t>Biometrical Journal</t>
  </si>
  <si>
    <t>Blaetter der D G F V M</t>
  </si>
  <si>
    <t>Bolema: Boletim de Educação Matemática</t>
  </si>
  <si>
    <t>Boletín de la Sociedad Matemática Mexicana</t>
  </si>
  <si>
    <t>Bollettino di Storia delle Scienze Matematiche</t>
  </si>
  <si>
    <t>Boundary Value Problems</t>
  </si>
  <si>
    <t>Brazilian Journal of Probability and Statistics</t>
  </si>
  <si>
    <t>BSHM Bulletin: Journal of the British Society for the History of Mathematics</t>
  </si>
  <si>
    <t>Bulletin des Sciences Mathematiques</t>
  </si>
  <si>
    <t>Bulletin of the American Mathematical Society</t>
  </si>
  <si>
    <t>Bulletin of the Australian Mathematical Society</t>
  </si>
  <si>
    <t>Bulletin of the Belgian Mathematical Society - Simon Stevin</t>
  </si>
  <si>
    <t>Bulletin of the Brazilian Mathematical Society, New Series</t>
  </si>
  <si>
    <t>Bulletin of the Korean Mathematical Society</t>
  </si>
  <si>
    <t>Bulletin of the London Mathematical Society</t>
  </si>
  <si>
    <t>Cahiers de Topologie et Geometrie Differentielle Categoriques</t>
  </si>
  <si>
    <t>Calcolo</t>
  </si>
  <si>
    <t>Calcutta Statistical Association Bulletin</t>
  </si>
  <si>
    <t>Cambridge Studies in Advanced Mathematics</t>
  </si>
  <si>
    <t>Canadian Journal of Mathematics - Journal Canadien de Mathématiques</t>
  </si>
  <si>
    <t>Canadian Journal of Statistics</t>
  </si>
  <si>
    <t>Canadian Mathematical Bulletin</t>
  </si>
  <si>
    <t>Central European Journal of Mathematics</t>
  </si>
  <si>
    <t>Chance</t>
  </si>
  <si>
    <t>Chaos, Solitons &amp; Fractals</t>
  </si>
  <si>
    <t>Chapman &amp; Hall / CRC Interdisciplinary Statistics</t>
  </si>
  <si>
    <t>Chapman &amp; Hall / CRC Texts in Statistical Science</t>
  </si>
  <si>
    <t>Chinese Annals of Mathematics. Series B</t>
  </si>
  <si>
    <t>Chinese Journal of Contemporary Mathematics</t>
  </si>
  <si>
    <t>Circolo Matematico di Palermo. Rendiconti</t>
  </si>
  <si>
    <t>Collectanea Mathematica</t>
  </si>
  <si>
    <t>College Mathematics Journal</t>
  </si>
  <si>
    <t>Colloquium Mathematicum</t>
  </si>
  <si>
    <t>Commentationes Mathematicae Universitatis Carolinae</t>
  </si>
  <si>
    <t>Communications in Algebra</t>
  </si>
  <si>
    <t>Communications in Mathematical Sciences</t>
  </si>
  <si>
    <t>Communications in Nonlinear Science and Numerical Simulation</t>
  </si>
  <si>
    <t>Communications in Number Theory and Physics</t>
  </si>
  <si>
    <t>Communications in Statistics: Simulation and Computation</t>
  </si>
  <si>
    <t>Communications in Statistics: Theory and Methods</t>
  </si>
  <si>
    <t>Communications on Applied Nonlinear Analysis</t>
  </si>
  <si>
    <t>Communications on Pure and Applied Analysis</t>
  </si>
  <si>
    <t>Complex Analysis and Operator Theory</t>
  </si>
  <si>
    <t>Complex Manifolds</t>
  </si>
  <si>
    <t>Comptes Rendus Mathématique</t>
  </si>
  <si>
    <t>Comptes Rendus Mécanique</t>
  </si>
  <si>
    <t>Computational &amp; Mathematical Organization Theory</t>
  </si>
  <si>
    <t>Computational and Applied Mathematics</t>
  </si>
  <si>
    <t>Computational Intelligence and Neuroscience</t>
  </si>
  <si>
    <t>Computational Management Science</t>
  </si>
  <si>
    <t>Computational Mathematics and Mathematical Physics</t>
  </si>
  <si>
    <t>Computational Mathematics and Modeling</t>
  </si>
  <si>
    <t>Computational Methods and Function Theory</t>
  </si>
  <si>
    <t>Computational Methods in Applied Mathematics</t>
  </si>
  <si>
    <t>Computational Optimization and Applications</t>
  </si>
  <si>
    <t>Computational Statistics &amp; Data Analysis</t>
  </si>
  <si>
    <t>Computer Modeling in Engineering &amp; Sciences</t>
  </si>
  <si>
    <t>Computer Science and Data Analysis</t>
  </si>
  <si>
    <t>Computers &amp; Mathematics with Applications</t>
  </si>
  <si>
    <t>Computing and Visualization in Science</t>
  </si>
  <si>
    <t>Conformal Geometry and Dynamics</t>
  </si>
  <si>
    <t xml:space="preserve">Congress of European Research in Mathematics Education </t>
  </si>
  <si>
    <t>Contemporary Clinical Trials</t>
  </si>
  <si>
    <t>Contemporary Mathematics</t>
  </si>
  <si>
    <t>Contributions to Statistics</t>
  </si>
  <si>
    <t>CRC Biostatistics Series</t>
  </si>
  <si>
    <t>Cryptography and Communications</t>
  </si>
  <si>
    <t>Cryptologia</t>
  </si>
  <si>
    <t>Cubo</t>
  </si>
  <si>
    <t>Czechoslovak Mathematical Journal</t>
  </si>
  <si>
    <t>Demographic Research</t>
  </si>
  <si>
    <t>Demonstratio Mathematica</t>
  </si>
  <si>
    <t>Differential Equations</t>
  </si>
  <si>
    <t>Differential Geometry - Dynamical Systems</t>
  </si>
  <si>
    <t>Differential Geometry and Its Applications</t>
  </si>
  <si>
    <t>Discrete and Continuous Dynamical Systems. Series A</t>
  </si>
  <si>
    <t>Discrete and Continuous Dynamical Systems. Series B</t>
  </si>
  <si>
    <t>Discrete Applied Mathematics</t>
  </si>
  <si>
    <t>Discrete Dynamics in Nature and Society</t>
  </si>
  <si>
    <t>Discrete Mathematics</t>
  </si>
  <si>
    <t>Discrete Mathematics &amp; Theoretical Computer Science</t>
  </si>
  <si>
    <t>Discrete Optimization</t>
  </si>
  <si>
    <t>Discussiones Mathematicae. Graph Theory</t>
  </si>
  <si>
    <t>Discussiones Mathematicae. Probability and Statistics</t>
  </si>
  <si>
    <t>Dissertationes Mathematicae</t>
  </si>
  <si>
    <t>Doklady Mathematics</t>
  </si>
  <si>
    <t>Dynamical Systems</t>
  </si>
  <si>
    <t>Dynamics of Continuous, Discrete and Impulsive Systems. Series A: Mathematical Analysis</t>
  </si>
  <si>
    <t>Dynamics of Partial Differential Equations</t>
  </si>
  <si>
    <t xml:space="preserve">Educaçao Matemática Pesquissa  </t>
  </si>
  <si>
    <t>Electronic Communications in Probability</t>
  </si>
  <si>
    <t>Electronic Journal of Differential Equations</t>
  </si>
  <si>
    <t>Electronic Journal of Graph Theory and Applications</t>
  </si>
  <si>
    <t>Electronic Journal of Qualitative Theory of Differential Equations</t>
  </si>
  <si>
    <t>Electronic Notes in Discrete Mathematics</t>
  </si>
  <si>
    <t>Electronic Research Archive (ERA)</t>
  </si>
  <si>
    <t>Electronic Transactions on Numerical Analysis</t>
  </si>
  <si>
    <t>Elemente der Mathematik</t>
  </si>
  <si>
    <t>EMS Monographs in Mathematics</t>
  </si>
  <si>
    <t>EMS Series of Congress Reports</t>
  </si>
  <si>
    <t>EMS Surveys in Mathematical Sciences</t>
  </si>
  <si>
    <t>EMS Tracts in Mathematics</t>
  </si>
  <si>
    <t>Engineering Analysis with Boundary Elements</t>
  </si>
  <si>
    <t>Engineering Intelligent Systems</t>
  </si>
  <si>
    <t>Entropy</t>
  </si>
  <si>
    <t>Environmetrics</t>
  </si>
  <si>
    <t>ESAIM: Control, Optimisation and Calculus of Variations</t>
  </si>
  <si>
    <t>ESAIM: Mathematical Modelling and Numerical Analysis</t>
  </si>
  <si>
    <t>ESAIM: Probability &amp; Statistics</t>
  </si>
  <si>
    <t>ESAIM: Proceedings and Surveys</t>
  </si>
  <si>
    <t>ESI Lectures in Mathematics and Physics</t>
  </si>
  <si>
    <t>European Actuarial Journal</t>
  </si>
  <si>
    <t>European Conference on Mathematics for Industry</t>
  </si>
  <si>
    <t>European Journal of Applied Mathematics</t>
  </si>
  <si>
    <t>European Journal of Combinatorics</t>
  </si>
  <si>
    <t>European Journal of Mathematics</t>
  </si>
  <si>
    <t>European Journal of Pure and Applied Mathematics</t>
  </si>
  <si>
    <t>European Journal of Science and Mathematics Education</t>
  </si>
  <si>
    <t>European Physical Journal B. Condensed Matter and Complex Systems</t>
  </si>
  <si>
    <t>EUROSIM Congress on Modelling and Simulation</t>
  </si>
  <si>
    <t>Experimental Mathematics</t>
  </si>
  <si>
    <t>Expositiones Mathematicae</t>
  </si>
  <si>
    <t>Extremes</t>
  </si>
  <si>
    <t>EAA Series</t>
  </si>
  <si>
    <t>Far East Journal of Theoretical Statistics</t>
  </si>
  <si>
    <t>Fields Institute Communications</t>
  </si>
  <si>
    <t>Financial Mathematics Series</t>
  </si>
  <si>
    <t>Fixed Point Theory and Applications</t>
  </si>
  <si>
    <t>Fluctuation and Noise Letters</t>
  </si>
  <si>
    <t>For the Learning of Mathematics</t>
  </si>
  <si>
    <t>Forum Mathematicum</t>
  </si>
  <si>
    <t>Forum of Mathematics, Pi</t>
  </si>
  <si>
    <t>Forum of Mathematics, Sigma</t>
  </si>
  <si>
    <t>Fractals: Complex Geometry, Patterns, and Scaling in Nature and Society</t>
  </si>
  <si>
    <t>Frontiers in Applied Mathematics and Statistics</t>
  </si>
  <si>
    <t>Functional Analysis and Its Applications</t>
  </si>
  <si>
    <t>Functional Differential Equations</t>
  </si>
  <si>
    <t>Fundamenta Mathematicae</t>
  </si>
  <si>
    <t>Funkcialaj Ekvacioj, Serio Internacia</t>
  </si>
  <si>
    <t>Fuzzy Sets and Systems</t>
  </si>
  <si>
    <t>Geometriae Dedicata</t>
  </si>
  <si>
    <t>Geophysical and Astrophysical Fluid Dynamics</t>
  </si>
  <si>
    <t>Georgian Mathematical Journal</t>
  </si>
  <si>
    <t>Glasgow Mathematical Journal</t>
  </si>
  <si>
    <t>Glasnik Matematicki</t>
  </si>
  <si>
    <t>Gravitation &amp; Cosmology</t>
  </si>
  <si>
    <t>Groups, Geometry, and Dynamics</t>
  </si>
  <si>
    <t>Handbooks of Modern Statistical Methods</t>
  </si>
  <si>
    <t>Hokkaido Mathematical Journal</t>
  </si>
  <si>
    <t>Homology, Homotopy and Applications</t>
  </si>
  <si>
    <t>Houston Journal of Mathematics</t>
  </si>
  <si>
    <t>ICME-13 Topical Surveys</t>
  </si>
  <si>
    <t>Illinois Journal of Mathematics</t>
  </si>
  <si>
    <t>IMA Journal of Applied Mathematics</t>
  </si>
  <si>
    <t>IMA Journal of Management Mathematics</t>
  </si>
  <si>
    <t>IMA Journal of Mathematical Control and Information</t>
  </si>
  <si>
    <t>Image Analysis and Stereology</t>
  </si>
  <si>
    <t>IMS Lecture Notes - Monograph Series</t>
  </si>
  <si>
    <t>Indagationes Mathematicae</t>
  </si>
  <si>
    <t>Indian Journal of Pure and Applied Mathematics</t>
  </si>
  <si>
    <t>Infinite Dimensional Analysis, Quantum Probability and Related Topics</t>
  </si>
  <si>
    <t>Information Science and Statistics</t>
  </si>
  <si>
    <t>Institute of Mathematical Statistics Monographs</t>
  </si>
  <si>
    <t>Insurance Markets and Companies</t>
  </si>
  <si>
    <t>Integral Transforms and Special Functions</t>
  </si>
  <si>
    <t>Interfaces and Free Boundaries</t>
  </si>
  <si>
    <t>International Conference on Sampling Theory and Applications</t>
  </si>
  <si>
    <t>International Congress on Mathematical Physics</t>
  </si>
  <si>
    <t>International Electronic Journal of Algebra</t>
  </si>
  <si>
    <t>International Electronic Journal of Mathematics Education</t>
  </si>
  <si>
    <t>International Journal of Algebra</t>
  </si>
  <si>
    <t>International Journal of Algebra and Computation</t>
  </si>
  <si>
    <t>International Journal of Applied Mathematics and Mechanics</t>
  </si>
  <si>
    <t>International Journal of Computer Mathematics</t>
  </si>
  <si>
    <t>International Journal of Differential Equations</t>
  </si>
  <si>
    <t>International Journal of Evolution Equations</t>
  </si>
  <si>
    <t>International Journal of Fuzzy Systems</t>
  </si>
  <si>
    <t>International Journal of Geometric Methods in Modern Physics</t>
  </si>
  <si>
    <t>International Journal of Intelligent Technologies and Statistics</t>
  </si>
  <si>
    <t>International Journal of Mathematical Education in Science and Technology</t>
  </si>
  <si>
    <t>International Journal of Mathematical Modeling, Simulation and Applications</t>
  </si>
  <si>
    <t>International Journal of Mathematics</t>
  </si>
  <si>
    <t>International Journal of Mathematics and Computer Science</t>
  </si>
  <si>
    <t>International Journal of Mathematics and Mathematical Sciences</t>
  </si>
  <si>
    <t>International Journal of Nonlinear Sciences and Numerical Simulation</t>
  </si>
  <si>
    <t>International Journal of Number Theory</t>
  </si>
  <si>
    <t>International Journal of Numerical Analysis and Modeling</t>
  </si>
  <si>
    <t>International Journal of Operational Research</t>
  </si>
  <si>
    <t>International Journal of Pure and Applied Mathematical Sciences</t>
  </si>
  <si>
    <t>International Journal of Research in Undergraduate Mathematics Education</t>
  </si>
  <si>
    <t>International Journal of Stochastic Analysis</t>
  </si>
  <si>
    <t>International Journal of Tomography &amp; Statistics</t>
  </si>
  <si>
    <t>International Mathematical Forum</t>
  </si>
  <si>
    <t>International Series on Actuarial Science</t>
  </si>
  <si>
    <t>International Symposium on Mathematical Theory of Networks and Systems</t>
  </si>
  <si>
    <t>Internet Mathematics</t>
  </si>
  <si>
    <t>Inverse Problems in Science and Engineering</t>
  </si>
  <si>
    <t>Israel Journal of Mathematics</t>
  </si>
  <si>
    <t>Izvestiya: Mathematics</t>
  </si>
  <si>
    <t>Jahresbericht der Deutschen Mathematiker-Vereinigung</t>
  </si>
  <si>
    <t>Japan Journal of Industrial and Applied Mathematics</t>
  </si>
  <si>
    <t>Japanese Journal of Mathematics</t>
  </si>
  <si>
    <t>Japanese Journal of Statistics and Data Science</t>
  </si>
  <si>
    <t>Journal de l'École polytechnique — Mathématiques</t>
  </si>
  <si>
    <t>Journal de Theorie des Nombres de Bordeaux</t>
  </si>
  <si>
    <t>Journal für Mathematik-Didaktik</t>
  </si>
  <si>
    <t>Journal of Algebra</t>
  </si>
  <si>
    <t>Journal of Algebra and its Applications</t>
  </si>
  <si>
    <t>Journal of Algebra Combinatorics Discrete Structures and Applications</t>
  </si>
  <si>
    <t>Journal of Algebraic Combinatorics</t>
  </si>
  <si>
    <t>Journal of Analysis and Applications</t>
  </si>
  <si>
    <t>Journal of Applied and Computational Topology</t>
  </si>
  <si>
    <t>Journal of Applied Mathematics</t>
  </si>
  <si>
    <t>Journal of Applied Mathematics and Computing</t>
  </si>
  <si>
    <t>Journal of Applied Probability and Statistics</t>
  </si>
  <si>
    <t>Journal of Applied Statistical Science</t>
  </si>
  <si>
    <t>Journal of Applied Statistics</t>
  </si>
  <si>
    <t>Journal of Combinatorial Algebra</t>
  </si>
  <si>
    <t>Journal of Combinatorial Optimization</t>
  </si>
  <si>
    <t>Journal of Computational Analysis and Applications</t>
  </si>
  <si>
    <t>Journal of Computational and Applied Mathematics</t>
  </si>
  <si>
    <t>Journal of Computational Mathematics</t>
  </si>
  <si>
    <t>Journal of Computational Methods in Sciences and Engineering</t>
  </si>
  <si>
    <t>Journal of Convex Analysis</t>
  </si>
  <si>
    <t>Journal of Data Science</t>
  </si>
  <si>
    <t>Journal of Difference Equations and Applications</t>
  </si>
  <si>
    <t>Journal of Dynamical and Control Systems</t>
  </si>
  <si>
    <t>Journal of Elliptic and Parabolic Equations</t>
  </si>
  <si>
    <t>Journal of Engineering Mathematics</t>
  </si>
  <si>
    <t>Journal of Fractal Geometry</t>
  </si>
  <si>
    <t>Journal of Function Spaces</t>
  </si>
  <si>
    <t>Journal of Geometry</t>
  </si>
  <si>
    <t>Journal of Geometry and Physics</t>
  </si>
  <si>
    <t>Journal of Graph Algorithms and Applications</t>
  </si>
  <si>
    <t>Journal of Group Theory</t>
  </si>
  <si>
    <t>Journal of Homotopy and Related Structures</t>
  </si>
  <si>
    <t>Journal of Inequalities and Applications</t>
  </si>
  <si>
    <t>Journal of Insurance Issues</t>
  </si>
  <si>
    <t>Journal of Integral Equations and Applications</t>
  </si>
  <si>
    <t>Journal of Inverse and Ill-Posed Problems</t>
  </si>
  <si>
    <t>Journal of Knot Theory and Its Ramifications</t>
  </si>
  <si>
    <t>Journal of Lie Theory</t>
  </si>
  <si>
    <t>Journal of Mathematical Analysis and Applications</t>
  </si>
  <si>
    <t>Journal of Mathematical Chemistry</t>
  </si>
  <si>
    <t>Journal of Mathematical Cryptology</t>
  </si>
  <si>
    <t>Journal of Mathematical Fluid Mechanics</t>
  </si>
  <si>
    <t>Journal of Mathematical Logic</t>
  </si>
  <si>
    <t>Journal of Mathematical Modelling and Algorithms in Operations Research</t>
  </si>
  <si>
    <t>Journal of Mathematical Physics</t>
  </si>
  <si>
    <t>Journal of Mathematics and Music: Mathematical and Computational Approaches to Music Theory, Analysis, Composition and Performance</t>
  </si>
  <si>
    <t>Journal of Mathematics and the Arts</t>
  </si>
  <si>
    <t>Journal of Mathematics in Industry</t>
  </si>
  <si>
    <t>Journal of Modern Applied Statistical Methods</t>
  </si>
  <si>
    <t>Journal of Modern Dynamics</t>
  </si>
  <si>
    <t>Journal of Nonlinear and Convex Analysis</t>
  </si>
  <si>
    <t>Journal of Nonparametric Statistics</t>
  </si>
  <si>
    <t>Journal of Number Theory</t>
  </si>
  <si>
    <t>Journal of Numerical Mathematics</t>
  </si>
  <si>
    <t>Journal of Operator Theory</t>
  </si>
  <si>
    <t>Journal of Optimization Theory and Applications</t>
  </si>
  <si>
    <t>Journal of Partial Differential Equations</t>
  </si>
  <si>
    <t>Journal of Physics A: Mathematical and Theoretical</t>
  </si>
  <si>
    <t>Journal of Pure and Applied Algebra</t>
  </si>
  <si>
    <t>Journal of Quantitative Analysis in Sports</t>
  </si>
  <si>
    <t>Journal of Quantitative Economics</t>
  </si>
  <si>
    <t>Journal of Risk Model Validation</t>
  </si>
  <si>
    <t>Journal of Scientific Computing</t>
  </si>
  <si>
    <t>Journal of Simulation</t>
  </si>
  <si>
    <t>Journal of Singularities</t>
  </si>
  <si>
    <t>Journal of Software for Algebra and Geometry</t>
  </si>
  <si>
    <t>Journal of Statistical Computation and Simulation</t>
  </si>
  <si>
    <t>Journal of Statistical Physics</t>
  </si>
  <si>
    <t>Journal of Statistical Planning and Inference</t>
  </si>
  <si>
    <t>Journal of Statistical Theory and Practice</t>
  </si>
  <si>
    <t>Journal of Statistics Education</t>
  </si>
  <si>
    <t>Journal of Survey Statistics and Methodology</t>
  </si>
  <si>
    <t>Journal of Symbolic Computation</t>
  </si>
  <si>
    <t>Journal of Symplectic Geometry</t>
  </si>
  <si>
    <t>Journal of the Australian Mathematical Society</t>
  </si>
  <si>
    <t>Journal of The Franklin Institute</t>
  </si>
  <si>
    <t>Journal of the Indian Statistical Association</t>
  </si>
  <si>
    <t>Journal of the Korean Mathematical Society</t>
  </si>
  <si>
    <t>Journal of the Korean Statistical Society</t>
  </si>
  <si>
    <t>Journal of the Mathematical Society of Japan</t>
  </si>
  <si>
    <t>Journal of the Ramanujan Mathematical Society</t>
  </si>
  <si>
    <t>Journal of the Royal Statistical Society, Series A (Statistics in Society)</t>
  </si>
  <si>
    <t>Journal of Topology and Analysis</t>
  </si>
  <si>
    <t>Journal on Satisfiability, Boolean Modeling and Computation</t>
  </si>
  <si>
    <t>Kodai Mathematical Journal</t>
  </si>
  <si>
    <t>Kyoto Journal of Mathematics</t>
  </si>
  <si>
    <t>L’Enseignement Mathématique</t>
  </si>
  <si>
    <t>Lecture Notes in Economics and Mathematical Systems</t>
  </si>
  <si>
    <t>Lecture Notes in Mathematics</t>
  </si>
  <si>
    <t>Lecture Notes in Pure and Applied Mathematics</t>
  </si>
  <si>
    <t>Lecture Notes in Statistics</t>
  </si>
  <si>
    <t>Linear Algebra and Its Applications</t>
  </si>
  <si>
    <t>Linear and Multilinear Algebra</t>
  </si>
  <si>
    <t>Lithuanian Mathematical Journal</t>
  </si>
  <si>
    <t>LMS Journal of Computation and Mathematics</t>
  </si>
  <si>
    <t>Lobachevskii Journal of Mathematics</t>
  </si>
  <si>
    <t>Logica Universalis</t>
  </si>
  <si>
    <t>Machine Learning and Pattern Recognition</t>
  </si>
  <si>
    <t>Manuscripta Mathematica</t>
  </si>
  <si>
    <t>Markov Processes and Related Fields</t>
  </si>
  <si>
    <t>MATCH Communications in Mathematical and in Computer Chemistry</t>
  </si>
  <si>
    <t>Matematicki Vesnik</t>
  </si>
  <si>
    <t>Mathematica Scandinavica</t>
  </si>
  <si>
    <t>Mathematical and Computational Biology</t>
  </si>
  <si>
    <t>Mathematical and Computer Modelling</t>
  </si>
  <si>
    <t>Mathematical and Computer Modelling of Dynamical Systems</t>
  </si>
  <si>
    <t>Mathematical Inequalities and Applications</t>
  </si>
  <si>
    <t>Mathematical Logic Quarterly</t>
  </si>
  <si>
    <t>Mathematical Methods in the Applied Sciences</t>
  </si>
  <si>
    <t>Mathematical Methods of Statistics</t>
  </si>
  <si>
    <t>Mathematical Modelling and Analysis</t>
  </si>
  <si>
    <t>Mathematical Modelling of Natural Phenomena</t>
  </si>
  <si>
    <t>Mathematical Models and Methods in Applied Sciences</t>
  </si>
  <si>
    <t>Mathematical Physics, Analysis and Geometry</t>
  </si>
  <si>
    <t>Mathematical Population Studies</t>
  </si>
  <si>
    <t>Mathematical Problems in Engineering</t>
  </si>
  <si>
    <t>Mathematical Proceedings of the Cambridge Philosophical Society</t>
  </si>
  <si>
    <t>Mathematical Proceedings of the Royal Irish Academy</t>
  </si>
  <si>
    <t>Mathematical Reports of the Academy of Science</t>
  </si>
  <si>
    <t>Mathematical Results in Quantum Theory</t>
  </si>
  <si>
    <t>Mathematical Social Sciences</t>
  </si>
  <si>
    <t>Mathematical Statistics and Learning</t>
  </si>
  <si>
    <t>Mathematics</t>
  </si>
  <si>
    <t>Mathematics and Computers in Simulation</t>
  </si>
  <si>
    <t>Mathematics and Financial Economics</t>
  </si>
  <si>
    <t>Mathematics and Mechanics of Solids</t>
  </si>
  <si>
    <t>Mathematics and Visualization</t>
  </si>
  <si>
    <t>Mathematics Education Research Journal</t>
  </si>
  <si>
    <t>Mathematics For Industry</t>
  </si>
  <si>
    <t>Mathematics of Control, Signals and Systems</t>
  </si>
  <si>
    <t>Mathematika</t>
  </si>
  <si>
    <t>Mathematische Nachrichten</t>
  </si>
  <si>
    <t>Mathematische Semesterberichte</t>
  </si>
  <si>
    <t>Mediterranean Journal of Mathematics</t>
  </si>
  <si>
    <t>Methodology and Computing in Applied Probability</t>
  </si>
  <si>
    <t>Methods and Applications of Analysis</t>
  </si>
  <si>
    <t>Metrika</t>
  </si>
  <si>
    <t>Michigan Mathematical Journal</t>
  </si>
  <si>
    <t>Milan Journal of Mathematics</t>
  </si>
  <si>
    <t>Model Assisted Statistics and Applications</t>
  </si>
  <si>
    <t>Modern Stochastics: Theory and Applications</t>
  </si>
  <si>
    <t>Monatshefte für Mathematik</t>
  </si>
  <si>
    <t>Monographs on Statistics &amp; Applied Probability</t>
  </si>
  <si>
    <t>Moscow Journal of Combinatorics and Number Theory</t>
  </si>
  <si>
    <t>Moscow Mathematical Journal</t>
  </si>
  <si>
    <t>Muenster Journal of Mathematics</t>
  </si>
  <si>
    <t>Münster Lectures in Mathematics</t>
  </si>
  <si>
    <t>Nagoya Mathematical Journal</t>
  </si>
  <si>
    <t>Natural Computing</t>
  </si>
  <si>
    <t>Networks and Heterogeneous Media</t>
  </si>
  <si>
    <t>Neurocomputing</t>
  </si>
  <si>
    <t>NeuroInformatics</t>
  </si>
  <si>
    <t>New Mathematics and Natural Computation</t>
  </si>
  <si>
    <t>New York Journal of Mathematics</t>
  </si>
  <si>
    <t>Nexus Network Journal</t>
  </si>
  <si>
    <t>NOMAD nordic studies in mathematics education</t>
  </si>
  <si>
    <t>Nonlinear Analysis</t>
  </si>
  <si>
    <t>Nonlinear Analysis: Real World Applications</t>
  </si>
  <si>
    <t>Nonlinear Analysis: Theory, Methods &amp; Applications</t>
  </si>
  <si>
    <t>Nonlinear Differential Equations and Applications NoDEA</t>
  </si>
  <si>
    <t>Nonlinear Phenomena in Complex Systems</t>
  </si>
  <si>
    <t>Nonlinearity</t>
  </si>
  <si>
    <t>Notices of the American Mathematical Society</t>
  </si>
  <si>
    <t>Notices of the International Congress of Chinese Mathematicians</t>
  </si>
  <si>
    <t>Numerical Functional Analysis and Optimization</t>
  </si>
  <si>
    <t>Numerical Linear Algebra with Applications</t>
  </si>
  <si>
    <t>Numerical Methods for Partial Differential Equations</t>
  </si>
  <si>
    <t>Online Journal of Analytic Combinatorics</t>
  </si>
  <si>
    <t>Open Systems and Information Dynamics</t>
  </si>
  <si>
    <t>Operators and Matrices</t>
  </si>
  <si>
    <t>Order: A Journal on the Theory of Ordered Sets and its Applications</t>
  </si>
  <si>
    <t>Osaka Journal of Mathematics</t>
  </si>
  <si>
    <t>Oxford Statistical Science Series</t>
  </si>
  <si>
    <t>Pacific Journal of Mathematics</t>
  </si>
  <si>
    <t>Pacific Journal of Optimization</t>
  </si>
  <si>
    <t>Periodica Mathematica Hungarica</t>
  </si>
  <si>
    <t>Philosophia Mathematica</t>
  </si>
  <si>
    <t>PNA: Revista de Investigación en Didáctica de la Matemática</t>
  </si>
  <si>
    <t>Portugaliae Mathematica</t>
  </si>
  <si>
    <t>Positivity</t>
  </si>
  <si>
    <t>Potential Analysis</t>
  </si>
  <si>
    <t>Princeton Series in Finance</t>
  </si>
  <si>
    <t>Probability and Mathematical Statistics</t>
  </si>
  <si>
    <t>Probability in the Engineering and Informational Sciences</t>
  </si>
  <si>
    <t>Probability Surveys</t>
  </si>
  <si>
    <t>Probability Theory and Stochastic Modelling</t>
  </si>
  <si>
    <t>Proceedings - Mathematical Sciences</t>
  </si>
  <si>
    <t>Proceedings in Applied Mathematics and Mechanics</t>
  </si>
  <si>
    <t>Proceedings of the American Mathematical Society</t>
  </si>
  <si>
    <t>Proceedings of the Edinburgh Mathematical Society</t>
  </si>
  <si>
    <t>Proceedings of the European Congress of Mathematics</t>
  </si>
  <si>
    <t>Proceedings of the International Congress of Mathematicians</t>
  </si>
  <si>
    <t>Proceedings of the International Congress on Mathematical Physics</t>
  </si>
  <si>
    <t>Proceedings of the International Groups for the Psychology of Mathematics Education</t>
  </si>
  <si>
    <t>Proceedings of the Japan Academy, Series A, Mathematical Sciences</t>
  </si>
  <si>
    <t>Proceedings of the Royal Society of Edinburgh Section A: Mathematics</t>
  </si>
  <si>
    <t>Proceedings of the Steklov Institute of Mathematics</t>
  </si>
  <si>
    <t>Progress in Computational Fluid Dynamics</t>
  </si>
  <si>
    <t>Progress in Mathematical Physics</t>
  </si>
  <si>
    <t>Progress in Mathematics</t>
  </si>
  <si>
    <t>Progress in Probability</t>
  </si>
  <si>
    <t>Proyecciones</t>
  </si>
  <si>
    <t>Publicacions Matematiques</t>
  </si>
  <si>
    <t>Publicationes Mathematicae</t>
  </si>
  <si>
    <t>Publications of the Research Institute for Mathematical Sciences</t>
  </si>
  <si>
    <t>Pure and Applied Mathematics Quarterly</t>
  </si>
  <si>
    <t>Pythagoras</t>
  </si>
  <si>
    <t xml:space="preserve">QMath </t>
  </si>
  <si>
    <t>Quaestiones Mathematicae</t>
  </si>
  <si>
    <t>Quality and Quantity</t>
  </si>
  <si>
    <t>Quarterly of Applied Mathematics</t>
  </si>
  <si>
    <t>Random Operators and Stochastic Equations</t>
  </si>
  <si>
    <t>REDIMAT - Journal of Research in Mathematics Education</t>
  </si>
  <si>
    <t>Regular and Chaotic Dynamics</t>
  </si>
  <si>
    <t>Rendiconti del Seminario Matematico</t>
  </si>
  <si>
    <t>Rendiconti del Seminario Matematico della Università di Padova</t>
  </si>
  <si>
    <t>Rendiconti Lincei - Matematica e Applicazioni</t>
  </si>
  <si>
    <t>Reports on Mathematical Logic</t>
  </si>
  <si>
    <t>Reports on Mathematical Physics</t>
  </si>
  <si>
    <t>Representation Theory</t>
  </si>
  <si>
    <t>Research in Mathematics Education</t>
  </si>
  <si>
    <t>Results in Mathematics</t>
  </si>
  <si>
    <t>Revista Latinoamericana de Investigacion en Matematica Educativa</t>
  </si>
  <si>
    <t>Revista Matematica Complutense</t>
  </si>
  <si>
    <t>Revstat Statistical Journal</t>
  </si>
  <si>
    <t>Revue Roumaine de Mathematiques Pures et Appliquees</t>
  </si>
  <si>
    <t>Risks</t>
  </si>
  <si>
    <t>Rocky Mountain Journal of Mathematics</t>
  </si>
  <si>
    <t>Russian Academy of Sciences. Mathematical Notes</t>
  </si>
  <si>
    <t>Russian Journal of Numerical Analysis and Mathematical Modelling</t>
  </si>
  <si>
    <t>Russian Mathematical Surveys</t>
  </si>
  <si>
    <t>Sankhya. Series A</t>
  </si>
  <si>
    <t>Sarajevo Journal of Mathematics</t>
  </si>
  <si>
    <t>Sbornik: Mathematics</t>
  </si>
  <si>
    <t>Science China Mathematics</t>
  </si>
  <si>
    <t>Scientia Danica. Series M, Mathematica et Physica</t>
  </si>
  <si>
    <t>Scientiae Mathematicae Japonicae</t>
  </si>
  <si>
    <t>Semigroup Forum</t>
  </si>
  <si>
    <t>Seminaire de Probabilites</t>
  </si>
  <si>
    <t>Séminaire Lotharingien de Combinatoire</t>
  </si>
  <si>
    <t>Sequential Analysis</t>
  </si>
  <si>
    <t>SIAM Journal on Financial Mathematics</t>
  </si>
  <si>
    <t>SORT - Statistics and Operations Research Transactions</t>
  </si>
  <si>
    <t>South African Actuarial Journal</t>
  </si>
  <si>
    <t>South African Statistical Journal</t>
  </si>
  <si>
    <t>Southeast Asian Bulletin of Mathematics</t>
  </si>
  <si>
    <t>Spatial Cognition and Computation</t>
  </si>
  <si>
    <t>Springer Finance</t>
  </si>
  <si>
    <t>Springer INdAM Series</t>
  </si>
  <si>
    <t>Springer Monographs in Mathematics</t>
  </si>
  <si>
    <t>Springer Proceedings in Mathematics &amp; Statistics</t>
  </si>
  <si>
    <t>Springer Series in Operations Research and Financial Engineering</t>
  </si>
  <si>
    <t>Springer Series in Statistics</t>
  </si>
  <si>
    <t>St. Petersburg Mathematical Journal</t>
  </si>
  <si>
    <t>Stat</t>
  </si>
  <si>
    <t>Statistica Neerlandica</t>
  </si>
  <si>
    <t>Statistical Inference for Stochastic Processes</t>
  </si>
  <si>
    <t>Statistical Methodology</t>
  </si>
  <si>
    <t>Statistical Methods and Applications</t>
  </si>
  <si>
    <t>Statistical Modelling</t>
  </si>
  <si>
    <t>Statistical Papers</t>
  </si>
  <si>
    <t>Statistics</t>
  </si>
  <si>
    <t>Statistics &amp; Probability Letters</t>
  </si>
  <si>
    <t>Statistics &amp; Risk Modeling</t>
  </si>
  <si>
    <t>Statistics and its Interface</t>
  </si>
  <si>
    <t>Statistics Education Research Journal</t>
  </si>
  <si>
    <t>Statistics for Biology and Health, Springer</t>
  </si>
  <si>
    <t>Statistics in the Social and Behavioral Sciences</t>
  </si>
  <si>
    <t>Statistics Surveys</t>
  </si>
  <si>
    <t>Stochastic Analysis and Applications</t>
  </si>
  <si>
    <t>Stochastic Environmental Research and Risk Assessment</t>
  </si>
  <si>
    <t>Stochastic Models</t>
  </si>
  <si>
    <t>Stochastics and Dynamics</t>
  </si>
  <si>
    <t xml:space="preserve">Stochastics: An International Journal of Probability and Stochastic Processes </t>
  </si>
  <si>
    <t>Structural Equation Modeling</t>
  </si>
  <si>
    <t>Studia Logica: An International Journal for Symbolic Logic</t>
  </si>
  <si>
    <t>Studia Mathematica</t>
  </si>
  <si>
    <t>Studia Scientiarum Mathematicarum Hungarica</t>
  </si>
  <si>
    <t>Studies in Applied Mathematics</t>
  </si>
  <si>
    <t>Symmetry, Integrability and Geometry: Methods and Applications</t>
  </si>
  <si>
    <t>Taiwanese Journal of Mathematics</t>
  </si>
  <si>
    <t>Teaching Mathematics and Computer Science</t>
  </si>
  <si>
    <t>Teaching Mathematics and Its Applications</t>
  </si>
  <si>
    <t>Teaching Statistics</t>
  </si>
  <si>
    <t>Technology, Knowledge and Learning</t>
  </si>
  <si>
    <t>Test</t>
  </si>
  <si>
    <t>Texts in Statistical Science</t>
  </si>
  <si>
    <t>The American Mathematical Monthly</t>
  </si>
  <si>
    <t>The American Statistician</t>
  </si>
  <si>
    <t>The ANZIAM Journal</t>
  </si>
  <si>
    <t>The Asian Journal of Mathematics</t>
  </si>
  <si>
    <t>The Canadian Applied Mathematics Quarterly</t>
  </si>
  <si>
    <t>The Electronic Journal of Linear Algebra</t>
  </si>
  <si>
    <t>The Electronic Journal of Mathematics &amp; Technology</t>
  </si>
  <si>
    <t>The Fibonacci Quarterly</t>
  </si>
  <si>
    <t>The Geneva Risk and Insurance Review</t>
  </si>
  <si>
    <t>The International Journal for Technology in Mathematics Education</t>
  </si>
  <si>
    <t>The International Journal of Biostatistics</t>
  </si>
  <si>
    <t>The Mathematical Scientist</t>
  </si>
  <si>
    <t>The Montana Math Enthusiast</t>
  </si>
  <si>
    <t>The North American Actuarial Journal</t>
  </si>
  <si>
    <t>The QGM Master Class Series</t>
  </si>
  <si>
    <t>The Quarterly Journal of Mathematics</t>
  </si>
  <si>
    <t>The Quarterly Journal of Mechanics and Applied Mathematics</t>
  </si>
  <si>
    <t>The R Journal</t>
  </si>
  <si>
    <t>The Ramanujan Journal</t>
  </si>
  <si>
    <t>The Stata Journal</t>
  </si>
  <si>
    <t>Theory and Applications of Categories</t>
  </si>
  <si>
    <t>Theory of Probability and Its Applications</t>
  </si>
  <si>
    <t>Theory of Probability and Mathematical Statistics</t>
  </si>
  <si>
    <t>Tohoku Mathematical Journal</t>
  </si>
  <si>
    <t>Tokyo Journal of Mathematics</t>
  </si>
  <si>
    <t>Topology and Its Applications</t>
  </si>
  <si>
    <t>Traitement du Signal</t>
  </si>
  <si>
    <t>Transactions of the London Mathematical Society</t>
  </si>
  <si>
    <t>Transport Theory and Statistical Physics</t>
  </si>
  <si>
    <t>Travaux Mathématiques</t>
  </si>
  <si>
    <t>Tsukuba Journal of Mathematics</t>
  </si>
  <si>
    <t>Ukrainian Mathematical Journal</t>
  </si>
  <si>
    <t>Unione Matematica Italiana. Bollettino. Sezione B: Articoli di Ricerca Matematica</t>
  </si>
  <si>
    <t>Use R!</t>
  </si>
  <si>
    <t>Utilitas Mathematica</t>
  </si>
  <si>
    <t>WILEY BOOK SERIES ON BIOINFORMATICS</t>
  </si>
  <si>
    <t xml:space="preserve">Wiley Interdisciplinary Reviews: Computational Statistics </t>
  </si>
  <si>
    <t>Wiley Series in Probability and Statistics</t>
  </si>
  <si>
    <t>Wilmott</t>
  </si>
  <si>
    <t>Zeitschrift fuer Angewandte Mathematik und Physik</t>
  </si>
  <si>
    <t>Zeitschrift für Analysis und ihre Anwendungen</t>
  </si>
  <si>
    <t>Zurich Lectures in Advanced Mathematics</t>
  </si>
  <si>
    <t>Kemi</t>
  </si>
  <si>
    <t>Accounts of Chemical Research</t>
  </si>
  <si>
    <t>ACS Applied Materials and Interfaces</t>
  </si>
  <si>
    <t>ACS Macro Letters</t>
  </si>
  <si>
    <t>Advanced Energy Materials</t>
  </si>
  <si>
    <t>Analytical Chemistry</t>
  </si>
  <si>
    <t>Angewandte Chemie International Edition</t>
  </si>
  <si>
    <t>Biomacromolecules</t>
  </si>
  <si>
    <t>Catalysis Science &amp; Technology</t>
  </si>
  <si>
    <t>Chemical Communications</t>
  </si>
  <si>
    <t>Chemical Reviews</t>
  </si>
  <si>
    <t>Chemical Science</t>
  </si>
  <si>
    <t>Chemical Society Reviews</t>
  </si>
  <si>
    <t>Chemistry of Materials</t>
  </si>
  <si>
    <t>Chemistry: A European Journal</t>
  </si>
  <si>
    <t>ChemSusChem</t>
  </si>
  <si>
    <t>Dalton Transactions</t>
  </si>
  <si>
    <t>Electrochimica Acta</t>
  </si>
  <si>
    <t>Energy &amp; Environmental Science</t>
  </si>
  <si>
    <t>Green Chemistry</t>
  </si>
  <si>
    <t>Inorganic Chemistry</t>
  </si>
  <si>
    <t>Journal of Applied Crystallography</t>
  </si>
  <si>
    <t>Journal of Chemical Theory and Computation</t>
  </si>
  <si>
    <t>Journal of Natural Products</t>
  </si>
  <si>
    <t>Journal of the American Chemical Society</t>
  </si>
  <si>
    <t>Macromolecules</t>
  </si>
  <si>
    <t>Nature Chemistry</t>
  </si>
  <si>
    <t>Nature Nanotechnology</t>
  </si>
  <si>
    <t>Organic &amp; Biomolecular Chemistry</t>
  </si>
  <si>
    <t>Organic Letters</t>
  </si>
  <si>
    <t>Physical Chemistry Chemical Physics</t>
  </si>
  <si>
    <t>Sensors and Actuators B: Chemical</t>
  </si>
  <si>
    <t>The Journal of Chemical Physics</t>
  </si>
  <si>
    <t>The Journal of Physical Chemistry Letters</t>
  </si>
  <si>
    <t>ACS Combinatorial Science</t>
  </si>
  <si>
    <t>ACS Medicinal Chemistry Letters</t>
  </si>
  <si>
    <t>ACS Omega</t>
  </si>
  <si>
    <t>ACS Symposium Series</t>
  </si>
  <si>
    <t>Acta Chimica Slovenica</t>
  </si>
  <si>
    <t>Acta Chromatographica</t>
  </si>
  <si>
    <t>Acta Crystallographica Section A: Foundations and Advances</t>
  </si>
  <si>
    <t>Acta Crystallographica Section B: Structural Science, Crystal Engineering and Materials</t>
  </si>
  <si>
    <t>Acta Crystallographica Section C: Structural Chemistry</t>
  </si>
  <si>
    <t xml:space="preserve">Acta crystallographica Section D: Structural biology </t>
  </si>
  <si>
    <t>Acta Crystallographica Section E: Crystallographic Communications</t>
  </si>
  <si>
    <t>Acta Crystallographica Section F: Structural Biology Communications</t>
  </si>
  <si>
    <t>Advanced Science</t>
  </si>
  <si>
    <t>Advances in Chromatography</t>
  </si>
  <si>
    <t>Advances in Heterocyclic Chemistry</t>
  </si>
  <si>
    <t>Advances in Inorganic Chemistry</t>
  </si>
  <si>
    <t>Advances in Natural Sciences: Nanoscience and Nanotechnology</t>
  </si>
  <si>
    <t>Advances in Physical Organic Chemistry</t>
  </si>
  <si>
    <t>Advances in Polymer Science</t>
  </si>
  <si>
    <t>Advances in Quantum Chemistry</t>
  </si>
  <si>
    <t>American Ceramic Society Bulletin</t>
  </si>
  <si>
    <t>American Laboratory</t>
  </si>
  <si>
    <t>Analytica Chimica Acta</t>
  </si>
  <si>
    <t>Analytical and Bioanalytical Chemistry</t>
  </si>
  <si>
    <t>Analytical Letters</t>
  </si>
  <si>
    <t>Analytical Methods</t>
  </si>
  <si>
    <t>Analytical Sciences</t>
  </si>
  <si>
    <t>Angewandte Chemie</t>
  </si>
  <si>
    <t>Annual Reports on N M R Spectroscopy</t>
  </si>
  <si>
    <t>Annual Review of Physical Chemistry</t>
  </si>
  <si>
    <t>Applied Magnetic Resonance</t>
  </si>
  <si>
    <t>Applied Organometallic Chemistry</t>
  </si>
  <si>
    <t>Applied Spectroscopy Reviews</t>
  </si>
  <si>
    <t>ARKIVOC - Archive for Organic Chemistry</t>
  </si>
  <si>
    <t>Artificial DNA</t>
  </si>
  <si>
    <t>Asian Chemistry Letters</t>
  </si>
  <si>
    <t>Atmospheric Measurement Techniques</t>
  </si>
  <si>
    <t>Atomic Spectroscopy</t>
  </si>
  <si>
    <t>Australian Journal of Chemistry</t>
  </si>
  <si>
    <t>Beilstein Journal of Organic Chemistry</t>
  </si>
  <si>
    <t>Bioconjugate Chemistry</t>
  </si>
  <si>
    <t>Biomarkers in Cancer</t>
  </si>
  <si>
    <t>Biomicrofluidics</t>
  </si>
  <si>
    <t>Bioorganic &amp; Medicinal Chemistry</t>
  </si>
  <si>
    <t>Bioorganic &amp; Medicinal Chemistry Letters</t>
  </si>
  <si>
    <t>Bioorganic Chemistry</t>
  </si>
  <si>
    <t>Biophysical Chemistry</t>
  </si>
  <si>
    <t>Bulletin of the Chemical Society of Ethiopia</t>
  </si>
  <si>
    <t>Bulletin of the Chemical Society of Japan</t>
  </si>
  <si>
    <t>Bulletin of the Korean Chemical Society</t>
  </si>
  <si>
    <t>Bunseki Kagaku</t>
  </si>
  <si>
    <t>Cambridge Environmental Chemistry Series</t>
  </si>
  <si>
    <t>Canadian Journal of Chemistry</t>
  </si>
  <si>
    <t>Chalcogenide Letters</t>
  </si>
  <si>
    <t>ChemBioChem</t>
  </si>
  <si>
    <t>ChemCatChem</t>
  </si>
  <si>
    <t>Chemical Papers</t>
  </si>
  <si>
    <t>Chemical Physics</t>
  </si>
  <si>
    <t>Chemical Research in Chinese Universities</t>
  </si>
  <si>
    <t>Chemicke Listy</t>
  </si>
  <si>
    <t>Chemie in Unserer Zeit</t>
  </si>
  <si>
    <t>Chemistry - An Asian Journal</t>
  </si>
  <si>
    <t>Chemistry &amp; Biodiversity</t>
  </si>
  <si>
    <t>Chemistry Letters</t>
  </si>
  <si>
    <t>Chemistry of Heterocyclic Compounds</t>
  </si>
  <si>
    <t>ChemPhysChem</t>
  </si>
  <si>
    <t>Chimia</t>
  </si>
  <si>
    <t>Chimica Oggi – Chemistry Today</t>
  </si>
  <si>
    <t>Chinese Chemical Letters</t>
  </si>
  <si>
    <t>Chinese Journal of Chemical Physics</t>
  </si>
  <si>
    <t>Chinese Journal of Chemistry</t>
  </si>
  <si>
    <t>Chinese Journal of Polymer Science</t>
  </si>
  <si>
    <t>Chromatographia</t>
  </si>
  <si>
    <t>Cogent Chemistry</t>
  </si>
  <si>
    <t>Colloid and Polymer Science</t>
  </si>
  <si>
    <t>Colloid Journal / Kolloidnyi Zhurnal</t>
  </si>
  <si>
    <t>Combinatorial Chemistry &amp; High Throughput Screening</t>
  </si>
  <si>
    <t>Comments on Inorganic Chemistry</t>
  </si>
  <si>
    <t>Comptes Rendus Chimie</t>
  </si>
  <si>
    <t>Computational and Theoretical Chemistry</t>
  </si>
  <si>
    <t>Conservation Letters</t>
  </si>
  <si>
    <t>Critical Reviews in Analytical Chemistry</t>
  </si>
  <si>
    <t>Croatica Chemica Acta</t>
  </si>
  <si>
    <t>Crystal Growth &amp; Design</t>
  </si>
  <si>
    <t>Crystallography Reports</t>
  </si>
  <si>
    <t>Crystallography Reviews</t>
  </si>
  <si>
    <t>CrystEngComm</t>
  </si>
  <si>
    <t>Current Analytical Chemistry</t>
  </si>
  <si>
    <t>Current Inorganic Chemistry</t>
  </si>
  <si>
    <t>Current Medicinal Chemistry</t>
  </si>
  <si>
    <t>Current Opinion in Colloid &amp; Interface Science</t>
  </si>
  <si>
    <t>Current Opinion in Electrochemistry</t>
  </si>
  <si>
    <t>Current Organic Chemistry</t>
  </si>
  <si>
    <t>Current Topics in Medicinal Chemistry</t>
  </si>
  <si>
    <t>Designed Monomers and Polymers</t>
  </si>
  <si>
    <t>Doklady Chemistry</t>
  </si>
  <si>
    <t>Doklady Physical Chemistry</t>
  </si>
  <si>
    <t>ECS Journal of Solid State Science and Technology</t>
  </si>
  <si>
    <t>ECS Transactions</t>
  </si>
  <si>
    <t>Electroanalysis</t>
  </si>
  <si>
    <t>Electrocatalysis</t>
  </si>
  <si>
    <t>Electrochemistry</t>
  </si>
  <si>
    <t>Electrochemistry Communications</t>
  </si>
  <si>
    <t>Environmental Chemistry for a Sustainable World</t>
  </si>
  <si>
    <t>Environmental Chemistry Letters</t>
  </si>
  <si>
    <t>e-Polymers</t>
  </si>
  <si>
    <t>European Journal of Glass Science and Technology Part A</t>
  </si>
  <si>
    <t>European Journal of Inorganic Chemistry</t>
  </si>
  <si>
    <t>European Journal of Mass Spectrometry</t>
  </si>
  <si>
    <t>European Journal of Nanomedicine</t>
  </si>
  <si>
    <t>European Journal of Organic Chemistry</t>
  </si>
  <si>
    <t>Faraday Discussions</t>
  </si>
  <si>
    <t>Fenxi Huaxue</t>
  </si>
  <si>
    <t>Food Additives &amp; Contaminants: Part A</t>
  </si>
  <si>
    <t>Foundations of Chemistry: Philosophical, Historical, Educational and Interdisciplinary Studies of Chemistry</t>
  </si>
  <si>
    <t>Frontiers in Endocrinology</t>
  </si>
  <si>
    <t>Future Medicinal Chemistry</t>
  </si>
  <si>
    <t>Gaodeng Xuexiao Huaxue Xuebao</t>
  </si>
  <si>
    <t>Gaofenzi Xuebao</t>
  </si>
  <si>
    <t>Glycoconjugate Journal</t>
  </si>
  <si>
    <t>Helvetica Chimica Acta</t>
  </si>
  <si>
    <t>Heteroatom Chemistry</t>
  </si>
  <si>
    <t>Heterocycles</t>
  </si>
  <si>
    <t>Heterocyclic Communications</t>
  </si>
  <si>
    <t>High Energy Chemistry</t>
  </si>
  <si>
    <t>High Performance Polymers</t>
  </si>
  <si>
    <t>Huaxue Jinzhan</t>
  </si>
  <si>
    <t>Huaxue Xuebao</t>
  </si>
  <si>
    <t>Indian Journal of Chemistry. Section A: Inorganic, Bio-Inorganic, Physical, Theoretical and Analytical Chemistry</t>
  </si>
  <si>
    <t>Indian Journal of Chemistry. Section B</t>
  </si>
  <si>
    <t>Indian Journal of Heterocyclic Chemistry</t>
  </si>
  <si>
    <t>Inorganic Chemistry Communications</t>
  </si>
  <si>
    <t>Inorganic Syntheses Series</t>
  </si>
  <si>
    <t>Inorganica Chimica Acta</t>
  </si>
  <si>
    <t>Instrumentation Science &amp; Technology</t>
  </si>
  <si>
    <t>Interdisciplinary Sciences: Computational Life Sciences</t>
  </si>
  <si>
    <t>International Journal for Ion Mobility Spectrometry</t>
  </si>
  <si>
    <t>International Journal of Applied Glass Science</t>
  </si>
  <si>
    <t>International Journal of Chemical Kinetics</t>
  </si>
  <si>
    <t>International Journal of Electrochemistry</t>
  </si>
  <si>
    <t>International Journal of Mass Spectrometry</t>
  </si>
  <si>
    <t xml:space="preserve">International Journal of Molecular Sciences </t>
  </si>
  <si>
    <t>International Journal of Polymer Analysis and Characterization</t>
  </si>
  <si>
    <t>International Journal of Quantum Chemistry</t>
  </si>
  <si>
    <t>International Reviews in Physical Chemistry</t>
  </si>
  <si>
    <t>International Scholarly Research Notices</t>
  </si>
  <si>
    <t>Iranian Polymer Journal</t>
  </si>
  <si>
    <t>Israel Journal of Chemistry</t>
  </si>
  <si>
    <t>Jiegou Huaxue</t>
  </si>
  <si>
    <t>Journal of Advanced Oxidation Technologies</t>
  </si>
  <si>
    <t>Journal of Analytical and Applied Pyrolysis</t>
  </si>
  <si>
    <t>Journal of Analytical Atomic Spectrometry</t>
  </si>
  <si>
    <t>Journal of Analytical Chemistry</t>
  </si>
  <si>
    <t>Journal of Analytical Methods in Chemistry</t>
  </si>
  <si>
    <t>Journal of Applied Electrochemistry</t>
  </si>
  <si>
    <t>Journal of Biological Inorganic Chemistry</t>
  </si>
  <si>
    <t>Journal of Carbohydrate Chemistry</t>
  </si>
  <si>
    <t>Journal of Chemical Crystallography</t>
  </si>
  <si>
    <t>Journal of Chemical Research</t>
  </si>
  <si>
    <t>Journal of Chemical Sciences</t>
  </si>
  <si>
    <t>Journal of Chromatographic Science</t>
  </si>
  <si>
    <t>Journal of Cluster Science</t>
  </si>
  <si>
    <t>Journal of Colloid and Interface Science</t>
  </si>
  <si>
    <t>Journal of Computational Chemistry</t>
  </si>
  <si>
    <t>Journal of Coordination Chemistry</t>
  </si>
  <si>
    <t>Journal of Crystal Growth</t>
  </si>
  <si>
    <t>Journal of Drug Delivery Science and Technology</t>
  </si>
  <si>
    <t>Journal of Electroanalytical Chemistry</t>
  </si>
  <si>
    <t>Journal of Electroceramics</t>
  </si>
  <si>
    <t>Journal of Electron Spectroscopy and Related Phenomena</t>
  </si>
  <si>
    <t>Journal of Energy Chemistry</t>
  </si>
  <si>
    <t>Journal of Fluorine Chemistry</t>
  </si>
  <si>
    <t>Journal of Heterocyclic Chemistry</t>
  </si>
  <si>
    <t>Journal of Inclusion Phenomena and Macrocyclic Chemistry</t>
  </si>
  <si>
    <t>Journal of Inorganic and Organometallic Polymers and Materials</t>
  </si>
  <si>
    <t>Journal of Inorganic Biochemistry</t>
  </si>
  <si>
    <t>Journal of Macromolecular Science: Part A - Pure and Applied Chemistry</t>
  </si>
  <si>
    <t>Journal of Macromolecular Science: Part B - Physics</t>
  </si>
  <si>
    <t>Journal of Magnetic Resonance</t>
  </si>
  <si>
    <t>Journal of Molecular Catalysis A: Chemical</t>
  </si>
  <si>
    <t>Journal of Molecular Catalysis B: Enzymatic</t>
  </si>
  <si>
    <t>Journal of Molecular Graphics and Modelling</t>
  </si>
  <si>
    <t>Journal of Molecular Modeling</t>
  </si>
  <si>
    <t>Journal of Molecular Recognition</t>
  </si>
  <si>
    <t>Journal of Molecular Spectroscopy</t>
  </si>
  <si>
    <t>Journal of Molecular Structure: THEOCHEM</t>
  </si>
  <si>
    <t>Journal of Organometallic Chemistry</t>
  </si>
  <si>
    <t>Journal of Photochemistry and Photobiology, A: Chemistry</t>
  </si>
  <si>
    <t>Journal of Photopolymer Science and Technology</t>
  </si>
  <si>
    <t>Journal of Physical and Chemical Reference Data</t>
  </si>
  <si>
    <t>Journal of Physical Organic Chemistry</t>
  </si>
  <si>
    <t>Journal of Physics and Chemistry of Solids</t>
  </si>
  <si>
    <t>Journal of Planar Chromatography - Modern TLC</t>
  </si>
  <si>
    <t>Journal of Polymer Engineering</t>
  </si>
  <si>
    <t>Journal of Polymer Materials</t>
  </si>
  <si>
    <t>Journal of Polymer Research</t>
  </si>
  <si>
    <t>Journal of Polymer Science. Part A, Polymer Chemistry</t>
  </si>
  <si>
    <t>Journal of Polymer Science. Part B, Polymer Physics</t>
  </si>
  <si>
    <t>Journal of Porphyrins and Phthalocyanines</t>
  </si>
  <si>
    <t>Journal of Quantitative Spectroscopy &amp; Radiative Transfer</t>
  </si>
  <si>
    <t>Journal of Radioanalytical and Nuclear Chemistry</t>
  </si>
  <si>
    <t>Journal of Raman Spectroscopy</t>
  </si>
  <si>
    <t>Journal of Self-Assembly and Molecular Electronics</t>
  </si>
  <si>
    <t>Journal of Sensors</t>
  </si>
  <si>
    <t>Journal of Solid State Chemistry</t>
  </si>
  <si>
    <t>Journal of Solid State Electrochemistry</t>
  </si>
  <si>
    <t>Journal of Solution Chemistry</t>
  </si>
  <si>
    <t>Journal of Spectroscopy</t>
  </si>
  <si>
    <t>Journal of Structural Chemistry</t>
  </si>
  <si>
    <t>Journal of Sulfur Chemistry</t>
  </si>
  <si>
    <t>Journal of The American Society for Mass Spectrometry</t>
  </si>
  <si>
    <t>Journal of the Brazilian Chemical Society</t>
  </si>
  <si>
    <t>Journal of the Chemical Society of Pakistan</t>
  </si>
  <si>
    <t>Journal of the Chilean Chemical Society</t>
  </si>
  <si>
    <t>Journal of the Chinese Chemical Society</t>
  </si>
  <si>
    <t>Journal of The Electrochemical Society</t>
  </si>
  <si>
    <t>Journal of the Indian Chemical Society</t>
  </si>
  <si>
    <t>Journal of Theoretical and Computational Chemistry</t>
  </si>
  <si>
    <t>Journal of Thermal Analysis and Calorimetry</t>
  </si>
  <si>
    <t>Kobunshi Ronbunshu</t>
  </si>
  <si>
    <t>L'Actualite Chimique</t>
  </si>
  <si>
    <t>LCGC Europe</t>
  </si>
  <si>
    <t>LCGC North America</t>
  </si>
  <si>
    <t>Letters in Organic Chemistry</t>
  </si>
  <si>
    <t>Liquid Crystals</t>
  </si>
  <si>
    <t>Macromolecular Chemistry and Physics</t>
  </si>
  <si>
    <t>Macromolecular Rapid Communications</t>
  </si>
  <si>
    <t>Macromolecular Research</t>
  </si>
  <si>
    <t>Macromolecular Theory and Simulations</t>
  </si>
  <si>
    <t>Magnetic Resonance in Chemistry</t>
  </si>
  <si>
    <t>Main Group Chemistry</t>
  </si>
  <si>
    <t>Main Group Metal Chemistry</t>
  </si>
  <si>
    <t>Mass Spectrometry Reviews</t>
  </si>
  <si>
    <t>Materials Chemistry and Physics</t>
  </si>
  <si>
    <t>MedChemComm</t>
  </si>
  <si>
    <t>Mendeleev Communications</t>
  </si>
  <si>
    <t>Metal Ions in Biological Systems</t>
  </si>
  <si>
    <t>Metallomics</t>
  </si>
  <si>
    <t>Methods and Applications in Fluorescence</t>
  </si>
  <si>
    <t>Micro &amp; Nano Letters</t>
  </si>
  <si>
    <t>Microchemical Journal</t>
  </si>
  <si>
    <t>Microchimica Acta</t>
  </si>
  <si>
    <t>Molecular Crystals and Liquid Crystals</t>
  </si>
  <si>
    <t>Molecular Diversity</t>
  </si>
  <si>
    <t>Molecular Informatics</t>
  </si>
  <si>
    <t>Molecules</t>
  </si>
  <si>
    <t>Monatshefte für Chemie</t>
  </si>
  <si>
    <t>NATO Science for Peace and Security Series A: Chemistry and Biology</t>
  </si>
  <si>
    <t>Natural Product Communications</t>
  </si>
  <si>
    <t>Nature Catalysis</t>
  </si>
  <si>
    <t>New Developments in NMR</t>
  </si>
  <si>
    <t>New Journal of Chemistry</t>
  </si>
  <si>
    <t>Optics and Spectroscopy</t>
  </si>
  <si>
    <t>Organic Preparations and Procedures International</t>
  </si>
  <si>
    <t>Organic Syntheses</t>
  </si>
  <si>
    <t>Organometallics</t>
  </si>
  <si>
    <t>Oxidation Communications</t>
  </si>
  <si>
    <t>PeerJ</t>
  </si>
  <si>
    <t>Phosphorus, Sulfur and Silicon and the Related Elements</t>
  </si>
  <si>
    <t>Physical Chemistry in Action</t>
  </si>
  <si>
    <t>Physics and Chemistry of Liquids</t>
  </si>
  <si>
    <t>Phytochemistry Letters</t>
  </si>
  <si>
    <t>Polimery</t>
  </si>
  <si>
    <t>Polycyclic Aromatic Compounds</t>
  </si>
  <si>
    <t>Polyhedron</t>
  </si>
  <si>
    <t>Polymer Bulletin</t>
  </si>
  <si>
    <t>Polymer Chemistry</t>
  </si>
  <si>
    <t>Polymer Degradation and Stability</t>
  </si>
  <si>
    <t>Polymer International</t>
  </si>
  <si>
    <t>Polymer Journal</t>
  </si>
  <si>
    <t>Polymer Reviews</t>
  </si>
  <si>
    <t>Polymer Science, Series B</t>
  </si>
  <si>
    <t>Polymer(Korea)</t>
  </si>
  <si>
    <t>Polymer-Plastics Technology and Materials</t>
  </si>
  <si>
    <t>Polymers for Advanced Technologies</t>
  </si>
  <si>
    <t>Progress In Fluorine Science</t>
  </si>
  <si>
    <t>Progress in Inorganic Chemistry</t>
  </si>
  <si>
    <t>Progress in Nuclear Magnetic Resonance Spectroscopy</t>
  </si>
  <si>
    <t>Progress in Polymer Science</t>
  </si>
  <si>
    <t>Progress in Reaction Kinetics and Mechanism</t>
  </si>
  <si>
    <t>Progress in Solid State Chemistry</t>
  </si>
  <si>
    <t>Progress in Surface Science</t>
  </si>
  <si>
    <t>Pure and Applied Chemistry</t>
  </si>
  <si>
    <t>Quimica Nova</t>
  </si>
  <si>
    <t>Radiochimica Acta</t>
  </si>
  <si>
    <t>Rapid Communications in Mass Spectrometry</t>
  </si>
  <si>
    <t>Research on Chemical Intermediates</t>
  </si>
  <si>
    <t>Reviews in Analytical Chemistry</t>
  </si>
  <si>
    <t>Reviews in Computational Chemistry</t>
  </si>
  <si>
    <t>Reviews in Inorganic Chemistry</t>
  </si>
  <si>
    <t>Revue Roumaine de Chimie</t>
  </si>
  <si>
    <t>Royal Society of Chemistry. Special Publications</t>
  </si>
  <si>
    <t>RSC Advances</t>
  </si>
  <si>
    <t>RSC Drug Discovery Series</t>
  </si>
  <si>
    <t>Rubber Chemistry and Technology</t>
  </si>
  <si>
    <t>Russian Chemical Bulletin</t>
  </si>
  <si>
    <t>Russian Journal of Bioorganic Chemistry</t>
  </si>
  <si>
    <t>Russian Journal of Coordination Chemistry</t>
  </si>
  <si>
    <t>Russian Journal of Electrochemistry</t>
  </si>
  <si>
    <t>Russian Journal of General Chemistry</t>
  </si>
  <si>
    <t>Russian Journal of Inorganic Chemistry</t>
  </si>
  <si>
    <t>Russian Journal of Organic Chemistry</t>
  </si>
  <si>
    <t>Russian Journal of Physical Chemistry A</t>
  </si>
  <si>
    <t>Science China Chemistry</t>
  </si>
  <si>
    <t>Science Translational Medicine</t>
  </si>
  <si>
    <t>Solid State Ionics</t>
  </si>
  <si>
    <t>Solid State Nuclear Magnetic Resonance</t>
  </si>
  <si>
    <t>Solid State Sciences</t>
  </si>
  <si>
    <t>Solvent Extraction and Ion Exchange</t>
  </si>
  <si>
    <t>South African Journal of Chemistry</t>
  </si>
  <si>
    <t>Spectrochimica Acta Part A: Molecular and Biomolecular Spectroscopy</t>
  </si>
  <si>
    <t>Spectrochimica Acta Part B: Atomic Spectroscopy</t>
  </si>
  <si>
    <t>Spectroscopy</t>
  </si>
  <si>
    <t>Spectroscopy Letters</t>
  </si>
  <si>
    <t>Structural Chemistry</t>
  </si>
  <si>
    <t>Structure and Bonding</t>
  </si>
  <si>
    <t>Studies in Natural Products Chemistry</t>
  </si>
  <si>
    <t>Supramolecular Chemistry</t>
  </si>
  <si>
    <t>Surface and Interface Analysis</t>
  </si>
  <si>
    <t>SYNLETT: Accounts and Rapid Communications in Chemical Synthesis</t>
  </si>
  <si>
    <t>Synthesis</t>
  </si>
  <si>
    <t>Synthetic Communications</t>
  </si>
  <si>
    <t>Tetrahedron</t>
  </si>
  <si>
    <t>Tetrahedron Letters</t>
  </si>
  <si>
    <t>Tetrahedron: Asymmetry</t>
  </si>
  <si>
    <t>Thalassas</t>
  </si>
  <si>
    <t>The Chemical Record</t>
  </si>
  <si>
    <t>The Journal of Organic Chemistry</t>
  </si>
  <si>
    <t>The Journal of Physical Chemistry Part A</t>
  </si>
  <si>
    <t>The Journal of Physical Chemistry Part B</t>
  </si>
  <si>
    <t>The Journal of Physical Chemistry Part C</t>
  </si>
  <si>
    <t>Theoretical and Experimental Chemistry</t>
  </si>
  <si>
    <t>Theoretical Chemistry Accounts</t>
  </si>
  <si>
    <t>Thermochimica Acta</t>
  </si>
  <si>
    <t>Topics in Current Chemistry</t>
  </si>
  <si>
    <t>Topics in Heterocyclic Chemistry</t>
  </si>
  <si>
    <t>Topics in Organometallic Chemistry</t>
  </si>
  <si>
    <t>Transition Metal Chemistry</t>
  </si>
  <si>
    <t>Ultrasonics Sonochemistry</t>
  </si>
  <si>
    <t>Vibrational Spectroscopy</t>
  </si>
  <si>
    <t>Wiley Interdisciplinary Reviews: Computational Molecular Science</t>
  </si>
  <si>
    <t>Wuji Cailiao Xuebao</t>
  </si>
  <si>
    <t>Wuji Huaxue Xuebao</t>
  </si>
  <si>
    <t>Wuli Huaxue Xuebao</t>
  </si>
  <si>
    <t>X-Ray Spectrometry</t>
  </si>
  <si>
    <t>Youji Huaxue</t>
  </si>
  <si>
    <t>Yuki Gosei Kagaku Kyokaishi/Journal of Synthetic Organic Chemistry, Japan</t>
  </si>
  <si>
    <t>Zeitschrift fuer Anorganische und Allgemeine Chemie</t>
  </si>
  <si>
    <t>Zeitschrift fuer Kristallographie - New Crystal Structures</t>
  </si>
  <si>
    <t>Zeitschrift fuer Naturforschung B: A Journal of Chemical Sciences</t>
  </si>
  <si>
    <t>Zeitschrift für Kristallographie - Crystalline Materials</t>
  </si>
  <si>
    <t>Zeitschrift für Naturforschung. A, A Journal of Physical Sciences</t>
  </si>
  <si>
    <t>Biologi</t>
  </si>
  <si>
    <t>Advances in Ecological Research</t>
  </si>
  <si>
    <t>Advances in Insect Physiology</t>
  </si>
  <si>
    <t>Advances in Marine Biology</t>
  </si>
  <si>
    <t>Animal Behaviour</t>
  </si>
  <si>
    <t>Annual Review of Ecology, Evolution and Systematics</t>
  </si>
  <si>
    <t>Annual Review of Entomology</t>
  </si>
  <si>
    <t>Annual Review of Phytopathology</t>
  </si>
  <si>
    <t>Annual Review of Plant Biology</t>
  </si>
  <si>
    <t>Behavioral Ecology</t>
  </si>
  <si>
    <t>Biological Conservation</t>
  </si>
  <si>
    <t>Biological Reviews</t>
  </si>
  <si>
    <t>Biology Letters</t>
  </si>
  <si>
    <t>BioScience</t>
  </si>
  <si>
    <t>BMC Biology</t>
  </si>
  <si>
    <t>BMC Plant Biology</t>
  </si>
  <si>
    <t>Cladistics</t>
  </si>
  <si>
    <t>Conservation Biology</t>
  </si>
  <si>
    <t>Current Opinion in Insect Science</t>
  </si>
  <si>
    <t>Current Opinion in Plant Biology</t>
  </si>
  <si>
    <t>Diversity and Distributions</t>
  </si>
  <si>
    <t>Ecography</t>
  </si>
  <si>
    <t>Ecological Applications</t>
  </si>
  <si>
    <t>Ecological Monographs</t>
  </si>
  <si>
    <t>Ecology</t>
  </si>
  <si>
    <t>Ecology Letters</t>
  </si>
  <si>
    <t>Ecosystems</t>
  </si>
  <si>
    <t>Evolution</t>
  </si>
  <si>
    <t>Evolutionary Applications</t>
  </si>
  <si>
    <t>Freshwater Biology</t>
  </si>
  <si>
    <t>Functional Ecology</t>
  </si>
  <si>
    <t>Fungal Diversity</t>
  </si>
  <si>
    <t>Global Change Biology</t>
  </si>
  <si>
    <t>Global Ecology and Biogeography</t>
  </si>
  <si>
    <t>Journal of Animal Ecology</t>
  </si>
  <si>
    <t>Journal of Applied Ecology</t>
  </si>
  <si>
    <t>Journal of Biogeography</t>
  </si>
  <si>
    <t>Journal of Ecology</t>
  </si>
  <si>
    <t>Journal of Evolutionary Biology</t>
  </si>
  <si>
    <t>Journal of Experimental Botany</t>
  </si>
  <si>
    <t>Limnology and Oceanography</t>
  </si>
  <si>
    <t>Methods in Ecology and Evolution</t>
  </si>
  <si>
    <t>Molecular Phylogenetics and Evolution</t>
  </si>
  <si>
    <t>Nature Protocols</t>
  </si>
  <si>
    <t>Oecologia</t>
  </si>
  <si>
    <t>Oikos</t>
  </si>
  <si>
    <t>Persoonia</t>
  </si>
  <si>
    <t>Perspectives in Plant Ecology, Evolution and Systematics</t>
  </si>
  <si>
    <t>Philosophical Transactions of the Royal Society B: Biological Sciences</t>
  </si>
  <si>
    <t>Plant Physiology</t>
  </si>
  <si>
    <t>PLOS Biology</t>
  </si>
  <si>
    <t>Proceedings of the Royal Society B: Biological Sciences</t>
  </si>
  <si>
    <t>Studies in Mycology</t>
  </si>
  <si>
    <t>Systematic Biology</t>
  </si>
  <si>
    <t>Systematic Entomology</t>
  </si>
  <si>
    <t>Taxon</t>
  </si>
  <si>
    <t>The American Naturalist</t>
  </si>
  <si>
    <t>The ISME Journal</t>
  </si>
  <si>
    <t>The Journal of Experimental Biology</t>
  </si>
  <si>
    <t>The Quarterly Review of Biology</t>
  </si>
  <si>
    <t>Trends in Ecology &amp; Evolution</t>
  </si>
  <si>
    <t>Acta Biologica Cracoviensia. Botanica</t>
  </si>
  <si>
    <t>Acta Biologica Hungarica</t>
  </si>
  <si>
    <t>Acta Biotheoretica</t>
  </si>
  <si>
    <t>Acta Chiropterologica</t>
  </si>
  <si>
    <t>Acta Ethologica</t>
  </si>
  <si>
    <t>Acta Oecologica</t>
  </si>
  <si>
    <t>Acta Ornithologica</t>
  </si>
  <si>
    <t>Acta Palaeobotanica</t>
  </si>
  <si>
    <t>Acta Physiologiae Plantarum</t>
  </si>
  <si>
    <t>Acta Protozoologica</t>
  </si>
  <si>
    <t>Acta Societatis Botanicorum Poloniae</t>
  </si>
  <si>
    <t>Acta Zoologica</t>
  </si>
  <si>
    <t>Acta Zoologica Academiae Scientiarum Hungaricae</t>
  </si>
  <si>
    <t>Adansonia</t>
  </si>
  <si>
    <t>Advances in Botanical Research</t>
  </si>
  <si>
    <t>Aerobiologia</t>
  </si>
  <si>
    <t>African Entomology</t>
  </si>
  <si>
    <t>African Journal of Aquatic Science</t>
  </si>
  <si>
    <t>African Journal of Ecology</t>
  </si>
  <si>
    <t>African Journal of Marine Science</t>
  </si>
  <si>
    <t>African Zoology</t>
  </si>
  <si>
    <t>Agricultural Engineering International: CIGR Journal</t>
  </si>
  <si>
    <t>ALCES: A Journal Devoted to the Biology and Management of Moose</t>
  </si>
  <si>
    <t>Aliso</t>
  </si>
  <si>
    <t>Alpine Botany</t>
  </si>
  <si>
    <t>Amazoniana</t>
  </si>
  <si>
    <t>AMB Express</t>
  </si>
  <si>
    <t>American Fern Journal</t>
  </si>
  <si>
    <t>American Journal of Botany</t>
  </si>
  <si>
    <t>American Journal of Plant Sciences</t>
  </si>
  <si>
    <t>American Journal of Primatology</t>
  </si>
  <si>
    <t>American Malacological Bulletin</t>
  </si>
  <si>
    <t>American Midland Naturalist</t>
  </si>
  <si>
    <t>American Museum Novitates</t>
  </si>
  <si>
    <t>Amphibia - Reptilia</t>
  </si>
  <si>
    <t>Animal Biology</t>
  </si>
  <si>
    <t>Animal Biotelemetry</t>
  </si>
  <si>
    <t>Annales Botanici Fennici</t>
  </si>
  <si>
    <t>Annales de la Societe Entomologique de France.</t>
  </si>
  <si>
    <t>Annales de Limnologie</t>
  </si>
  <si>
    <t>Annales Zoologici</t>
  </si>
  <si>
    <t>Annales Zoologici Fennici</t>
  </si>
  <si>
    <t>Annals of Applied Biology</t>
  </si>
  <si>
    <t>Annals of Botany</t>
  </si>
  <si>
    <t>Annals of the Entomological Society of America</t>
  </si>
  <si>
    <t>Annals of the Missouri Botanical Garden</t>
  </si>
  <si>
    <t>Applied Entomology and Zoology</t>
  </si>
  <si>
    <t>Applied Soil Ecology</t>
  </si>
  <si>
    <t>Aquatic Biology</t>
  </si>
  <si>
    <t>Aquatic Botany</t>
  </si>
  <si>
    <t>Aquatic Ecology</t>
  </si>
  <si>
    <t>Aquatic Insects</t>
  </si>
  <si>
    <t>Aquatic Mammals</t>
  </si>
  <si>
    <t>Aquatic Microbial Ecology</t>
  </si>
  <si>
    <t>Aquatic Sciences</t>
  </si>
  <si>
    <t>Arachnology</t>
  </si>
  <si>
    <t>Archaea</t>
  </si>
  <si>
    <t>Archiv für Phytopathologie und Pflanzenschutz</t>
  </si>
  <si>
    <t>Ardea</t>
  </si>
  <si>
    <t>Ardeola</t>
  </si>
  <si>
    <t>Arthropod - Plant Interactions</t>
  </si>
  <si>
    <t>Arthropod Structure &amp; Development</t>
  </si>
  <si>
    <t>Asian Myrmecology</t>
  </si>
  <si>
    <t>Astrobiology</t>
  </si>
  <si>
    <t>Austral Ecology</t>
  </si>
  <si>
    <t>Austral Entomology</t>
  </si>
  <si>
    <t>Australasian Plant Pathology</t>
  </si>
  <si>
    <t>Australian Journal of Botany</t>
  </si>
  <si>
    <t>Australian Journal of Zoology</t>
  </si>
  <si>
    <t>Australian Systematic Botany</t>
  </si>
  <si>
    <t>Bangladesh Journal of Botany</t>
  </si>
  <si>
    <t>Basic and Applied Ecology</t>
  </si>
  <si>
    <t>Behavioral Ecology and Sociobiology</t>
  </si>
  <si>
    <t>Belgian Journal of Zoology</t>
  </si>
  <si>
    <t>Bioacoustics - the International Journal of Animal Sound and its Recording</t>
  </si>
  <si>
    <t>Biogeosciences Discussions</t>
  </si>
  <si>
    <t>Bioinspiration &amp; Biomimetics</t>
  </si>
  <si>
    <t>Biologia</t>
  </si>
  <si>
    <t>Biologia Plantarum</t>
  </si>
  <si>
    <t>Biological Bulletin</t>
  </si>
  <si>
    <t>Biological Invasions</t>
  </si>
  <si>
    <t>Biological Journal of the Linnean Society</t>
  </si>
  <si>
    <t>Biological Procedures Online</t>
  </si>
  <si>
    <t>Biological Research</t>
  </si>
  <si>
    <t>Biological Rhythm Research</t>
  </si>
  <si>
    <t>Biology</t>
  </si>
  <si>
    <t>Biology Bulletin (Izvestiya Rossiiskoi Akademii Nauk – Seriya Biologicheskaya)</t>
  </si>
  <si>
    <t>Biology Direct</t>
  </si>
  <si>
    <t>Biometric Technology Today</t>
  </si>
  <si>
    <t>Bioscene</t>
  </si>
  <si>
    <t>Biosemiotics</t>
  </si>
  <si>
    <t>BioSystems</t>
  </si>
  <si>
    <t>Biota Neotropica</t>
  </si>
  <si>
    <t>Biotropica</t>
  </si>
  <si>
    <t>Bird Conservation International</t>
  </si>
  <si>
    <t>Bird Study</t>
  </si>
  <si>
    <t>Blumea</t>
  </si>
  <si>
    <t>BMC Developmental Biology</t>
  </si>
  <si>
    <t>BMC Ecology</t>
  </si>
  <si>
    <t>BMC Systems Biology</t>
  </si>
  <si>
    <t>Bois et Forets des Tropiques</t>
  </si>
  <si>
    <t>Botanica Marina</t>
  </si>
  <si>
    <t>Botanical Journal of the Linnean Society</t>
  </si>
  <si>
    <t>Botanical Studies</t>
  </si>
  <si>
    <t>Botany</t>
  </si>
  <si>
    <t>Bothalia: African Biodiversity &amp; Conservation</t>
  </si>
  <si>
    <t>Brazilian Archives of Biology and Technology</t>
  </si>
  <si>
    <t>Brittonia</t>
  </si>
  <si>
    <t>Bryologist</t>
  </si>
  <si>
    <t>Bulletin of Entomological Research</t>
  </si>
  <si>
    <t>Cahiers de Biologie Marine</t>
  </si>
  <si>
    <t>Canadian Entomologist</t>
  </si>
  <si>
    <t>Canadian Journal of Zoology</t>
  </si>
  <si>
    <t>Candollea</t>
  </si>
  <si>
    <t>Caribbean Journal of Science</t>
  </si>
  <si>
    <t>Cell Death &amp; Disease</t>
  </si>
  <si>
    <t>Cells</t>
  </si>
  <si>
    <t>Cold Spring Harbor Laboratory. Symposia on Quantitative Biology</t>
  </si>
  <si>
    <t>Communicative &amp; Integrative Biology</t>
  </si>
  <si>
    <t>Comparative Biochemistry and Physiology - Part A: Molecular &amp; Integrative Physiology</t>
  </si>
  <si>
    <t>Comparative Parasitology</t>
  </si>
  <si>
    <t>Comptes Rendus Biologies</t>
  </si>
  <si>
    <t>Computational Biology and Chemistry</t>
  </si>
  <si>
    <t>Contributions to Zoology</t>
  </si>
  <si>
    <t>Copeia</t>
  </si>
  <si>
    <t>Coral Reefs</t>
  </si>
  <si>
    <t>Crop and Pasture Science</t>
  </si>
  <si>
    <t>Crustaceana</t>
  </si>
  <si>
    <t>Cryobiology</t>
  </si>
  <si>
    <t>Cryptogamie Algologie</t>
  </si>
  <si>
    <t>Cryptogamie Bryologie</t>
  </si>
  <si>
    <t>Cryptogamie Mycologie</t>
  </si>
  <si>
    <t>Current Zoology</t>
  </si>
  <si>
    <t>Cybium</t>
  </si>
  <si>
    <t>Dansk Ornitologisk Forenings Tidsskrift</t>
  </si>
  <si>
    <t>Database: The Journal of Biological Databases and Curation</t>
  </si>
  <si>
    <t>Deep-Sea Research. Part 2: Topical Studies in Oceanography</t>
  </si>
  <si>
    <t>Dendrobiology</t>
  </si>
  <si>
    <t>Dendrochronologia</t>
  </si>
  <si>
    <t>Deutsche Entomologische Zeitschrift</t>
  </si>
  <si>
    <t>Developmental &amp; Comparative Immunology</t>
  </si>
  <si>
    <t>Diatom Research</t>
  </si>
  <si>
    <t>Diversity</t>
  </si>
  <si>
    <t>Doklady Biological Sciences</t>
  </si>
  <si>
    <t>Ecohydrology</t>
  </si>
  <si>
    <t>Ecological Complexity: An International Journal on Biocomplexity in the Environment and Theoretical Ecology</t>
  </si>
  <si>
    <t>Ecological Research</t>
  </si>
  <si>
    <t>Ecology and Evolution</t>
  </si>
  <si>
    <t>Economic Botany</t>
  </si>
  <si>
    <t>Ecoscience</t>
  </si>
  <si>
    <t>Edinburgh Journal of Botany</t>
  </si>
  <si>
    <t>Ekologia</t>
  </si>
  <si>
    <t>Emu</t>
  </si>
  <si>
    <t>Entomologia Generalis</t>
  </si>
  <si>
    <t>Entomologica Fennica</t>
  </si>
  <si>
    <t>Entomological News</t>
  </si>
  <si>
    <t>Entomological Science</t>
  </si>
  <si>
    <t>Entomologiske Meddelelser</t>
  </si>
  <si>
    <t>Environmental Biology of Fishes</t>
  </si>
  <si>
    <t>Environmental DNA</t>
  </si>
  <si>
    <t>Environmental Microbiology Reports</t>
  </si>
  <si>
    <t>EPPO Bulletin</t>
  </si>
  <si>
    <t>Estuaries and Coasts</t>
  </si>
  <si>
    <t>Ethnobotany Research and Applications</t>
  </si>
  <si>
    <t>Ethology</t>
  </si>
  <si>
    <t>Ethology Ecology &amp; Evolution</t>
  </si>
  <si>
    <t>EuroChoices</t>
  </si>
  <si>
    <t>European Journal of Entomology</t>
  </si>
  <si>
    <t>European Journal of Phycology</t>
  </si>
  <si>
    <t>European Journal of Wildlife Research</t>
  </si>
  <si>
    <t>EvoDevo</t>
  </si>
  <si>
    <t>Evolutionary Ecology</t>
  </si>
  <si>
    <t>Experimental &amp; Applied Acarology</t>
  </si>
  <si>
    <t>Experimental Parasitology</t>
  </si>
  <si>
    <t>Fauna Entomologica Scandinavica</t>
  </si>
  <si>
    <t>Fauna Norvegica</t>
  </si>
  <si>
    <t>Fish and Shellfish Immunology</t>
  </si>
  <si>
    <t>Fish Physiology</t>
  </si>
  <si>
    <t>Fish Physiology &amp; Biochemistry</t>
  </si>
  <si>
    <t>Flora</t>
  </si>
  <si>
    <t>Flora of Ecuador</t>
  </si>
  <si>
    <t>Florida Entomologist</t>
  </si>
  <si>
    <t>Fly</t>
  </si>
  <si>
    <t>Folia Biologica</t>
  </si>
  <si>
    <t>Folia Geobotanica</t>
  </si>
  <si>
    <t>Folia Primatologica</t>
  </si>
  <si>
    <t>Folia Zoologica</t>
  </si>
  <si>
    <t>Food Microbiology</t>
  </si>
  <si>
    <t>Food Webs</t>
  </si>
  <si>
    <t>Freshwater Science</t>
  </si>
  <si>
    <t>Frontiers in Ecology and Evolution</t>
  </si>
  <si>
    <t>Frontiers in Marine Science</t>
  </si>
  <si>
    <t>Frontiers in Microbiology</t>
  </si>
  <si>
    <t>Frontiers in Physiology</t>
  </si>
  <si>
    <t>Frontiers in Plant Science</t>
  </si>
  <si>
    <t>Frontiers in Zoology</t>
  </si>
  <si>
    <t>Functional Plant Biology</t>
  </si>
  <si>
    <t>Fungal Biology</t>
  </si>
  <si>
    <t>Fungal Biology and Biotechnology</t>
  </si>
  <si>
    <t>Fungal Biology Reviews</t>
  </si>
  <si>
    <t>Fungal Ecology</t>
  </si>
  <si>
    <t>Gene Regulation and Systems Biology</t>
  </si>
  <si>
    <t>General and Comparative Endocrinology</t>
  </si>
  <si>
    <t>Genus : Journal of Population Sciences</t>
  </si>
  <si>
    <t>Grana</t>
  </si>
  <si>
    <t>Gut Microbes</t>
  </si>
  <si>
    <t xml:space="preserve">Handbook of Zoology Online </t>
  </si>
  <si>
    <t>Haseltonia</t>
  </si>
  <si>
    <t>Herpetologica</t>
  </si>
  <si>
    <t>Herpetological Journal</t>
  </si>
  <si>
    <t>Herpetological Monographs</t>
  </si>
  <si>
    <t>Herpetological Review</t>
  </si>
  <si>
    <t>Historical Biology</t>
  </si>
  <si>
    <t>Human Ecology Review</t>
  </si>
  <si>
    <t>Hydrobiologia</t>
  </si>
  <si>
    <t>Ibis</t>
  </si>
  <si>
    <t>Ichnos: an international journal of plant and animal traces</t>
  </si>
  <si>
    <t>Ichthyological Research</t>
  </si>
  <si>
    <t>In Silico Biology</t>
  </si>
  <si>
    <t>Inland Waters</t>
  </si>
  <si>
    <t>Insect Conservation and Diversity</t>
  </si>
  <si>
    <t>Insect Systematics &amp; Evolution</t>
  </si>
  <si>
    <t>Insectes Sociaux</t>
  </si>
  <si>
    <t>Insects</t>
  </si>
  <si>
    <t>Integrative &amp; Comparative Biology</t>
  </si>
  <si>
    <t>International Journal of Acarology</t>
  </si>
  <si>
    <t>International Journal of Astrobiology</t>
  </si>
  <si>
    <t>International Journal of Biometeorology</t>
  </si>
  <si>
    <t>International Journal of Plant Sciences</t>
  </si>
  <si>
    <t>International Journal of Tropical Insect Science</t>
  </si>
  <si>
    <t>International Review of Hydrobiology</t>
  </si>
  <si>
    <t>Invertebrate Biology</t>
  </si>
  <si>
    <t>Invertebrate Reproduction and Development</t>
  </si>
  <si>
    <t>Invertebrate Systematics</t>
  </si>
  <si>
    <t>Israel Journal of Ecology &amp; Evolution</t>
  </si>
  <si>
    <t>Israel Journal of Plant Sciences</t>
  </si>
  <si>
    <t>Italian Journal of Zoology</t>
  </si>
  <si>
    <t>Journal de Mycologie Medicale</t>
  </si>
  <si>
    <t>Journal of Advanced Zoology</t>
  </si>
  <si>
    <t>Journal of Aquatic Animal Health</t>
  </si>
  <si>
    <t>Journal of Arachnology</t>
  </si>
  <si>
    <t>Journal of Asia Pacific Entomology</t>
  </si>
  <si>
    <t>Journal of Avian Biology</t>
  </si>
  <si>
    <t>Journal of Biological Dynamics</t>
  </si>
  <si>
    <t>Journal of Biological Research</t>
  </si>
  <si>
    <t>Journal of Biological Systems</t>
  </si>
  <si>
    <t>Journal of Biosciences</t>
  </si>
  <si>
    <t>Journal of Bryology</t>
  </si>
  <si>
    <t>Journal of Comparative Physiology B: Biochemical, Systems, and Environmental Physiology</t>
  </si>
  <si>
    <t>Journal of Conchology</t>
  </si>
  <si>
    <t>Journal of Crustacean Biology</t>
  </si>
  <si>
    <t>Journal of Entomological Science</t>
  </si>
  <si>
    <t>Journal of Ethology</t>
  </si>
  <si>
    <t xml:space="preserve">Journal of Experimental Zoology. Part A: Ecological and Integrative Physiology </t>
  </si>
  <si>
    <t>Journal of Field Ornithology</t>
  </si>
  <si>
    <t>Journal of Fish Biology</t>
  </si>
  <si>
    <t>Journal of Freshwater Ecology</t>
  </si>
  <si>
    <t>Journal of General Plant Pathology</t>
  </si>
  <si>
    <t>Journal of Helminthology</t>
  </si>
  <si>
    <t>Journal of Herpetology</t>
  </si>
  <si>
    <t>Journal of Insect Behavior</t>
  </si>
  <si>
    <t>Journal of Insect Conservation</t>
  </si>
  <si>
    <t>Journal of Insect Physiology</t>
  </si>
  <si>
    <t>Journal of Insect Science</t>
  </si>
  <si>
    <t>Journal of Invertebrate Pathology</t>
  </si>
  <si>
    <t>Journal of Limnology</t>
  </si>
  <si>
    <t>Journal of Mammalian Evolution</t>
  </si>
  <si>
    <t>Journal of Mammalogy</t>
  </si>
  <si>
    <t>Journal of Mammary Gland Biology and Neoplasia</t>
  </si>
  <si>
    <t>Journal of Microbiology and Biology Education</t>
  </si>
  <si>
    <t>Journal of Microscopy</t>
  </si>
  <si>
    <t>Journal of Molluscan Studies</t>
  </si>
  <si>
    <t>Journal of Natural History</t>
  </si>
  <si>
    <t>Journal of Nematology</t>
  </si>
  <si>
    <t>Journal of Ornithology</t>
  </si>
  <si>
    <t>Journal of Phycology</t>
  </si>
  <si>
    <t>Journal of Phytopathology</t>
  </si>
  <si>
    <t>Journal of Plant Biology</t>
  </si>
  <si>
    <t>Journal of Plant Pathology</t>
  </si>
  <si>
    <t>Journal of Plant Physiology</t>
  </si>
  <si>
    <t>Journal of Systematics and Evolution</t>
  </si>
  <si>
    <t>Journal of the Kansas Entomological Society</t>
  </si>
  <si>
    <t>Journal of the Marine Biological Association of the United Kingdom</t>
  </si>
  <si>
    <t>Journal of the Royal Society. Interface</t>
  </si>
  <si>
    <t>Journal of the Torrey Botanical Society</t>
  </si>
  <si>
    <t>Journal of Theoretical Biology</t>
  </si>
  <si>
    <t>Journal of Thermal Biology</t>
  </si>
  <si>
    <t>Journal of Tropical Ecology</t>
  </si>
  <si>
    <t>Journal of Vector Ecology</t>
  </si>
  <si>
    <t>Journal of Vegetation Science</t>
  </si>
  <si>
    <t>Journal of Zoological Systematics and Evolutionary Research</t>
  </si>
  <si>
    <t>Journal of Zoology</t>
  </si>
  <si>
    <t>Life</t>
  </si>
  <si>
    <t>Limnologica</t>
  </si>
  <si>
    <t>Limnology</t>
  </si>
  <si>
    <t>Lindbergia</t>
  </si>
  <si>
    <t>Malacologia</t>
  </si>
  <si>
    <t>Mammal Research</t>
  </si>
  <si>
    <t>Mammal Review</t>
  </si>
  <si>
    <t>Mammalia</t>
  </si>
  <si>
    <t>Mammalian Biology</t>
  </si>
  <si>
    <t>Marine and Freshwater Behaviour and Physiology</t>
  </si>
  <si>
    <t>Marine Biology Research</t>
  </si>
  <si>
    <t>Marine Biotechnology</t>
  </si>
  <si>
    <t>Marine Ecology</t>
  </si>
  <si>
    <t>Marine Mammal Science</t>
  </si>
  <si>
    <t>Marine Ornithology</t>
  </si>
  <si>
    <t>Maydica</t>
  </si>
  <si>
    <t>mBio</t>
  </si>
  <si>
    <t>Microbial Biotechnology</t>
  </si>
  <si>
    <t>Microbial Ecology</t>
  </si>
  <si>
    <t>Microbiome</t>
  </si>
  <si>
    <t>Microorganisms</t>
  </si>
  <si>
    <t>Mikologiya i Fitopatologiya</t>
  </si>
  <si>
    <t>Movement Ecology</t>
  </si>
  <si>
    <t>Mycologia</t>
  </si>
  <si>
    <t>Mycological Progress</t>
  </si>
  <si>
    <t>Mycopathologia</t>
  </si>
  <si>
    <t>Mycoscience</t>
  </si>
  <si>
    <t>Mycotaxon</t>
  </si>
  <si>
    <t>Myrmecological News</t>
  </si>
  <si>
    <t>Natural History</t>
  </si>
  <si>
    <t>Nature Ecology &amp; Evolution</t>
  </si>
  <si>
    <t>Nature Microbiology</t>
  </si>
  <si>
    <t>Nematology</t>
  </si>
  <si>
    <t>New Zealand Journal of Botany</t>
  </si>
  <si>
    <t>New Zealand Journal of Ecology</t>
  </si>
  <si>
    <t>New Zealand Journal of Zoology</t>
  </si>
  <si>
    <t>Nihon Oyo Dobutsu Konchu Gakkaishi</t>
  </si>
  <si>
    <t>Nordic Journal of Botany</t>
  </si>
  <si>
    <t>Northwest Science</t>
  </si>
  <si>
    <t>Nota Lepidopterologica</t>
  </si>
  <si>
    <t>Nova Hedwigia</t>
  </si>
  <si>
    <t>Novon</t>
  </si>
  <si>
    <t>Odonatologica</t>
  </si>
  <si>
    <t>Open Journal of Ecology</t>
  </si>
  <si>
    <t>Organisms Diversity &amp; Evolution</t>
  </si>
  <si>
    <t>Oriental Insects</t>
  </si>
  <si>
    <t>Origins of Life and Evolution of Biospheres</t>
  </si>
  <si>
    <t>Ornis Fennica</t>
  </si>
  <si>
    <t>Ornis Norvegica</t>
  </si>
  <si>
    <t>Oryx</t>
  </si>
  <si>
    <t>Ostrich</t>
  </si>
  <si>
    <t>Pakistan Journal of Botany</t>
  </si>
  <si>
    <t>Pan-Pacific Entomologist</t>
  </si>
  <si>
    <t>Parasite</t>
  </si>
  <si>
    <t>Periodicum Biologorum</t>
  </si>
  <si>
    <t>Photosynthesis Research</t>
  </si>
  <si>
    <t>Photosynthetica</t>
  </si>
  <si>
    <t>Phuket Marine Biological Center. Research Bulletin</t>
  </si>
  <si>
    <t>Phycologia</t>
  </si>
  <si>
    <t>Phycological Research</t>
  </si>
  <si>
    <t>Physiologia Plantarum</t>
  </si>
  <si>
    <t>Physiological and Biochemical Zoology</t>
  </si>
  <si>
    <t>Physiological Entomology</t>
  </si>
  <si>
    <t>Phytocoenologia</t>
  </si>
  <si>
    <t>Phyton. Annales Rei Botanicae</t>
  </si>
  <si>
    <t>Phytoparasitica</t>
  </si>
  <si>
    <t>Phytopathology</t>
  </si>
  <si>
    <t>Plant Biology</t>
  </si>
  <si>
    <t>Plant Biosystems</t>
  </si>
  <si>
    <t>Plant Ecology and Evolution</t>
  </si>
  <si>
    <t>Plant Genetic Resources</t>
  </si>
  <si>
    <t>Plant Methods</t>
  </si>
  <si>
    <t>Plant Reproduction</t>
  </si>
  <si>
    <t>Plant Science</t>
  </si>
  <si>
    <t>Plant Signaling &amp; Behavior</t>
  </si>
  <si>
    <t>Plant Species Biology</t>
  </si>
  <si>
    <t>Plant Systematics and Evolution</t>
  </si>
  <si>
    <t>Planta</t>
  </si>
  <si>
    <t>Plants</t>
  </si>
  <si>
    <t>Polar Biology</t>
  </si>
  <si>
    <t>Polish Journal of Ecology</t>
  </si>
  <si>
    <t>Population Ecology</t>
  </si>
  <si>
    <t>Preslia</t>
  </si>
  <si>
    <t>Primates</t>
  </si>
  <si>
    <t>Proceedings of the Academy of Natural Sciences of Philadelphia</t>
  </si>
  <si>
    <t>Proceedings of the Biological Society of Washington</t>
  </si>
  <si>
    <t>Proceedings of the Entomological Society of Washington</t>
  </si>
  <si>
    <t>Proceedings of the Linnean Society of New South Wales</t>
  </si>
  <si>
    <t>Progress in Botany</t>
  </si>
  <si>
    <t>Protist</t>
  </si>
  <si>
    <t>Protoplasma</t>
  </si>
  <si>
    <t>Raffles Bulletin of Zoology</t>
  </si>
  <si>
    <t>Reproduction, Fertility and Development</t>
  </si>
  <si>
    <t>Research Letters in Ecology</t>
  </si>
  <si>
    <t>Revista Chilena de Historia Natural</t>
  </si>
  <si>
    <t>Revista de Biología Tropical</t>
  </si>
  <si>
    <t>Revue d'Ecologie: La Terre et la Vie</t>
  </si>
  <si>
    <t>Revue Suisse de Zoologie</t>
  </si>
  <si>
    <t>Rhodora</t>
  </si>
  <si>
    <t>Rivista di Biologia</t>
  </si>
  <si>
    <t>Russian Journal of Developmental Biology</t>
  </si>
  <si>
    <t>Russian Journal of Ecology</t>
  </si>
  <si>
    <t>Russian Journal of Nematology</t>
  </si>
  <si>
    <t>Russian Journal of Plant Physiology</t>
  </si>
  <si>
    <t>Science China Life Sciences</t>
  </si>
  <si>
    <t>Scientia Danica. Series B, Biologica</t>
  </si>
  <si>
    <t>Signaling and Communication in Plants</t>
  </si>
  <si>
    <t>Sociobiology</t>
  </si>
  <si>
    <t>South African Journal of Botany</t>
  </si>
  <si>
    <t>Spixiana</t>
  </si>
  <si>
    <t>Sustainability of Water Quality and Ecology</t>
  </si>
  <si>
    <t>Svensk Botanisk Tidskrift</t>
  </si>
  <si>
    <t>Sydowia</t>
  </si>
  <si>
    <t>Systematic Botany</t>
  </si>
  <si>
    <t>Systematics and Biodiversity</t>
  </si>
  <si>
    <t>The Auk: Ornithological Advances</t>
  </si>
  <si>
    <t>The Botanical Review</t>
  </si>
  <si>
    <t>The Coleopterists Bulletin</t>
  </si>
  <si>
    <t>The Condor</t>
  </si>
  <si>
    <t>The Journal of Parasitology</t>
  </si>
  <si>
    <t>The Journal of Raptor Research</t>
  </si>
  <si>
    <t>The Lichenologist</t>
  </si>
  <si>
    <t>The Open Microbiology Journal</t>
  </si>
  <si>
    <t>The Open Plant Science Journal</t>
  </si>
  <si>
    <t>The Scientific World Journal</t>
  </si>
  <si>
    <t>The Wilson Journal of Ornithology</t>
  </si>
  <si>
    <t>Theoretical Ecology</t>
  </si>
  <si>
    <t>Ticks and Tick-borne Diseases</t>
  </si>
  <si>
    <t>Toxins</t>
  </si>
  <si>
    <t>Transactions of the American Entomological Society</t>
  </si>
  <si>
    <t>Treatise on Zoology - Anatomy, Taxonomy, Biology</t>
  </si>
  <si>
    <t>Tropical Zoology</t>
  </si>
  <si>
    <t>USDA Forest Service,  Pacific Northwest Research Station, Research Paper PNW</t>
  </si>
  <si>
    <t>Vie et Milieu</t>
  </si>
  <si>
    <t>Vienna Yearbook of Population Research</t>
  </si>
  <si>
    <t>Waterbirds</t>
  </si>
  <si>
    <t>Web Ecology</t>
  </si>
  <si>
    <t>Webbia</t>
  </si>
  <si>
    <t>Willdenowia</t>
  </si>
  <si>
    <t>Wood Research</t>
  </si>
  <si>
    <t>Zhurnal Obshchei Biologii</t>
  </si>
  <si>
    <t>Zoo Biology</t>
  </si>
  <si>
    <t>Zoologica Scripta</t>
  </si>
  <si>
    <t xml:space="preserve">Zoological Journal of the Linnean Society </t>
  </si>
  <si>
    <t>Zoological Science</t>
  </si>
  <si>
    <t>Zoological Studies</t>
  </si>
  <si>
    <t>Zoologicheskii Zhurnal</t>
  </si>
  <si>
    <t>Zoologischer Anzeiger</t>
  </si>
  <si>
    <t>Zoology</t>
  </si>
  <si>
    <t>Zoomorphology</t>
  </si>
  <si>
    <t>Zoosystema</t>
  </si>
  <si>
    <t>Zootaxa</t>
  </si>
  <si>
    <t>Miljø, økotoks, land/skovbr, natur/landskforv, fiskeri</t>
  </si>
  <si>
    <t>Agriculture, Ecosystems &amp; Environment</t>
  </si>
  <si>
    <t>Animal</t>
  </si>
  <si>
    <t>Animal Feed Science and Technology</t>
  </si>
  <si>
    <t>Applied and Environmental Microbiology</t>
  </si>
  <si>
    <t>Applied Clay Science</t>
  </si>
  <si>
    <t>Aquaculture</t>
  </si>
  <si>
    <t>Aquatic Toxicology</t>
  </si>
  <si>
    <t>Biofouling</t>
  </si>
  <si>
    <t>Bioresource Technology</t>
  </si>
  <si>
    <t>Canadian Journal of Fisheries and Aquatic Sciences</t>
  </si>
  <si>
    <t>Chemosphere</t>
  </si>
  <si>
    <t>Ecological Entomology</t>
  </si>
  <si>
    <t>Ecological Indicators</t>
  </si>
  <si>
    <t>Ecological Modelling</t>
  </si>
  <si>
    <t>Ecotoxicology and Environmental Safety</t>
  </si>
  <si>
    <t>Environment International</t>
  </si>
  <si>
    <t>Environmental Impact Assessment Review</t>
  </si>
  <si>
    <t>Environmental Microbiology</t>
  </si>
  <si>
    <t>Environmental Pollution</t>
  </si>
  <si>
    <t>Environmental Science &amp; Policy</t>
  </si>
  <si>
    <t>Environmental Toxicology and Chemistry</t>
  </si>
  <si>
    <t>European Journal of Agronomy</t>
  </si>
  <si>
    <t>European Journal of Soil Science</t>
  </si>
  <si>
    <t>Fish and Fisheries</t>
  </si>
  <si>
    <t>Fisheries Oceanography</t>
  </si>
  <si>
    <t>Forest Ecology and Management</t>
  </si>
  <si>
    <t>Geoderma</t>
  </si>
  <si>
    <t>Harmful Algae</t>
  </si>
  <si>
    <t>Journal of Dairy Science</t>
  </si>
  <si>
    <t>Journal of Environmental Management</t>
  </si>
  <si>
    <t>Journal of Environmental Quality</t>
  </si>
  <si>
    <t>Journal of Plant Growth Regulation</t>
  </si>
  <si>
    <t>Land Use Policy</t>
  </si>
  <si>
    <t>Marine Ecology - Progress Series</t>
  </si>
  <si>
    <t>Marine Policy</t>
  </si>
  <si>
    <t>Marine Pollution Bulletin</t>
  </si>
  <si>
    <t>Oceanography and Marine Biology</t>
  </si>
  <si>
    <t>Pest Management Science</t>
  </si>
  <si>
    <t>Plant and Soil</t>
  </si>
  <si>
    <t>Plant Pathology</t>
  </si>
  <si>
    <t>Progress in Oceanography</t>
  </si>
  <si>
    <t>Science of the Total Environment</t>
  </si>
  <si>
    <t>Soil Biology &amp; Biochemistry</t>
  </si>
  <si>
    <t>Soil Science Society of America Journal</t>
  </si>
  <si>
    <t>Waste Management</t>
  </si>
  <si>
    <t>Water Resources Research</t>
  </si>
  <si>
    <t>ACS Sustainable Chemistry &amp; Engineering</t>
  </si>
  <si>
    <t>Acta Agriculturae Scandinavica, Section A - Animal Science</t>
  </si>
  <si>
    <t>Acta Agriculturae Scandinavica, Section B - Soil &amp; Plant Science</t>
  </si>
  <si>
    <t>Acta Horticulturae</t>
  </si>
  <si>
    <t>Acta Ichthyologica et Piscatoria</t>
  </si>
  <si>
    <t>Acta Parasitologica</t>
  </si>
  <si>
    <t>Acta Phytopathologica et Entomologica Hungarica</t>
  </si>
  <si>
    <t>Advances in Agronomy</t>
  </si>
  <si>
    <t>Advances in Colloid and Interface Science</t>
  </si>
  <si>
    <t>African Journal of Food, Agriculture, Nutrition and Development</t>
  </si>
  <si>
    <t>African Journal of Range &amp; Forage Science</t>
  </si>
  <si>
    <t>AgBioforum</t>
  </si>
  <si>
    <t>Agribusiness</t>
  </si>
  <si>
    <t>Agricultural and Food Science</t>
  </si>
  <si>
    <t>Agricultural and Forest Entomology</t>
  </si>
  <si>
    <t>Agricultural and Resource Economics Review</t>
  </si>
  <si>
    <t>Agricultural Water Management</t>
  </si>
  <si>
    <t>Agriculture</t>
  </si>
  <si>
    <t>Agriculture and Human Values</t>
  </si>
  <si>
    <t>Agrochimica</t>
  </si>
  <si>
    <t>Agrociencia</t>
  </si>
  <si>
    <t>Agroecology and Sustainable Food Systems</t>
  </si>
  <si>
    <t>Agroforestry Systems</t>
  </si>
  <si>
    <t>Agronomy for Sustainable Development</t>
  </si>
  <si>
    <t>Agronomy Journal</t>
  </si>
  <si>
    <t>Agronomy Research</t>
  </si>
  <si>
    <t>Algal Research</t>
  </si>
  <si>
    <t>Allelopathy Journal</t>
  </si>
  <si>
    <t>Allgemeine Forst- und Jagdzeitung</t>
  </si>
  <si>
    <t>Ambio</t>
  </si>
  <si>
    <t>American Bee Journal</t>
  </si>
  <si>
    <t>American Journal of Applied Sciences</t>
  </si>
  <si>
    <t>American Journal of Enology and Viticulture</t>
  </si>
  <si>
    <t>American Journal of Environmental Sciences</t>
  </si>
  <si>
    <t>American Journal of Potato Research</t>
  </si>
  <si>
    <t>American Society of Agricultural and Biological Engineers. Transactions</t>
  </si>
  <si>
    <t>Animal Biotechnology</t>
  </si>
  <si>
    <t>Animal Cognition</t>
  </si>
  <si>
    <t>Animal Conservation</t>
  </si>
  <si>
    <t>Animal Genetics</t>
  </si>
  <si>
    <t>Animal Production Science</t>
  </si>
  <si>
    <t>Animal Reproduction Science</t>
  </si>
  <si>
    <t>Animal Science Journal</t>
  </si>
  <si>
    <t>Animal Science Papers and Reports</t>
  </si>
  <si>
    <t>Animal Welfare</t>
  </si>
  <si>
    <t>Animals</t>
  </si>
  <si>
    <t>Annals of Arid Zone</t>
  </si>
  <si>
    <t>Annals of Forest Science</t>
  </si>
  <si>
    <t>Annual Plant Reviews</t>
  </si>
  <si>
    <t>Apidologie</t>
  </si>
  <si>
    <t>Applied Animal Behaviour Science</t>
  </si>
  <si>
    <t>Applied Ecology and Environmental Research</t>
  </si>
  <si>
    <t>Applied Engineering in Agriculture</t>
  </si>
  <si>
    <t>Applied Geochemistry</t>
  </si>
  <si>
    <t>Applied Vegetation Science</t>
  </si>
  <si>
    <t>Aquacultural Engineering</t>
  </si>
  <si>
    <t>Aquaculture Economics &amp; Management</t>
  </si>
  <si>
    <t>Aquaculture Environment Interactions</t>
  </si>
  <si>
    <t>Aquaculture International</t>
  </si>
  <si>
    <t>Aquaculture Nutrition</t>
  </si>
  <si>
    <t>Aquaculture Research</t>
  </si>
  <si>
    <t>Aquatic Conservation: Marine and Freshwater Ecosystems</t>
  </si>
  <si>
    <t>Aquatic Ecosystem Health &amp; Management</t>
  </si>
  <si>
    <t>Aquatic Invasions</t>
  </si>
  <si>
    <t>Aquatic Living Resources</t>
  </si>
  <si>
    <t>Arboriculture &amp; Urban Forestry</t>
  </si>
  <si>
    <t>Archives Animal Breeding</t>
  </si>
  <si>
    <t>Archives of Agronomy and Soil Science</t>
  </si>
  <si>
    <t>Archives of Animal Nutrition</t>
  </si>
  <si>
    <t>Archives of Environmental Contamination and Toxicology</t>
  </si>
  <si>
    <t>Arctic, Antarctic, and Alpine Research</t>
  </si>
  <si>
    <t>Asian Journal of Water, Environment and Pollution</t>
  </si>
  <si>
    <t>Asian-Australasian Journal of Animal Sciences</t>
  </si>
  <si>
    <t>Aspects of Applied Biology</t>
  </si>
  <si>
    <t>Atmosphere</t>
  </si>
  <si>
    <t>Atmospheric Research</t>
  </si>
  <si>
    <t>Avian Biology Research</t>
  </si>
  <si>
    <t>Baltic Forestry</t>
  </si>
  <si>
    <t>Berichte ueber Landwirtschaft</t>
  </si>
  <si>
    <t>BioControl</t>
  </si>
  <si>
    <t>BioCycle</t>
  </si>
  <si>
    <t>Biodegradation</t>
  </si>
  <si>
    <t>Biodiversity and Conservation</t>
  </si>
  <si>
    <t>Biological Agriculture and Horticulture</t>
  </si>
  <si>
    <t>Biological Control</t>
  </si>
  <si>
    <t>Biology and Environment</t>
  </si>
  <si>
    <t>Biology and Fertility of Soils</t>
  </si>
  <si>
    <t>Biomarkers</t>
  </si>
  <si>
    <t>Bioremediation Journal</t>
  </si>
  <si>
    <t>Biosystems Engineering</t>
  </si>
  <si>
    <t>Boreal Environment Research</t>
  </si>
  <si>
    <t>Breeding Science</t>
  </si>
  <si>
    <t>British Poultry Science</t>
  </si>
  <si>
    <t>Bulletin of Environmental Contamination and Toxicology</t>
  </si>
  <si>
    <t>Bulletin of Marine Science</t>
  </si>
  <si>
    <t>Bulletin of the American Museum of Natural History</t>
  </si>
  <si>
    <t>Bulletin of The European Association of Fish Pathologists</t>
  </si>
  <si>
    <t>CAB Reviews: Perspectives in Agriculture, Veterinary Science, Nutrition and Natural Resources</t>
  </si>
  <si>
    <t>Cahiers Agricultures</t>
  </si>
  <si>
    <t>California Cooperative Oceanic Fisheries Investigations Reports</t>
  </si>
  <si>
    <t>California Fish and Game</t>
  </si>
  <si>
    <t>Canadian Journal of Animal Science</t>
  </si>
  <si>
    <t>Canadian Journal of Forest Research</t>
  </si>
  <si>
    <t>Canadian Journal of Plant Pathology</t>
  </si>
  <si>
    <t>Canadian Journal of Plant Science</t>
  </si>
  <si>
    <t>Canadian Journal of Soil Science</t>
  </si>
  <si>
    <t>Catena</t>
  </si>
  <si>
    <t>Cattle Practice</t>
  </si>
  <si>
    <t>CCAMLR Science</t>
  </si>
  <si>
    <t>Cereal Chemistry</t>
  </si>
  <si>
    <t>Cereal Research Communications</t>
  </si>
  <si>
    <t>Chemistry and Ecology</t>
  </si>
  <si>
    <t>Chemistry of Natural Compounds</t>
  </si>
  <si>
    <t>Chemoecology</t>
  </si>
  <si>
    <t>Clays and Clay Minerals</t>
  </si>
  <si>
    <t>Coastal Management</t>
  </si>
  <si>
    <t>Communications in Soil Science and Plant Analysis</t>
  </si>
  <si>
    <t>Comparative Biochemistry and Physiology - Part C: Toxicology &amp; Pharmacology</t>
  </si>
  <si>
    <t>Compost Science &amp; Utilization</t>
  </si>
  <si>
    <t>Conservation and Society</t>
  </si>
  <si>
    <t>Conservation Genetics</t>
  </si>
  <si>
    <t>Critical Reviews in Environmental Science and Technology</t>
  </si>
  <si>
    <t>Critical Reviews in Plant Sciences</t>
  </si>
  <si>
    <t>Crop Protection</t>
  </si>
  <si>
    <t>Crop Science</t>
  </si>
  <si>
    <t>Current Science</t>
  </si>
  <si>
    <t>Czech Journal of Animal Science</t>
  </si>
  <si>
    <t>Die Bodenkultur</t>
  </si>
  <si>
    <t>Domestic Animal Endocrinology</t>
  </si>
  <si>
    <t>Ecological Management &amp; Restoration</t>
  </si>
  <si>
    <t>Ecological Reviews</t>
  </si>
  <si>
    <t>Ecology of Freshwater Fish</t>
  </si>
  <si>
    <t>Ecotoxicology</t>
  </si>
  <si>
    <t>Entomologia Experimentalis et Applicata</t>
  </si>
  <si>
    <t>Environment</t>
  </si>
  <si>
    <t>Environmental and Ecological Statistics</t>
  </si>
  <si>
    <t>Environmental and Experimental Botany</t>
  </si>
  <si>
    <t>Environmental Chemistry</t>
  </si>
  <si>
    <t>Environmental Conservation</t>
  </si>
  <si>
    <t>Environmental Entomology</t>
  </si>
  <si>
    <t>Environmental Forensics</t>
  </si>
  <si>
    <t>Environmental Geochemistry and Health</t>
  </si>
  <si>
    <t>Environmental Hazards</t>
  </si>
  <si>
    <t>Environmental Innovation and Societal Transitions</t>
  </si>
  <si>
    <t>Environmental Justice</t>
  </si>
  <si>
    <t>Environmental Law and Management</t>
  </si>
  <si>
    <t>Environmental Management</t>
  </si>
  <si>
    <t>Environmental Modeling &amp; Assessment</t>
  </si>
  <si>
    <t>Environmental Monitoring and Assessment</t>
  </si>
  <si>
    <t>Environmental Policy and Law</t>
  </si>
  <si>
    <t>Environmental Research Letters</t>
  </si>
  <si>
    <t>Environmental Science Processes &amp; Impacts</t>
  </si>
  <si>
    <t>Environmental Toxicology and Pharmacology</t>
  </si>
  <si>
    <t>Environmental Values</t>
  </si>
  <si>
    <t>Estuarine, Coastal and Shelf Science</t>
  </si>
  <si>
    <t>Euphytica</t>
  </si>
  <si>
    <t>Eurasian Soil Science</t>
  </si>
  <si>
    <t>European Association for Animal Production. Scientific Series</t>
  </si>
  <si>
    <t>European Journal of Forest Research</t>
  </si>
  <si>
    <t>European Journal of Horticultural Science</t>
  </si>
  <si>
    <t>European Journal of Plant Pathology</t>
  </si>
  <si>
    <t>European Journal of Soil Biology</t>
  </si>
  <si>
    <t>European Poultry Science (EPS) / Archiv für Geflügelkunde</t>
  </si>
  <si>
    <t>Evolutionary Ecology Research</t>
  </si>
  <si>
    <t>Experimental Agriculture</t>
  </si>
  <si>
    <t>FEMS Microbiology Letters</t>
  </si>
  <si>
    <t>Field Crops Research</t>
  </si>
  <si>
    <t>Fisheries</t>
  </si>
  <si>
    <t>Fisheries Management and Ecology</t>
  </si>
  <si>
    <t>Fisheries Research</t>
  </si>
  <si>
    <t>Fisheries Science</t>
  </si>
  <si>
    <t>Fishery Bulletin</t>
  </si>
  <si>
    <t>Folia Parasitologica</t>
  </si>
  <si>
    <t>Forest Policy and Economics</t>
  </si>
  <si>
    <t>Forest Products Journal</t>
  </si>
  <si>
    <t>Forest Science</t>
  </si>
  <si>
    <t>Forestry</t>
  </si>
  <si>
    <t>Forests, Trees and Livelihoods</t>
  </si>
  <si>
    <t>Fresenius Environmental Bulletin</t>
  </si>
  <si>
    <t>Frontiers in Ecology and the Environment</t>
  </si>
  <si>
    <t>Frontiers of Environmental Science &amp; Engineering</t>
  </si>
  <si>
    <t>Fruits</t>
  </si>
  <si>
    <t>Fundamental and Applied Limnology</t>
  </si>
  <si>
    <t>Genetic Resources and Crop Evolution</t>
  </si>
  <si>
    <t>Genetics Selection Evolution</t>
  </si>
  <si>
    <t>Geomicrobiology Journal</t>
  </si>
  <si>
    <t>Gesunde Pflanzen</t>
  </si>
  <si>
    <t>GM Crops &amp; Food</t>
  </si>
  <si>
    <t>GMSARN International Journal</t>
  </si>
  <si>
    <t>Grass and Forage Science</t>
  </si>
  <si>
    <t>Grundwasser</t>
  </si>
  <si>
    <t>Gyobyo Kenkyu</t>
  </si>
  <si>
    <t>Helgoland Marine Research</t>
  </si>
  <si>
    <t>Heredity</t>
  </si>
  <si>
    <t>HortScience</t>
  </si>
  <si>
    <t>HortTechnology</t>
  </si>
  <si>
    <t>Human and Ecological Risk Assessment</t>
  </si>
  <si>
    <t>Human Dimensions of Wildlife</t>
  </si>
  <si>
    <t>IAWA Journal</t>
  </si>
  <si>
    <t>ICES Journal of Marine Science</t>
  </si>
  <si>
    <t>Impact Assessment and Project Appraisal</t>
  </si>
  <si>
    <t>Indian Journal of Agronomy</t>
  </si>
  <si>
    <t>Insect Biochemistry and Molecular Biology</t>
  </si>
  <si>
    <t>Insect Molecular Biology</t>
  </si>
  <si>
    <t>International Biodeterioration &amp; Biodegradation</t>
  </si>
  <si>
    <t>International Forestry Review</t>
  </si>
  <si>
    <t>International Journal of Agricultural Resources, Governance and Ecology</t>
  </si>
  <si>
    <t>International Journal of Agricultural Sustainability</t>
  </si>
  <si>
    <t>International Journal of Agriculture and Biology</t>
  </si>
  <si>
    <t>International Journal of Agriculture and Natural Resources</t>
  </si>
  <si>
    <t>International Journal of Ecology &amp; Development</t>
  </si>
  <si>
    <t>International Journal of Environment and Pollution</t>
  </si>
  <si>
    <t>International Journal of Environmental Analytical Chemistry</t>
  </si>
  <si>
    <t>International Journal of Environmental Studies</t>
  </si>
  <si>
    <t>International Journal of Fruit Science</t>
  </si>
  <si>
    <t>International Journal of Global Environmental Issues</t>
  </si>
  <si>
    <t>International Journal of Pest Management</t>
  </si>
  <si>
    <t>International Journal of Phytoremediation</t>
  </si>
  <si>
    <t>International Journal of River Basin Management</t>
  </si>
  <si>
    <t>International Journal of Systematic and Evolutionary Microbiology</t>
  </si>
  <si>
    <t>International Journal of Vegetable Science</t>
  </si>
  <si>
    <t>International Wood Products Journal</t>
  </si>
  <si>
    <t>Invasive Plant Science and Management</t>
  </si>
  <si>
    <t>Irish Journal of Agricultural and Food Research</t>
  </si>
  <si>
    <t>Irrigation and Drainage</t>
  </si>
  <si>
    <t>Italian Journal of Agronomy</t>
  </si>
  <si>
    <t>Italian Journal of Animal Science</t>
  </si>
  <si>
    <t>Japan Agricultural Research Quarterly</t>
  </si>
  <si>
    <t>Journal for Nature Conservation</t>
  </si>
  <si>
    <t>Journal of Agrarian Change</t>
  </si>
  <si>
    <t>Journal of Agricultural &amp; Food Information</t>
  </si>
  <si>
    <t>Journal of Agricultural and Applied Economics</t>
  </si>
  <si>
    <t>Journal of Agricultural and Environmental Ethics</t>
  </si>
  <si>
    <t>Journal of Agricultural and Urban Entomology</t>
  </si>
  <si>
    <t>Journal of Agricultural, Biological, and Environmental Statistics</t>
  </si>
  <si>
    <t>Journal of Agriculture and Rural Development in the Tropics and Subtropics</t>
  </si>
  <si>
    <t>Journal of Agriculture of the University of Puerto Rico</t>
  </si>
  <si>
    <t>Journal of Agromedicine</t>
  </si>
  <si>
    <t>Journal of Agronomy and Crop Science</t>
  </si>
  <si>
    <t>Journal of American Pomological Society</t>
  </si>
  <si>
    <t>Journal of Animal and Feed Sciences</t>
  </si>
  <si>
    <t>Journal of Animal Breeding and Genetics</t>
  </si>
  <si>
    <t>Journal of Animal Physiology and Animal Nutrition</t>
  </si>
  <si>
    <t>Journal of Animal Science</t>
  </si>
  <si>
    <t>Journal of Apicultural Research &amp; Bee World</t>
  </si>
  <si>
    <t>Journal of Applied Animal Research</t>
  </si>
  <si>
    <t>Journal of Applied Animal Welfare Science</t>
  </si>
  <si>
    <t>Journal of Applied Aquaculture</t>
  </si>
  <si>
    <t>Journal of Applied Biobehavioral Research</t>
  </si>
  <si>
    <t>Journal of Applied Botany and Food Quality</t>
  </si>
  <si>
    <t>Journal of Applied Entomology</t>
  </si>
  <si>
    <t>Journal of Applied Ichthyology</t>
  </si>
  <si>
    <t>Journal of Applied Microbiology</t>
  </si>
  <si>
    <t>Journal of Aquatic Plant Management</t>
  </si>
  <si>
    <t>Journal of Chemical Ecology</t>
  </si>
  <si>
    <t>Journal of Chromatography A</t>
  </si>
  <si>
    <t>Journal of Coastal Research</t>
  </si>
  <si>
    <t>Journal of Contaminant Hydrology</t>
  </si>
  <si>
    <t>Journal of Cotton Science</t>
  </si>
  <si>
    <t>Journal of Crop Improvement</t>
  </si>
  <si>
    <t>Journal of Economic Entomology</t>
  </si>
  <si>
    <t>Journal of Environmental Science and Health. Part A: Toxic Hazardous Substances and Environmental Engineering</t>
  </si>
  <si>
    <t>Journal of Environmental Science and Health. Part B: Pesticides, Food Contaminants, and Agricultural Wastes</t>
  </si>
  <si>
    <t>Journal of Environmental Science and Health. Part C: Environmental Carcinogenesis &amp; Ecotoxicology Reviews</t>
  </si>
  <si>
    <t>Journal of Environmental Sciences</t>
  </si>
  <si>
    <t>Journal of Equine Science</t>
  </si>
  <si>
    <t>Journal of Essential Oil Bearing Plants</t>
  </si>
  <si>
    <t>Journal of Experimental Marine Biology and Ecology</t>
  </si>
  <si>
    <t>Journal of Forest Economics</t>
  </si>
  <si>
    <t>Journal of Forest Research</t>
  </si>
  <si>
    <t>Journal of Forestry</t>
  </si>
  <si>
    <t>Journal of Horticultural Science and Biotechnology</t>
  </si>
  <si>
    <t>Journal of Insects as Food and Feed</t>
  </si>
  <si>
    <t>Journal of Land Use Science</t>
  </si>
  <si>
    <t>Journal of Liquid Chromatography &amp; Related Technologies</t>
  </si>
  <si>
    <t>Journal of Marine Research</t>
  </si>
  <si>
    <t>Journal of Mass Spectrometry</t>
  </si>
  <si>
    <t>Journal of Microbiological Methods</t>
  </si>
  <si>
    <t>Journal of Northwest Atlantic Fishery Science</t>
  </si>
  <si>
    <t>Journal of Outdoor Recreation and Tourism</t>
  </si>
  <si>
    <t>Journal of Paleolimnology</t>
  </si>
  <si>
    <t>Journal of Pest Science</t>
  </si>
  <si>
    <t>Journal of Pesticide Science</t>
  </si>
  <si>
    <t>Journal of Plankton Research</t>
  </si>
  <si>
    <t>Journal of Plant Diseases and Protection</t>
  </si>
  <si>
    <t>Journal of Plant Nutrition</t>
  </si>
  <si>
    <t>Journal of Plant Nutrition and Soil Science</t>
  </si>
  <si>
    <t>Journal of Plant Research</t>
  </si>
  <si>
    <t>Journal of Polymers and the Environment</t>
  </si>
  <si>
    <t>Journal of Sea Research</t>
  </si>
  <si>
    <t>Journal of Soil and Water Conservation</t>
  </si>
  <si>
    <t>Journal of Soils and Sediments</t>
  </si>
  <si>
    <t>Journal of Stored Products Research</t>
  </si>
  <si>
    <t>Journal of Sustainable Forestry</t>
  </si>
  <si>
    <t>Journal of Swine Health and Production</t>
  </si>
  <si>
    <t>Journal of the Air &amp; Waste Management Association</t>
  </si>
  <si>
    <t>Journal of the American Mosquito Control Association</t>
  </si>
  <si>
    <t>Journal of the American Society for Horticultural Science</t>
  </si>
  <si>
    <t>Journal of the Faculty of Agriculture, Kyushu University</t>
  </si>
  <si>
    <t>Journal of the World Aquaculture Society</t>
  </si>
  <si>
    <t>Journal of Toxicology and Environmental Health. Part A: Current Issues</t>
  </si>
  <si>
    <t>Journal of Toxicology and Environmental Health. Part B: Critical Reviews</t>
  </si>
  <si>
    <t>Journal of Transdisciplinary Environmental Studies</t>
  </si>
  <si>
    <t>Journal of Tropical Forest Science</t>
  </si>
  <si>
    <t>Journal of Wine Economics</t>
  </si>
  <si>
    <t>Journal of Wine Research</t>
  </si>
  <si>
    <t>Journal of Wood Chemistry and Technology</t>
  </si>
  <si>
    <t>Kew Bulletin</t>
  </si>
  <si>
    <t>Knowledge and Management of Aquatic Ecosystems</t>
  </si>
  <si>
    <t>Lake &amp; Reservoir Management</t>
  </si>
  <si>
    <t>Lakes and Reservoirs: Research and Management</t>
  </si>
  <si>
    <t>Landscape and Ecological Engineering</t>
  </si>
  <si>
    <t>Landscape Ecology</t>
  </si>
  <si>
    <t>Landscape Review</t>
  </si>
  <si>
    <t>Limnology and Oceanography Bulletin</t>
  </si>
  <si>
    <t>Limnology and Oceanography: Methods</t>
  </si>
  <si>
    <t>Livestock Science</t>
  </si>
  <si>
    <t>Local Environment: The international journal of justice and sustainability</t>
  </si>
  <si>
    <t>Management of Biological Invasions</t>
  </si>
  <si>
    <t>Management of Environmental Quality</t>
  </si>
  <si>
    <t>Marine &amp; Freshwater Research</t>
  </si>
  <si>
    <t>Marine Biology</t>
  </si>
  <si>
    <t>Marine Chemistry</t>
  </si>
  <si>
    <t>Marine Environmental Research</t>
  </si>
  <si>
    <t>Marine Resource Economics</t>
  </si>
  <si>
    <t>Maritime Studies</t>
  </si>
  <si>
    <t>Microbiology</t>
  </si>
  <si>
    <t>Molecular Breeding</t>
  </si>
  <si>
    <t>Molecular Plant Pathology</t>
  </si>
  <si>
    <t>Molluscan Research</t>
  </si>
  <si>
    <t>Mountain Research and Development</t>
  </si>
  <si>
    <t>Mycorrhiza</t>
  </si>
  <si>
    <t>NAMMCO Scientific Publications</t>
  </si>
  <si>
    <t>Natural Areas Journal</t>
  </si>
  <si>
    <t>Natural Resource Modeling</t>
  </si>
  <si>
    <t>Natural Resources Forum</t>
  </si>
  <si>
    <t>Natural Resources Research</t>
  </si>
  <si>
    <t>Nature Climate Change</t>
  </si>
  <si>
    <t>Natures Sciences Societes</t>
  </si>
  <si>
    <t>Naturwissenschaften</t>
  </si>
  <si>
    <t>New Forests</t>
  </si>
  <si>
    <t>New Zealand Journal of Agricultural Research</t>
  </si>
  <si>
    <t>New Zealand Journal of Crop and Horticultural Science</t>
  </si>
  <si>
    <t>New Zealand Journal of Marine and Freshwater Research</t>
  </si>
  <si>
    <t>New Zealand Plant Protection</t>
  </si>
  <si>
    <t>NJAS - Wageningen Journal of Life Sciences</t>
  </si>
  <si>
    <t>Nordic Pulp &amp; Paper Research Journal</t>
  </si>
  <si>
    <t>North American Journal of Aquaculture</t>
  </si>
  <si>
    <t>North American Journal of Fisheries Management</t>
  </si>
  <si>
    <t>Nutrient Cycling in Agroecosystems</t>
  </si>
  <si>
    <t>Ocean &amp; Coastal Management</t>
  </si>
  <si>
    <t>Ocean Modelling</t>
  </si>
  <si>
    <t>Open Agriculture</t>
  </si>
  <si>
    <t>Organic Agriculture - Official journal of The International Society of Organic Agriculture Research</t>
  </si>
  <si>
    <t>Outlook on Agriculture</t>
  </si>
  <si>
    <t>Outlooks on Pest Management</t>
  </si>
  <si>
    <t>Paddy and Water Environment</t>
  </si>
  <si>
    <t>Parasitology Research</t>
  </si>
  <si>
    <t>Pedobiologia</t>
  </si>
  <si>
    <t>Pedosphere</t>
  </si>
  <si>
    <t>Physiology &amp; Behavior</t>
  </si>
  <si>
    <t>Plant Breeding</t>
  </si>
  <si>
    <t>Plant Disease</t>
  </si>
  <si>
    <t>Plant Ecology</t>
  </si>
  <si>
    <t>Plant Production Science</t>
  </si>
  <si>
    <t>Plant, Soil and Environment</t>
  </si>
  <si>
    <t>Polar Record</t>
  </si>
  <si>
    <t>Polish Journal of Environmental Studies</t>
  </si>
  <si>
    <t>Potato Research</t>
  </si>
  <si>
    <t>Poultry Science</t>
  </si>
  <si>
    <t>Precision Agriculture</t>
  </si>
  <si>
    <t>Productions Animales</t>
  </si>
  <si>
    <t>Rangeland Ecology &amp; Management</t>
  </si>
  <si>
    <t>Rangifer</t>
  </si>
  <si>
    <t>Regional Environmental Change</t>
  </si>
  <si>
    <t>Remediation</t>
  </si>
  <si>
    <t>Renewable Agriculture and Food Systems</t>
  </si>
  <si>
    <t>Resource and Energy Economics</t>
  </si>
  <si>
    <t>Resources, Conservation and Recycling</t>
  </si>
  <si>
    <t>Restoration Ecology</t>
  </si>
  <si>
    <t>Review of Environmental Economics and Policy</t>
  </si>
  <si>
    <t>Reviews in Fish Biology and Fisheries</t>
  </si>
  <si>
    <t>Reviews in Fisheries Science</t>
  </si>
  <si>
    <t>Reviews of Environmental Contamination and Toxicology</t>
  </si>
  <si>
    <t>Ringing and Migration</t>
  </si>
  <si>
    <t>River Research and Applications</t>
  </si>
  <si>
    <t>Routledge Environmental Humanities</t>
  </si>
  <si>
    <t>Routledge Studies In Sustainability</t>
  </si>
  <si>
    <t>SAR and QSAR in Environmental Research</t>
  </si>
  <si>
    <t>Scandinavian Forest Economics</t>
  </si>
  <si>
    <t>Scandinavian Journal of Forest Research</t>
  </si>
  <si>
    <t>Schweizerische Zeitschrift fuer Forstwesen</t>
  </si>
  <si>
    <t>Scientia Horticulturae</t>
  </si>
  <si>
    <t>Scientia Marina</t>
  </si>
  <si>
    <t>Scientific American</t>
  </si>
  <si>
    <t>Scientifur</t>
  </si>
  <si>
    <t>Seed Science and Technology</t>
  </si>
  <si>
    <t>Seed Science Research</t>
  </si>
  <si>
    <t>Silva Fennica</t>
  </si>
  <si>
    <t>Silvae Genetica</t>
  </si>
  <si>
    <t>Small Ruminant Research</t>
  </si>
  <si>
    <t>Small-Scale Forestry</t>
  </si>
  <si>
    <t>Society &amp; Natural Resources</t>
  </si>
  <si>
    <t>Soil &amp; Sediment Contamination</t>
  </si>
  <si>
    <t>Soil &amp; Tillage Research</t>
  </si>
  <si>
    <t>Soil Research</t>
  </si>
  <si>
    <t>Soil Science</t>
  </si>
  <si>
    <t>Soil Science and Plant Nutrition</t>
  </si>
  <si>
    <t>Soil Use and Management</t>
  </si>
  <si>
    <t>South African Journal of Animal Science</t>
  </si>
  <si>
    <t>South African Journal of Wildlife Research</t>
  </si>
  <si>
    <t>Southeastern Naturalist</t>
  </si>
  <si>
    <t>Southern Forests</t>
  </si>
  <si>
    <t>Southwestern Naturalist</t>
  </si>
  <si>
    <t>Studies on Neotropical Fauna and Environment</t>
  </si>
  <si>
    <t>Sustainability Science</t>
  </si>
  <si>
    <t>Talanta</t>
  </si>
  <si>
    <t>Tarim Bilimleri Dergisi</t>
  </si>
  <si>
    <t>Textile Research Journal</t>
  </si>
  <si>
    <t>The Analyst</t>
  </si>
  <si>
    <t>The Canadian Field-Naturalist</t>
  </si>
  <si>
    <t>The Forestry Chronicle</t>
  </si>
  <si>
    <t>The Handbook Of Environmental Chemistry</t>
  </si>
  <si>
    <t>The Indian Forester</t>
  </si>
  <si>
    <t>The Indian Journal of Agricultural Sciences</t>
  </si>
  <si>
    <t>The Indian Journal of Animal Sciences</t>
  </si>
  <si>
    <t>The International Journal of Biodiversity Science, Ecosystems Services &amp; Management</t>
  </si>
  <si>
    <t>The Journal of Agricultural Science</t>
  </si>
  <si>
    <t>The Journal of Applied Poultry Research</t>
  </si>
  <si>
    <t>The Journal of Shellfish Research</t>
  </si>
  <si>
    <t>The Philippine Agricultural Scientist</t>
  </si>
  <si>
    <t>The Rangeland Journal</t>
  </si>
  <si>
    <t>Theoretical and Applied Genetics</t>
  </si>
  <si>
    <t>Theoretical Population Biology</t>
  </si>
  <si>
    <t>Toxicological and Environmental Chemistry</t>
  </si>
  <si>
    <t>Transactions of the American Fisheries Society</t>
  </si>
  <si>
    <t>Tree Genetics &amp; Genomes</t>
  </si>
  <si>
    <t>Tree Physiology</t>
  </si>
  <si>
    <t>Trees</t>
  </si>
  <si>
    <t>Tropical Agriculture</t>
  </si>
  <si>
    <t>Vadose Zone Journal</t>
  </si>
  <si>
    <t>Vitis</t>
  </si>
  <si>
    <t>Water Environment Research</t>
  </si>
  <si>
    <t>Water Quality Research Journal of Canada</t>
  </si>
  <si>
    <t>Water Resources Management</t>
  </si>
  <si>
    <t>Water, Air and Soil Pollution</t>
  </si>
  <si>
    <t>Weed Biology and Management</t>
  </si>
  <si>
    <t>Weed Research</t>
  </si>
  <si>
    <t>Weed Science</t>
  </si>
  <si>
    <t>Weed Technology</t>
  </si>
  <si>
    <t>Western North American Naturalist</t>
  </si>
  <si>
    <t>Wetlands</t>
  </si>
  <si>
    <t>Wetlands Ecology and Management</t>
  </si>
  <si>
    <t>Wildlife Biology</t>
  </si>
  <si>
    <t>Wildlife Monographs</t>
  </si>
  <si>
    <t>Wildlife Research</t>
  </si>
  <si>
    <t>World Rabbit Science</t>
  </si>
  <si>
    <t>World's Poultry Science Journal</t>
  </si>
  <si>
    <t>Xenobiotica</t>
  </si>
  <si>
    <t>Zuechtungskunde</t>
  </si>
  <si>
    <t>Molekylær og cellebiologi, Bioteknologi</t>
  </si>
  <si>
    <t>Cell</t>
  </si>
  <si>
    <t>Cell Metabolism</t>
  </si>
  <si>
    <t>Cell Stem Cell</t>
  </si>
  <si>
    <t>Nature Biotechnology</t>
  </si>
  <si>
    <t>Nature Cell Biology</t>
  </si>
  <si>
    <t>Nature Genetics</t>
  </si>
  <si>
    <t>Advances in Microbial Physiology</t>
  </si>
  <si>
    <t>Aging Cell</t>
  </si>
  <si>
    <t>American Journal of Human Genetics</t>
  </si>
  <si>
    <t>Annual Review of Biochemistry</t>
  </si>
  <si>
    <t>Annual Review of Biophysics</t>
  </si>
  <si>
    <t>Annual Review of Cell and Developmental Biology</t>
  </si>
  <si>
    <t>Annual Review of Genetics</t>
  </si>
  <si>
    <t>Annual Review of Genomics and Human Genetics</t>
  </si>
  <si>
    <t>Annual Review of Microbiology</t>
  </si>
  <si>
    <t>Annual Review of Nutrition</t>
  </si>
  <si>
    <t>Antioxidants &amp; Redox Signaling</t>
  </si>
  <si>
    <t>Autophagy</t>
  </si>
  <si>
    <t>BBA Bioenergetics</t>
  </si>
  <si>
    <t>BBA Gene Regulatory Mechanisms</t>
  </si>
  <si>
    <t>BBA General Subjects</t>
  </si>
  <si>
    <t>BBA Molecular Cell Research</t>
  </si>
  <si>
    <t>Bioinformatics</t>
  </si>
  <si>
    <t>Biotechnology Advances</t>
  </si>
  <si>
    <t>Biotechnology for Biofuels</t>
  </si>
  <si>
    <t>Briefings in Bioinformatics</t>
  </si>
  <si>
    <t>Cell Chemical Biology</t>
  </si>
  <si>
    <t>Cell Death &amp; Differentiation</t>
  </si>
  <si>
    <t>Cell Host &amp; Microbe</t>
  </si>
  <si>
    <t>Cell Reports</t>
  </si>
  <si>
    <t>Cell Research</t>
  </si>
  <si>
    <t>Cellular and Molecular Life Sciences</t>
  </si>
  <si>
    <t>Critical Reviews in Biochemistry and Molecular Biology</t>
  </si>
  <si>
    <t>Current Biology</t>
  </si>
  <si>
    <t>Current Opinion in Biotechnology</t>
  </si>
  <si>
    <t>Current Opinion in Cell Biology</t>
  </si>
  <si>
    <t>Current Opinion in Chemical Biology</t>
  </si>
  <si>
    <t>Current Opinion in Genetics &amp; Development</t>
  </si>
  <si>
    <t>Current Opinion in Lipidology</t>
  </si>
  <si>
    <t>Current Opinion in Microbiology</t>
  </si>
  <si>
    <t>Current Opinion in Structural Biology</t>
  </si>
  <si>
    <t>Current Topics in Developmental Biology</t>
  </si>
  <si>
    <t>Cytokine &amp; Growth Factor Reviews</t>
  </si>
  <si>
    <t>Developmental Cell</t>
  </si>
  <si>
    <t>DNA Research</t>
  </si>
  <si>
    <t>EMBO Reports</t>
  </si>
  <si>
    <t>Genes &amp; Development</t>
  </si>
  <si>
    <t>Genome Biology</t>
  </si>
  <si>
    <t>Genome Research</t>
  </si>
  <si>
    <t>Human Molecular Genetics</t>
  </si>
  <si>
    <t>Immunological Reviews</t>
  </si>
  <si>
    <t>Journal of Cell Science</t>
  </si>
  <si>
    <t>Journal of Lipid Research</t>
  </si>
  <si>
    <t>Journal of Photochemistry and Photobiology, C: Photochemistry Reviews</t>
  </si>
  <si>
    <t>Journal of Proteome Research</t>
  </si>
  <si>
    <t>Metabolic Engineering</t>
  </si>
  <si>
    <t>Microbiology and Molecular Biology Reviews</t>
  </si>
  <si>
    <t>Molecular and Cellular Biology</t>
  </si>
  <si>
    <t>Molecular and Cellular Proteomics</t>
  </si>
  <si>
    <t>Molecular Biology and Evolution</t>
  </si>
  <si>
    <t>Molecular Cell</t>
  </si>
  <si>
    <t>Molecular Ecology</t>
  </si>
  <si>
    <t>Molecular Microbiology</t>
  </si>
  <si>
    <t>Molecular Neurobiology</t>
  </si>
  <si>
    <t>Molecular Plant</t>
  </si>
  <si>
    <t>Molecular Systems Biology</t>
  </si>
  <si>
    <t>Natural Product Reports</t>
  </si>
  <si>
    <t>Nature Chemical Biology</t>
  </si>
  <si>
    <t>Nature Reviews. Genetics</t>
  </si>
  <si>
    <t>Nature Reviews. Molecular Cell Biology</t>
  </si>
  <si>
    <t>Nature Structural and Molecular Biology</t>
  </si>
  <si>
    <t>New Phytologist</t>
  </si>
  <si>
    <t>Nucleic Acids Research</t>
  </si>
  <si>
    <t>Plant Biotechnology Journal</t>
  </si>
  <si>
    <t>Plant, Cell and Environment</t>
  </si>
  <si>
    <t>Progress in Lipid Research</t>
  </si>
  <si>
    <t>Quarterly Reviews of Biophysics</t>
  </si>
  <si>
    <t>RNA</t>
  </si>
  <si>
    <t>Science Signaling</t>
  </si>
  <si>
    <t>Seminars in Cell and Developmental Biology</t>
  </si>
  <si>
    <t>Stem Cells</t>
  </si>
  <si>
    <t>Structure</t>
  </si>
  <si>
    <t>The EMBO Journal</t>
  </si>
  <si>
    <t>The FASEB Journal</t>
  </si>
  <si>
    <t>The Journal of Cell Biology</t>
  </si>
  <si>
    <t>The Plant Cell</t>
  </si>
  <si>
    <t>The Plant Journal</t>
  </si>
  <si>
    <t>Trends in Biochemical Sciences</t>
  </si>
  <si>
    <t>Trends in Biotechnology</t>
  </si>
  <si>
    <t>Trends in Cell Biology</t>
  </si>
  <si>
    <t>Trends in Microbiology</t>
  </si>
  <si>
    <t>Trends in Plant Science</t>
  </si>
  <si>
    <t>ACS chemical biology</t>
  </si>
  <si>
    <t>Acta Biochimica et Biophysica Sinica</t>
  </si>
  <si>
    <t>Acta Biochimica Polonica</t>
  </si>
  <si>
    <t>Advances in Anatomy, Embryology and Cell Biology</t>
  </si>
  <si>
    <t>Advances in Applied Microbiology</t>
  </si>
  <si>
    <t>Advances in Biological Regulation</t>
  </si>
  <si>
    <t>Advances in Genetics</t>
  </si>
  <si>
    <t>Advances in Protein Chemistry and Structural Biology</t>
  </si>
  <si>
    <t>Ageing Research Reviews</t>
  </si>
  <si>
    <t>American Journal of Biochemistry and Biotechnology</t>
  </si>
  <si>
    <t>American Journal of Respiratory Cell and Molecular Biology</t>
  </si>
  <si>
    <t>Amino Acids</t>
  </si>
  <si>
    <t>Amyloid: the Journal of Protein Folding Disorders</t>
  </si>
  <si>
    <t>Anais da Academia Brasileira de Ciencias.</t>
  </si>
  <si>
    <t>Annals of Microbiology</t>
  </si>
  <si>
    <t>Antibiotiki i Khimioterapiya</t>
  </si>
  <si>
    <t>Antonie van Leeuwenhoek: Journal of Microbiology</t>
  </si>
  <si>
    <t>Apoptosis</t>
  </si>
  <si>
    <t>Applied Biochemistry and Microbiology</t>
  </si>
  <si>
    <t>Archives Italiennes de Biologie</t>
  </si>
  <si>
    <t>Archives of Biochemistry and Biophysics</t>
  </si>
  <si>
    <t>Archives of Histology and Cytology</t>
  </si>
  <si>
    <t>Archives of Microbiology</t>
  </si>
  <si>
    <t>Archives of Physiology and Biochemistry</t>
  </si>
  <si>
    <t>Archivum Immunologiae et Therapiae Experimentalis</t>
  </si>
  <si>
    <t>Asia Pacific Journal of Molecular Biology &amp; Biotechnology</t>
  </si>
  <si>
    <t>Asian Journal of Plant Sciences</t>
  </si>
  <si>
    <t>BBA Biomembranes</t>
  </si>
  <si>
    <t>BBA Molecular and Cell Biology of Lipids</t>
  </si>
  <si>
    <t>BBA Proteins and Proteomics</t>
  </si>
  <si>
    <t>Biocell</t>
  </si>
  <si>
    <t>Biochemical and Biophysical Research Communications</t>
  </si>
  <si>
    <t>Biochemical Genetics</t>
  </si>
  <si>
    <t>Biochemical Journal</t>
  </si>
  <si>
    <t>Biochemical Society. Transactions</t>
  </si>
  <si>
    <t>Biochemical Systematics and Ecology</t>
  </si>
  <si>
    <t>Biochemistry</t>
  </si>
  <si>
    <t>Biochemistry (Moscow)</t>
  </si>
  <si>
    <t>Biochemistry and Biophysics Reports</t>
  </si>
  <si>
    <t>Biochemistry and Cell Biology</t>
  </si>
  <si>
    <t>Biochimie</t>
  </si>
  <si>
    <t>Biocontrol Science and Technology</t>
  </si>
  <si>
    <t>Bioelectrochemistry</t>
  </si>
  <si>
    <t>BioEssays</t>
  </si>
  <si>
    <t>BioFactors</t>
  </si>
  <si>
    <t>Biofizika</t>
  </si>
  <si>
    <t>Biological Chemistry</t>
  </si>
  <si>
    <t>Biological Cybernetics</t>
  </si>
  <si>
    <t>Biologicheskie Membrany</t>
  </si>
  <si>
    <t>Biology of the Cell</t>
  </si>
  <si>
    <t>BioMed Research International</t>
  </si>
  <si>
    <t>Biomedical and Environmental Sciences</t>
  </si>
  <si>
    <t>Biomedical Chromatography</t>
  </si>
  <si>
    <t>Biomedical Engineering</t>
  </si>
  <si>
    <t>Bio-Medical Materials and Engineering</t>
  </si>
  <si>
    <t>Biomolecules</t>
  </si>
  <si>
    <t>Biophysical Journal</t>
  </si>
  <si>
    <t>Biopolymers</t>
  </si>
  <si>
    <t>Bioprocess and Biosystems Engineering</t>
  </si>
  <si>
    <t>Biorheology</t>
  </si>
  <si>
    <t>Bioscience Reports</t>
  </si>
  <si>
    <t>Bioscience, Biotechnology, and Biochemistry</t>
  </si>
  <si>
    <t>Biosensors and Bioelectronics</t>
  </si>
  <si>
    <t>Biotechnic and Histochemistry</t>
  </si>
  <si>
    <t>BioTechniques</t>
  </si>
  <si>
    <t>Biotechnologie, Agronomie, Société et Environnement</t>
  </si>
  <si>
    <t>Biotechnology &amp; Biotechnological Equipment</t>
  </si>
  <si>
    <t>Biotechnology and Applied Biochemistry</t>
  </si>
  <si>
    <t>Biotechnology and Bioprocess Engineering</t>
  </si>
  <si>
    <t>Biotechnology and Genetic Engineering Reviews</t>
  </si>
  <si>
    <t>Biotechnology Letters</t>
  </si>
  <si>
    <t>BMB Reports</t>
  </si>
  <si>
    <t>BMC Biochemistry</t>
  </si>
  <si>
    <t>BMC Biophysics</t>
  </si>
  <si>
    <t>BMC Biotechnology</t>
  </si>
  <si>
    <t>BMC Cell Biology</t>
  </si>
  <si>
    <t>BMC Evolutionary Biology</t>
  </si>
  <si>
    <t>BMC Genetics</t>
  </si>
  <si>
    <t>BMC Genomics</t>
  </si>
  <si>
    <t>BMC Molecular Biology</t>
  </si>
  <si>
    <t>BMC Structural Biology</t>
  </si>
  <si>
    <t>Brazilian Journal of Microbiology</t>
  </si>
  <si>
    <t>Briefings in Functional Genomics</t>
  </si>
  <si>
    <t>British Journal of Biomedical Science</t>
  </si>
  <si>
    <t>Calcified Tissue International</t>
  </si>
  <si>
    <t>Canadian Journal of Microbiology</t>
  </si>
  <si>
    <t>Caryologia</t>
  </si>
  <si>
    <t>Cell and Tissue Research</t>
  </si>
  <si>
    <t>Cell Biochemistry and Biophysics</t>
  </si>
  <si>
    <t>Cell Biology and Toxicology</t>
  </si>
  <si>
    <t>Cell Biology International</t>
  </si>
  <si>
    <t>Cell Calcium</t>
  </si>
  <si>
    <t>Cell Communication &amp; Adhesion</t>
  </si>
  <si>
    <t>Cell Cycle</t>
  </si>
  <si>
    <t>Cell Stress &amp; Chaperones</t>
  </si>
  <si>
    <t>Cell Structure and Function</t>
  </si>
  <si>
    <t>Cell Transplantation</t>
  </si>
  <si>
    <t>Cells, Tissues, Organs</t>
  </si>
  <si>
    <t>Cellular &amp; Molecular Biology Letters</t>
  </si>
  <si>
    <t>Cellular and Molecular Biology</t>
  </si>
  <si>
    <t>Cellular and Molecular Neurobiology</t>
  </si>
  <si>
    <t>Cellular Microbiology</t>
  </si>
  <si>
    <t>Cellular Physiology and Biochemistry</t>
  </si>
  <si>
    <t>Cellular Reprogramming</t>
  </si>
  <si>
    <t>Cellular Signalling</t>
  </si>
  <si>
    <t>Cellulose</t>
  </si>
  <si>
    <t>Cellulose Chemistry and Technology</t>
  </si>
  <si>
    <t>Chemical Speciation &amp; Bioavailability</t>
  </si>
  <si>
    <t>Chemistry and Physics of Lipids</t>
  </si>
  <si>
    <t>CHIRONOMUS Journal of Chironomidae Research</t>
  </si>
  <si>
    <t>Chromosoma</t>
  </si>
  <si>
    <t>Chromosome Research</t>
  </si>
  <si>
    <t>Cinta de Moebio</t>
  </si>
  <si>
    <t>Clinical Chemistry</t>
  </si>
  <si>
    <t>Clinical Chemistry and Laboratory Medicine</t>
  </si>
  <si>
    <t>Colloids and Surfaces B: Biointerfaces</t>
  </si>
  <si>
    <t>Comparative Biochemistry and Physiology - Part B: Biochemistry &amp; Molecular Biology</t>
  </si>
  <si>
    <t>Comparative Biochemistry and Physiology - Part D: Genomics and Proteomics</t>
  </si>
  <si>
    <t>Connective Tissue Research</t>
  </si>
  <si>
    <t>Critical Reviews in Biomedical Engineering</t>
  </si>
  <si>
    <t>Current Genetics</t>
  </si>
  <si>
    <t>Current Genomics</t>
  </si>
  <si>
    <t>Current Issues in Molecular Biology</t>
  </si>
  <si>
    <t>Current Microbiology</t>
  </si>
  <si>
    <t>Current Molecular Imaging</t>
  </si>
  <si>
    <t>Current Pharmaceutical Biotechnology</t>
  </si>
  <si>
    <t>Current Protein and Peptide Science</t>
  </si>
  <si>
    <t>Current Protocols in Molecular Biology</t>
  </si>
  <si>
    <t>Current Research in Translational Medicine</t>
  </si>
  <si>
    <t>Current Topics in Membranes</t>
  </si>
  <si>
    <t>Current Topics in Microbiology and Immunology</t>
  </si>
  <si>
    <t>Cytogenetic and Genome Research</t>
  </si>
  <si>
    <t>Cytokine</t>
  </si>
  <si>
    <t>Cytotechnology</t>
  </si>
  <si>
    <t>Czech Journal of Genetics and Plant Breeding</t>
  </si>
  <si>
    <t>Development, Genes and Evolution</t>
  </si>
  <si>
    <t>Development, Growth and Differentiation</t>
  </si>
  <si>
    <t>Developmental Biology</t>
  </si>
  <si>
    <t>Developmental Dynamics</t>
  </si>
  <si>
    <t>Differentiation</t>
  </si>
  <si>
    <t>DNA and Cell Biology</t>
  </si>
  <si>
    <t>DNA Repair</t>
  </si>
  <si>
    <t>Doklady Biochemistry and Biophysics</t>
  </si>
  <si>
    <t>EcoSal Plus</t>
  </si>
  <si>
    <t>Electromagnetic Biology and Medicine</t>
  </si>
  <si>
    <t>Electronic Journal of Biotechnology</t>
  </si>
  <si>
    <t>Electrophoresis</t>
  </si>
  <si>
    <t>EMBO Molecular Medicine</t>
  </si>
  <si>
    <t>Endocrine Connections</t>
  </si>
  <si>
    <t>Essays in Biochemistry</t>
  </si>
  <si>
    <t>European Biophysics Journal</t>
  </si>
  <si>
    <t>European Cells &amp; Materials</t>
  </si>
  <si>
    <t>European Cytokine Network</t>
  </si>
  <si>
    <t>European Journal of Cell Biology</t>
  </si>
  <si>
    <t>Evolution &amp; Development</t>
  </si>
  <si>
    <t>Evolutionary Biology</t>
  </si>
  <si>
    <t>Experimental Cell Research</t>
  </si>
  <si>
    <t>Expert Review of Proteomics</t>
  </si>
  <si>
    <t>Extremophiles</t>
  </si>
  <si>
    <t>F1000Research</t>
  </si>
  <si>
    <t>FEBS Letters</t>
  </si>
  <si>
    <t>FEMS Yeast Research</t>
  </si>
  <si>
    <t>Folia Histochemica et Cytobiologica</t>
  </si>
  <si>
    <t>Folia Microbiologica</t>
  </si>
  <si>
    <t>Free Radical Research</t>
  </si>
  <si>
    <t>Frontiers in Bioscience</t>
  </si>
  <si>
    <t>Frontiers in Cell and Developmental Biology</t>
  </si>
  <si>
    <t>Frontiers in Cellular and Infection Microbiology</t>
  </si>
  <si>
    <t>Frontiers in Immunology</t>
  </si>
  <si>
    <t>Frontiers in Molecular Neuroscience</t>
  </si>
  <si>
    <t>Functional &amp; Integrative Genomics</t>
  </si>
  <si>
    <t>Fungal Genetics and Biology</t>
  </si>
  <si>
    <t>Gene</t>
  </si>
  <si>
    <t>Gene Expression</t>
  </si>
  <si>
    <t>Gene Expression Patterns</t>
  </si>
  <si>
    <t>Gene Therapy</t>
  </si>
  <si>
    <t>General Physiology and Biophysics</t>
  </si>
  <si>
    <t>Genes</t>
  </si>
  <si>
    <t>Genes &amp; Genetic Systems</t>
  </si>
  <si>
    <t>Genes &amp; Nutrition</t>
  </si>
  <si>
    <t>Genes and Genomics</t>
  </si>
  <si>
    <t>Genes and Immunity</t>
  </si>
  <si>
    <t>Genes to Cells</t>
  </si>
  <si>
    <t>Genes, Chromosomes &amp; Cancer</t>
  </si>
  <si>
    <t>Genetic Counseling</t>
  </si>
  <si>
    <t>Genetic Engineering and Biotechnology News</t>
  </si>
  <si>
    <t>Genetic Testing and Molecular Biomarkers</t>
  </si>
  <si>
    <t>Genetica</t>
  </si>
  <si>
    <t>Genetics and Molecular Biology</t>
  </si>
  <si>
    <t>Genetika</t>
  </si>
  <si>
    <t>Genome</t>
  </si>
  <si>
    <t>Genome Biology and Evolution</t>
  </si>
  <si>
    <t>Genomics</t>
  </si>
  <si>
    <t>Genomics Data</t>
  </si>
  <si>
    <t>Glycobiology</t>
  </si>
  <si>
    <t>Growth Factors</t>
  </si>
  <si>
    <t>Growth Hormone &amp; I G F Research</t>
  </si>
  <si>
    <t>Health Security</t>
  </si>
  <si>
    <t>Hereditas</t>
  </si>
  <si>
    <t>Human Gene Therapy</t>
  </si>
  <si>
    <t>Human Genomics</t>
  </si>
  <si>
    <t>IET Systems Biology</t>
  </si>
  <si>
    <t>Immunobiology</t>
  </si>
  <si>
    <t>Immunologic Research</t>
  </si>
  <si>
    <t>Immunological Investigations</t>
  </si>
  <si>
    <t>Immunology and Cell Biology</t>
  </si>
  <si>
    <t>Immunology Letters</t>
  </si>
  <si>
    <t>Immunopharmacology and Immunotoxicology</t>
  </si>
  <si>
    <t>In Vitro Cellular &amp; Developmental Biology - Animal</t>
  </si>
  <si>
    <t>In Vitro Cellular &amp; Developmental Biology - Plant</t>
  </si>
  <si>
    <t>Indian Journal of Biochemistry and Biophysics</t>
  </si>
  <si>
    <t>Indian Journal of Genetics and Plant Breeding</t>
  </si>
  <si>
    <t>Indian Journal of Microbiology</t>
  </si>
  <si>
    <t>Indian Journal of Plant Physiology</t>
  </si>
  <si>
    <t>Infection, Genetics and Evolution</t>
  </si>
  <si>
    <t>Integrative Biology</t>
  </si>
  <si>
    <t>International Federation for Medical and Biological Engineering Proceedings</t>
  </si>
  <si>
    <t>International Immunopharmacology</t>
  </si>
  <si>
    <t>International Journal of Bioinformatics Research and Applications</t>
  </si>
  <si>
    <t>International Journal of Biological Macromolecules</t>
  </si>
  <si>
    <t>International Journal of Biotechnology</t>
  </si>
  <si>
    <t>International Journal of Genomics</t>
  </si>
  <si>
    <t>International Journal of Immunogenetics</t>
  </si>
  <si>
    <t>International Microbiology</t>
  </si>
  <si>
    <t>International Review of Cell and Molecular Biology</t>
  </si>
  <si>
    <t>IUBMB Life</t>
  </si>
  <si>
    <t>Journal of Applied Genetics</t>
  </si>
  <si>
    <t>Journal of Applied Phycology</t>
  </si>
  <si>
    <t>Journal of Basic Microbiology</t>
  </si>
  <si>
    <t>Journal of Biochemistry</t>
  </si>
  <si>
    <t>Journal of Bioenergetics and Biomembranes</t>
  </si>
  <si>
    <t>Journal of Bioinformatics and Computational Biology</t>
  </si>
  <si>
    <t>Journal of Biological Chemistry</t>
  </si>
  <si>
    <t>Journal of Biological Physics</t>
  </si>
  <si>
    <t>Journal of Biological Research-Thessaloniki</t>
  </si>
  <si>
    <t>Journal of Biological Rhythms</t>
  </si>
  <si>
    <t>Journal of Biomaterials and Tissue Engineering</t>
  </si>
  <si>
    <t>Journal of Biomaterials Science. Polymer Edition</t>
  </si>
  <si>
    <t>Journal of Biomolecular Structure &amp; Dynamics</t>
  </si>
  <si>
    <t>Journal of Biomolecular Techniques</t>
  </si>
  <si>
    <t>Journal of Biotechnology</t>
  </si>
  <si>
    <t>Journal of Cellular Biochemistry</t>
  </si>
  <si>
    <t>Journal of Cellular Physiology</t>
  </si>
  <si>
    <t>Journal of Chemical Technology and Biotechnology</t>
  </si>
  <si>
    <t>Journal of Computer - Aided Molecular Design</t>
  </si>
  <si>
    <t>Journal of Evolutionary Biochemistry and Physiology</t>
  </si>
  <si>
    <t>Journal of Experimental Zoology. Part B: Molecular and Developmental Evolution</t>
  </si>
  <si>
    <t>Journal of Genetics</t>
  </si>
  <si>
    <t>Journal of Herbs, Spices &amp; Medicinal Plants</t>
  </si>
  <si>
    <t>Journal of Heredity</t>
  </si>
  <si>
    <t>Journal of Histochemistry and Cytochemistry</t>
  </si>
  <si>
    <t>Journal of Histotechnology</t>
  </si>
  <si>
    <t>Journal of Human Genetics</t>
  </si>
  <si>
    <t>Journal of Industrial Microbiology and Biotechnology</t>
  </si>
  <si>
    <t>Journal of Integrative Plant Biology</t>
  </si>
  <si>
    <t>Journal of Interferon &amp; Cytokine Research</t>
  </si>
  <si>
    <t>Journal of Leukocyte Biology</t>
  </si>
  <si>
    <t>Journal of Medical Engineering &amp; Technology</t>
  </si>
  <si>
    <t>Journal of Membrane Biology</t>
  </si>
  <si>
    <t>Journal of Microbiology and Biotechnology</t>
  </si>
  <si>
    <t>Journal of Molecular Biochemistry</t>
  </si>
  <si>
    <t>Journal of Molecular Biology</t>
  </si>
  <si>
    <t>Journal of Molecular Evolution</t>
  </si>
  <si>
    <t>Journal of Molecular Histology</t>
  </si>
  <si>
    <t>Journal of Molecular Liquids</t>
  </si>
  <si>
    <t>Journal of Molecular Medicine</t>
  </si>
  <si>
    <t>Journal of Molecular Microbiology and Biotechnology</t>
  </si>
  <si>
    <t>Journal of Morphology</t>
  </si>
  <si>
    <t>Journal of Muscle Research and Cell Motility</t>
  </si>
  <si>
    <t>Journal of Neurogenetics</t>
  </si>
  <si>
    <t>Journal of Nutrigenetics and Nutrigenomics</t>
  </si>
  <si>
    <t>Journal of Peptide Science</t>
  </si>
  <si>
    <t>Journal of Photochemistry and Photobiology, B: Biology</t>
  </si>
  <si>
    <t>Journal of Physiology and Biochemistry</t>
  </si>
  <si>
    <t>Journal of Plant Biochemistry and Biotechnology</t>
  </si>
  <si>
    <t>Journal of Plant Breeding and Genetics</t>
  </si>
  <si>
    <t>Journal of Plant Development</t>
  </si>
  <si>
    <t>Journal of Plant Protection Research</t>
  </si>
  <si>
    <t>Journal of Proteomics</t>
  </si>
  <si>
    <t>Journal of Rapid Methods and Automation in Microbiology</t>
  </si>
  <si>
    <t>Journal of Receptors and Signal Transduction</t>
  </si>
  <si>
    <t>Journal of Structural Biology</t>
  </si>
  <si>
    <t>Journal of the Mechanical Behavior of Biomedical Materials</t>
  </si>
  <si>
    <t>Journal of Tissue Engineering</t>
  </si>
  <si>
    <t>Journal of Trace Elements in Medicine and Biology</t>
  </si>
  <si>
    <t>Kidney International</t>
  </si>
  <si>
    <t>Lab on a Chip</t>
  </si>
  <si>
    <t>Laboratory Investigation</t>
  </si>
  <si>
    <t>Letters in Applied Microbiology</t>
  </si>
  <si>
    <t>Life Sciences</t>
  </si>
  <si>
    <t>Lipids in Health and Disease</t>
  </si>
  <si>
    <t>Luminescence</t>
  </si>
  <si>
    <t>Macromolecular Bioscience</t>
  </si>
  <si>
    <t>Macromolecular Materials &amp; Engineering</t>
  </si>
  <si>
    <t>Magnesium Research</t>
  </si>
  <si>
    <t>Mammalian Genome</t>
  </si>
  <si>
    <t>Matrix Biology</t>
  </si>
  <si>
    <t>Mechanisms of Development</t>
  </si>
  <si>
    <t>Memórias do Instituto Oswaldo Cruz</t>
  </si>
  <si>
    <t>Methods in Cell Biology</t>
  </si>
  <si>
    <t>Methods in Enzymology</t>
  </si>
  <si>
    <t>Methods in Microbiology</t>
  </si>
  <si>
    <t>Methods in Molecular Biology</t>
  </si>
  <si>
    <t>Microbial Cell Factories</t>
  </si>
  <si>
    <t>Microbial Genomics</t>
  </si>
  <si>
    <t>Microbiological Research</t>
  </si>
  <si>
    <t>Microbiology Spectrum</t>
  </si>
  <si>
    <t>MicrobiologyOpen</t>
  </si>
  <si>
    <t>Microscopy and Microanalysis</t>
  </si>
  <si>
    <t>Microscopy Research and Technique</t>
  </si>
  <si>
    <t>Minerva Biotecnologica</t>
  </si>
  <si>
    <t>Mitochondrion</t>
  </si>
  <si>
    <t>Molecular &amp; Cellular Biomechanics</t>
  </si>
  <si>
    <t>Molecular and Biochemical Parasitology</t>
  </si>
  <si>
    <t>Molecular and Cellular Biochemistry</t>
  </si>
  <si>
    <t>Molecular and Cellular Probes</t>
  </si>
  <si>
    <t>Molecular Biology</t>
  </si>
  <si>
    <t>Molecular Biology of the Cell</t>
  </si>
  <si>
    <t>Molecular Biology Reports</t>
  </si>
  <si>
    <t>Molecular Biology Research Communications</t>
  </si>
  <si>
    <t>Molecular BioSystems</t>
  </si>
  <si>
    <t>Molecular Biotechnology</t>
  </si>
  <si>
    <t>Molecular Diagnosis and Therapy</t>
  </si>
  <si>
    <t>Molecular Ecology Resources</t>
  </si>
  <si>
    <t>Molecular Endocrinology</t>
  </si>
  <si>
    <t>Molecular Genetics and Genomics</t>
  </si>
  <si>
    <t>Molecular Genetics and Metabolism</t>
  </si>
  <si>
    <t>Molecular Imaging</t>
  </si>
  <si>
    <t>Molecular Imaging and Biology</t>
  </si>
  <si>
    <t>Molecular Membrane Biology</t>
  </si>
  <si>
    <t>Molecular Physics</t>
  </si>
  <si>
    <t>Molecular Plant - Microbe Interactions</t>
  </si>
  <si>
    <t>Molecular Reproduction and Development</t>
  </si>
  <si>
    <t>Molecular Simulation</t>
  </si>
  <si>
    <t>Molecular Vision</t>
  </si>
  <si>
    <t>Molecules and Cells</t>
  </si>
  <si>
    <t>mSphere</t>
  </si>
  <si>
    <t>Mutation Research - Fundamental and Molecular Mechanisms of Mutagenesis</t>
  </si>
  <si>
    <t>Mutation Research - Genetic Toxicology and Environmental Mutagenesis</t>
  </si>
  <si>
    <t>Nanomedicine</t>
  </si>
  <si>
    <t>Natural Product Research</t>
  </si>
  <si>
    <t>New Biotechnology</t>
  </si>
  <si>
    <t>Nitric Oxide: Biology and Chemistry</t>
  </si>
  <si>
    <t>Nucleic Acid Therapeutics</t>
  </si>
  <si>
    <t>Nucleic Acids and Molecular Biology</t>
  </si>
  <si>
    <t>Nucleosides, Nucleotides and Nucleic Acids</t>
  </si>
  <si>
    <t>OMICS: A Journal of Integrative Biology</t>
  </si>
  <si>
    <t>Orphanet Journal of Rare Diseases</t>
  </si>
  <si>
    <t>Pathobiology</t>
  </si>
  <si>
    <t>Peptides</t>
  </si>
  <si>
    <t>Pesticide Biochemistry and Physiology</t>
  </si>
  <si>
    <t>Pharmacogenetics and Genomics</t>
  </si>
  <si>
    <t>Photochemical &amp; Photobiological Sciences</t>
  </si>
  <si>
    <t>Photochemistry and Photobiology</t>
  </si>
  <si>
    <t>Physica Medica</t>
  </si>
  <si>
    <t>Physical Biology</t>
  </si>
  <si>
    <t>Physiological and Molecular Plant Pathology</t>
  </si>
  <si>
    <t>Physiology and Molecular Biology of Plants</t>
  </si>
  <si>
    <t>Phytochemical Analysis</t>
  </si>
  <si>
    <t>Phytochemistry</t>
  </si>
  <si>
    <t>Phytochemistry Reviews</t>
  </si>
  <si>
    <t>Phyton: international journal of experimental botany</t>
  </si>
  <si>
    <t>Plant and Cell Physiology</t>
  </si>
  <si>
    <t>Plant Cell Reports</t>
  </si>
  <si>
    <t>Plant Cell, Tissue and Organ Culture</t>
  </si>
  <si>
    <t>Plant Engineering</t>
  </si>
  <si>
    <t>Plant Growth Regulation</t>
  </si>
  <si>
    <t>Plant Molecular Biology</t>
  </si>
  <si>
    <t>Plant Molecular Biology Reporter</t>
  </si>
  <si>
    <t>Plant Omics</t>
  </si>
  <si>
    <t>Plant Physiology and Biochemistry</t>
  </si>
  <si>
    <t>Plastics, Rubber and Composites</t>
  </si>
  <si>
    <t>Preparative Biochemistry and Biotechnology</t>
  </si>
  <si>
    <t>Proceedings of the Japan Academy, Series B, Physical and Biological Sciences</t>
  </si>
  <si>
    <t>Progress in Biochemistry and Biophysics</t>
  </si>
  <si>
    <t>Progress in Biophysics &amp; Molecular Biology</t>
  </si>
  <si>
    <t>Progress in Molecular Biology and Translational Science</t>
  </si>
  <si>
    <t>Prostaglandins &amp; Other Lipid Mediators</t>
  </si>
  <si>
    <t>Prostaglandins, Leukotrienes &amp; Essential Fatty Acids</t>
  </si>
  <si>
    <t>Protein and Peptide Letters</t>
  </si>
  <si>
    <t xml:space="preserve">Protein Engineering Design and Selection </t>
  </si>
  <si>
    <t>Protein Expression and Purification</t>
  </si>
  <si>
    <t>Protein Science</t>
  </si>
  <si>
    <t>Proteome Science</t>
  </si>
  <si>
    <t>Proteomics</t>
  </si>
  <si>
    <t>Pteridines</t>
  </si>
  <si>
    <t>Public Health Genomics</t>
  </si>
  <si>
    <t>Radiation and Environmental Biophysics</t>
  </si>
  <si>
    <t>Redox Report</t>
  </si>
  <si>
    <t>Research in Microbiology</t>
  </si>
  <si>
    <t>Reviews in Environmental Science and Biotechnology</t>
  </si>
  <si>
    <t>Reviews of Physiology, Biochemistry and Pharmacology</t>
  </si>
  <si>
    <t>RNA Technologies</t>
  </si>
  <si>
    <t>Romanian Biotechnological Letters</t>
  </si>
  <si>
    <t>Russian Journal of Genetics</t>
  </si>
  <si>
    <t>Scientific Reports</t>
  </si>
  <si>
    <t>Seibutsu Kogaku Kaishi</t>
  </si>
  <si>
    <t>Seikagaku</t>
  </si>
  <si>
    <t>SLAS DISCOVERY: Advancing Life Sciences R&amp;D</t>
  </si>
  <si>
    <t>SLAS TECHNOLOGY: Translating Life Sciences Innovation</t>
  </si>
  <si>
    <t>Stem Cell Research</t>
  </si>
  <si>
    <t>Stem Cell Research &amp; Therapy</t>
  </si>
  <si>
    <t>Stem Cell Reviews</t>
  </si>
  <si>
    <t>Stem Cells and Development</t>
  </si>
  <si>
    <t>Stem Cells International</t>
  </si>
  <si>
    <t>Stem Cells Translational Medicine</t>
  </si>
  <si>
    <t>Steroids</t>
  </si>
  <si>
    <t>Systematic and Applied Microbiology</t>
  </si>
  <si>
    <t>The Anatomical Record: Advances in Integrative Anatomy and  Evolutionary Biology</t>
  </si>
  <si>
    <t>The FEBS Journal</t>
  </si>
  <si>
    <t>The International Journal of Biochemistry &amp; Cell Biology</t>
  </si>
  <si>
    <t>The International Journal of Developmental Biology</t>
  </si>
  <si>
    <t>The Journal of Antibiotics</t>
  </si>
  <si>
    <t>The Journal of Eukaryotic Microbiology</t>
  </si>
  <si>
    <t>The Journal of General and Applied Microbiology</t>
  </si>
  <si>
    <t>The Journal of Microbiology</t>
  </si>
  <si>
    <t>The Journal of Steroid Biochemistry and Molecular Biology</t>
  </si>
  <si>
    <t>The New Microbiologica</t>
  </si>
  <si>
    <t>The Protein Journal</t>
  </si>
  <si>
    <t>Tissue and Cell</t>
  </si>
  <si>
    <t>Tissue Engineering. Part A</t>
  </si>
  <si>
    <t>Tissue Engineering. Part B. Reviews</t>
  </si>
  <si>
    <t>Tissue Engineering. Part C. Methods</t>
  </si>
  <si>
    <t>Traffic</t>
  </si>
  <si>
    <t>Transgenic Research</t>
  </si>
  <si>
    <t>Transgenics</t>
  </si>
  <si>
    <t>Trends in Glycoscience and Glycotechnology</t>
  </si>
  <si>
    <t>Ultramicroscopy</t>
  </si>
  <si>
    <t>Virology Journal</t>
  </si>
  <si>
    <t>Virulence</t>
  </si>
  <si>
    <t>World Journal of Microbiology and Biotechnology</t>
  </si>
  <si>
    <t>Worm</t>
  </si>
  <si>
    <t>Yeast</t>
  </si>
  <si>
    <t>Zeitschrift fuer Naturforschung. Section C: A Journal of Biosciences</t>
  </si>
  <si>
    <t>Zygote</t>
  </si>
  <si>
    <t>Farmaceutisk videnskab</t>
  </si>
  <si>
    <t>Advanced Drug Delivery Reviews</t>
  </si>
  <si>
    <t>European Journal of Pharmaceutical Sciences</t>
  </si>
  <si>
    <t>European Journal of Pharmaceutics and Biopharmaceutics</t>
  </si>
  <si>
    <t>Expert Opinion on Drug Delivery</t>
  </si>
  <si>
    <t>International Journal of Pharmaceutics</t>
  </si>
  <si>
    <t>Journal of Controlled Release</t>
  </si>
  <si>
    <t>Journal of Medicinal Chemistry</t>
  </si>
  <si>
    <t>Journal of Pharmaceutical Sciences</t>
  </si>
  <si>
    <t>Molecular Pharmaceutics</t>
  </si>
  <si>
    <t>Pharmaceutical Research</t>
  </si>
  <si>
    <t>The Pharmacogenomics Journal</t>
  </si>
  <si>
    <t>The AAPS Journal</t>
  </si>
  <si>
    <t>Trends in Analytical Chemistry</t>
  </si>
  <si>
    <t>ACS Chemical Neuroscience</t>
  </si>
  <si>
    <t>Advances in Delivery Science and Technology</t>
  </si>
  <si>
    <t>Advances in Pharmacological Sciences</t>
  </si>
  <si>
    <t>American Journal of Health-System Pharmacy</t>
  </si>
  <si>
    <t>Anti-Cancer Drugs</t>
  </si>
  <si>
    <t>Archiv der Pharmazie</t>
  </si>
  <si>
    <t>Ars Pharmaceutica</t>
  </si>
  <si>
    <t>BioDrugs</t>
  </si>
  <si>
    <t>Biological &amp; Pharmaceutical Bulletin</t>
  </si>
  <si>
    <t>Biomedicine &amp; Pharmacotherapy</t>
  </si>
  <si>
    <t>Biopharmaceutics &amp; Drug Disposition</t>
  </si>
  <si>
    <t>Cancer Biotherapy &amp; Radiopharmaceuticals</t>
  </si>
  <si>
    <t>Cancer Chemotherapy and Pharmacology</t>
  </si>
  <si>
    <t>Chemical &amp; Pharmaceutical Bulletin</t>
  </si>
  <si>
    <t>Chemical Biology &amp; Drug Design</t>
  </si>
  <si>
    <t>ChemMedChem</t>
  </si>
  <si>
    <t>CNS Drugs</t>
  </si>
  <si>
    <t>CNS Neuroscience &amp; Therapeutics</t>
  </si>
  <si>
    <t>Critical Reviews in Therapeutic Drug Carrier Systems</t>
  </si>
  <si>
    <t>Current Cancer Drug Targets</t>
  </si>
  <si>
    <t>Current Drug Targets</t>
  </si>
  <si>
    <t>Current Pharmaceutical Design</t>
  </si>
  <si>
    <t>Die Pharmazeutische Industrie</t>
  </si>
  <si>
    <t>Digest Journal of Nanomaterials and Biostructures</t>
  </si>
  <si>
    <t>Drug Delivery</t>
  </si>
  <si>
    <t>Drug Development and Industrial Pharmacy</t>
  </si>
  <si>
    <t>Drug Discovery Today: Disease Mechanisms</t>
  </si>
  <si>
    <t>Drug Discovery Today: Disease Models</t>
  </si>
  <si>
    <t>Drug Discovery Today: Technologies</t>
  </si>
  <si>
    <t>Drug Safety</t>
  </si>
  <si>
    <t>Drugs</t>
  </si>
  <si>
    <t>Drugs and the Pharmaceutical Sciences</t>
  </si>
  <si>
    <t>European Journal of Hospital Pharmacy - Science and Practice</t>
  </si>
  <si>
    <t>European Pharmaceutical Review</t>
  </si>
  <si>
    <t>Expert Opinion on Drug Discovery</t>
  </si>
  <si>
    <t>FEBS Open Bio</t>
  </si>
  <si>
    <t>Frontiers in Aging Neuroscience</t>
  </si>
  <si>
    <t>Glia</t>
  </si>
  <si>
    <t>Hospital Pharmacy</t>
  </si>
  <si>
    <t>International Journal of Clinical Pharmacy</t>
  </si>
  <si>
    <t>International Journal of Pharmacy Practice</t>
  </si>
  <si>
    <t>Investigational New Drugs</t>
  </si>
  <si>
    <t>Journal of Biomedical Nanotechnology</t>
  </si>
  <si>
    <t>Journal of Biopharmaceutical Statistics</t>
  </si>
  <si>
    <t>Journal of Chemical Information and Modeling</t>
  </si>
  <si>
    <t>Journal of Clinical Pharmacy and Therapeutics</t>
  </si>
  <si>
    <t>Journal of Drug Education</t>
  </si>
  <si>
    <t>Journal of Labelled Compounds and Radiopharmaceuticals</t>
  </si>
  <si>
    <t>Journal of Neuroinflammation</t>
  </si>
  <si>
    <t>Journal of Oncology Pharmacy Practice</t>
  </si>
  <si>
    <t>Journal of Opioid Management</t>
  </si>
  <si>
    <t>Journal of Pain Research</t>
  </si>
  <si>
    <t>Journal of Pharmaceutical and Biomedical Analysis</t>
  </si>
  <si>
    <t>Journal of Pharmaceutical Policy and Practice</t>
  </si>
  <si>
    <t>Journal of Pharmacy and Pharmaceutical Sciences</t>
  </si>
  <si>
    <t>Journal of Pharmacy Practice</t>
  </si>
  <si>
    <t>Journal of Research in Pharmacy Practice</t>
  </si>
  <si>
    <t>Marine Drugs</t>
  </si>
  <si>
    <t>Methods in Pharmacology and Toxicology</t>
  </si>
  <si>
    <t>Molecular Cancer Therapeutics</t>
  </si>
  <si>
    <t>Neurochemistry International</t>
  </si>
  <si>
    <t>Personalized Medicine</t>
  </si>
  <si>
    <t>Pharmaceutical Biology</t>
  </si>
  <si>
    <t>Pharmaceutical Chemistry Journal</t>
  </si>
  <si>
    <t>Pharmaceutical Development and Technology</t>
  </si>
  <si>
    <t>Pharmaceutical Medicine</t>
  </si>
  <si>
    <t>Pharmaceutical Statistics</t>
  </si>
  <si>
    <t>Pharmaceutical Technology Europe</t>
  </si>
  <si>
    <t>Pharmaceuticals Policy and Law</t>
  </si>
  <si>
    <t>Pharmaceutics</t>
  </si>
  <si>
    <t>PharmacoEconomics</t>
  </si>
  <si>
    <t>Pharmacoepidemiology and Drug Safety</t>
  </si>
  <si>
    <t>Pharmacy in History</t>
  </si>
  <si>
    <t>Planta Medica</t>
  </si>
  <si>
    <t>PLOS Computational Biology</t>
  </si>
  <si>
    <t>Profiles of Drug Substances, Excipients and Related Methodology</t>
  </si>
  <si>
    <t>Proteins: Structure, Function, and Bioinformatics</t>
  </si>
  <si>
    <t>Research in Social and Administrative Pharmacy</t>
  </si>
  <si>
    <t>Scientia Pharmaceutica</t>
  </si>
  <si>
    <t>Skin Pharmacology and Physiology</t>
  </si>
  <si>
    <t>SpringerPlus</t>
  </si>
  <si>
    <t>The Pharmaceutical Journal</t>
  </si>
  <si>
    <t>Therapeutic Innovation &amp; Regulatory Science</t>
  </si>
  <si>
    <t>Tropical Journal of Pharmaceutical Research</t>
  </si>
  <si>
    <t>ULLA Pharmacy Series</t>
  </si>
  <si>
    <t>AAPS Advances In The Pharmaceutical Sciences Series</t>
  </si>
  <si>
    <t>AAPS PharmSciTech</t>
  </si>
  <si>
    <t>Byggeri og anlægsteknik</t>
  </si>
  <si>
    <t>Advances in Structural Engineering</t>
  </si>
  <si>
    <t>Automation in Construction</t>
  </si>
  <si>
    <t>Building Simulation</t>
  </si>
  <si>
    <t>Bulletin of Earthquake Engineering</t>
  </si>
  <si>
    <t>Cement and Concrete Composites</t>
  </si>
  <si>
    <t>Cement and Concrete Research</t>
  </si>
  <si>
    <t>Coastal Engineering</t>
  </si>
  <si>
    <t>Computer-Aided Civil and Infrastructure Engineering</t>
  </si>
  <si>
    <t>Computers &amp; Structures</t>
  </si>
  <si>
    <t>Computers and Geotechnics</t>
  </si>
  <si>
    <t>Computers, Environment and Urban Systems</t>
  </si>
  <si>
    <t>Construction and Building Materials</t>
  </si>
  <si>
    <t>Earthquake Engineering and Structural Dynamics</t>
  </si>
  <si>
    <t>Energies</t>
  </si>
  <si>
    <t>Energy and Buildings</t>
  </si>
  <si>
    <t>Engineering Applications of Artificial Intelligence</t>
  </si>
  <si>
    <t>Engineering Computations</t>
  </si>
  <si>
    <t>Engineering Structures</t>
  </si>
  <si>
    <t>Experimental Mechanics</t>
  </si>
  <si>
    <t>Geotechnique</t>
  </si>
  <si>
    <t>Geotextiles and Geomembranes</t>
  </si>
  <si>
    <t>Heat and Mass Transfer</t>
  </si>
  <si>
    <t>Indoor and Built Environment</t>
  </si>
  <si>
    <t>International Journal for Numerical and Analytical Methods in Geomechanics</t>
  </si>
  <si>
    <t>International Journal of Geomechanics</t>
  </si>
  <si>
    <t>International Journal of Rock Mechanics and Mining Sciences</t>
  </si>
  <si>
    <t>Journal of Bionic Engineering</t>
  </si>
  <si>
    <t>Journal of Bridge Engineering</t>
  </si>
  <si>
    <t xml:space="preserve">Journal of Building Engineering </t>
  </si>
  <si>
    <t>Journal of Building Performance Simulation</t>
  </si>
  <si>
    <t>Journal of Building Physics</t>
  </si>
  <si>
    <t>Journal of Civil Engineering and Management</t>
  </si>
  <si>
    <t>Journal of Composites for Construction</t>
  </si>
  <si>
    <t>Journal of Computational and Nonlinear Dynamics</t>
  </si>
  <si>
    <t>Journal of Computing in Civil Engineering</t>
  </si>
  <si>
    <t>Journal of Constructional Steel Research</t>
  </si>
  <si>
    <t>Journal of Engineering Mechanics</t>
  </si>
  <si>
    <t>Journal of Geotechnical and Geoenvironmental Engineering</t>
  </si>
  <si>
    <t>Journal of Hydraulic Engineering</t>
  </si>
  <si>
    <t>Journal of Marine Engineering and Technology</t>
  </si>
  <si>
    <t>Journal of Ship and Ocean Technology</t>
  </si>
  <si>
    <t>Journal of Structural Engineering</t>
  </si>
  <si>
    <t>Journal of Waterway, Port, Coastal, and Ocean Engineering</t>
  </si>
  <si>
    <t>Landslides</t>
  </si>
  <si>
    <t>Marine Structures</t>
  </si>
  <si>
    <t>Probabilistic Engineering Mechanics</t>
  </si>
  <si>
    <t>Proceedings of the Institution of Civil Engineers - Bridge Engineering</t>
  </si>
  <si>
    <t>Proceedings of the Institution of Civil Engineers - Construction Materials</t>
  </si>
  <si>
    <t>Proceedings of the Institution of Civil Engineers - Engineering and Computational Mechanics</t>
  </si>
  <si>
    <t>Proceedings of the Institution of Civil Engineers - Ground Improvement</t>
  </si>
  <si>
    <t>Proceedings of the Internatiuonal Conference on Coastal Engineering</t>
  </si>
  <si>
    <t>Road Materials and Pavement Design</t>
  </si>
  <si>
    <t>Soil Dynamics and Earthquake Engineering</t>
  </si>
  <si>
    <t>Structural Health Monitoring</t>
  </si>
  <si>
    <t>Structural Safety</t>
  </si>
  <si>
    <t>Structure &amp; Infrastructure Engineering</t>
  </si>
  <si>
    <t>Urban Water Journal</t>
  </si>
  <si>
    <t>Water</t>
  </si>
  <si>
    <t>(mt) Marine Technology</t>
  </si>
  <si>
    <t>ACI Materials Journal</t>
  </si>
  <si>
    <t>ACI Structural Journal</t>
  </si>
  <si>
    <t>Acoustics Australia</t>
  </si>
  <si>
    <t>Acta Geotechnica</t>
  </si>
  <si>
    <t>Acta Montanistica Slovaca</t>
  </si>
  <si>
    <t>Advanced Composite Materials</t>
  </si>
  <si>
    <t>Advances in Cement Research</t>
  </si>
  <si>
    <t>Advances in Civil Engineering</t>
  </si>
  <si>
    <t>AMA - Agricultural Mechanization in Asia, Africa and Latin America</t>
  </si>
  <si>
    <t>Arabian Journal of Geosciences</t>
  </si>
  <si>
    <t>Archives of Acoustics</t>
  </si>
  <si>
    <t>Archives of Civil and Mechanical Engineering</t>
  </si>
  <si>
    <t>Archives of Mechanics</t>
  </si>
  <si>
    <t>Asian Journal of Civil Engineering</t>
  </si>
  <si>
    <t>Bauingenieur: Die richtungweisende Zeitschrift im Bauingenieurwesen</t>
  </si>
  <si>
    <t>Bauphysik</t>
  </si>
  <si>
    <t>Bautechnik</t>
  </si>
  <si>
    <t>Beton- und Stahlbetonbau</t>
  </si>
  <si>
    <t>Building Pathology and Rehabilitation</t>
  </si>
  <si>
    <t>Building Services Engineering Research &amp; Technology</t>
  </si>
  <si>
    <t>Bulletin of the Polish Academy of Sciences Technical Sciences</t>
  </si>
  <si>
    <t xml:space="preserve">Canadian Geotechnical Conference </t>
  </si>
  <si>
    <t>Canadian Geotechnical Journal</t>
  </si>
  <si>
    <t>Canadian Journal of Civil Engineering</t>
  </si>
  <si>
    <t>Carpathian Journal of Earth and Environmental Sciences</t>
  </si>
  <si>
    <t>Carpathian Journal of Mathematics</t>
  </si>
  <si>
    <t>Case Studies in Engineering Failure Analysis</t>
  </si>
  <si>
    <t>CIB</t>
  </si>
  <si>
    <t>Civil Engineering</t>
  </si>
  <si>
    <t>Civil Engineering and Environmental Systems</t>
  </si>
  <si>
    <t>Coastal Engineering Journal</t>
  </si>
  <si>
    <t>Computers and Concrete</t>
  </si>
  <si>
    <t>Computers, Materials &amp; Continua</t>
  </si>
  <si>
    <t>Conference of International Building Performance Simulation Association</t>
  </si>
  <si>
    <t>Construccion</t>
  </si>
  <si>
    <t>Construction History</t>
  </si>
  <si>
    <t>DYNA</t>
  </si>
  <si>
    <t>Earthquake and Structures</t>
  </si>
  <si>
    <t>Earthquake Engineering and Engineering Vibration</t>
  </si>
  <si>
    <t>Earthquake Spectra</t>
  </si>
  <si>
    <t>ECEEE Summer Study Proceedings</t>
  </si>
  <si>
    <t>Electronic Journal of Geotechnical Engineering</t>
  </si>
  <si>
    <t>Energy Procedia</t>
  </si>
  <si>
    <t>Engineering</t>
  </si>
  <si>
    <t>Engineering Journal</t>
  </si>
  <si>
    <t>Environment Protection Engineering</t>
  </si>
  <si>
    <t>Environmental Fluid Mechanics</t>
  </si>
  <si>
    <t>Environmental Progress &amp; Sustainable Energy</t>
  </si>
  <si>
    <t>European Academy of Wind Energy : The Science of Making Torque from Wind</t>
  </si>
  <si>
    <t>European Conference on Numerical Methods in Geotechnical Engineering</t>
  </si>
  <si>
    <t>European Safety and Reliability conference</t>
  </si>
  <si>
    <t>European Wave and Tidal Energy Conference</t>
  </si>
  <si>
    <t>Fatigue &amp; Fracture of Engineering Materials and Structures</t>
  </si>
  <si>
    <t>fib Symposium</t>
  </si>
  <si>
    <t>Frontiers of Earth Science</t>
  </si>
  <si>
    <t>Frontiers of Mechanical Engineering</t>
  </si>
  <si>
    <t>Frontiers of Structural and Civil Engineering</t>
  </si>
  <si>
    <t>Geomechanics and Engineering</t>
  </si>
  <si>
    <t>Geomechanics and Geoengineering</t>
  </si>
  <si>
    <t>Geotechnical and Geological Engineering</t>
  </si>
  <si>
    <t>Geotechnical Testing Journal</t>
  </si>
  <si>
    <t>Gradevinar</t>
  </si>
  <si>
    <t>Healthy Buildings : The International Conference &amp; Exhibition</t>
  </si>
  <si>
    <t>Heat Transfer Research</t>
  </si>
  <si>
    <t>IAENG International Journal of Applied Mathematics</t>
  </si>
  <si>
    <t>IFIP WG 7.5 Working Conference</t>
  </si>
  <si>
    <t>Indoor Air Quality, Ventilation &amp; Energy Conservation in Buildings</t>
  </si>
  <si>
    <t>Informes de la Construccion</t>
  </si>
  <si>
    <t>International Building Physics Conference</t>
  </si>
  <si>
    <t>International Conference on Air Distribution in Rooms</t>
  </si>
  <si>
    <t>International Conference on Applications of Statistics and Probability in Civil Engineering</t>
  </si>
  <si>
    <t>International Conference on Architecture and Civil Engineering. Annual Proceedings</t>
  </si>
  <si>
    <t>International Conference on Bridge Maintenance, Safety and Management</t>
  </si>
  <si>
    <t>International Conference on Computational Methods in Structural Dynamics and Earthquake Engineering</t>
  </si>
  <si>
    <t>International Conference on Efficiency, Cost, Optimization, Simulation and Environmental Impact of Energy Systems</t>
  </si>
  <si>
    <t>International Conference on Indoor Air Quality and Climate</t>
  </si>
  <si>
    <t>International Conference on Materials and Engineering Technology</t>
  </si>
  <si>
    <t>International Conference on Ocean, Offshore and Arctic Engineering</t>
  </si>
  <si>
    <t>International Conference on Soil Mechanics and Geotechnical Engineering</t>
  </si>
  <si>
    <t>International Conference on Solar Heating and Cooling for Buildings and Industry</t>
  </si>
  <si>
    <t>International Conference on Structural Engineering, Mechanics and Computation</t>
  </si>
  <si>
    <t>International Conference on Structural Safety and Reliability</t>
  </si>
  <si>
    <t>International Design Conference</t>
  </si>
  <si>
    <t>International Journal for Multiscale Computational Engineering</t>
  </si>
  <si>
    <t>International Journal of Architectural Heritage</t>
  </si>
  <si>
    <t>International Journal of Computational Methods</t>
  </si>
  <si>
    <t>International Journal of Damage Mechanics</t>
  </si>
  <si>
    <t>International Journal of Energy and Environmental Engineering</t>
  </si>
  <si>
    <t>International Journal of Fluid Mechanics Research</t>
  </si>
  <si>
    <t>International Journal of Marine Energy</t>
  </si>
  <si>
    <t>International Journal of Maritime Engineering</t>
  </si>
  <si>
    <t>International Journal of Mechanics and Materials in Design</t>
  </si>
  <si>
    <t>International Journal of Offshore and Polar Engineering</t>
  </si>
  <si>
    <t>International Journal of Optomechatronics</t>
  </si>
  <si>
    <t>International Journal of Physical Modelling in Geotechnics</t>
  </si>
  <si>
    <t>International Journal of Precision Engineering and Manufacturing</t>
  </si>
  <si>
    <t>International Journal of Steel Structures</t>
  </si>
  <si>
    <t>International Journal of Structural Engineering</t>
  </si>
  <si>
    <t>International Shipbuilding Progress</t>
  </si>
  <si>
    <t>International Symposium on Heating, Ventilating and Air Conditioning</t>
  </si>
  <si>
    <t>Inter-Noise</t>
  </si>
  <si>
    <t>Journal of Advanced Concrete Technology</t>
  </si>
  <si>
    <t>Journal of Applied Research and Technology</t>
  </si>
  <si>
    <t>Journal of Asian Architecture and Building Engineering</t>
  </si>
  <si>
    <t>Journal of Chinese Society of Mechanical Engineers</t>
  </si>
  <si>
    <t>Journal of Cold Regions Engineering</t>
  </si>
  <si>
    <t>Journal of Earthquake Engineering</t>
  </si>
  <si>
    <t>Journal of Energy and Power Engineering</t>
  </si>
  <si>
    <t>Journal of Environmental Engineering</t>
  </si>
  <si>
    <t>Journal of Infrastructure Systems</t>
  </si>
  <si>
    <t>Journal of Irrigation and Drainage Engineering</t>
  </si>
  <si>
    <t>Journal of Marine Science and Engineering</t>
  </si>
  <si>
    <t>Journal of Marine Science and Technology</t>
  </si>
  <si>
    <t>Journal of Materials in Civil Engineering</t>
  </si>
  <si>
    <t>Journal of Mechanics</t>
  </si>
  <si>
    <t>Journal of Ocean and Wind Energy</t>
  </si>
  <si>
    <t>Journal of Offshore Mechanics and Arctic Engineering</t>
  </si>
  <si>
    <t>Journal of Residuals Science &amp; Technology</t>
  </si>
  <si>
    <t>Journal of Risk and Uncertainty in Engineering Systems - Part  B : Mechanical Engineering</t>
  </si>
  <si>
    <t>Journal of Risk and Uncertainty in Engineering Systems - Part A : Civil Engineering</t>
  </si>
  <si>
    <t>Journal of Ship Production and Design</t>
  </si>
  <si>
    <t>Journal of the Balkan Tribological Association</t>
  </si>
  <si>
    <t>Journal of the Chinese Institute of Engineers</t>
  </si>
  <si>
    <t>Journal of the International Association for Shell and Spatial Structures</t>
  </si>
  <si>
    <t>Journal of the South African Institution of Civil Engineering</t>
  </si>
  <si>
    <t>Journal of Theoretical and Applied Mechanics</t>
  </si>
  <si>
    <t>Journal of Thermal Science</t>
  </si>
  <si>
    <t>Journal of Urban Planning and Development</t>
  </si>
  <si>
    <t>Journal of Zhejiang University-SCIENCE A</t>
  </si>
  <si>
    <t>King Saud University Journal. Science</t>
  </si>
  <si>
    <t>Maejo International Journal of Science and Technology</t>
  </si>
  <si>
    <t>Magazine of Concrete Research</t>
  </si>
  <si>
    <t>Marine Technology Society Journal</t>
  </si>
  <si>
    <t>Masonry International</t>
  </si>
  <si>
    <t>Materials Physics and Mechanics</t>
  </si>
  <si>
    <t>Mechanics of Advanced Materials and Structures</t>
  </si>
  <si>
    <t>Mechanika</t>
  </si>
  <si>
    <t>Naval Engineers Journal</t>
  </si>
  <si>
    <t>Nihon Kokai Gakkai Ronbunshu / The Journal of Japan Institute of Navigation</t>
  </si>
  <si>
    <t>Nordic Concrete Research</t>
  </si>
  <si>
    <t>Nordic Geotechnical Meeting</t>
  </si>
  <si>
    <t>Nordic Journal of Building Physics</t>
  </si>
  <si>
    <t>Nordic Symposium on Building Physics</t>
  </si>
  <si>
    <t>Pan-American Conference on Soil Mechanics and Geotechnical Engineering</t>
  </si>
  <si>
    <t>Passiv Hus Norden</t>
  </si>
  <si>
    <t>PCI Journal</t>
  </si>
  <si>
    <t>Periodica Polytechnica. Civil Engineering</t>
  </si>
  <si>
    <t>Polish Maritime Research</t>
  </si>
  <si>
    <t>Practice Periodical on Structural Design and Construction</t>
  </si>
  <si>
    <t>Proceedings of the IEEE International Conference on Emerging Technologies and Factory Automation (ETFA)</t>
  </si>
  <si>
    <t>Proceedings of the Institution of Civil Engineers - Civil Engineering</t>
  </si>
  <si>
    <t>Proceedings of the Institution of Civil Engineers - Engineering Sustainability</t>
  </si>
  <si>
    <t>Proceedings of the Institution of Civil Engineers - Geotechnical Engineering</t>
  </si>
  <si>
    <t>Proceedings of the Institution of Civil Engineers - Maritime Engineering</t>
  </si>
  <si>
    <t>Proceedings of the Institution of Civil Engineers - Municipal Engineer</t>
  </si>
  <si>
    <t>Proceedings of the Institution of Civil Engineers - Structures and Buildings</t>
  </si>
  <si>
    <t>Proceedings of the Institution of Mechanical Engineers, Part M: Journal of Engineering for the Maritime Environment</t>
  </si>
  <si>
    <t>Proceedings of the International Offshore and Polar Engineering Conference</t>
  </si>
  <si>
    <t>Proceedings of the Nordic Conference on Soil Mechanics and Geotechnical NGM</t>
  </si>
  <si>
    <t>REHVA World Congress</t>
  </si>
  <si>
    <t>REM - International Engineering Journal</t>
  </si>
  <si>
    <t>Revista de la Construccion</t>
  </si>
  <si>
    <t>Revista Facultad de Ingeniería Universidad de Antioquia</t>
  </si>
  <si>
    <t>Revista Internacional de Metodos Numericos para Calculo y Diseno en Ingenieria</t>
  </si>
  <si>
    <t>Revista Romana de Materiale / Romanian Journal of Materials</t>
  </si>
  <si>
    <t>Revista Tecnica de la Facultad de Ingenieria Universidad sel Zulia - Technical Journal of the Faculty of Engineering, TJFE</t>
  </si>
  <si>
    <t>Science China Physics, Mechanics and Astronomy</t>
  </si>
  <si>
    <t>Scientia Iranica: international journal of science &amp; technology</t>
  </si>
  <si>
    <t>Sea Technology</t>
  </si>
  <si>
    <t>Smart Structures and Systems</t>
  </si>
  <si>
    <t>Soil Mechanics and Foundation Engineering</t>
  </si>
  <si>
    <t>Soils &amp; Foundations</t>
  </si>
  <si>
    <t>Stahlbau</t>
  </si>
  <si>
    <t>Steel &amp; Composite Structures</t>
  </si>
  <si>
    <t>Strength of Materials</t>
  </si>
  <si>
    <t>Structural Concrete</t>
  </si>
  <si>
    <t>Structural Engineer</t>
  </si>
  <si>
    <t>Structural Engineering and Mechanics</t>
  </si>
  <si>
    <t>Structural Engineering International</t>
  </si>
  <si>
    <t>Structural Survey</t>
  </si>
  <si>
    <t>Tehnički Vjesnik</t>
  </si>
  <si>
    <t>Teknik Dergi</t>
  </si>
  <si>
    <t>The Annual Symposium of the International Association for Bridge and Structural Engineering (IABSE) and the International Association for Shell and Spatial Structures (IASS)</t>
  </si>
  <si>
    <t>The Baltic Journal of Road and Bridge Engineering</t>
  </si>
  <si>
    <t>The International Conference on Computational Structures Technology</t>
  </si>
  <si>
    <t>The International Journal of Pavement Engineering</t>
  </si>
  <si>
    <t>The Journal of Ocean Technology</t>
  </si>
  <si>
    <t>The Naval Architect</t>
  </si>
  <si>
    <t>Theoretical and Applied Fracture Mechanics</t>
  </si>
  <si>
    <t>Trafik &amp; Veje</t>
  </si>
  <si>
    <t>Transactions of FAMENA</t>
  </si>
  <si>
    <t>Transportation Geotechnics</t>
  </si>
  <si>
    <t>Underwater Technology</t>
  </si>
  <si>
    <t>Urban Climate</t>
  </si>
  <si>
    <t>Wave Motion</t>
  </si>
  <si>
    <t>Wind &amp; Structures</t>
  </si>
  <si>
    <t>World Renewable Energy Congress</t>
  </si>
  <si>
    <t>Transport og trafik</t>
  </si>
  <si>
    <t>Accident Analysis &amp; Prevention</t>
  </si>
  <si>
    <t>European Journal of Transport and Infrastructure Research</t>
  </si>
  <si>
    <t>IEEE Intelligent Vehicles Symposium</t>
  </si>
  <si>
    <t>IEEE Transactions on Intelligent Transportation Systems</t>
  </si>
  <si>
    <t>IET Intelligent Transport Systems</t>
  </si>
  <si>
    <t>International Journal of Sustainable Transportation</t>
  </si>
  <si>
    <t>Journal of Choice Modelling</t>
  </si>
  <si>
    <t>Journal of Transport &amp; Health</t>
  </si>
  <si>
    <t>Journal of Transport Geography</t>
  </si>
  <si>
    <t>Networks</t>
  </si>
  <si>
    <t>Networks and Spatial Economics</t>
  </si>
  <si>
    <t>Public Transport</t>
  </si>
  <si>
    <t>Transport Policy</t>
  </si>
  <si>
    <t>Transport Reviews</t>
  </si>
  <si>
    <t>Transportation</t>
  </si>
  <si>
    <t>Transportation Research. Part A: Policy &amp; Practice</t>
  </si>
  <si>
    <t>Transportation Research. Part B: Methodological</t>
  </si>
  <si>
    <t>Transportation Research. Part C: Emerging Technologies</t>
  </si>
  <si>
    <t>Transportation Research. Part D: Transport &amp; Environment</t>
  </si>
  <si>
    <t>Transportation Research. Part E: Logistics and Transportation Review</t>
  </si>
  <si>
    <t>Transportation Research. Part F: Traffic Psychology and Behaviour</t>
  </si>
  <si>
    <t>Transportation Science</t>
  </si>
  <si>
    <t>Transportmetrica A: Transport Science</t>
  </si>
  <si>
    <t>Advances in Transportation Studies</t>
  </si>
  <si>
    <t>Analytic Methods in Accident Research</t>
  </si>
  <si>
    <t>Applied Mobilities</t>
  </si>
  <si>
    <t>Case Studies on Transport Policy</t>
  </si>
  <si>
    <t>Danish Journal of Transportation Research - Dansk tidskrift for transportforskning</t>
  </si>
  <si>
    <t>Economics of Transportation</t>
  </si>
  <si>
    <t>EURO Journal on Transportation and Logistics</t>
  </si>
  <si>
    <t>European Transport - Trasporti Europei</t>
  </si>
  <si>
    <t>European Transport Research Review</t>
  </si>
  <si>
    <t>IATSS Research</t>
  </si>
  <si>
    <t>IEEE Intelligent Transportation Systems Magazine</t>
  </si>
  <si>
    <t>International Journal of Automation and Logistics</t>
  </si>
  <si>
    <t>International Journal of Shipping and Transport Logistics</t>
  </si>
  <si>
    <t>International Journal of Transport Economics</t>
  </si>
  <si>
    <t>ITE Journal</t>
  </si>
  <si>
    <t>ITS Europe Congress</t>
  </si>
  <si>
    <t>Journal of Advanced Transportation</t>
  </si>
  <si>
    <t>Journal of Air Transport Management</t>
  </si>
  <si>
    <t>Journal of Intelligent Transportation Systems</t>
  </si>
  <si>
    <t>Journal of Public Transportation</t>
  </si>
  <si>
    <t>Journal of Rail Transport Planning &amp; Management</t>
  </si>
  <si>
    <t>Journal of Safety Research</t>
  </si>
  <si>
    <t>Journal of Society for Transportation and Traffic Studies</t>
  </si>
  <si>
    <t>Journal of Traffic and Transportation Engineering</t>
  </si>
  <si>
    <t>Journal of Transport and Land Use</t>
  </si>
  <si>
    <t>Journal of Transport Economics and Policy</t>
  </si>
  <si>
    <t>Journal of Transportation Engineering</t>
  </si>
  <si>
    <t>Journal of Transportation Safety &amp; Security</t>
  </si>
  <si>
    <t>Journal of Transportation Technologies</t>
  </si>
  <si>
    <t>Modern Traffic and Transportation Engineering Research</t>
  </si>
  <si>
    <t>National Research Council. Transportation Research Board. Conference Proceedings</t>
  </si>
  <si>
    <t>Proceedings of the Institution of Civil Engineers - Transport</t>
  </si>
  <si>
    <t>Proceedings of the Institution of Mechanical Engineers, Part F: Journal of Rail and Rapid Transit</t>
  </si>
  <si>
    <t>Promet - Traffic and Transportation</t>
  </si>
  <si>
    <t>Research in Transportation Economics</t>
  </si>
  <si>
    <t>Road and Transport Research</t>
  </si>
  <si>
    <t>Routledge Studies In Transport Analysis</t>
  </si>
  <si>
    <t>Safety</t>
  </si>
  <si>
    <t>Selected Proceedings from World Conference of Transportation Research</t>
  </si>
  <si>
    <t>The Journal of Transport History</t>
  </si>
  <si>
    <t>TOP</t>
  </si>
  <si>
    <t>Traffic Injury Prevention</t>
  </si>
  <si>
    <t>Transactions on Transport Sciences</t>
  </si>
  <si>
    <t>Transport</t>
  </si>
  <si>
    <t>Transport And Society</t>
  </si>
  <si>
    <t>Transportation Journal</t>
  </si>
  <si>
    <t>Transportation Letters : the international journal of transportation research</t>
  </si>
  <si>
    <t>Transportation Planning and Technology</t>
  </si>
  <si>
    <t>Transportation Quarterly</t>
  </si>
  <si>
    <t>Transportation Research Board. Annual Meeting Proceedings</t>
  </si>
  <si>
    <t>Transportation Research Record</t>
  </si>
  <si>
    <t>Transportmetrica B: Transport Dynamics</t>
  </si>
  <si>
    <t>Travel Behaviour and Society</t>
  </si>
  <si>
    <t>World Review of Intermodal Transportation Research</t>
  </si>
  <si>
    <t>Datalogi</t>
  </si>
  <si>
    <t>ACM Conference on Computer and Communications Security</t>
  </si>
  <si>
    <t>ACM Conference on Computer Supported Cooperative Work</t>
  </si>
  <si>
    <t>ACM Conference on Electronic Commerce</t>
  </si>
  <si>
    <t>ACM Conference on Embedded Networked Sensor Systems</t>
  </si>
  <si>
    <t>ACM Conference on Human Factors in Computing Systems</t>
  </si>
  <si>
    <t>ACM Conference on Hypertext and Hypermedia</t>
  </si>
  <si>
    <t>ACM International Conference on Architectural Support for Programming Languages and Operating Systems</t>
  </si>
  <si>
    <t>ACM International Conference on Web Search and Data Mining</t>
  </si>
  <si>
    <t>ACM International Joint Conference on Pervasive and Ubiquitous Computing</t>
  </si>
  <si>
    <t>ACM Journal of Experimental Algorithmics</t>
  </si>
  <si>
    <t>ACM Multimedia</t>
  </si>
  <si>
    <t>ACM SIGCOMM Conference</t>
  </si>
  <si>
    <t>ACM SIGGRAPH/Eurographics Symposium on Computer Animation</t>
  </si>
  <si>
    <t>ACM SIGKDD Conference on Knowledge Discovery and Data Mining</t>
  </si>
  <si>
    <t>ACM SIGMETRICS International Conference on Measurement and Modeling of Computer Systems</t>
  </si>
  <si>
    <t>ACM SIGMOD-SIGACT-SIGAI Symposium on Principles of Database Systems</t>
  </si>
  <si>
    <t>ACM SIGPLAN Conference on Programming Language Design and Implementation</t>
  </si>
  <si>
    <t>ACM SIGPLAN International Conference on Functional Programming</t>
  </si>
  <si>
    <t>ACM SIGPLAN International Conference on Object-Oriented Programming, Systems, Languages and Applications</t>
  </si>
  <si>
    <t>ACM SIGPLAN International Conference on Systems, Programming, Languages and Applications: Software for Humanity</t>
  </si>
  <si>
    <t>ACM SIGPLAN Symposium on Principles of Programming Languages</t>
  </si>
  <si>
    <t>ACM SIGPLAN/SIGBED Conference on Languages, Compilers, Tools, and Theory for Embedded Systems</t>
  </si>
  <si>
    <t>ACM SIGSOFT International Symposium on Software Testing and Analysis</t>
  </si>
  <si>
    <t>ACM SIGSPATIAL International Conference on Advances in Geographic Information Systems</t>
  </si>
  <si>
    <t>ACM Symposium on Cloud Computing</t>
  </si>
  <si>
    <t>ACM Symposium on Operating Systems Principles</t>
  </si>
  <si>
    <t>ACM Symposium on Parallelism in Algorithms and Architectures</t>
  </si>
  <si>
    <t>ACM Symposium on Principles of Distributed Computing</t>
  </si>
  <si>
    <t>ACM Symposium on Theory of Computing</t>
  </si>
  <si>
    <t>ACM Symposium on User Interface Software and Technology</t>
  </si>
  <si>
    <t>ACM Technical Symposium on Computer Science Education</t>
  </si>
  <si>
    <t>ACM Transactions on Algorithms</t>
  </si>
  <si>
    <t>ACM Transactions on Autonomous and Adaptive Systems</t>
  </si>
  <si>
    <t>ACM Transactions on Computational Logic</t>
  </si>
  <si>
    <t>ACM Transactions on Computer Systems</t>
  </si>
  <si>
    <t>ACM Transactions on Computing Education</t>
  </si>
  <si>
    <t>ACM Transactions on Design Automation of Electronic Systems</t>
  </si>
  <si>
    <t>ACM Transactions on Graphics</t>
  </si>
  <si>
    <t>ACM Transactions on Internet Technology</t>
  </si>
  <si>
    <t>ACM Transactions on Knowledge Discovery from Data</t>
  </si>
  <si>
    <t>ACM Transactions on Mathematical Software</t>
  </si>
  <si>
    <t>ACM Transactions on Programming Languages and Systems</t>
  </si>
  <si>
    <t>ACM Transactions on Sensor Networks</t>
  </si>
  <si>
    <t>ACM. SIGGRAPH Proceedings</t>
  </si>
  <si>
    <t>ACM/IEEE International Conference on Information Processing in Sensor Networks</t>
  </si>
  <si>
    <t>ACM/IEEE Symposium on Logic in Computer Science</t>
  </si>
  <si>
    <t>ACM-SIAM Symposium on Discrete Algorithms</t>
  </si>
  <si>
    <t>Acta Informatica</t>
  </si>
  <si>
    <t>Algorithmica</t>
  </si>
  <si>
    <t>Algorithms and Data Structures Symposium</t>
  </si>
  <si>
    <t>Annals of Pure and Applied Logic</t>
  </si>
  <si>
    <t>Annual Conference on Innovation and Technology in Computer Science Education</t>
  </si>
  <si>
    <t>Annual IEEE Symposium on  Foundations of Computer Science</t>
  </si>
  <si>
    <t>Annual International Conference on Mobile Computing and Networking</t>
  </si>
  <si>
    <t>Annual International Conference on Research in Computational Molecular Biology</t>
  </si>
  <si>
    <t>Annual International Conference on the Theory and Applications of Cryptographic Techniques</t>
  </si>
  <si>
    <t>Applied Artificial Intelligence</t>
  </si>
  <si>
    <t>Artificial Intelligence</t>
  </si>
  <si>
    <t>Artificial Intelligence Review</t>
  </si>
  <si>
    <t>Autonomous Agents and Multi-Agent Systems</t>
  </si>
  <si>
    <t>Autonomous Robots</t>
  </si>
  <si>
    <t>BIT Numerical Mathematics</t>
  </si>
  <si>
    <t>Combinatorics, Probability &amp; Computing</t>
  </si>
  <si>
    <t>Communications of the A C M</t>
  </si>
  <si>
    <t>Computational Complexity</t>
  </si>
  <si>
    <t>Computational Complexity Conference</t>
  </si>
  <si>
    <t>Computational Geometry</t>
  </si>
  <si>
    <t>Computer</t>
  </si>
  <si>
    <t>Computer Science Logic</t>
  </si>
  <si>
    <t>Computer Vision and Pattern Recognition</t>
  </si>
  <si>
    <t>Concurrency and Computation: Practice &amp; Experience</t>
  </si>
  <si>
    <t>Conference of the European Association for Computer Graphics</t>
  </si>
  <si>
    <t>Conference on Empirical Methods in Natural Language Processing</t>
  </si>
  <si>
    <t>Conference on Information and Knowledge Management</t>
  </si>
  <si>
    <t>Conference on Innovative Data Systems Research</t>
  </si>
  <si>
    <t>Conference on Learning Theory</t>
  </si>
  <si>
    <t>Conference on Neural Information Processing Systems</t>
  </si>
  <si>
    <t>Conference on Uncertainty in Artificial Intelligence</t>
  </si>
  <si>
    <t>Data &amp; Knowledge Engineering</t>
  </si>
  <si>
    <t>Data Mining and Knowledge Discovery</t>
  </si>
  <si>
    <t>Design Automation for Embedded Systems</t>
  </si>
  <si>
    <t>Discrete Event Dynamic Systems</t>
  </si>
  <si>
    <t>Distributed and Parallel Databases</t>
  </si>
  <si>
    <t>Distributed Computing</t>
  </si>
  <si>
    <t>European Conference on Advances in Databases and Information Systems</t>
  </si>
  <si>
    <t>European Conference on Artificial Intelligence</t>
  </si>
  <si>
    <t>European Conference on Computer Supported Cooperative Work</t>
  </si>
  <si>
    <t>European Conference on Computer Vision</t>
  </si>
  <si>
    <t>European Conference on Machine Learning and Principles and Practice of Knowledge Discovery in Databases</t>
  </si>
  <si>
    <t>European Conference on Object-Oriented Programming</t>
  </si>
  <si>
    <t>European Symposium on Algorithms</t>
  </si>
  <si>
    <t>European Symposium on Programming</t>
  </si>
  <si>
    <t>European Symposium on Research in Computer Security</t>
  </si>
  <si>
    <t>EuroSys</t>
  </si>
  <si>
    <t>Extended Semantic Web Conference</t>
  </si>
  <si>
    <t>Formal Aspects of Computing</t>
  </si>
  <si>
    <t>Formal Methods in System Design</t>
  </si>
  <si>
    <t>Foundations and Trends in Machine Learning</t>
  </si>
  <si>
    <t>Fundamenta Informaticae</t>
  </si>
  <si>
    <t>Geoinformatica</t>
  </si>
  <si>
    <t>Higher-Order and Symbolic Computation</t>
  </si>
  <si>
    <t>IARCS Annual Conference on Foundations of Software Technology and Theoretical Computer Science</t>
  </si>
  <si>
    <t>IEEE - ACM Transactions on Computational Biology and Bioinformatics</t>
  </si>
  <si>
    <t>IEEE Annals of the History of Computing</t>
  </si>
  <si>
    <t>IEEE Computer Graphics and Applications</t>
  </si>
  <si>
    <t>IEEE Conference on Computer Vision and Pattern Recognition Workshops</t>
  </si>
  <si>
    <t>IEEE Design &amp; Test</t>
  </si>
  <si>
    <t>IEEE Distributed Systems Online</t>
  </si>
  <si>
    <t>IEEE Intelligent Systems</t>
  </si>
  <si>
    <t>IEEE International Conference on Computer Communications</t>
  </si>
  <si>
    <t>IEEE International Conference on Data Engineering</t>
  </si>
  <si>
    <t>IEEE International Conference on Data Mining</t>
  </si>
  <si>
    <t>IEEE International Conference on Mobile Data Management</t>
  </si>
  <si>
    <t>IEEE International Conference on Pervasive Computing and Communications</t>
  </si>
  <si>
    <t>IEEE International Conference on Software Architecture</t>
  </si>
  <si>
    <t>IEEE Micro</t>
  </si>
  <si>
    <t>IEEE Software</t>
  </si>
  <si>
    <t>IEEE Transactions on Computers</t>
  </si>
  <si>
    <t>IEEE Transactions on Dependable and Secure Computing</t>
  </si>
  <si>
    <t>IEEE Transactions on Evolutionary Computation</t>
  </si>
  <si>
    <t>IEEE Transactions on Fuzzy Systems</t>
  </si>
  <si>
    <t>IEEE Transactions on Knowledge and Data Engineering</t>
  </si>
  <si>
    <t>IEEE Transactions on Software Engineering</t>
  </si>
  <si>
    <t>IEEE Transactions on Very Large Scale Integration (VLSI) Systems</t>
  </si>
  <si>
    <t>IEEE Transactions on Visualization and Computer Graphics</t>
  </si>
  <si>
    <t>IEEE/ACM International Conference On Automated Software Engineering</t>
  </si>
  <si>
    <t>IEEE/IFIP International Conference on Dependable Systems and Networks</t>
  </si>
  <si>
    <t>IFIP TC.13 International Conference  on Human-Computer Interaction</t>
  </si>
  <si>
    <t>Image and Vision Computing</t>
  </si>
  <si>
    <t>Information and Computation</t>
  </si>
  <si>
    <t>Information Processing in Medical Imaging</t>
  </si>
  <si>
    <t>Information Processing Letters</t>
  </si>
  <si>
    <t>Information Systems</t>
  </si>
  <si>
    <t>INFORMS Journal on Computing</t>
  </si>
  <si>
    <t xml:space="preserve">International Colloquium on Automata, Languages and Programming </t>
  </si>
  <si>
    <t>International Conference on Advanced Information Systems Engineering</t>
  </si>
  <si>
    <t>International Conference on Autonomous Agents and Multiagent systems</t>
  </si>
  <si>
    <t>International Conference on Business Process Management</t>
  </si>
  <si>
    <t>International Conference on Compiler Construction</t>
  </si>
  <si>
    <t>International Conference on Computer Vision</t>
  </si>
  <si>
    <t>International Conference on Computer-Aided Verification</t>
  </si>
  <si>
    <t>International Conference on Conceptual Modeling</t>
  </si>
  <si>
    <t>International Conference on Concurrency Theory</t>
  </si>
  <si>
    <t>International Conference on Data Warehousing and Knowledge Discovery</t>
  </si>
  <si>
    <t>International Conference on Database and Expert Systems Applications</t>
  </si>
  <si>
    <t>International Conference on Database Systems for Advanced Applications</t>
  </si>
  <si>
    <t>International Conference on Database Theory</t>
  </si>
  <si>
    <t>International Conference on Extending Database Technology</t>
  </si>
  <si>
    <t>International Conference on Foundations of Software Science and Computation Structures</t>
  </si>
  <si>
    <t>International Conference on Future Energy System</t>
  </si>
  <si>
    <t>International Conference on Human-Computer Interaction with Mobile Devices and Services</t>
  </si>
  <si>
    <t>International Conference on Machine Learning</t>
  </si>
  <si>
    <t>International Conference on Management of Data</t>
  </si>
  <si>
    <t>International Conference on Medical Image Computing and Computer Assisted Intervention</t>
  </si>
  <si>
    <t>International Conference on Mobile Systems, Applications and Services</t>
  </si>
  <si>
    <t>International Conference on Principles of Knowledge Representation and Reasoning</t>
  </si>
  <si>
    <t>International Conference on Scientific and Statistical Database Management</t>
  </si>
  <si>
    <t>International Conference on Software Engineering</t>
  </si>
  <si>
    <t>International Conference on the Theory and Application of Cryptology and Information Security</t>
  </si>
  <si>
    <t>International Conference on Tools and Algorithms for the Construction and Analysis of Systems</t>
  </si>
  <si>
    <t>International Conference on Web Information Systems Engineering</t>
  </si>
  <si>
    <t>International Cryptology Conference</t>
  </si>
  <si>
    <t>International Database Engineering &amp; Applications Symposium</t>
  </si>
  <si>
    <t>International Joint Conference on Artificial Intelligence</t>
  </si>
  <si>
    <t>International Journal of Approximate Reasoning</t>
  </si>
  <si>
    <t>International Journal of Computational Geometry and Applications</t>
  </si>
  <si>
    <t>International Journal of Embedded Systems</t>
  </si>
  <si>
    <t>International Journal of Foundations of Computer Science</t>
  </si>
  <si>
    <t>International Journal of Geographical Information Science</t>
  </si>
  <si>
    <t>International Journal of Human-Computer Studies</t>
  </si>
  <si>
    <t>International Journal of Parallel Programming</t>
  </si>
  <si>
    <t>International Journal of Sensor Networks</t>
  </si>
  <si>
    <t>International Semantic Web Conference</t>
  </si>
  <si>
    <t>International Symposium on Algorithms and Computation</t>
  </si>
  <si>
    <t>International Symposium on Automated Technology for Verification and Analysis</t>
  </si>
  <si>
    <t>International Symposium on Distributed Computing</t>
  </si>
  <si>
    <t>International Symposium on Formal Methods</t>
  </si>
  <si>
    <t>International Symposium on Mathematical Foundations of Computer Science</t>
  </si>
  <si>
    <t>International Symposium on Spatial and Temporal Databases</t>
  </si>
  <si>
    <t>Journal of Automated Reasoning</t>
  </si>
  <si>
    <t>Journal of Computational Biology</t>
  </si>
  <si>
    <t>Journal of Computer and System Sciences</t>
  </si>
  <si>
    <t>Journal of Computer Security</t>
  </si>
  <si>
    <t>Journal of Database Management</t>
  </si>
  <si>
    <t>Journal of Functional Programming</t>
  </si>
  <si>
    <t>Journal of Heuristics</t>
  </si>
  <si>
    <t>Journal of Intelligent Information Systems</t>
  </si>
  <si>
    <t>Journal of Logic and Computation</t>
  </si>
  <si>
    <t>Journal of Logical and Algebraic Methods in Programming</t>
  </si>
  <si>
    <t>Journal of Parallel and Distributed Computing</t>
  </si>
  <si>
    <t>Journal of Scheduling</t>
  </si>
  <si>
    <t>Journal of Systems Architecture</t>
  </si>
  <si>
    <t>Journal of the ACM</t>
  </si>
  <si>
    <t>Journal of Web Semantics</t>
  </si>
  <si>
    <t>Knowledge Engineering Review</t>
  </si>
  <si>
    <t>Logic Journal of the IGPL</t>
  </si>
  <si>
    <t>Logical Methods in Computer Science</t>
  </si>
  <si>
    <t>Machine Learning</t>
  </si>
  <si>
    <t>Mathematical Structures in Computer Science</t>
  </si>
  <si>
    <t>Mathematics of Computation</t>
  </si>
  <si>
    <t>Medical Image Analysis</t>
  </si>
  <si>
    <t>New Generation Computing</t>
  </si>
  <si>
    <t>Nordic Conference on Human-Computer Interaction</t>
  </si>
  <si>
    <t>Numerical Algorithms</t>
  </si>
  <si>
    <t>Operations Research Letters</t>
  </si>
  <si>
    <t>Pacific-Asia Conference on Knowledge Discovery and Data Mining</t>
  </si>
  <si>
    <t>Parallel Computing</t>
  </si>
  <si>
    <t>Parallel Processing Letters</t>
  </si>
  <si>
    <t>Pattern Recognition Letters</t>
  </si>
  <si>
    <t>Performance Evaluation</t>
  </si>
  <si>
    <t>Pervasive and Mobile Computing</t>
  </si>
  <si>
    <t>Proceedings of the ACM SIGSOFT International Symposium on the Foundations of Software Engineering</t>
  </si>
  <si>
    <t>Proceedings of the IEEE Symposium on Security and Privacy</t>
  </si>
  <si>
    <t>Proceedings of the VLDB Endowment</t>
  </si>
  <si>
    <t>Real-Time Systems</t>
  </si>
  <si>
    <t>Scandinavian Symposium and Workshops on Algorithm Theory</t>
  </si>
  <si>
    <t>Science of Computer Programming</t>
  </si>
  <si>
    <t>Semantic Web</t>
  </si>
  <si>
    <t>SIAM International Conference on Data Mining</t>
  </si>
  <si>
    <t>SIAM Journal on Computing</t>
  </si>
  <si>
    <t>SIAM Journal on Imaging Sciences</t>
  </si>
  <si>
    <t>SIAM Journal on Numerical Analysis</t>
  </si>
  <si>
    <t>SIGMOD Record</t>
  </si>
  <si>
    <t>Software and Systems Modeling</t>
  </si>
  <si>
    <t>Software Testing, Verification and Reliability</t>
  </si>
  <si>
    <t>Software: Practice and Experience</t>
  </si>
  <si>
    <t>Static Analysis Symposium</t>
  </si>
  <si>
    <t>Symposium on Computational Geometry</t>
  </si>
  <si>
    <t>Symposium on Theoretical Aspects of Computer Science</t>
  </si>
  <si>
    <t>Telematics and Informatics</t>
  </si>
  <si>
    <t>The Bulletin of Symbolic Logic</t>
  </si>
  <si>
    <t>The Computer Journal</t>
  </si>
  <si>
    <t>The Journal of Artificial Intelligence Research</t>
  </si>
  <si>
    <t>The VLDB Journal</t>
  </si>
  <si>
    <t>The Web Conference</t>
  </si>
  <si>
    <t>Theoretical Computer Science</t>
  </si>
  <si>
    <t>Theory and Practice of Logic Programming</t>
  </si>
  <si>
    <t>Theory in Biosciences</t>
  </si>
  <si>
    <t>Theory of Computing Systems</t>
  </si>
  <si>
    <t>Theory of Cryptography Conference</t>
  </si>
  <si>
    <t>Transactions in G I S</t>
  </si>
  <si>
    <t>USENIX Annual Technical Conference</t>
  </si>
  <si>
    <t>USENIX Security Symposium</t>
  </si>
  <si>
    <t>USENIX Symposium on Operating Systems Design and Implementation</t>
  </si>
  <si>
    <t>Workshop on Algorithm Engineering and Experiments</t>
  </si>
  <si>
    <t>AAAI Conference on Artificial Intelligence</t>
  </si>
  <si>
    <t>3DTV Conference</t>
  </si>
  <si>
    <t>ACM ASIA Conference on Computer and Communications Security</t>
  </si>
  <si>
    <t>ACM Communications in Computer Algebra</t>
  </si>
  <si>
    <t>ACM Conference on Fairness, Accountability, and Transparency</t>
  </si>
  <si>
    <t>ACM Conference on Wireless Network Security</t>
  </si>
  <si>
    <t>ACM Creativity &amp; Cognition</t>
  </si>
  <si>
    <t>ACM Great Lakes Symposium on VLSI</t>
  </si>
  <si>
    <t>ACM Inroads</t>
  </si>
  <si>
    <t>ACM International Computing Education Research Conference</t>
  </si>
  <si>
    <t>ACM International Conference on Automotive User Interfaces and Interactive Vehicular Applications</t>
  </si>
  <si>
    <t>ACM International Conference on Collaboration Across Boundaries: Culture, Distance &amp; Technology</t>
  </si>
  <si>
    <t>ACM International Conference on Computing Frontiers</t>
  </si>
  <si>
    <t>ACM International Conference on Design of Communication</t>
  </si>
  <si>
    <t>ACM International conference on distributed and event-based systems</t>
  </si>
  <si>
    <t>ACM International Conference on Interactive Surfaces and Spaces</t>
  </si>
  <si>
    <t>ACM International Conference on Modeling, Analysis and Simulation of Wireless and Mobile Systems</t>
  </si>
  <si>
    <t>ACM International Conference on Multimedia Retrieval</t>
  </si>
  <si>
    <t>ACM International Conference on Multimodal Interaction</t>
  </si>
  <si>
    <t>ACM International Conference on Supporting Group Work</t>
  </si>
  <si>
    <t>ACM International Symposium on Mobile Ad Hoc Networking and Computing</t>
  </si>
  <si>
    <t>ACM International Symposium on Mobility Management and Wireless Access</t>
  </si>
  <si>
    <t>ACM International Symposium on QoS and Security for Wireless and Mobile Networks</t>
  </si>
  <si>
    <t>ACM International Systems and Storage Conference</t>
  </si>
  <si>
    <t>ACM International Workshop on Context-Awareness for Self-Managing Systems</t>
  </si>
  <si>
    <t>ACM International Workshop on Data and Text Mining in Biomedical Informatics</t>
  </si>
  <si>
    <t>ACM International Workshop on Data Engineering for Wireless and Mobile Access</t>
  </si>
  <si>
    <t>ACM International Workshop on Web Information and Data Management</t>
  </si>
  <si>
    <t>ACM Multimedia Systems Conference</t>
  </si>
  <si>
    <t>ACM SIGCAS Computers and Society</t>
  </si>
  <si>
    <t>ACM SIGCHI Symposium on Engineering Interactive Computing Systems</t>
  </si>
  <si>
    <t>ACM SIGCOMM Workshop on Research on Enterprise Networking</t>
  </si>
  <si>
    <t>ACM SIGCOMM Workshop on Virtualized Infrastructure Systems and Architectures</t>
  </si>
  <si>
    <t>ACM Siggraph Conference on Motion, Interaction and Games</t>
  </si>
  <si>
    <t>ACM SIGGRAPH International Conference on Virtual-Reality Continuum and its Applications in Industry</t>
  </si>
  <si>
    <t>ACM SIGGRAPH Symposium on Interactive 3D Graphics and Games</t>
  </si>
  <si>
    <t>ACM SIGIR International Conference on the Theory of Information Retrieval</t>
  </si>
  <si>
    <t>ACM SIGKDD International Conference on Knowledge Discovery &amp; Data Mining</t>
  </si>
  <si>
    <t>ACM SIGMOD Workshop on Databases and Social Networks</t>
  </si>
  <si>
    <t>ACM SIGMOD Workshop on Scalable Workflow Execution Engines and Technologies</t>
  </si>
  <si>
    <t>ACM SIGOPS Workshop on Large-Scale Distributed Systems and Middleware</t>
  </si>
  <si>
    <t>ACM SIGPLAN International Conference on Certified Programs and Proofs</t>
  </si>
  <si>
    <t>ACM SIGPLAN International Workshop on Libraries, Languages and Compilers for Array Programming</t>
  </si>
  <si>
    <t>ACM SIGPLAN Notices</t>
  </si>
  <si>
    <t>ACM SIGPLAN Symposium on Principles and Practice of Parallel Programming</t>
  </si>
  <si>
    <t>ACM SIGPLAN workshop on Erlang</t>
  </si>
  <si>
    <t>ACM SIGPLAN Workshop on Partial Evaluation and Program Manipulation</t>
  </si>
  <si>
    <t>ACM SIGPLAN/SIGBED International Conference on Languages, Compilers, and Tools for Embedded Systems</t>
  </si>
  <si>
    <t>ACM SIGPLAN/SIGOPS International Conference on Virtual Execution Environments</t>
  </si>
  <si>
    <t>ACM SIGPLAN-SIGSOFT Workshop on Program Analysis for Software Tools and Engineering</t>
  </si>
  <si>
    <t>ACM SIGSIM Conference on Principles of Advanced Discrete Simulation</t>
  </si>
  <si>
    <t>ACM SIGSPATIAL International Workshop on  Indoor Spatial Awareness</t>
  </si>
  <si>
    <t>ACM SIGSPATIAL International Workshop on Computational Transportation Science</t>
  </si>
  <si>
    <t>ACM SIGSPATIAL International Workshop on GeoStreaming</t>
  </si>
  <si>
    <t>ACM SIGSPATIAL International Workshop on Managing and Mining Virtual Environments</t>
  </si>
  <si>
    <t>ACM SIGSPATIAL International Workshop on Querying and Mining Uncertain Spatio-Temporal Data</t>
  </si>
  <si>
    <t>ACM SIGSPATIAL International Workshop on Security and Privacy in GIS and LBS</t>
  </si>
  <si>
    <t>ACM SIGSPATIAL International Workshop on Spatial Semantics and Ontologies</t>
  </si>
  <si>
    <t>ACM Southeast Regional Conference</t>
  </si>
  <si>
    <t>ACM Symposium on Access Control Models and Technologies</t>
  </si>
  <si>
    <t>ACM Symposium on Applied Computing</t>
  </si>
  <si>
    <t>ACM Symposium on Applied Perception</t>
  </si>
  <si>
    <t>ACM Symposium on Document Engineering</t>
  </si>
  <si>
    <t>ACM Symposium on Eye Tracking Research &amp; Applications</t>
  </si>
  <si>
    <t>ACM Symposium on Solid and Physical Modeling</t>
  </si>
  <si>
    <t>ACM Symposium on Virtual Reality Software and Technology</t>
  </si>
  <si>
    <t>ACM Transactions on Applied Perception</t>
  </si>
  <si>
    <t>ACM Transactions on Architecture and Code Optimization</t>
  </si>
  <si>
    <t>ACM Transactions on Asian and Low-Resource Language Information Processing</t>
  </si>
  <si>
    <t>ACM Transactions on Computation Theory</t>
  </si>
  <si>
    <t>ACM Transactions on Human-Robot Interaction</t>
  </si>
  <si>
    <t>ACM Transactions on Intelligent Systems and Technology</t>
  </si>
  <si>
    <t>ACM Transactions on Modeling and Computer Simulation</t>
  </si>
  <si>
    <t>ACM Transactions on Multimedia Computing, Communications, and Applications</t>
  </si>
  <si>
    <t>ACM Transactions on Privacy and Security</t>
  </si>
  <si>
    <t>ACM Transactions on Storage</t>
  </si>
  <si>
    <t>ACM Transactions on the Web</t>
  </si>
  <si>
    <t>ACM Workshop on Digital Identity Management</t>
  </si>
  <si>
    <t>ACM Workshop on Information Hiding and Multimedia Security</t>
  </si>
  <si>
    <t>ACM Workshop on Privacy in the Electronic Society</t>
  </si>
  <si>
    <t>ACM Workshop on Scalable Trusted Computing</t>
  </si>
  <si>
    <t>ACM Workshop on Story Representation, Mechanism and Context</t>
  </si>
  <si>
    <t>ACM Workshop on Virtual Machine Security</t>
  </si>
  <si>
    <t>ACM Workshop on Vision Networks for Behavior Analysis</t>
  </si>
  <si>
    <t>ACM Workshop on Wireless Multimedia Networking and Performance Modeling</t>
  </si>
  <si>
    <t>ACM/IEEE Conference on Internet of Things Design and Implementation</t>
  </si>
  <si>
    <t>ACM/IEEE International Conference on Model Driven Engineering Languages and Systems</t>
  </si>
  <si>
    <t>ACM/IEEE International Symposium on Low Power Electronics and Design</t>
  </si>
  <si>
    <t>ACM/IEEE Symposium on Architectures for Networking and Communications Systems</t>
  </si>
  <si>
    <t>ACM/IEEE Symposium on Embedded Systems for Real-time Multimedia</t>
  </si>
  <si>
    <t>ACM/IFIP/USENIX International Middleware Conference</t>
  </si>
  <si>
    <t>ACM/SIGDA International Symposium on Field-Programmable Gate Arrays</t>
  </si>
  <si>
    <t>ACS/IEEE International Conference on Computer Systems and Applications</t>
  </si>
  <si>
    <t>Acta Cybernetica</t>
  </si>
  <si>
    <t>Advances in Computers</t>
  </si>
  <si>
    <t>Advances in Engineering Software</t>
  </si>
  <si>
    <t>Advances in Human - Computer Interaction</t>
  </si>
  <si>
    <t>Advances in Intelligent Systems and Computing</t>
  </si>
  <si>
    <t>Advances in Modal Logic Conference</t>
  </si>
  <si>
    <t>Advances in Robotics Research : An International Journal</t>
  </si>
  <si>
    <t>Agile Development Conference</t>
  </si>
  <si>
    <t>AI &amp; Society: Journal of Knowledge, Culture and Communication</t>
  </si>
  <si>
    <t>AI Communications</t>
  </si>
  <si>
    <t>AI Magazine</t>
  </si>
  <si>
    <t>Alberto Mendelzon International Workshop on Foundations of Data Management</t>
  </si>
  <si>
    <t>Algorithmic Number Theory Symposium</t>
  </si>
  <si>
    <t>Algorithms for Molecular Biology</t>
  </si>
  <si>
    <t>Americas Conference on Information Systems</t>
  </si>
  <si>
    <t>Annales Mathematicae et Informaticae</t>
  </si>
  <si>
    <t>Annual Computer Security Applications Conference</t>
  </si>
  <si>
    <t>Annual Conference of the International Speech Communication Association</t>
  </si>
  <si>
    <t>Annual Conference on Information Technology Education</t>
  </si>
  <si>
    <t>Annual Conference on Theory and Applications of Models of Computation</t>
  </si>
  <si>
    <t>Annual Conference Towards Autonomous Robotic Systems</t>
  </si>
  <si>
    <t>Annual International Conference on Combinatorial Optimization and Applications</t>
  </si>
  <si>
    <t>Annual Mediterranean Ad Hoc Networking Workshop</t>
  </si>
  <si>
    <t>Annual Simulation Symposium</t>
  </si>
  <si>
    <t>Annual Symposium on Combinatorial Pattern Matching</t>
  </si>
  <si>
    <t>Annual Symposium on Computer-Human Interaction in Play</t>
  </si>
  <si>
    <t>Annual Symposium on Logic in Computer Science</t>
  </si>
  <si>
    <t>Annual Workshop on Simplifying Complex Networks for Practitioners</t>
  </si>
  <si>
    <t>Applied Intelligence</t>
  </si>
  <si>
    <t>Applied Soft Computing</t>
  </si>
  <si>
    <t>Artificial Intelligence: Methodology, Systems, Applications</t>
  </si>
  <si>
    <t>Artificial Life</t>
  </si>
  <si>
    <t>Asia and South Pacific Design Automation Conference</t>
  </si>
  <si>
    <t>Asia Information Retrieval Symposium</t>
  </si>
  <si>
    <t>Asia Pacific Bioinformatics Conference</t>
  </si>
  <si>
    <t>Asian Conference on Computer Vision</t>
  </si>
  <si>
    <t>Asian Conference on Intelligent Information and Database Systems</t>
  </si>
  <si>
    <t>Asian Internet Engineering Conference</t>
  </si>
  <si>
    <t>Asian Symposium on Programming Languages and Systems</t>
  </si>
  <si>
    <t>Asian Test Symposium</t>
  </si>
  <si>
    <t>Asia-Pacific Computer and Human Interaction</t>
  </si>
  <si>
    <t>Asia-Pacific Conference on Conceptual Modelling</t>
  </si>
  <si>
    <t>Asia-Pacific Software Engineering Conference</t>
  </si>
  <si>
    <t>Asia-Pacific Web Conference</t>
  </si>
  <si>
    <t>Australasian Computer Science Conference</t>
  </si>
  <si>
    <t>Australasian Computing Education Conference</t>
  </si>
  <si>
    <t>Australasian Conference on Information Security and Privacy</t>
  </si>
  <si>
    <t>Australasian Conference on Interactive Entertainment</t>
  </si>
  <si>
    <t>Australasian Database Conference</t>
  </si>
  <si>
    <t>Australasian Joint Conference on Artificial Intelligence</t>
  </si>
  <si>
    <t>Australasian User Interface Conference</t>
  </si>
  <si>
    <t>Australian Conference on Artificial Life</t>
  </si>
  <si>
    <t>Australian Journal of Intelligent Information Processing Systems</t>
  </si>
  <si>
    <t>Automated Software Engineering</t>
  </si>
  <si>
    <t>Automatic Control and Computer Sciences</t>
  </si>
  <si>
    <t>Balkan Conference in Informatics</t>
  </si>
  <si>
    <t>BCS SGAI Conferences</t>
  </si>
  <si>
    <t>Benelux Conference on Artificial Intelligence</t>
  </si>
  <si>
    <t>Big Data</t>
  </si>
  <si>
    <t>Brazilian Symposium on Bioinformatics</t>
  </si>
  <si>
    <t>Brazilian Symposium on Computer Graphics and Image Processing</t>
  </si>
  <si>
    <t>Brazilian Symposium on Computer Networks and Distributed Systems</t>
  </si>
  <si>
    <t>Brazilian Symposium on Databases</t>
  </si>
  <si>
    <t>Brazilian Symposium on Neural Networks</t>
  </si>
  <si>
    <t>British Machine Vision Conference</t>
  </si>
  <si>
    <t>British National Conference on Databases</t>
  </si>
  <si>
    <t>Broadband and Wireless Computing, Communication and Applications</t>
  </si>
  <si>
    <t>Business Intelligence Systems</t>
  </si>
  <si>
    <t>Canadian Conference on Artificial Intelligence</t>
  </si>
  <si>
    <t>Canadian Conference on Computer and Robot Vision</t>
  </si>
  <si>
    <t>Canadian Conference on Electrical and Computer Engineering</t>
  </si>
  <si>
    <t>Canadian Journal of Electrical and Computer Engineering</t>
  </si>
  <si>
    <t>Central and East European Conference on Software Engineering Techniques</t>
  </si>
  <si>
    <t>Chicago Journal of Theoretical Computer Science</t>
  </si>
  <si>
    <t>Chinese Conference on Biometric Recognition</t>
  </si>
  <si>
    <t>Cluster Computing: The Journal of Networks, Software Tools and Applications</t>
  </si>
  <si>
    <t>Collaboration, Electronic messaging, Anti-Abuse and Spam Conference</t>
  </si>
  <si>
    <t>Combined International Workshop on Expressiveness in Concurrency and Workshop on Structural Operational Semantics</t>
  </si>
  <si>
    <t>Communicating Process Architectures</t>
  </si>
  <si>
    <t>Complex Systems Design &amp; Management</t>
  </si>
  <si>
    <t>Computability in Europe</t>
  </si>
  <si>
    <t>Computational Geometry, Graphs and Applications</t>
  </si>
  <si>
    <t>Computational Intelligence</t>
  </si>
  <si>
    <t>Computer Applications in Industry and Engineering</t>
  </si>
  <si>
    <t>Computer Communications Review</t>
  </si>
  <si>
    <t>Computer Graphics &amp; Visual Computing</t>
  </si>
  <si>
    <t>Computer Graphics Forum</t>
  </si>
  <si>
    <t>Computer Graphics International</t>
  </si>
  <si>
    <t>Computer Graphics World</t>
  </si>
  <si>
    <t>Computer Languages, Systems and Structures</t>
  </si>
  <si>
    <t>Computer Science and Information Systems</t>
  </si>
  <si>
    <t>Computer Standards &amp; Interfaces</t>
  </si>
  <si>
    <t>Computers &amp; Electrical Engineering</t>
  </si>
  <si>
    <t>Computers &amp; Graphics</t>
  </si>
  <si>
    <t>Computing (London)</t>
  </si>
  <si>
    <t>Computing and Informatics</t>
  </si>
  <si>
    <t>Computing in Science &amp; Engineering</t>
  </si>
  <si>
    <t>Conference of Open Innovations Association</t>
  </si>
  <si>
    <t>Conference of the Australian Computer-Human Interaction</t>
  </si>
  <si>
    <t>Conference of the Spanish Association for Artificial Intelligence</t>
  </si>
  <si>
    <t>Conference on Algebra and Coalgebra in Computer Science</t>
  </si>
  <si>
    <t>Conference on Applications, Technologies, Architectures, and Protocols for Computer Communications</t>
  </si>
  <si>
    <t>Conference on Artificial Intelligence in Medicine in Europe</t>
  </si>
  <si>
    <t>Conference on Computer Personnel Research</t>
  </si>
  <si>
    <t>Conference on Cryptographic Hardware and Embedded Systems</t>
  </si>
  <si>
    <t>Conference on Design and Architectures for Signal and Image Processing</t>
  </si>
  <si>
    <t>Conference on Information Communications Technology and Society</t>
  </si>
  <si>
    <t>Conference on Information Sciences and Systems</t>
  </si>
  <si>
    <t>Conference on Innovative Applications of Artificial Intelligence</t>
  </si>
  <si>
    <t>Conference on Logic and the Foundations of Game and Decision Theory</t>
  </si>
  <si>
    <t>Conference on Software Engineering Education and Training</t>
  </si>
  <si>
    <t>Conference on Spatial Information Theory</t>
  </si>
  <si>
    <t>Conference on Systems Software Verification</t>
  </si>
  <si>
    <t>Conference on the Mathematical Foundations of Programming Semantics</t>
  </si>
  <si>
    <t>Conference on the Theory of Quantum Computation, Communication and Cryptography</t>
  </si>
  <si>
    <t>Conference on Theoretical Aspects of Rationality and Knowledge</t>
  </si>
  <si>
    <t>Conference on User Modeling, Adaptation and Personalization</t>
  </si>
  <si>
    <t>Connection Science</t>
  </si>
  <si>
    <t>Constraints</t>
  </si>
  <si>
    <t>Cybernetics and Systems</t>
  </si>
  <si>
    <t>Cybernetics and Systems Analysis</t>
  </si>
  <si>
    <t>Danish HCI Research Symposium</t>
  </si>
  <si>
    <t>Data Compression Conference</t>
  </si>
  <si>
    <t>Data Science Journal</t>
  </si>
  <si>
    <t>Database Systems for Business, Technology, and Web</t>
  </si>
  <si>
    <t>Datenbank-Spektrum</t>
  </si>
  <si>
    <t>Design Automation Conference</t>
  </si>
  <si>
    <t>Design, Automation, and Test in Europe</t>
  </si>
  <si>
    <t>DEXA Conferences and Workshops</t>
  </si>
  <si>
    <t>Digital Audio Effects</t>
  </si>
  <si>
    <t>Digital Investigation: The International Journal of Digital Forensics &amp; Incident Response</t>
  </si>
  <si>
    <t>Discourse Anaphora and Anaphor Resolution Colloquium</t>
  </si>
  <si>
    <t>Doctoral Conference on Computing, Electrical and Industrial Systems</t>
  </si>
  <si>
    <t>Doctoral Workshop on Mathematical and Engineering Methods in Computer Science</t>
  </si>
  <si>
    <t>Document Recognition and Retrieval Conference</t>
  </si>
  <si>
    <t>Dynamic Languages Symposium</t>
  </si>
  <si>
    <t>EAI International Conference on Heterogeneous Networking for Quality, Reliability, Security and Robustness</t>
  </si>
  <si>
    <t>EAI International Conference on Mobile and Ubiquitous Systems: Computing, Networking and Services</t>
  </si>
  <si>
    <t>EAI International Conference on Mobile Computing, Applications and Services</t>
  </si>
  <si>
    <t>EAI International Conference on Mobile Multimedia Communications</t>
  </si>
  <si>
    <t>EAI International Conference on Mobile Networks and Management</t>
  </si>
  <si>
    <t>EAI International Conference on Performance Evaluation Methodologies and Tools</t>
  </si>
  <si>
    <t>EAI International Conference on Pervasive Computing Technologies for Healthcare</t>
  </si>
  <si>
    <t>EAI International Conference on Security and Privacy in Communication Networks</t>
  </si>
  <si>
    <t>EAI International Conference on Simulation Tools and Techniques</t>
  </si>
  <si>
    <t>EAI International Conference on Testbeds and Research Infrastructures for the Development of Networks &amp; Communities</t>
  </si>
  <si>
    <t>EAI International Conference on Wireless Mobile Communication and Healthcare</t>
  </si>
  <si>
    <t>Economic Traffic Management</t>
  </si>
  <si>
    <t>EGOV-CeDEM-ePart</t>
  </si>
  <si>
    <t>e-Informatica</t>
  </si>
  <si>
    <t>Electronic Letters on Computer Vision and Image Analysis</t>
  </si>
  <si>
    <t>Electronic Notes in Theoretical Computer Science</t>
  </si>
  <si>
    <t>Energy Informatics</t>
  </si>
  <si>
    <t>Engineering with Computers</t>
  </si>
  <si>
    <t>ENTER Conference</t>
  </si>
  <si>
    <t>Entertainment Computing</t>
  </si>
  <si>
    <t>EPIA Conference on Artificial Intelligence</t>
  </si>
  <si>
    <t>ERCIM Annual Workshop on Constraint Solving and Constraint Logic Programming</t>
  </si>
  <si>
    <t>ERCIM News</t>
  </si>
  <si>
    <t>ERCIM Workshop on Software Evolution</t>
  </si>
  <si>
    <t>Eurasip Journal on Image and Video Processing</t>
  </si>
  <si>
    <t>Euro American Conference on Telematics and Information Systems</t>
  </si>
  <si>
    <t>Eurographics 3D Object retrieval Workshop</t>
  </si>
  <si>
    <t>Eurographics Italian Chapter Conference</t>
  </si>
  <si>
    <t>Eurographics Symposium on Parallel Graphics and Visualization</t>
  </si>
  <si>
    <t>Eurographics Symposium on Virtual Environments</t>
  </si>
  <si>
    <t>Eurographics Workshop on Visual Computing for Biomedicine</t>
  </si>
  <si>
    <t>Eurographics/IEEE Symposium on Visualization</t>
  </si>
  <si>
    <t>EuroHaptics</t>
  </si>
  <si>
    <t>Euromicro Conference on Digital System Design</t>
  </si>
  <si>
    <t>Euromicro Conference on Real-Time Systems</t>
  </si>
  <si>
    <t>Euromicro Conference on Software Engineering and Advanced Applications</t>
  </si>
  <si>
    <t>EuroMPI</t>
  </si>
  <si>
    <t>European Conference on Ambient Intelligence</t>
  </si>
  <si>
    <t>European Conference on Artificial Life</t>
  </si>
  <si>
    <t>European Conference on Circuit Theory and Design</t>
  </si>
  <si>
    <t>European Conference on Cognitive Ergonomics</t>
  </si>
  <si>
    <t>European Conference on Evolutionary Computation in Combinatorial Optimisation</t>
  </si>
  <si>
    <t>European Conference on Games Based Learning</t>
  </si>
  <si>
    <t>European Conference on Genetic Programming</t>
  </si>
  <si>
    <t>European Conference on Information Warfare and Security</t>
  </si>
  <si>
    <t>European Conference on Interactive TV and Video</t>
  </si>
  <si>
    <t>European Conference on Knowledge Management</t>
  </si>
  <si>
    <t>European Conference on Logics in Artificial Intelligence</t>
  </si>
  <si>
    <t>European Conference on Mobile Robots</t>
  </si>
  <si>
    <t>European Conference on Modelling Foundations and Applications</t>
  </si>
  <si>
    <t>European Conference on Parallel Processing</t>
  </si>
  <si>
    <t>European Conference on Pattern Languages of Programs</t>
  </si>
  <si>
    <t>European Conference on Service-Oriented and Cloud Computing</t>
  </si>
  <si>
    <t>European Conference on Smart Sensing and Context</t>
  </si>
  <si>
    <t>European Conference on Software Architecture</t>
  </si>
  <si>
    <t>European Conference on Software Architecture Workshops</t>
  </si>
  <si>
    <t>European Conference on Software Maintenance and Reengineering</t>
  </si>
  <si>
    <t>European Conference on Software Process Improvement</t>
  </si>
  <si>
    <t>European Conference on Symbolic and Quantitative Approaches to Reasoning with Uncertainty</t>
  </si>
  <si>
    <t>European Conference on Technology Enhanced Learning</t>
  </si>
  <si>
    <t>European Conference on the Applications of Evolutionary Computation</t>
  </si>
  <si>
    <t>European Conference on the Engineering of Computer Based Systems</t>
  </si>
  <si>
    <t>European Congress and Exhibition on Intelligent Transport Systems and Services</t>
  </si>
  <si>
    <t>European Dependable Computing Conference</t>
  </si>
  <si>
    <t>European Intelligence and Security Informatics Conference</t>
  </si>
  <si>
    <t>European Lisp Symposium</t>
  </si>
  <si>
    <t>European Performance Engineering Workshop</t>
  </si>
  <si>
    <t>European Public Key Infrastructure Workshop</t>
  </si>
  <si>
    <t>European Society for Fuzzy Logic and Technology</t>
  </si>
  <si>
    <t>European Software Engineering Conference</t>
  </si>
  <si>
    <t>European Symposium on Artificial Neural Networks, Computational Intelligence and Machine Learning</t>
  </si>
  <si>
    <t>European Symposium on Computer Modeling and Simulation</t>
  </si>
  <si>
    <t>European Workshop on Reinforcement Learning</t>
  </si>
  <si>
    <t>European Workshop on Security and Privacy in Ad hoc and Sensor Networks</t>
  </si>
  <si>
    <t>European Workshop on System Security</t>
  </si>
  <si>
    <t>Evolution and Change in Data Management</t>
  </si>
  <si>
    <t>Evolutionary Computation</t>
  </si>
  <si>
    <t>Evolving Systems</t>
  </si>
  <si>
    <t>Expert Systems</t>
  </si>
  <si>
    <t>Explanation-aware Computing</t>
  </si>
  <si>
    <t>FIRA RoboWorld Cup &amp; Congress</t>
  </si>
  <si>
    <t>Formal Methods in Computer-Aided Design</t>
  </si>
  <si>
    <t>Formal Techniques for Java-like Programs</t>
  </si>
  <si>
    <t>Foundations and Trends in Databases</t>
  </si>
  <si>
    <t>Foundations and Trends in Human-Computer Interaction</t>
  </si>
  <si>
    <t>Frontiers in Artificial Intelligence and Applications</t>
  </si>
  <si>
    <t>Frontiers in Neurorobotics</t>
  </si>
  <si>
    <t>Frontiers in Robotics and AI</t>
  </si>
  <si>
    <t>Future Generation Computer Systems - The International Journal of eScience</t>
  </si>
  <si>
    <t>Future Internet Assembly</t>
  </si>
  <si>
    <t>Genetic and Evolutionary Computation Conference</t>
  </si>
  <si>
    <t>Genetic Programming and Evolvable Machines</t>
  </si>
  <si>
    <t>German Conference on Artificial Intelligence</t>
  </si>
  <si>
    <t>German Conference on Bioinformatics</t>
  </si>
  <si>
    <t>German Conference on Multiagent System Technologies</t>
  </si>
  <si>
    <t>German Conference on Pattern Recognition</t>
  </si>
  <si>
    <t>German Conference on Robotics</t>
  </si>
  <si>
    <t>Gerontechnology</t>
  </si>
  <si>
    <t>Global IoT Summit</t>
  </si>
  <si>
    <t>Graph-based Methods for Natural Language Processing</t>
  </si>
  <si>
    <t>Graphical Models</t>
  </si>
  <si>
    <t>Hellenic Conference on Artificial Intelligence</t>
  </si>
  <si>
    <t>Human-Computer Interaction International Conference</t>
  </si>
  <si>
    <t>IAPR International Conference on Machine Vision Applications</t>
  </si>
  <si>
    <t>IAPR International Workshop on Document Analysis Systems</t>
  </si>
  <si>
    <t>IAPR Joint International Workshops on Statistical Techniques in Pattern Recognition (SPR) and Structural and Syntactic Pattern Recognition (SSPR)</t>
  </si>
  <si>
    <t>IASTED International Conference on Modelling, Identification and Control</t>
  </si>
  <si>
    <t>IASTED International Conference on Parallel and Distributed Computing and Networks</t>
  </si>
  <si>
    <t>IASTED International Conference on Robotics Applications</t>
  </si>
  <si>
    <t>IASTED International Conference on Signal and Image Processing</t>
  </si>
  <si>
    <t>IASTED International Conference on Signal Processing, Pattern Recognition and Applications</t>
  </si>
  <si>
    <t>IASTED International Conference on Visualization, Imaging and Image Processing</t>
  </si>
  <si>
    <t>Iberian Conference on Pattern Recognition and Image Analysis</t>
  </si>
  <si>
    <t>Iberoamerican Congress on Pattern Recognition</t>
  </si>
  <si>
    <t>IBM Journal of Research and Development</t>
  </si>
  <si>
    <t>ICDE Workshop on Secure Data Management on Smartphones and Mobiles</t>
  </si>
  <si>
    <t>iConference</t>
  </si>
  <si>
    <t>IEEE Canada Electrical Power and Energy Conference</t>
  </si>
  <si>
    <t>IEEE CBMS International Symposium on Computer-Based Medical Systems</t>
  </si>
  <si>
    <t>IEEE Computer Architecture Letters</t>
  </si>
  <si>
    <t>IEEE Computer Society Annual Symposium on VLSI</t>
  </si>
  <si>
    <t>IEEE Conference on Computational Intelligence and Games</t>
  </si>
  <si>
    <t>IEEE Conference on Computational Intelligence in Bioinformatics and Computational Biology</t>
  </si>
  <si>
    <t>IEEE Conference on Local Computer Networks</t>
  </si>
  <si>
    <t>IEEE Conference on Virtual Reality and 3D User Interfaces</t>
  </si>
  <si>
    <t>IEEE Conference on Visual Analytics Science and Technology</t>
  </si>
  <si>
    <t>IEEE Congress on Evolutionary Computation</t>
  </si>
  <si>
    <t>IEEE Custom Integrated Circuits Conference</t>
  </si>
  <si>
    <t>IEEE eScience Conference</t>
  </si>
  <si>
    <t>IEEE European Test Symposium</t>
  </si>
  <si>
    <t>IEEE Haptics Symposium</t>
  </si>
  <si>
    <t>IEEE ICDE workshop on Data-Driven Decision Guidance and Support Systems</t>
  </si>
  <si>
    <t>IEEE Information Theory Workshop</t>
  </si>
  <si>
    <t>IEEE International Autumn Meeting on Power, Electronics and Computing</t>
  </si>
  <si>
    <t>IEEE International Black Sea Conference on Communications and Networking</t>
  </si>
  <si>
    <t>IEEE International Conference on Acoustics, Speech and Signal Processing</t>
  </si>
  <si>
    <t>IEEE International Conference on Advanced Learning Technologies</t>
  </si>
  <si>
    <t xml:space="preserve">IEEE International Conference on Agents </t>
  </si>
  <si>
    <t>IEEE International Conference on Application-specific Systems, Architectures and Processors</t>
  </si>
  <si>
    <t>IEEE International Conference on Automatic Face and Gesture Recognition</t>
  </si>
  <si>
    <t>IEEE International Conference on Automation Science and Engineering</t>
  </si>
  <si>
    <t>IEEE International Conference on Autonomic and Trusted Computing</t>
  </si>
  <si>
    <t xml:space="preserve">IEEE International Conference on Big Data </t>
  </si>
  <si>
    <t>IEEE International Conference on Bioinformatics and Bioengineering</t>
  </si>
  <si>
    <t>IEEE International Conference on Bioinformatics and Biomedicine</t>
  </si>
  <si>
    <t>IEEE International Conference on Business Informatics</t>
  </si>
  <si>
    <t>IEEE International Conference on Cloud Computing Technology and Science</t>
  </si>
  <si>
    <t>IEEE International Conference on Cloud Engineering</t>
  </si>
  <si>
    <t>IEEE International Conference on Cluster Computing</t>
  </si>
  <si>
    <t>IEEE International Conference on Computational Advances in Bio and Medical Sciences</t>
  </si>
  <si>
    <t>IEEE International Conference on Computational Science and Engineering</t>
  </si>
  <si>
    <t>IEEE International Conference on Computer and Information Technology</t>
  </si>
  <si>
    <t>IEEE International Conference on Computer Design</t>
  </si>
  <si>
    <t>IEEE International Conference on Computers, Software &amp; Applications</t>
  </si>
  <si>
    <t>IEEE International Conference on Data Science and Advanced Analytics</t>
  </si>
  <si>
    <t>IEEE International Conference on Dependable, Autonomic and Secure Computing</t>
  </si>
  <si>
    <t xml:space="preserve">IEEE International Conference on Digital Game and Intelligent Toy Enhanced Learning </t>
  </si>
  <si>
    <t>IEEE International Conference on Distributed Computing Systems</t>
  </si>
  <si>
    <t>IEEE International Conference on Embedded and Ubiquitous Computing</t>
  </si>
  <si>
    <t>IEEE International Conference on Embedded Computing</t>
  </si>
  <si>
    <t>IEEE International Conference on Enabling Technologies: Infrastructure for Collaborative Enterprises</t>
  </si>
  <si>
    <t>IEEE International Conference on Field-Programmable Technology</t>
  </si>
  <si>
    <t>IEEE International Conference on Fuzzy Systems</t>
  </si>
  <si>
    <t>IEEE International Conference on Granular Computing</t>
  </si>
  <si>
    <t>IEEE International Conference on Green Computing and Communications</t>
  </si>
  <si>
    <t>IEEE International Conference on Healthcare Informatics</t>
  </si>
  <si>
    <t>IEEE International Conference on High Performance Computing, Data, and Analytics</t>
  </si>
  <si>
    <t>IEEE International Conference on High Performance Switching and Routing</t>
  </si>
  <si>
    <t>IEEE International Conference on Imaging Systems and Techniques</t>
  </si>
  <si>
    <t>IEEE International Conference on Information Reuse and Integration</t>
  </si>
  <si>
    <t>IEEE International Conference on Intelligence and Security Informatics</t>
  </si>
  <si>
    <t>IEEE International Conference on Network Protocols</t>
  </si>
  <si>
    <t>IEEE International Conference on Networked Embedded Systems for Every Application</t>
  </si>
  <si>
    <t>IEEE International Conference on Networking, Sensing and Control</t>
  </si>
  <si>
    <t>IEEE International Conference on Networks</t>
  </si>
  <si>
    <t>IEEE International Conference on Parallel and Distributed Systems</t>
  </si>
  <si>
    <t>IEEE International Conference on Peer-to-Peer Computing</t>
  </si>
  <si>
    <t>IEEE International Conference on RFID</t>
  </si>
  <si>
    <t>IEEE International Conference on Robotic Computing</t>
  </si>
  <si>
    <t>IEEE International Conference on Robotics and Automation</t>
  </si>
  <si>
    <t>IEEE International Conference on Robotics and Biomimetics</t>
  </si>
  <si>
    <t>IEEE International Conference on Scalable Computing and Communications</t>
  </si>
  <si>
    <t>IEEE International Conference on Self-Adaptive and Self-Organizing Systems</t>
  </si>
  <si>
    <t xml:space="preserve">IEEE International Conference on Sensing, Communication and Networking </t>
  </si>
  <si>
    <t>IEEE International Conference on Sensor Networks, Ubiquitous, and Trustworthy Computing</t>
  </si>
  <si>
    <t>IEEE International Conference on Service-Oriented Computing and Applications</t>
  </si>
  <si>
    <t>IEEE International Conference on Services Computing</t>
  </si>
  <si>
    <t>IEEE International Conference on Simulation, Modeling, and Programming for Autonomous Robots</t>
  </si>
  <si>
    <t>IEEE International Conference on Smart Grid Communications</t>
  </si>
  <si>
    <t>IEEE International Conference on Social Computing and Social Media</t>
  </si>
  <si>
    <t>IEEE International Conference on Software Analysis, Evolution and Reengineering</t>
  </si>
  <si>
    <t>IEEE International Conference on Software Science, Technology and Engineering</t>
  </si>
  <si>
    <t>IEEE International Conference on Software Testing, Validation and Verification</t>
  </si>
  <si>
    <t>IEEE International Conference on Spatial Data Mining and Geographical Knowledge Services</t>
  </si>
  <si>
    <t>IEEE International Conference on Systems, Man, and Cybernetics</t>
  </si>
  <si>
    <t>IEEE International Conference on Ubiquitous Intelligence and Computing</t>
  </si>
  <si>
    <t>IEEE International Conference on Virtual Environments, Human-Computer Interfaces and Measurement Systems</t>
  </si>
  <si>
    <t xml:space="preserve">IEEE International Conference on Visual Communications and Image Processing </t>
  </si>
  <si>
    <t>IEEE International Conference on Wireless, Mobile and Ubiquitous Technology in Education</t>
  </si>
  <si>
    <t>IEEE International Enterprise Distributed Object Computing Conference</t>
  </si>
  <si>
    <t>IEEE International Geoscience and Remote Sensing Symposium</t>
  </si>
  <si>
    <t>IEEE International Parallel and Distributed Processing Symposium</t>
  </si>
  <si>
    <t>IEEE International Requirements Engineering Conference</t>
  </si>
  <si>
    <t>IEEE International Symposium on a World of Wireless, Mobile and Multimedia Networks</t>
  </si>
  <si>
    <t>IEEE International Symposium on Asynchronous Circuits and Systems</t>
  </si>
  <si>
    <t>IEEE International Symposium on Biomedical Imaging</t>
  </si>
  <si>
    <t>IEEE International Symposium on Computational Intelligence in Robotics and Automation</t>
  </si>
  <si>
    <t>IEEE International Symposium on Defect and Fault Tolerance in VLSI and Nanotechnology Systems</t>
  </si>
  <si>
    <t>IEEE International Symposium on Design and Diagnostics of Electronic Circuits and Systems</t>
  </si>
  <si>
    <t>IEEE International Symposium on High Assurance Systems Engineering</t>
  </si>
  <si>
    <t>IEEE International Symposium on High-Performance Computer Architecture</t>
  </si>
  <si>
    <t>IEEE International Symposium on Industrial Embedded Systems</t>
  </si>
  <si>
    <t>IEEE International Symposium on Mixed and Augmented Reality</t>
  </si>
  <si>
    <t>IEEE International Symposium on Multimedia</t>
  </si>
  <si>
    <t>IEEE International Symposium on Multiple-Valued Logic</t>
  </si>
  <si>
    <t>IEEE International Symposium on On-Line Testing and Robust System Design</t>
  </si>
  <si>
    <t>IEEE International Symposium on Parallel and Distributed Processing with Applications</t>
  </si>
  <si>
    <t>IEEE International Symposium on Performance Analysis of Systems and Software</t>
  </si>
  <si>
    <t>IEEE International Symposium on Real-Time Distributed Computing</t>
  </si>
  <si>
    <t>IEEE International Symposium on Robot and Human Interactive Communication</t>
  </si>
  <si>
    <t>IEEE International Symposium on Service-Oriented System Engineering</t>
  </si>
  <si>
    <t>IEEE International Symposium on Software Reliability Engineering</t>
  </si>
  <si>
    <t>IEEE International Symposium on the Modeling, Analysis, and Simulation of Computer and Telecommunication Systems</t>
  </si>
  <si>
    <t>IEEE International Symposium on Web Systems Evolution</t>
  </si>
  <si>
    <t>IEEE International Symposium on Workload Characterization</t>
  </si>
  <si>
    <t>IEEE International System-on-Chip Conference</t>
  </si>
  <si>
    <t>IEEE International Workshop on Computer-Aided Modeling Analysis and Design of Communication Links and Networks</t>
  </si>
  <si>
    <t>IEEE International Workshop on Memory Technology, Design, and Testing</t>
  </si>
  <si>
    <t>IEEE International Workshop on Multimedia Signal Processing</t>
  </si>
  <si>
    <t>IEEE International Workshop on Signal Processing Systems</t>
  </si>
  <si>
    <t>IEEE International Workshop on Wireless Mesh and Ad Hoc Networks</t>
  </si>
  <si>
    <t>IEEE Internet Computing</t>
  </si>
  <si>
    <t>IEEE Internet of Things Journal</t>
  </si>
  <si>
    <t>IEEE Pacific Visualization Symposium</t>
  </si>
  <si>
    <t>IEEE PES Innovative Smart Grid Technologies Conference - Europe</t>
  </si>
  <si>
    <t>IEEE PES Innovative Smart Grid Technologies Conference - North America</t>
  </si>
  <si>
    <t>IEEE Real-Time and Embedded Technology and Applications Symposium</t>
  </si>
  <si>
    <t>IEEE Real-Time Systems Symposium</t>
  </si>
  <si>
    <t>IEEE Sarnoff Symposium</t>
  </si>
  <si>
    <t>IEEE Security &amp; Privacy</t>
  </si>
  <si>
    <t>IEEE Software Engineering Workshop</t>
  </si>
  <si>
    <t>IEEE Southwest Symposium on Image Analysis and Interpretation</t>
  </si>
  <si>
    <t>IEEE Swarm Intelligence Symposium</t>
  </si>
  <si>
    <t>IEEE Symposium on 3D User Interfaces</t>
  </si>
  <si>
    <t>IEEE Symposium on Computational Intelligence and Data Mining</t>
  </si>
  <si>
    <t>IEEE Symposium on Computer Arithmetic</t>
  </si>
  <si>
    <t>IEEE Symposium on Computers and Communications</t>
  </si>
  <si>
    <t>IEEE Symposium on Foundations of Computational Intelligence</t>
  </si>
  <si>
    <t>IEEE Symposium on Information Visualization</t>
  </si>
  <si>
    <t>IEEE Symposium on Reliable Distributed Systems</t>
  </si>
  <si>
    <t>IEEE Symposium on Visual Languages and Human-Centric Computing</t>
  </si>
  <si>
    <t>IEEE Symposium on Visualization for Cyber Security</t>
  </si>
  <si>
    <t>IEEE Symposium Series on Computational Intelligence</t>
  </si>
  <si>
    <t>IEEE Systems Journal</t>
  </si>
  <si>
    <t>IEEE Transactions on Automation Science and Engineering</t>
  </si>
  <si>
    <t>IEEE Transactions on Autonomous Mental Development</t>
  </si>
  <si>
    <t>IEEE Transactions on Big Data</t>
  </si>
  <si>
    <t>IEEE Transactions on Computational Intelligence and AI in Games</t>
  </si>
  <si>
    <t>IEEE Transactions on Industrial Informatics</t>
  </si>
  <si>
    <t>IEEE Transactions on Information Forensics and Security</t>
  </si>
  <si>
    <t>IEEE Transactions on NanoBioscience</t>
  </si>
  <si>
    <t>IEEE Transactions on Network and Service Management</t>
  </si>
  <si>
    <t>IEEE Transactions on Services Computing</t>
  </si>
  <si>
    <t>IEEE Vehicular Networking Conference</t>
  </si>
  <si>
    <t>IEEE Vehicular Technology Conference</t>
  </si>
  <si>
    <t>IEEE Visualization Conference</t>
  </si>
  <si>
    <t>IEEE VLSI Test Symposium</t>
  </si>
  <si>
    <t>IEEE Wireless Communications and Networking Conference</t>
  </si>
  <si>
    <t>IEEE Wireless Health</t>
  </si>
  <si>
    <t>IEEE Working Conference on Software Visualization</t>
  </si>
  <si>
    <t xml:space="preserve">IEEE Workshop on Applications of Signal Processing to Audio and Acoustics </t>
  </si>
  <si>
    <t>IEEE Workshop on Spoken Language Technology</t>
  </si>
  <si>
    <t>IEEE/ACIS International Conference on Computer and Information Science</t>
  </si>
  <si>
    <t>IEEE/ACIS International Conference on Software Engineering Research, Management and Applications</t>
  </si>
  <si>
    <t>IEEE/ACM International Conference on Advances in Social Networks Analysis and Mining</t>
  </si>
  <si>
    <t>IEEE/ACM International Conference on Global Software Engineering</t>
  </si>
  <si>
    <t>IEEE/ACM International Conference on Program Comprehension</t>
  </si>
  <si>
    <t>IEEE/ACM International Conference on Utility and Cloud Computing</t>
  </si>
  <si>
    <t>IEEE/ACM International Symposium on Cluster, Cloud and Grid Computing</t>
  </si>
  <si>
    <t>IEEE/ACM International Symposium on Distributed Simulation and Real Time Applications</t>
  </si>
  <si>
    <t>IEEE/ACM International Symposium on Microarchitecture</t>
  </si>
  <si>
    <t>IEEE/ACM International Symposium on Networks-on-Chip</t>
  </si>
  <si>
    <t>IEEE/ACM International Symposium on Quality of Service</t>
  </si>
  <si>
    <t>IEEE/ASME International Conference on Advanced Intelligent Mechatronics</t>
  </si>
  <si>
    <t>IEEE/EG International Symposium on Volume Graphics</t>
  </si>
  <si>
    <t>IEEE/IFIP Network Operations and Management Symposium</t>
  </si>
  <si>
    <t>IEEE/RSJ International Conference on Intelligent Robots and Systems</t>
  </si>
  <si>
    <t>IEEE/WIC/ACM International Conference on Intelligent Agent Technology</t>
  </si>
  <si>
    <t>IEEE/WIC/ACM International Conference on Web Intelligence</t>
  </si>
  <si>
    <t>IEICE Electronics Express</t>
  </si>
  <si>
    <t>IEICE Transactions on Electronics</t>
  </si>
  <si>
    <t>IEICE Transactions on Fundamentals of Electronics, Communications and Computer Sciences</t>
  </si>
  <si>
    <t>IET Biometrics</t>
  </si>
  <si>
    <t>IET Communications</t>
  </si>
  <si>
    <t>IET Computer Vision</t>
  </si>
  <si>
    <t>IET Computers &amp; Digital Techniques</t>
  </si>
  <si>
    <t>IET Image Processing</t>
  </si>
  <si>
    <t>IET Signal Processing</t>
  </si>
  <si>
    <t>IET Software</t>
  </si>
  <si>
    <t xml:space="preserve">IFAC Workshop on Distributed Estimation and Control in Networked Systems </t>
  </si>
  <si>
    <t>IFIP Advances in Information and Communication Technology</t>
  </si>
  <si>
    <t>IFIP Conference on Distributed and Parallel Embedded Systems</t>
  </si>
  <si>
    <t>IFIP International Conference on Distributed Applications and Interoperable Systems</t>
  </si>
  <si>
    <t>IFIP International Conference on Network and Parallel Computing</t>
  </si>
  <si>
    <t>IFIP International Conference on New Technologies, Mobility and Security</t>
  </si>
  <si>
    <t>IFIP International Conference on Theoretical Computer Science</t>
  </si>
  <si>
    <t>IFIP International Information Security Conference</t>
  </si>
  <si>
    <t>IFIP Networking</t>
  </si>
  <si>
    <t>IFIP WG 11.3 Conference on Data and Applications Security and Privacy</t>
  </si>
  <si>
    <t>IFIP WG 11.9 International Conference on Digital Forensics</t>
  </si>
  <si>
    <t>IFIP WG 8.2 Working Conference</t>
  </si>
  <si>
    <t>IFIP WG 8.3 on Decision Support Systems</t>
  </si>
  <si>
    <t>IFIP WG 8.6 Working Conference</t>
  </si>
  <si>
    <t>IFIP Wireless Days</t>
  </si>
  <si>
    <t>IFIP World Computer Congress</t>
  </si>
  <si>
    <t>IFIP World Conference on Computers in Education</t>
  </si>
  <si>
    <t>IFIP/IEEE International Conference on Very Large Scale Integration</t>
  </si>
  <si>
    <t xml:space="preserve">IFIP/IEEE International Symposium on Integrated Network Management </t>
  </si>
  <si>
    <t>IHM - Interaction Homme-Machine</t>
  </si>
  <si>
    <t>IMA International Conference on Cryptography and Coding</t>
  </si>
  <si>
    <t>Image and Signal Processing and Analysis</t>
  </si>
  <si>
    <t>Indian Conference on Computer Vision, Graphics and Image Processing</t>
  </si>
  <si>
    <t>Indian International Conference on Artificial Intelligence</t>
  </si>
  <si>
    <t>Industrial Conference on Data Mining</t>
  </si>
  <si>
    <t>Informatica</t>
  </si>
  <si>
    <t>Information Hiding Conference</t>
  </si>
  <si>
    <t>Information Retrieval Facility Conference</t>
  </si>
  <si>
    <t>Information Security Conference</t>
  </si>
  <si>
    <t>Information Security Curriculum Development Conference</t>
  </si>
  <si>
    <t>Information Security for South Africa</t>
  </si>
  <si>
    <t>Information Technology in Educational Management</t>
  </si>
  <si>
    <t>Information Visualization</t>
  </si>
  <si>
    <t>Innovations in Software Engineering Conference</t>
  </si>
  <si>
    <t>Innovations in Systems and Software Engineering</t>
  </si>
  <si>
    <t>Innovations in Theoretical Computer Science Conference</t>
  </si>
  <si>
    <t>Integration</t>
  </si>
  <si>
    <t>Intel Technology Journal</t>
  </si>
  <si>
    <t>Intelligent Data Analysis</t>
  </si>
  <si>
    <t>Intelligent Decision Technologies</t>
  </si>
  <si>
    <t>International ABZ Conference ASM, Alloy, B, TLA, VDM and Z</t>
  </si>
  <si>
    <t>International ACM Conference on 3D Web Technology</t>
  </si>
  <si>
    <t>International ACM Symposium on High-Performance Parallel and Distributed Computing</t>
  </si>
  <si>
    <t>International and Interdisciplinary Conference on Modeling and Using Context</t>
  </si>
  <si>
    <t>International Baltic Conference on Databases and Information Systems</t>
  </si>
  <si>
    <t>International BCS Human Computer Interaction Conference</t>
  </si>
  <si>
    <t>International C* Conference on Computer Science &amp; Software Engineering</t>
  </si>
  <si>
    <t>International Colloquium on Structural Information and Communication Complexity</t>
  </si>
  <si>
    <t>International Colloquium on Theoretical Aspects of Computing</t>
  </si>
  <si>
    <t>International Computer Science Symposium in Russia</t>
  </si>
  <si>
    <t>International Conference &amp; Workshop on Emerging Trends in Technology</t>
  </si>
  <si>
    <t>International Conference for High Performance Computing, Networking, Storage, and Analysis</t>
  </si>
  <si>
    <t>International Conference Implementation and Application of Automata</t>
  </si>
  <si>
    <t>International Conference in Cryptology in India</t>
  </si>
  <si>
    <t>International Conference Informatics in Control, Automation and Robotics</t>
  </si>
  <si>
    <t>International Conference of the Biometrics Special Interest Group</t>
  </si>
  <si>
    <t>International Conference of the Catalan Association for Artificial Intelligence</t>
  </si>
  <si>
    <t>International Conference of the Chilean Computer Science Society</t>
  </si>
  <si>
    <t>International Conference of the Italian Association for Artificial Intelligence</t>
  </si>
  <si>
    <t>International Conference on 3D Vision</t>
  </si>
  <si>
    <t>International Conference on 3D Web Technology</t>
  </si>
  <si>
    <t>International Conference on Active Media Technology</t>
  </si>
  <si>
    <t>International Conference on Ad Hoc Networks and Wireless</t>
  </si>
  <si>
    <t>International Conference on Adaptive and Intelligent Systems</t>
  </si>
  <si>
    <t>International Conference on Advanced Concepts for Intelligent Vision Systems</t>
  </si>
  <si>
    <t>International Conference on Advanced Data Mining and Applications</t>
  </si>
  <si>
    <t>International Conference on Advanced Parallel Processing Technology</t>
  </si>
  <si>
    <t>International Conference on Advances in Computing and Communications</t>
  </si>
  <si>
    <t>International Conference on Advances in Mobile Computing &amp; Multimedia</t>
  </si>
  <si>
    <t>International Conference on Advances in Natural Language Processing</t>
  </si>
  <si>
    <t>International Conference on Affective Computing and Intelligent Interaction</t>
  </si>
  <si>
    <t>International Conference on Agent and Multi-Agent Systems: Technology and Applications</t>
  </si>
  <si>
    <t>International Conference on Agile Software Development</t>
  </si>
  <si>
    <t>International Conference on Algebraic Informatics</t>
  </si>
  <si>
    <t>International Conference on Algorithmic Decision Theory</t>
  </si>
  <si>
    <t>International Conference on Algorithmic Learning Theory</t>
  </si>
  <si>
    <t>International Conference on Algorithms and Complexity</t>
  </si>
  <si>
    <t>International Conference on Analytical and Stochastic Modeling Techniques and Applications</t>
  </si>
  <si>
    <t>International Conference on Application and Theory of Petri Nets and Concurrency</t>
  </si>
  <si>
    <t>International Conference on Application of Concurrency to System Design</t>
  </si>
  <si>
    <t>International Conference on Applications of Declarative Programming and Knowledge Management</t>
  </si>
  <si>
    <t>International Conference on Applications of Natural Language to Information Systems</t>
  </si>
  <si>
    <t>International Conference on Applied Cryptography and Network Security</t>
  </si>
  <si>
    <t>International Conference on Approximation Algorithms for Combinatorial Optimization Problems</t>
  </si>
  <si>
    <t>International Conference on Architecture of Computing Systems</t>
  </si>
  <si>
    <t>International Conference on Articulated Motion and Deformable Objects</t>
  </si>
  <si>
    <t>International Conference on Artificial Evolution</t>
  </si>
  <si>
    <t>International Conference on Artificial Immune Systems</t>
  </si>
  <si>
    <t>International Conference on Artificial Intellgence and Law</t>
  </si>
  <si>
    <t>International Conference on Artificial Intelligence</t>
  </si>
  <si>
    <t>International Conference on Artificial Intelligence and Pattern Recognition</t>
  </si>
  <si>
    <t>International Conference on Artificial Intelligence and Statistics</t>
  </si>
  <si>
    <t>International Conference on Artificial Intelligence and Symbolic Computation</t>
  </si>
  <si>
    <t>International Conference on Artificial Intelligence in Education</t>
  </si>
  <si>
    <t>International Conference on Artificial Neural Networks</t>
  </si>
  <si>
    <t>International Conference on Artificial Reality and Telexistence</t>
  </si>
  <si>
    <t>International Conference on Aspect-Oriented Software Development</t>
  </si>
  <si>
    <t>International Conference on Auditory Display</t>
  </si>
  <si>
    <t>International Conference on Automated Deduction</t>
  </si>
  <si>
    <t>International Conference on Automated Planning and Scheduling</t>
  </si>
  <si>
    <t>International Conference on Automated Reasoning with Analytic Tableaux and Related Methods</t>
  </si>
  <si>
    <t>International Conference on Automation, Robotics and Applications</t>
  </si>
  <si>
    <t>International Conference on Autonomic Computing</t>
  </si>
  <si>
    <t>International Conference on Autonomous Infrastructure, Management, and Security</t>
  </si>
  <si>
    <t xml:space="preserve">International Conference on Availability, Reliability and Security </t>
  </si>
  <si>
    <t>International Conference on Big Data Innovations and Applications</t>
  </si>
  <si>
    <t>International Conference on Bioinformatics &amp; Computational Biology</t>
  </si>
  <si>
    <t>International Conference on Bioinformatics and Computational Biology</t>
  </si>
  <si>
    <t>International Conference on Bio-Inspired Computing: Theories and Applications</t>
  </si>
  <si>
    <t>International Conference on Bioinspired Optimization Methods and their Applications</t>
  </si>
  <si>
    <t>International Conference on Biometrics</t>
  </si>
  <si>
    <t>International Conference on Brain Informatics</t>
  </si>
  <si>
    <t>International Conference on Business Information Systems</t>
  </si>
  <si>
    <t>International Conference on Case-Based Reasoning Research and Development</t>
  </si>
  <si>
    <t>International Conference on Cellular Automata for Research and Industry</t>
  </si>
  <si>
    <t>International Conference on Cloud Computing</t>
  </si>
  <si>
    <t>International Conference on Cloud Computing and Services Science</t>
  </si>
  <si>
    <t>International Conference on Collaboration and Technology</t>
  </si>
  <si>
    <t>International Conference on Collaboration Technologies and Systems</t>
  </si>
  <si>
    <t>International Conference on Collaborative Computing: Networking, Applications and Worksharing</t>
  </si>
  <si>
    <t>International Conference on COMmunication System softWAre and middlewaRE</t>
  </si>
  <si>
    <t>International Conference on COMmunication Systems &amp; NETworkS</t>
  </si>
  <si>
    <t>International Conference on Communications and Mobile Computing</t>
  </si>
  <si>
    <t>International Conference on Communications and Multimedia Security</t>
  </si>
  <si>
    <t>International Conference on Communities and Technologies</t>
  </si>
  <si>
    <t>International Conference on Compilers, Architecture, and Synthesis for Embedded Systems</t>
  </si>
  <si>
    <t xml:space="preserve">International Conference on Complex, Intelligent, and Software Intensive Systems </t>
  </si>
  <si>
    <t>International Conference on Computational Aspects of Social Networks</t>
  </si>
  <si>
    <t>International Conference on Computational Collective Intelligence</t>
  </si>
  <si>
    <t>International Conference on Computational Intelligence and Security</t>
  </si>
  <si>
    <t>International Conference on Computational Intelligence in Security for Information Systems</t>
  </si>
  <si>
    <t>International Conference on Computational Intelligence, Communication Systems and Networks</t>
  </si>
  <si>
    <t>International Conference on Computational Logistics</t>
  </si>
  <si>
    <t>International Conference on Computational Methods in Systems Biology</t>
  </si>
  <si>
    <t>International Conference on Computational Models of Argument</t>
  </si>
  <si>
    <t>International Conference on Computational Science and its Applications</t>
  </si>
  <si>
    <t>International Conference on Computer Aided Design</t>
  </si>
  <si>
    <t>International Conference on Computer Aided Systems Theory</t>
  </si>
  <si>
    <t>International Conference on Computer Analysis of Images and Patterns</t>
  </si>
  <si>
    <t>International Conference on Computer as a Tool</t>
  </si>
  <si>
    <t>International Conference on Computer Graphics Theory and Applications</t>
  </si>
  <si>
    <t>International Conference on Computer Information Systems and Industrial Management Applications</t>
  </si>
  <si>
    <t>International Conference on Computer Safety, Reliability, and Security</t>
  </si>
  <si>
    <t>International Conference on Computer Vision Systems</t>
  </si>
  <si>
    <t>International Conference on Computer Vision Theory and Applications</t>
  </si>
  <si>
    <t>International Conference on Computer-Aided Design and Computer Graphics</t>
  </si>
  <si>
    <t>International Conference on Computers and Games</t>
  </si>
  <si>
    <t>International Conference on Computers Helping People with Special Needs</t>
  </si>
  <si>
    <t>International Conference on Computing and Combinatorics</t>
  </si>
  <si>
    <t>International Conference on Computing for Geospatial Research and Application</t>
  </si>
  <si>
    <t>International Conference on Computing, Networking and Communications</t>
  </si>
  <si>
    <t>International Conference on Computing: Theory and Applications</t>
  </si>
  <si>
    <t>International Conference on Concept Lattices and Their Applications</t>
  </si>
  <si>
    <t>International Conference on Control and Robotics Engineering</t>
  </si>
  <si>
    <t>International Conference on Cooperative Design, Visualization and Engineering</t>
  </si>
  <si>
    <t>International Conference on Cooperative Information Systems</t>
  </si>
  <si>
    <t>International Conference on Coordination Models and Languages</t>
  </si>
  <si>
    <t>International Conference on Creating, Connecting and Collaborating through Computing</t>
  </si>
  <si>
    <t>International Conference on Critical Information Infrastructures Security</t>
  </si>
  <si>
    <t>International Conference on Cryptology and Information Security in Latin America</t>
  </si>
  <si>
    <t>International Conference on Cryptology And Network Security</t>
  </si>
  <si>
    <t>International Conference on Cryptology in Africa</t>
  </si>
  <si>
    <t>International Conference on Cryptology in Vietnam</t>
  </si>
  <si>
    <t>International Conference on Current Trends in Theory and Practice of Computer Science</t>
  </si>
  <si>
    <t>International Conference on Curves and Surfaces</t>
  </si>
  <si>
    <t>International Conference on Cyber Security and Protection of Digital Services</t>
  </si>
  <si>
    <t>International Conference on Cyberworlds</t>
  </si>
  <si>
    <t>International Conference on Data Integration in the Life Sciences</t>
  </si>
  <si>
    <t>International Conference on Data Management in Grid and Peer-to-Peer Systems</t>
  </si>
  <si>
    <t>International Conference on Data Mining</t>
  </si>
  <si>
    <t>International Conference on Data Mining and Optimization</t>
  </si>
  <si>
    <t>International Conference on Decision and Game Theory for Security</t>
  </si>
  <si>
    <t>International Conference on Deontic Logic and Normative Systems</t>
  </si>
  <si>
    <t>International Conference on Descriptional Complexity of Formal Systems</t>
  </si>
  <si>
    <t>International Conference on Detection of Intrusions and Malware &amp; Vulnerability Assessment</t>
  </si>
  <si>
    <t>International Conference on Development and Learning</t>
  </si>
  <si>
    <t>International Conference on Developments in Language Theory</t>
  </si>
  <si>
    <t>International Conference on Digital Enterprise Technology</t>
  </si>
  <si>
    <t>International Conference on Digital Government Research</t>
  </si>
  <si>
    <t>International Conference on Digital Heritage</t>
  </si>
  <si>
    <t>International Conference on Digital Image Computing: Techniques and Applications</t>
  </si>
  <si>
    <t>International Conference on Digital Information and Communication Technology and its Applications</t>
  </si>
  <si>
    <t>International Conference on Digital Information Management</t>
  </si>
  <si>
    <t>International Conference on Digital Manufacturing and Automation</t>
  </si>
  <si>
    <t>International Conference on Discovery Science</t>
  </si>
  <si>
    <t>International Conference on Discrete Geometry for Computer Imagery</t>
  </si>
  <si>
    <t>International Conference on Distributed Computing and Artificial Intelligence</t>
  </si>
  <si>
    <t>International Conference on Distributed Computing in Sensor Systems</t>
  </si>
  <si>
    <t>International Conference on Distributed Multimedia Systems</t>
  </si>
  <si>
    <t>International Conference on Distributed Smart Cameras</t>
  </si>
  <si>
    <t>International Conference on DNA Computing and Molecular Programming</t>
  </si>
  <si>
    <t>International Conference on Document Analysis and Recognition</t>
  </si>
  <si>
    <t>International Conference on Economics of Grids, Clouds, Systems, and Services</t>
  </si>
  <si>
    <t>International Conference on Education Technology and Computers</t>
  </si>
  <si>
    <t>International Conference on Educational Data Mining</t>
  </si>
  <si>
    <t>International Conference on e-Health</t>
  </si>
  <si>
    <t>International Conference on E-health Networking, Application &amp; Services</t>
  </si>
  <si>
    <t>International Conference on E-learning and Games</t>
  </si>
  <si>
    <t>International Conference on E-Learning, E-Business, Enterprise Information Systems, &amp; E-Government</t>
  </si>
  <si>
    <t>International Conference on Electrical Engineering, Computing Science and Automatic Control</t>
  </si>
  <si>
    <t>International Conference on Electronic and Mechanical Engineering and Information Technology</t>
  </si>
  <si>
    <t>International Conference on Electronic Commerce</t>
  </si>
  <si>
    <t>International Conference on Electronic Commerce and Web Technologies</t>
  </si>
  <si>
    <t>International Conference on Electronic Government and the Information Systems Perspective</t>
  </si>
  <si>
    <t>International Conference on Electronic Participation</t>
  </si>
  <si>
    <t>International Conference on Electronic Publishing</t>
  </si>
  <si>
    <t>International Conference on Embedded Computer Systems: Architectures, MOdeling, and Simulation</t>
  </si>
  <si>
    <t>International Conference on Embedded Software</t>
  </si>
  <si>
    <t>International Conference on Embedded Software Systems</t>
  </si>
  <si>
    <t>International Conference on Embedded Systems and Applications</t>
  </si>
  <si>
    <t>International Conference on Embedded Wireless Systems and Networks</t>
  </si>
  <si>
    <t>International Conference on Emerging Technologies And Factory Automation</t>
  </si>
  <si>
    <t>International Conference on Emerging Trends in Engineering and Technology</t>
  </si>
  <si>
    <t>International Conference on Energy Minimization Methods in Computer Vision and Pattern Recognition</t>
  </si>
  <si>
    <t>International Conference on Engineering Applications of Neural Networks</t>
  </si>
  <si>
    <t>International Conference on Engineering of Complex Computer Systems</t>
  </si>
  <si>
    <t>International Conference on Engineering of Reconfigurable Systems and Algorithms</t>
  </si>
  <si>
    <t>International Conference on Enterprise Information Systems</t>
  </si>
  <si>
    <t>International Conference on Environmental Science and Information Application Technology</t>
  </si>
  <si>
    <t>International Conference on Evaluation of Novel Approaches to Software Engineering</t>
  </si>
  <si>
    <t>International Conference on Evolutionary Multi-Criterion Optimization</t>
  </si>
  <si>
    <t>International Conference on Extreme Programming and Agile Processes in Software Engineering</t>
  </si>
  <si>
    <t>International Conference on Fast Software Encryption</t>
  </si>
  <si>
    <t>International Conference on Field and Service Robotics</t>
  </si>
  <si>
    <t>International Conference on Field-Programmable Logic and Applications</t>
  </si>
  <si>
    <t>International Conference on Financial Cryptography and Data Security</t>
  </si>
  <si>
    <t>International Conference on Finite State Methods and Natural Language Processing</t>
  </si>
  <si>
    <t>International Conference on Flexible Query Answering Systems</t>
  </si>
  <si>
    <t>International Conference on Formal Concept Analysis</t>
  </si>
  <si>
    <t>International Conference on Formal Engineering Methods</t>
  </si>
  <si>
    <t>International Conference on Formal Grammar</t>
  </si>
  <si>
    <t>International Conference on Formal Methods and Models for System Design</t>
  </si>
  <si>
    <t>International Conference on Formal Methods for Industrial Critical Systems</t>
  </si>
  <si>
    <t>International Conference on Formal Methods for Open Object-Based Distributed Systems</t>
  </si>
  <si>
    <t>International Conference on Formal Modeling and Analysis of Timed Systems</t>
  </si>
  <si>
    <t xml:space="preserve">International Conference on Formal Ontology in Information Systems </t>
  </si>
  <si>
    <t>International Conference on Formal Structures for Computation and Deduction</t>
  </si>
  <si>
    <t>International Conference on Formal Techniques for Distributed Objects, Components, and Systems</t>
  </si>
  <si>
    <t>International Conference on Frontiers of Information Technology</t>
  </si>
  <si>
    <t>International Conference on Fun with Algorithms</t>
  </si>
  <si>
    <t>International Conference on Functional Imaging and Modeling of the Heart</t>
  </si>
  <si>
    <t>International Conference on Fundamental Approaches to Software Engineering</t>
  </si>
  <si>
    <t>International Conference on Fundamentals of Software Engineering</t>
  </si>
  <si>
    <t>International Conference on Future Generation Communication and Networking</t>
  </si>
  <si>
    <t>International Conference on Future Information Technology</t>
  </si>
  <si>
    <t>International Conference on Future Internet of Things and Cloud</t>
  </si>
  <si>
    <t>International Conference on Generative Programming: Concepts &amp; Experience</t>
  </si>
  <si>
    <t>International Conference on Genetic and Evolutionary Computing</t>
  </si>
  <si>
    <t>International Conference on Genetic and Evolutionary Methods</t>
  </si>
  <si>
    <t>International Conference on Geographic Information Science</t>
  </si>
  <si>
    <t>International Conference on Geometric Modeling and Processing</t>
  </si>
  <si>
    <t>International Conference on Green, Pervasive and Cloud Computing</t>
  </si>
  <si>
    <t>International Conference on Hardware Software Codesign</t>
  </si>
  <si>
    <t>International Conference on Hardware/Software Codesign and System Synthesis</t>
  </si>
  <si>
    <t>International Conference on High Performance Computing &amp; Simulation</t>
  </si>
  <si>
    <t>International Conference on Human Computer Interaction</t>
  </si>
  <si>
    <t>International Conference on Human Factors in Computing and Informatics</t>
  </si>
  <si>
    <t>International Conference on Hybrid Intelligent Systems</t>
  </si>
  <si>
    <t>International Conference on Hybrid Systems: Computation and Control</t>
  </si>
  <si>
    <t>International Conference on Image Analysis and Processing</t>
  </si>
  <si>
    <t>International Conference on Image Analysis and Recognition</t>
  </si>
  <si>
    <t>International Conference on Image and Signal Processing</t>
  </si>
  <si>
    <t>International Conference on Image Processing, Computer Vision, &amp; Pattern Recognition</t>
  </si>
  <si>
    <t>International Conference on Indoor Positioning and Indoor Navigation</t>
  </si>
  <si>
    <t>International Conference on Inductive Logic Programming</t>
  </si>
  <si>
    <t>International Conference on Industrial Applications of Holonic and Multi-Agent Systems</t>
  </si>
  <si>
    <t>International Conference on Industrial, Engineering and Other Applications of Applied Intelligent Systems</t>
  </si>
  <si>
    <t>International Conference on Informatics and Systems</t>
  </si>
  <si>
    <t>International Conference on Informatics in Secondary Schools</t>
  </si>
  <si>
    <t>International Conference on Informatics, Management and Technology in Healthcare</t>
  </si>
  <si>
    <t>International Conference on Information &amp; Knowledge Engineering</t>
  </si>
  <si>
    <t>International Conference on Information and Communication Technologies and Accessibility</t>
  </si>
  <si>
    <t>International Conference on Information Integration and Web-based Applications &amp; Services</t>
  </si>
  <si>
    <t>International Conference on Information Modelling and Knowledge Bases</t>
  </si>
  <si>
    <t>International Conference on Information Networking</t>
  </si>
  <si>
    <t>International Conference on Information Processing and Management of Uncertainty in Knowledge-Based Systems</t>
  </si>
  <si>
    <t>International Conference on Information Processing in Computer-Assisted Interventions</t>
  </si>
  <si>
    <t>International Conference on Information Science and Applications</t>
  </si>
  <si>
    <t>International Conference on Information Science, Signal Processing and their Applications</t>
  </si>
  <si>
    <t>International Conference on Information Security and Assurance</t>
  </si>
  <si>
    <t>International Conference on Information Security and Cryptology</t>
  </si>
  <si>
    <t>International Conference on Information Security Practice and Experience</t>
  </si>
  <si>
    <t>International Conference on Information Security Theory and Practice</t>
  </si>
  <si>
    <t>International Conference on Information Systems for Crisis Response and Management</t>
  </si>
  <si>
    <t>International Conference on Information Systems Security</t>
  </si>
  <si>
    <t>International Conference on Information Technologies in Environmental Engineering</t>
  </si>
  <si>
    <t>International Conference on Information Technology Based Higher Education and Training</t>
  </si>
  <si>
    <t>International Conference on Information Technology in Bio- and Medical Informatics</t>
  </si>
  <si>
    <t>International Conference on Information Technology Interfaces</t>
  </si>
  <si>
    <t>International Conference on Information Technology: New Generations</t>
  </si>
  <si>
    <t>International Conference on Information Theoretic Security</t>
  </si>
  <si>
    <t>International Conference on Information Visualisation</t>
  </si>
  <si>
    <t>International Conference on Information Visualization Theory and Applications</t>
  </si>
  <si>
    <t>International Conference on Innovations for Community Services</t>
  </si>
  <si>
    <t>International Conference on Innovative Mobile and Internet Services in Ubiquitous Computing</t>
  </si>
  <si>
    <t>International Conference on Integer Programming and Combinatorial Optimization</t>
  </si>
  <si>
    <t>International Conference on integrated Formal Methods</t>
  </si>
  <si>
    <t>International Conference on Intelligent Computer Mathematics</t>
  </si>
  <si>
    <t>International Conference on Intelligent Computing</t>
  </si>
  <si>
    <t>International Conference on Intelligent Data Engineering and Automated Learning</t>
  </si>
  <si>
    <t>International Conference on Intelligent Environments</t>
  </si>
  <si>
    <t>International Conference on Intelligent Human Computer Interaction</t>
  </si>
  <si>
    <t>International Conference on Intelligent Robotics and Applications</t>
  </si>
  <si>
    <t xml:space="preserve">International Conference on Intelligent Sensors, Sensor Networks and Information Processing </t>
  </si>
  <si>
    <t>International Conference on Intelligent Software Methodologies, Tools, and Techniques</t>
  </si>
  <si>
    <t>International Conference on Intelligent Systems Design and Applications</t>
  </si>
  <si>
    <t>International Conference on Intelligent Tutoring Systems</t>
  </si>
  <si>
    <t>International Conference on Intelligent User Interfaces</t>
  </si>
  <si>
    <t>International Conference on Interaction Sciences</t>
  </si>
  <si>
    <t>International Conference on Interactive Digital Storytelling</t>
  </si>
  <si>
    <t>International Conference on Interactive Theorem Proving</t>
  </si>
  <si>
    <t>International Conference on Internet and Distributed Computing Systems</t>
  </si>
  <si>
    <t>International Conference on Internet Computing and Internet of Things</t>
  </si>
  <si>
    <t>International Conference on Internet Science</t>
  </si>
  <si>
    <t>International Conference on Interoperability for Enterprise Systems and Applications</t>
  </si>
  <si>
    <t>International Conference on IT Revolutions</t>
  </si>
  <si>
    <t>International Conference on IT Security Incident Management &amp; IT Forensics</t>
  </si>
  <si>
    <t>International Conference on Knowledge Capture</t>
  </si>
  <si>
    <t>International Conference on Knowledge Discovery and Information Retrieval</t>
  </si>
  <si>
    <t>International Conference on Knowledge Engineering and Knowledge Management</t>
  </si>
  <si>
    <t>International Conference on Knowledge Technologies and Data-driven Business</t>
  </si>
  <si>
    <t>International Conference on Knowledge-Based and Intelligent Information &amp; Engineering Systems</t>
  </si>
  <si>
    <t>International Conference on Language and Automata Theory and Applications</t>
  </si>
  <si>
    <t>International Conference on Language Processing and Intelligent Information Systems</t>
  </si>
  <si>
    <t>International Conference on Language Resources and Evaluation</t>
  </si>
  <si>
    <t>International Conference on Large-Scale Scientific Computations</t>
  </si>
  <si>
    <t>International Conference on Latent Variable Analysis and Signal Separation</t>
  </si>
  <si>
    <t>International Conference on Learning Analytics and Knowledge</t>
  </si>
  <si>
    <t>International Conference on Life System Modeling and Simulation</t>
  </si>
  <si>
    <t>International Conference on Location Based Services</t>
  </si>
  <si>
    <t>International Conference on Logic for Programming, Artificial Intelligence, and Reasoning</t>
  </si>
  <si>
    <t>International Conference on Logic Programming</t>
  </si>
  <si>
    <t>International Conference on Logic, Rationality and Interaction</t>
  </si>
  <si>
    <t>International Conference on Logistics, Informatics and Service Sciences</t>
  </si>
  <si>
    <t>International Conference on Machine Learning and Data Mining in Pattern Recognition</t>
  </si>
  <si>
    <t>International Conference on Machine Vision, Image Processing and Pattern Analysis</t>
  </si>
  <si>
    <t>International Conference on Machines, Computations, and Universality</t>
  </si>
  <si>
    <t>International Conference on Managed Languages &amp; Runtimes</t>
  </si>
  <si>
    <t>International Conference on Management of Digital EcoSystems</t>
  </si>
  <si>
    <t>International Conference on Mass Data Analysis of Images and Signals</t>
  </si>
  <si>
    <t>International Conference on Massive Storage Systems and Technology</t>
  </si>
  <si>
    <t>International Conference on Mathematics and Computation in Music</t>
  </si>
  <si>
    <t>International Conference on Mathematics of Program Construction</t>
  </si>
  <si>
    <t>International Conference on Medical Imaging and Augmented Reality</t>
  </si>
  <si>
    <t>International Conference on Membrane Computing</t>
  </si>
  <si>
    <t>International Conference on Metadata and Semantics Research</t>
  </si>
  <si>
    <t>International Conference on Microelectronic Systems Education</t>
  </si>
  <si>
    <t>International Conference on Mining Software Repositories</t>
  </si>
  <si>
    <t>International Conference on Mobile Ad-hoc and Sensor Networks</t>
  </si>
  <si>
    <t>International Conference on Mobile and Ubiquitous Multimedia</t>
  </si>
  <si>
    <t>International Conference on Mobile Business</t>
  </si>
  <si>
    <t>International Conference on Mobile Network Software-ization and Mobile Middleware</t>
  </si>
  <si>
    <t>International Conference on Model and Data Engineering</t>
  </si>
  <si>
    <t>International Conference on Modeling Decisions for Artificial Intelligence</t>
  </si>
  <si>
    <t>International Conference on Modeling, Simulation and Visualization Methods</t>
  </si>
  <si>
    <t>International Conference on Modelling &amp; Simulation</t>
  </si>
  <si>
    <t>International Conference on Modelling, Computation and Optimization in Information Systems and Management Sciences</t>
  </si>
  <si>
    <t>International Conference on Movement and Computing</t>
  </si>
  <si>
    <t>International Conference on Multimedia and Ubiquitous Engineering</t>
  </si>
  <si>
    <t>International Conference on Multimedia Modeling</t>
  </si>
  <si>
    <t>International Conference on Natural Computation, Fuzzy Systems and Knowledge Discovery</t>
  </si>
  <si>
    <t>International Conference on Natural Language Generation</t>
  </si>
  <si>
    <t>International Conference on Natural Language Processing and Knowledge Engineering</t>
  </si>
  <si>
    <t>International Conference on Network and System Security</t>
  </si>
  <si>
    <t>International Conference on Network Games, Control and Optimization</t>
  </si>
  <si>
    <t>International Conference on Network-Based Information Systems</t>
  </si>
  <si>
    <t>International Conference on Networked Computing and Advanced Information Management</t>
  </si>
  <si>
    <t>International Conference on Networked Digital Technologies</t>
  </si>
  <si>
    <t>International Conference on Networking, Architecture, and Storage</t>
  </si>
  <si>
    <t>International Conference on Networks &amp; Communications</t>
  </si>
  <si>
    <t>International Conference on Neural Information Processing</t>
  </si>
  <si>
    <t>International Conference on New Technologies of Distributed Systems</t>
  </si>
  <si>
    <t>International Conference on Next Generation Mobile Applications, Security and Technologies</t>
  </si>
  <si>
    <t>International Conference on Next Generation Wired/Wireless Advanced Networks and Systems</t>
  </si>
  <si>
    <t>International Conference on Nonlinear Speech Processing</t>
  </si>
  <si>
    <t>International Conference on Numerical Methods and Applications</t>
  </si>
  <si>
    <t>International Conference on Objects and Databases</t>
  </si>
  <si>
    <t>International Conference on Ontologies, DataBases, and Applications of Semantics</t>
  </si>
  <si>
    <t>International Conference on Open Source Systems</t>
  </si>
  <si>
    <t>International Conference on Optical Network Design and Modeling</t>
  </si>
  <si>
    <t>International Conference on P2P, Parallel, Grid, Cloud and Internet Computing</t>
  </si>
  <si>
    <t>International Conference on Parallel and Distributed Processing Techniques and Applications</t>
  </si>
  <si>
    <t>International Conference on Parallel Architectures and Compilation Techniques</t>
  </si>
  <si>
    <t>International Conference on Parallel Computing</t>
  </si>
  <si>
    <t>International Conference on Parallel Processing</t>
  </si>
  <si>
    <t>International Conference on Parsing Technologies</t>
  </si>
  <si>
    <t>International Conference on Pattern Recognition</t>
  </si>
  <si>
    <t>International Conference on Pattern Recognition and Machine Intelligence</t>
  </si>
  <si>
    <t>International Conference on Pattern Recognition Applications and Methods</t>
  </si>
  <si>
    <t>International Conference on Performance Engineering</t>
  </si>
  <si>
    <t>International Conference on Perspectives in Business Informatics Research</t>
  </si>
  <si>
    <t>International Conference on Pervasive Services</t>
  </si>
  <si>
    <t>International Conference on Practice and Theory of Public Key Cryptography</t>
  </si>
  <si>
    <t>International Conference on Principles and Practice of Constraint Programming</t>
  </si>
  <si>
    <t>International Conference on Principles Of DIstributed Systems</t>
  </si>
  <si>
    <t>International Conference on Principles of Security and Trust</t>
  </si>
  <si>
    <t>International Conference on Privacy, Security and Trust</t>
  </si>
  <si>
    <t>International Conference on Probabilistic Graphical Models</t>
  </si>
  <si>
    <t>International Conference on Product-Focused Software Process Improvement</t>
  </si>
  <si>
    <t>International Conference on Provable Security</t>
  </si>
  <si>
    <t>International Conference on Quality of Multimedia Experience</t>
  </si>
  <si>
    <t>International Conference on Quality Software</t>
  </si>
  <si>
    <t>International Conference on Quantitative Evaluation of Systems</t>
  </si>
  <si>
    <t>International Conference on Quantum Comunication and Quantum Networking</t>
  </si>
  <si>
    <t>International Conference on Quantum Interaction</t>
  </si>
  <si>
    <t>International Conference on Reliable Software Technologies - Ada-Europe</t>
  </si>
  <si>
    <t>International Conference on Runtime Verification</t>
  </si>
  <si>
    <t>International Conference on Scalable Uncertainty Management</t>
  </si>
  <si>
    <t>International Conference on Scale Space and Variational Methods in Computer Vision</t>
  </si>
  <si>
    <t>International Conference on Scientific Computing</t>
  </si>
  <si>
    <t>International Conference on Security and Cryptography for Networks</t>
  </si>
  <si>
    <t>International Conference on Selected Areas in Cryptography</t>
  </si>
  <si>
    <t>International Conference on Semantic Computing</t>
  </si>
  <si>
    <t>International Conference on Semantic Web &amp; Web Services</t>
  </si>
  <si>
    <t>International Conference on Semantics, Knowledge and Grids</t>
  </si>
  <si>
    <t>International Conference on Sequences and Their Applications</t>
  </si>
  <si>
    <t>International Conference on Service Oriented Computing</t>
  </si>
  <si>
    <t>International Conference on Signal Processing and Multimedia Applications</t>
  </si>
  <si>
    <t>International Conference on Signal-Image Technology &amp; Internet-Based Systems</t>
  </si>
  <si>
    <t>International Conference on Similarity Search and Applications</t>
  </si>
  <si>
    <t>International Conference on Simulated Evolution and Learning</t>
  </si>
  <si>
    <t>International Conference on Simulation and Modeling Methodologies, Technologies and Applications</t>
  </si>
  <si>
    <t>International Conference on Smart Cities and Green ICT Systems</t>
  </si>
  <si>
    <t>International Conference on Smart homes and health Telematics</t>
  </si>
  <si>
    <t>International Conference on Social Computing, Behavioral-Cultural Modeling, &amp; Prediction and Behavior Representation in Modeling and Simulation</t>
  </si>
  <si>
    <t>International Conference on Social Informatics</t>
  </si>
  <si>
    <t>International Conference on Soft Computing Models in Industrial and Environmental Applications</t>
  </si>
  <si>
    <t>International Conference on Soft Methods in Probability and Statistics</t>
  </si>
  <si>
    <t>International Conference on Software and Systems Process</t>
  </si>
  <si>
    <t>International Conference on Software Business</t>
  </si>
  <si>
    <t>International Conference on Software Composition</t>
  </si>
  <si>
    <t>International Conference on Software Engineering and Computer Systems</t>
  </si>
  <si>
    <t>International Conference on Software Engineering and Data Engineering</t>
  </si>
  <si>
    <t>International Conference on Software Engineering and Formal Methods</t>
  </si>
  <si>
    <t>International Conference on Software Engineering and Knowledge Engineering</t>
  </si>
  <si>
    <t>International Conference on Software Engineering Research &amp; Practice</t>
  </si>
  <si>
    <t>International Conference on Software Maintenance and Evolution</t>
  </si>
  <si>
    <t>International Conference on Software Reuse</t>
  </si>
  <si>
    <t>International Conference on Software Security and Reliability</t>
  </si>
  <si>
    <t>International Conference on Software Technologies</t>
  </si>
  <si>
    <t>International Conference on Spatial Cognition</t>
  </si>
  <si>
    <t>International Conference on Standardization and Innovation in Information Technology</t>
  </si>
  <si>
    <t>International Conference on Supercomputing</t>
  </si>
  <si>
    <t>International Conference on Swarm Intelligence</t>
  </si>
  <si>
    <t>International Conference on Swarm, Evolutionary, and Memetic Computing</t>
  </si>
  <si>
    <t>International Conference on Tangible, Embedded and Embodied Interactions</t>
  </si>
  <si>
    <t>International Conference on Technologies and Applications of Artificial Intelligence</t>
  </si>
  <si>
    <t>International Conference on Telecommunications</t>
  </si>
  <si>
    <t>International Conference on Telecommunications and Signal Processing</t>
  </si>
  <si>
    <t>International Conference on Tests and Proofs</t>
  </si>
  <si>
    <t>International Conference on Text, Speech and Dialogue</t>
  </si>
  <si>
    <t>International Conference on the Applications of Digital Information and Web Technologies</t>
  </si>
  <si>
    <t>International Conference on the Design of Cooperative Systems</t>
  </si>
  <si>
    <t>International Conference on the Design of Reliable Communication Networks</t>
  </si>
  <si>
    <t>International Conference on the Integration of Constraint Programming, Artificial Intelligence, and Operations Research</t>
  </si>
  <si>
    <t>International Conference on the Internet of Things</t>
  </si>
  <si>
    <t>International Conference on the Practice and Theory of Automated Timetabling</t>
  </si>
  <si>
    <t>International Conference on the Simulation of Adaptive Behavior</t>
  </si>
  <si>
    <t>International Conference on the Theory and Application of Diagrams</t>
  </si>
  <si>
    <t>International Conference on Theory and Practice of Electronic Governance</t>
  </si>
  <si>
    <t>International Conference on Tools with Artificial Intelligence</t>
  </si>
  <si>
    <t>International Conference on Trust and Privacy in Digital Business</t>
  </si>
  <si>
    <t>International Conference on Trust and Trustworthy Computing</t>
  </si>
  <si>
    <t>International Conference on Trusted Systems</t>
  </si>
  <si>
    <t>International Conference on Typed Lambda Calculi and Applications</t>
  </si>
  <si>
    <t>International Conference on Types for Proofs and Programs</t>
  </si>
  <si>
    <t>International Conference on Ubiquitous Information Management and Communication</t>
  </si>
  <si>
    <t>International Conference on Unconventional Computation and Natural Computation</t>
  </si>
  <si>
    <t>International Conference on Verification, Model Checking, and Abstract Interpretation</t>
  </si>
  <si>
    <t>International Conference on Verified Software: Theories, Tools, Experiments</t>
  </si>
  <si>
    <t>International Conference on Very Large Data Bases</t>
  </si>
  <si>
    <t>International Conference on Virtual Systems and Multimedia</t>
  </si>
  <si>
    <t>International Conference on Virtual Worlds and Games for Serious Applications</t>
  </si>
  <si>
    <t>International Conference on VLSI Design</t>
  </si>
  <si>
    <t>International Conference on Web Engineering</t>
  </si>
  <si>
    <t>International Conference on Web Information Systems and Technologies</t>
  </si>
  <si>
    <t>International Conference on Web Intelligence, Mining and Semantics</t>
  </si>
  <si>
    <t>International Conference on Web Services</t>
  </si>
  <si>
    <t>International Conference on Web-Based Learning</t>
  </si>
  <si>
    <t>International Conference on Wired/Wireless Internet Communication</t>
  </si>
  <si>
    <t>International Conference on Wireless Algorithms, Systems, and Applications</t>
  </si>
  <si>
    <t>International Conference on Wireless and Mobile Computing, Networking and Communications</t>
  </si>
  <si>
    <t>International Conference on Wireless and Ubiquitous Systems</t>
  </si>
  <si>
    <t>International Conference on Wireless Communications, Vehicular Technology, Information Theory and Aerospace &amp; Electronic Systems</t>
  </si>
  <si>
    <t>International Conference on Wireless Networks</t>
  </si>
  <si>
    <t>International Conference on Wireless Networks and Mobile Systems</t>
  </si>
  <si>
    <t>International Conference on Work with Computing Systems</t>
  </si>
  <si>
    <t>International Conference Recent Advances in Natural Language Processing</t>
  </si>
  <si>
    <t>International Convention on Information and Communication Technology, Electronics and Microelectronics</t>
  </si>
  <si>
    <t>International Cross-Disciplinary Conference on Web Accessibility</t>
  </si>
  <si>
    <t>International Embedded Systems Symposium</t>
  </si>
  <si>
    <t>International FLAIRS Conference</t>
  </si>
  <si>
    <t>International Florida Artificial Intelligence Research Society Conference</t>
  </si>
  <si>
    <t>International Frontiers of Algorithmics Workshop</t>
  </si>
  <si>
    <t>International Gesture Workshop</t>
  </si>
  <si>
    <t>International GI/ITG Conference on Measurement, Modelling and Evaluation of Computing Systems and Dependability and Fault-Tolerance</t>
  </si>
  <si>
    <t>International Green and Sustainable Computing Conference</t>
  </si>
  <si>
    <t>International ICST Conference on Theory and Practice of Algorithms in (Computer) Systems</t>
  </si>
  <si>
    <t>International Joint Conference on Automated Reasoning</t>
  </si>
  <si>
    <t>International Joint Conference on Computational Intelligence</t>
  </si>
  <si>
    <t>International Joint Conference on Computational Sciences and Optimization</t>
  </si>
  <si>
    <t>International Joint Conference on E-business and Telecommunications</t>
  </si>
  <si>
    <t>International Joint Conference on Electronic Voting</t>
  </si>
  <si>
    <t>International Joint Conference on Natural Language Processing</t>
  </si>
  <si>
    <t>International Joint Conference on Neural Networks</t>
  </si>
  <si>
    <t>International Joint Conference on Rough Sets</t>
  </si>
  <si>
    <t>International Joint Conference on Rules and Reasoning</t>
  </si>
  <si>
    <t>International Joint Conference on Web and Big Data</t>
  </si>
  <si>
    <t>International Journal of Ad Hoc and Ubiquitous Computing</t>
  </si>
  <si>
    <t>International Journal of Advanced Media and Communication</t>
  </si>
  <si>
    <t>International Journal of Applied Cryptography</t>
  </si>
  <si>
    <t>International Journal of Business Intelligence and Data Mining</t>
  </si>
  <si>
    <t>International Journal of Cognitive Informatics and Natural Intelligence</t>
  </si>
  <si>
    <t>International Journal of Communication Systems</t>
  </si>
  <si>
    <t>International Journal of Computational Intelligence and Applications</t>
  </si>
  <si>
    <t>International Journal of Computer Applications in Technology</t>
  </si>
  <si>
    <t>International Journal of Computer Research</t>
  </si>
  <si>
    <t>International Journal of Computer Science &amp; Applications</t>
  </si>
  <si>
    <t>International Journal of Computer Science in Sport</t>
  </si>
  <si>
    <t>International Journal of Computer Systems Science and Engineering</t>
  </si>
  <si>
    <t>International Journal of Cooperative Information Systems</t>
  </si>
  <si>
    <t>International Journal of Data Mining and Bioinformatics</t>
  </si>
  <si>
    <t>International Journal of Data Warehousing and Mining</t>
  </si>
  <si>
    <t>International Journal of Electronic Governance</t>
  </si>
  <si>
    <t>International Journal of Electronic Healthcare</t>
  </si>
  <si>
    <t>International Journal of Granular Computing, Rough Sets and Intelligent Systems</t>
  </si>
  <si>
    <t>International Journal of High Performance Computing Applications</t>
  </si>
  <si>
    <t>International Journal of Hybrid Intelligent Systems</t>
  </si>
  <si>
    <t>International Journal of Imaging Systems and Technology</t>
  </si>
  <si>
    <t>International Journal of Intelligent Computing and Cybernetics</t>
  </si>
  <si>
    <t>International Journal of Intelligent Games &amp; Simulation</t>
  </si>
  <si>
    <t>International Journal of Intelligent Information and Database Systems</t>
  </si>
  <si>
    <t>International Journal of Intelligent Information Technologies</t>
  </si>
  <si>
    <t>International Journal of Intelligent Systems</t>
  </si>
  <si>
    <t>International Journal of Intelligent Systems Technologies and Applications</t>
  </si>
  <si>
    <t>International Journal of Interactive Mobile Technologies</t>
  </si>
  <si>
    <t>International Journal of Internet Protocol Technology</t>
  </si>
  <si>
    <t>International Journal of Manufacturing Research</t>
  </si>
  <si>
    <t>International Journal of Metadata, Semantics and Ontologies</t>
  </si>
  <si>
    <t>International Journal of Metaheuristics</t>
  </si>
  <si>
    <t>International Journal of Mobile Human Computer Interaction</t>
  </si>
  <si>
    <t>International Journal of Neural Systems</t>
  </si>
  <si>
    <t>International Journal of Parallel, Emergent and Distributed Systems</t>
  </si>
  <si>
    <t>International Journal of Pattern Recognition and Artificial Intelligence</t>
  </si>
  <si>
    <t>International Journal of Quantum Information</t>
  </si>
  <si>
    <t>International Journal of Radio Frequency Identification Technology and Applications</t>
  </si>
  <si>
    <t>International Journal of Technology Management &amp; Sustainable Development</t>
  </si>
  <si>
    <t>International Journal of Uncertainty, Fuzziness and Knowledge-Based Systems</t>
  </si>
  <si>
    <t>International Journal of Unconventional Computing</t>
  </si>
  <si>
    <t>International Journal of Web and Grid Services</t>
  </si>
  <si>
    <t>International Journal of Web Engineering and Technology</t>
  </si>
  <si>
    <t>International Journal of Web Information Systems</t>
  </si>
  <si>
    <t>International Journal of Web Services Research</t>
  </si>
  <si>
    <t>International Journal of Wireless and Mobile Computing</t>
  </si>
  <si>
    <t>International Journal on Artificial Intelligence Tools</t>
  </si>
  <si>
    <t>International Journal On Cyber Situational Awareness (IJCSA)</t>
  </si>
  <si>
    <t>International Journal on Software Tools for Technology Transfer</t>
  </si>
  <si>
    <t>International MCETECH Conference on e-Technologies</t>
  </si>
  <si>
    <t>International Meeting on Computational Intelligence Methods for Bioinformatics and Biostatistics</t>
  </si>
  <si>
    <t>International Meeting on High Performance Computing for Computational Science</t>
  </si>
  <si>
    <t>International Mega-Conference on Future Generation Information Technology</t>
  </si>
  <si>
    <t>International Meshing Roundtable and User Forum</t>
  </si>
  <si>
    <t>International MITIP Conference</t>
  </si>
  <si>
    <t>International Network Optimization Conference</t>
  </si>
  <si>
    <t>International Performance, Computing, and Communications Conference</t>
  </si>
  <si>
    <t>International Provenance and Annotation Workshop</t>
  </si>
  <si>
    <t>International School on Foundations of Security Analysis and Design</t>
  </si>
  <si>
    <t>International Society for Music Information Retrieval Conference</t>
  </si>
  <si>
    <t>International Symposia on High-Level Parallel Programming and Applications</t>
  </si>
  <si>
    <t>International Symposia on Implementation and Application of Functional Languages</t>
  </si>
  <si>
    <t>International Symposium CompIMAGE</t>
  </si>
  <si>
    <t>International Symposium on Algorithmic Game Theory</t>
  </si>
  <si>
    <t>International Symposium on Algorithms and Experiments for Wireless Networks</t>
  </si>
  <si>
    <t>International Symposium on Ambient Intelligence</t>
  </si>
  <si>
    <t>International Symposium on Applied Reconfigurable Computing</t>
  </si>
  <si>
    <t>International Symposium on Artificial Intelligence and Mathematics</t>
  </si>
  <si>
    <t>International Symposium on Autonomous Decentralized Systems</t>
  </si>
  <si>
    <t>International Symposium on Bioinformatics Research and Applications</t>
  </si>
  <si>
    <t>International Symposium on Biomedical Simulation</t>
  </si>
  <si>
    <t>International Symposium on Chinese Spoken Language Processing</t>
  </si>
  <si>
    <t>International Symposium on Code Generation and Optimization</t>
  </si>
  <si>
    <t>International Symposium on Communication Systems, Networks, and Digital Signal Processing</t>
  </si>
  <si>
    <t>International Symposium on Component Based Software Engineering</t>
  </si>
  <si>
    <t>International Symposium on Computational Aesthetics in Graphics, Visualization and Imaging</t>
  </si>
  <si>
    <t>International Symposium on Computational Intelligence and Design</t>
  </si>
  <si>
    <t>International Symposium on Computer and Information Sciences</t>
  </si>
  <si>
    <t>International Symposium on Computer Architecture</t>
  </si>
  <si>
    <t>International Symposium on Computing and Networking</t>
  </si>
  <si>
    <t>International Symposium on Database Programming Languages</t>
  </si>
  <si>
    <t>International Symposium on Electronic Design, Test &amp; Applications</t>
  </si>
  <si>
    <t>International Symposium on Empirical Software Engineering and Measurement</t>
  </si>
  <si>
    <t>International Symposium on End-User Development</t>
  </si>
  <si>
    <t>International Symposium on Engineering Secure Software and Systems</t>
  </si>
  <si>
    <t>International Symposium on Environmental Software Systems</t>
  </si>
  <si>
    <t>International Symposium on Experimental Algorithms</t>
  </si>
  <si>
    <t>International Symposium on Foundations &amp; Practice of Security</t>
  </si>
  <si>
    <t>International Symposium on Foundations of Information and Knowledge Systems</t>
  </si>
  <si>
    <t>International Symposium on Frontiers of Combining Systems</t>
  </si>
  <si>
    <t>International Symposium on Functional and Logic Programming</t>
  </si>
  <si>
    <t>International Symposium on Fundamentals of Computation Theory</t>
  </si>
  <si>
    <t>International Symposium on Games, Automata, Logics, and Formal Verification</t>
  </si>
  <si>
    <t>International Symposium on Graph Drawing and Network Visualization</t>
  </si>
  <si>
    <t>International Symposium on Imprecise Probability: Theories and Applications</t>
  </si>
  <si>
    <t>International Symposium on Information and Communication Technology</t>
  </si>
  <si>
    <t>International Symposium on Information Fusion and Intelligent Geographical Information Systems</t>
  </si>
  <si>
    <t>International Symposium on Information Theory and Its Applications</t>
  </si>
  <si>
    <t>International Symposium on Leveraging Applications of Formal Methods, Verification and Validation</t>
  </si>
  <si>
    <t>International Symposium on Logical Foundations of Computer Science</t>
  </si>
  <si>
    <t>International Symposium on Logic-based Program Synthesis and Transformation</t>
  </si>
  <si>
    <t>International Symposium on Memory Management</t>
  </si>
  <si>
    <t>International Symposium on Methodologies for Intelligent Systems</t>
  </si>
  <si>
    <t>International Symposium on Mobile Internet Security</t>
  </si>
  <si>
    <t>International Symposium on Model Checking Software</t>
  </si>
  <si>
    <t>International Symposium on Modeling and Optimization in Mobile, Ad Hoc, and Wireless Networks</t>
  </si>
  <si>
    <t>International Symposium on Network Computing and Applications</t>
  </si>
  <si>
    <t>International Symposium on Neural Networks</t>
  </si>
  <si>
    <t>International Symposium on Open Collaboration</t>
  </si>
  <si>
    <t>International Symposium on Parallel and Distributed Computing</t>
  </si>
  <si>
    <t>International Symposium on Parameterized and Exact Computation</t>
  </si>
  <si>
    <t>International Symposium on Pervasive Systems, Algorithms and Networks</t>
  </si>
  <si>
    <t>International Symposium on Physical Design</t>
  </si>
  <si>
    <t>International Symposium on Power and Timing Modeling, Optimization and Simulation</t>
  </si>
  <si>
    <t>International Symposium on Practical Aspects of Declarative Languages</t>
  </si>
  <si>
    <t>International Symposium on Principles and Practice of Declarative Programming</t>
  </si>
  <si>
    <t xml:space="preserve">International Symposium on Rapid System Prototyping </t>
  </si>
  <si>
    <t>International Symposium on Robotics</t>
  </si>
  <si>
    <t>International Symposium on Search-Based Software Engineering</t>
  </si>
  <si>
    <t>International Symposium on Smart Graphics</t>
  </si>
  <si>
    <t>International Symposium on Software Engineering for Adaptive and Self-Managing Systems</t>
  </si>
  <si>
    <t>International Symposium on Spatial Data Handling</t>
  </si>
  <si>
    <t>International Symposium on Stabilization, Safety, and Security of Distributed Systems</t>
  </si>
  <si>
    <t>International Symposium on String Processing and Information Retrieval</t>
  </si>
  <si>
    <t>International Symposium on Symbolic and Algebraic Computation</t>
  </si>
  <si>
    <t>International Symposium on Symbolic and Numeric Algorithms for Scientific Computing</t>
  </si>
  <si>
    <t>International Symposium on Temporal Representation and Reasoning</t>
  </si>
  <si>
    <t>International Symposium on Theoretical Aspects of Software Engineering</t>
  </si>
  <si>
    <t>International Symposium on Trends in Functional Programming</t>
  </si>
  <si>
    <t>International Symposium on Unifying Theories of Programming</t>
  </si>
  <si>
    <t>International Symposium on Virtual Reality, Archaeology and Intelligent Cultural Heritage</t>
  </si>
  <si>
    <t>International Symposium on Vision, Modeling and Visualization</t>
  </si>
  <si>
    <t>International Symposium on Visual Computing</t>
  </si>
  <si>
    <t>International Symposium on Voronoi Diagrams in Science and Engineering</t>
  </si>
  <si>
    <t>International Symposium on Wearable Computers</t>
  </si>
  <si>
    <t>International Symposium on Web and Wireless Geographical Information Systems</t>
  </si>
  <si>
    <t>International Symposium on Wireless Personal Multimedia Communications</t>
  </si>
  <si>
    <t>International Systems and Software Product Line Conference</t>
  </si>
  <si>
    <t>International Teletraffic Congress</t>
  </si>
  <si>
    <t>International Test Conference</t>
  </si>
  <si>
    <t>International Transactions on Systems Science and Applications</t>
  </si>
  <si>
    <t>International Wireless Communications and Mobile Computing Conference</t>
  </si>
  <si>
    <t>International Wireless Internet Conference</t>
  </si>
  <si>
    <t>International Work-Conference on Artificial Neural Networks</t>
  </si>
  <si>
    <t>International Work-Conference on the Interplay Between Natural and Artificial Computation</t>
  </si>
  <si>
    <t>International Working Conference on Advanced Visual Interfaces</t>
  </si>
  <si>
    <t>International Working Conference on Source Code Analysis &amp; Manipulation</t>
  </si>
  <si>
    <t>International Workshop Modelling and Reasoning in Context</t>
  </si>
  <si>
    <t>International Workshop on Accelerating Analytics and Data Management Systems Using Modern Processor and Storage Architectures</t>
  </si>
  <si>
    <t>International Workshop on Adaptive Multimedia Retrieval</t>
  </si>
  <si>
    <t>International Workshop on Agents and Data Mining Interactions</t>
  </si>
  <si>
    <t>International Workshop on Algebraic Development Techniques</t>
  </si>
  <si>
    <t>International Workshop on Approaches and Architectures for Web Data. Integration and Mining in Life Sciences</t>
  </si>
  <si>
    <t>International Workshop on Argumentation in Multi-Agent Systems</t>
  </si>
  <si>
    <t>International Workshop on Artificial Neural Networks in Pattern Recognition</t>
  </si>
  <si>
    <t>International Workshop on Automated Deduction in Geometry</t>
  </si>
  <si>
    <t>International Workshop on Biomedical Image Registration</t>
  </si>
  <si>
    <t>International Workshop on Breast Imaging</t>
  </si>
  <si>
    <t>International Workshop on Cloud Intelligence</t>
  </si>
  <si>
    <t>International Workshop on Coalgebraic Methods in Computer Science</t>
  </si>
  <si>
    <t>International Workshop on Combinatorial Image Analysis</t>
  </si>
  <si>
    <t>International Workshop on Communication Technologies for Vehicles</t>
  </si>
  <si>
    <t>International Workshop on Computational Forensics</t>
  </si>
  <si>
    <t>International Workshop on Computational Logic in Multi-Agent Systems</t>
  </si>
  <si>
    <t>International Workshop on Computer Algebra in Scientific Computing</t>
  </si>
  <si>
    <t>International Workshop on Constraints and Language Processing</t>
  </si>
  <si>
    <t>International Workshop on Critical Systems Development with UML</t>
  </si>
  <si>
    <t>International Workshop on Data Engineering Meets the Semantic Web</t>
  </si>
  <si>
    <t>International Workshop on Data Management in the Cloud</t>
  </si>
  <si>
    <t>International Workshop on Data Management on New Hardware</t>
  </si>
  <si>
    <t>International Workshop on Data Mining in Bioinformatics</t>
  </si>
  <si>
    <t>International Workshop on Data Warehousing and OLAP</t>
  </si>
  <si>
    <t>International Workshop on Databases in Networked Information Systems</t>
  </si>
  <si>
    <t>International Workshop on Databases, Texts, Specifications, and Objects</t>
  </si>
  <si>
    <t>International Workshop on Description Logics</t>
  </si>
  <si>
    <t>International Workshop on Design, Optimization, Languages and Analytical Processing of Big Data</t>
  </si>
  <si>
    <t>International Workshop on Digital Engineering</t>
  </si>
  <si>
    <t>International Workshop on Digital Forensics and Watermarking</t>
  </si>
  <si>
    <t>International Workshop on Energy-Aware Communications</t>
  </si>
  <si>
    <t>International Workshop on Enterprise &amp; Organizational Modeling and Simulation</t>
  </si>
  <si>
    <t>International Workshop on Enterprise Modeling and Information Systems Architectures</t>
  </si>
  <si>
    <t>International Workshop on Formal Ontologies meet Industry</t>
  </si>
  <si>
    <t>International Workshop on Formal Techniques for Safety-Critical Systems</t>
  </si>
  <si>
    <t>International Workshop on Foundations of Coordination Languages and Self-Adaptative Systems</t>
  </si>
  <si>
    <t>International Workshop on Foundations of Mobile Computing</t>
  </si>
  <si>
    <t>International Workshop on Functional and Logic Programming</t>
  </si>
  <si>
    <t>International Workshop on Fuzzy Logic and Applications</t>
  </si>
  <si>
    <t>International Workshop on Graph-Based Representations in Pattern Recognition</t>
  </si>
  <si>
    <t>International Workshop on Graphics Recognition</t>
  </si>
  <si>
    <t>International Workshop on Graph-Theoretic Concepts in Computer Science</t>
  </si>
  <si>
    <t>International Workshop on Hybrid Metaheuristics</t>
  </si>
  <si>
    <t xml:space="preserve">International Workshop on Hybrid Systems Biology </t>
  </si>
  <si>
    <t>International Workshop on Image Analysis for Multimedia Interactive Services</t>
  </si>
  <si>
    <t>International Workshop on Information Integration on the Web</t>
  </si>
  <si>
    <t>International Workshop on Interactions, Games and Protocols</t>
  </si>
  <si>
    <t>International Workshop on Issues and Challenges in Social Computing</t>
  </si>
  <si>
    <t>International Workshop on Java Technologies for Real-Time and Embedded Systems</t>
  </si>
  <si>
    <t>International Workshop on Knowledge Discovery on the Web</t>
  </si>
  <si>
    <t>International Workshop on Languages and Compilers for Parallel Computing</t>
  </si>
  <si>
    <t>International Workshop on Learning Classifier Systems</t>
  </si>
  <si>
    <t>International Workshop on Linked Web Data Management</t>
  </si>
  <si>
    <t>International Workshop on Location and the Web</t>
  </si>
  <si>
    <t>International Workshop on Location-Based Social Networks</t>
  </si>
  <si>
    <t>International Workshop on Logical Frameworks and Meta-Languages: Theory and Practice</t>
  </si>
  <si>
    <t>International Workshop on Microprocessor/SoC Test, Security &amp; Verification</t>
  </si>
  <si>
    <t>International Workshop on Middleware for Pervasive Mobile and Embedded Computing</t>
  </si>
  <si>
    <t>International Workshop on Mining and Learning with Graphs</t>
  </si>
  <si>
    <t>International Workshop on Model-Based Methodologies for Pervasive and Embedded Software</t>
  </si>
  <si>
    <t>International Workshop on Multi-Agent-Based Simulation</t>
  </si>
  <si>
    <t>International Workshop on Multi-disciplinary Trends in Artificial Intelligence</t>
  </si>
  <si>
    <t>International Workshop on Nature Inspired Cooperative Strategies</t>
  </si>
  <si>
    <t xml:space="preserve">International Workshop on New Trends in Information Integration </t>
  </si>
  <si>
    <t>International Workshop on Non-Classical Models of Automata and Applications</t>
  </si>
  <si>
    <t xml:space="preserve">International Workshop on Ontology Matching </t>
  </si>
  <si>
    <t>International Workshop on OpenMP</t>
  </si>
  <si>
    <t>International Workshop on Parallel Symbolic Computation</t>
  </si>
  <si>
    <t>International Workshop on Principles of Software Evolution</t>
  </si>
  <si>
    <t>International Workshop on Programming Multi-Agent Systems</t>
  </si>
  <si>
    <t>International Workshop on Quality in Databases</t>
  </si>
  <si>
    <t>International Workshop on Quality of Context</t>
  </si>
  <si>
    <t>International Workshop on Quality of Information Systems</t>
  </si>
  <si>
    <t>International Workshop on Randomization and Computation</t>
  </si>
  <si>
    <t>International Workshop on Ranking in Databases</t>
  </si>
  <si>
    <t>International Workshop on Real-Time Business Intelligence and Analytics</t>
  </si>
  <si>
    <t>International Workshop on Real-Time Networks</t>
  </si>
  <si>
    <t>International Workshop on Rewriting Logic and Its Applications</t>
  </si>
  <si>
    <t>International Workshop on RFID Technology</t>
  </si>
  <si>
    <t>International Workshop on Robotics in Alpe-Adria-Danube Region</t>
  </si>
  <si>
    <t>International Workshop on Scalable Semantic Web Knowledge Base Systems</t>
  </si>
  <si>
    <t>International Workshop on Searching and Integrating New Web Data Sources</t>
  </si>
  <si>
    <t>International Workshop on Security</t>
  </si>
  <si>
    <t>International Workshop on Security and Privacy in Cloud Computing</t>
  </si>
  <si>
    <t>International Workshop on Security and Trust Management</t>
  </si>
  <si>
    <t>International Workshop on Security in Information Systems</t>
  </si>
  <si>
    <t>International Workshop on Self-Managing Database Systems</t>
  </si>
  <si>
    <t>International Workshop on Self-Organizing Maps and Learning Vector Quantization, Clustering and Data Visualization</t>
  </si>
  <si>
    <t>International Workshop on Self-Organizing Systems</t>
  </si>
  <si>
    <t>International Workshop on Semantic and Conceptual Issues in GIS</t>
  </si>
  <si>
    <t>International Workshop on SHAring and Reusing Architectural Knowledge</t>
  </si>
  <si>
    <t>International Workshop on Signal Acquisition and Processing</t>
  </si>
  <si>
    <t>International Workshop on Software and Compilers for Embedded Systems</t>
  </si>
  <si>
    <t>International Workshop on Software Clones</t>
  </si>
  <si>
    <t>International Workshop on Software Engineering for Resilient Systems</t>
  </si>
  <si>
    <t>International Workshop on Spatio Temporal data Integration and Retrieval</t>
  </si>
  <si>
    <t>International Workshop on Systems and Frameworks for Computational Morphology</t>
  </si>
  <si>
    <t>International Workshop on Task Models and Diagrams for User Interface Design</t>
  </si>
  <si>
    <t>International Workshop on Testing Database Systems</t>
  </si>
  <si>
    <t xml:space="preserve">International Workshop on the Algorithmic Foundations of Robotics </t>
  </si>
  <si>
    <t>International Workshop on the Interplay between Usability Evaluation and Software Development</t>
  </si>
  <si>
    <t>International Workshop on the Web and Databases</t>
  </si>
  <si>
    <t>International Workshop on the Web of Things</t>
  </si>
  <si>
    <t>International Workshop on Trends in Enterprise Architecture Research and Practice-Driven Research on Enterprise Transformation</t>
  </si>
  <si>
    <t xml:space="preserve">International Workshop on Trust in Agent Societies </t>
  </si>
  <si>
    <t>International Workshop on Uncertainty Reasoning for the Semantic Web</t>
  </si>
  <si>
    <t>International Workshop on Using P2P, Grid and Agents for the Development of Content Networks</t>
  </si>
  <si>
    <t>International Workshop on Variability Modelling of Software-Intensive Systems</t>
  </si>
  <si>
    <t>International Workshop on Web Content Caching and Distribution</t>
  </si>
  <si>
    <t>International Workshop on Web Information Retrieval Support Systems</t>
  </si>
  <si>
    <t>International Workshop on Web Information Systems Modeling</t>
  </si>
  <si>
    <t>International Workshop on Web Personalization, Recommender Systems, and Social Media</t>
  </si>
  <si>
    <t>International Workshop on Web Quality</t>
  </si>
  <si>
    <t>International Workshop on Web Services, Formal Methods, and Behavioral Types</t>
  </si>
  <si>
    <t>International Workshop on Web-Oriented Software Technologies</t>
  </si>
  <si>
    <t>International Workshop on Web-scale Knowledge Representation, Retrieval and Reasoning</t>
  </si>
  <si>
    <t>International Workshop on Wireless Security and Privacy</t>
  </si>
  <si>
    <t>International workshop on Worst-Case Execution Time Analysis</t>
  </si>
  <si>
    <t>International Workshop Technologies for Information Retrieval</t>
  </si>
  <si>
    <t>International XML Database Symposium</t>
  </si>
  <si>
    <t>International AAAI Conference on Web and Social Media</t>
  </si>
  <si>
    <t>Internet Technology Letters</t>
  </si>
  <si>
    <t>IPTComm conference</t>
  </si>
  <si>
    <t>IT Professional</t>
  </si>
  <si>
    <t>Italian Conference on Theoretical Computer Science</t>
  </si>
  <si>
    <t>Italian Information Retrieval Workshop</t>
  </si>
  <si>
    <t>Italian Research Conference on Digital Libraries</t>
  </si>
  <si>
    <t>Italian Workshop on Neural Networks</t>
  </si>
  <si>
    <t>Joint International Conference on Serious Games</t>
  </si>
  <si>
    <t>Joint International Semantic Technology Conference</t>
  </si>
  <si>
    <t>Joint International Workshop on Graph Data Management Experiences &amp; Systems (GRADES) and Network Data Analytics (NDA)</t>
  </si>
  <si>
    <t>Joint Symposium on Computational Aesthetics, Sketch-Based Interfaces and Modeling, Non-Photorealistic Animation and Rendering</t>
  </si>
  <si>
    <t>Jornadas de Ingeniería del Software y Bases de Datos</t>
  </si>
  <si>
    <t>Journal for Universal Computer Science</t>
  </si>
  <si>
    <t>Journal of Advanced Computational Intelligence and Intelligent Informatics</t>
  </si>
  <si>
    <t>Journal of Algorithms &amp; Computational Technology</t>
  </si>
  <si>
    <t>Journal of Ambient Intelligence and Humanized Computing</t>
  </si>
  <si>
    <t>Journal of Applied Logic</t>
  </si>
  <si>
    <t>Journal of Applied Non-Classical Logics</t>
  </si>
  <si>
    <t>Journal of Cellular Automata</t>
  </si>
  <si>
    <t>Journal of Circuits, Systems and Computers</t>
  </si>
  <si>
    <t>Journal of Combinatorial Mathematics and Combinatorial Computing</t>
  </si>
  <si>
    <t>Journal of Computer and System Sciences International</t>
  </si>
  <si>
    <t>Journal of Computer Networks and Communications</t>
  </si>
  <si>
    <t>Journal of Computer Science and Technology</t>
  </si>
  <si>
    <t>Journal of Computing Science and Engineering</t>
  </si>
  <si>
    <t>Journal of Discrete Algorithms</t>
  </si>
  <si>
    <t>Journal of Electronic Imaging</t>
  </si>
  <si>
    <t>Journal of Electronic Testing</t>
  </si>
  <si>
    <t>Journal of Experimental &amp; Theoretical Artificial Intelligence</t>
  </si>
  <si>
    <t>Journal of Grid Computing</t>
  </si>
  <si>
    <t>Journal of Hydroinformatics</t>
  </si>
  <si>
    <t>Journal of Information &amp; Optimization Sciences</t>
  </si>
  <si>
    <t>Journal of Information Science and Engineering</t>
  </si>
  <si>
    <t>Journal of Intelligent and Fuzzy Systems</t>
  </si>
  <si>
    <t>Journal of Interconnection Networks</t>
  </si>
  <si>
    <t>Journal of Internet Technology</t>
  </si>
  <si>
    <t>Journal of Location Based Services</t>
  </si>
  <si>
    <t>Journal of Low Power Electronics</t>
  </si>
  <si>
    <t>Journal of Mobile Multimedia</t>
  </si>
  <si>
    <t>Journal of Multiple-Valued Logic and Soft Computing</t>
  </si>
  <si>
    <t>Journal of Network and Computer Applications</t>
  </si>
  <si>
    <t>Journal of Object Technology</t>
  </si>
  <si>
    <t>Journal of Software Engineering for Robotics</t>
  </si>
  <si>
    <t>Journal of Supercomputing</t>
  </si>
  <si>
    <t>Journal of Systems Science and Complexity</t>
  </si>
  <si>
    <t>Journal of Theoretical and Applied Electronic Commerce Research</t>
  </si>
  <si>
    <t>Journal of Universal Computer Science</t>
  </si>
  <si>
    <t>Journal of Visual Languages and Computing</t>
  </si>
  <si>
    <t>Journal of Visualization</t>
  </si>
  <si>
    <t>Journal of Web Engineering</t>
  </si>
  <si>
    <t>Journal on Data Semantics</t>
  </si>
  <si>
    <t>Journées Bases de Données Avancées</t>
  </si>
  <si>
    <t>Koli Calling International Conference on Computing Education Research</t>
  </si>
  <si>
    <t>Kybernetes</t>
  </si>
  <si>
    <t>Kybernetika</t>
  </si>
  <si>
    <t>Language &amp; Technology Conference</t>
  </si>
  <si>
    <t>Languages, Methodologies and Development Tools for Multi-Agent Systems</t>
  </si>
  <si>
    <t>Latin America Networking Conference</t>
  </si>
  <si>
    <t>Latin America Robotics Symposium</t>
  </si>
  <si>
    <t>Latin American Network Operations and Management Symposium</t>
  </si>
  <si>
    <t>Latin American Theoretical INformatics Symposium</t>
  </si>
  <si>
    <t>Latin American Web Congress</t>
  </si>
  <si>
    <t>Latin American Workshop on New Methods of Reasoning</t>
  </si>
  <si>
    <t>Latin and American Algorithms, Graphs and Optimization Symposium</t>
  </si>
  <si>
    <t>Latin-American Symposium on Dependable Computing</t>
  </si>
  <si>
    <t>Lecture Notes in Business Information Processing</t>
  </si>
  <si>
    <t>Lecture Notes in Computational Science and Engineering</t>
  </si>
  <si>
    <t>Lecture Notes in Computer Science</t>
  </si>
  <si>
    <t>Lernen, Wissen, Daten, Analysen</t>
  </si>
  <si>
    <t>Linux Journal</t>
  </si>
  <si>
    <t>LNCS Transactions on Petri Nets and Other Models of Concurrency</t>
  </si>
  <si>
    <t>LNCS Transactions on Rough Sets</t>
  </si>
  <si>
    <t>Logic Programming and Nonmonotonic Reasoning</t>
  </si>
  <si>
    <t>Mathematical Methods, Models, and Architectures for Network Security Systems</t>
  </si>
  <si>
    <t>Mathematical Programming Computation</t>
  </si>
  <si>
    <t>Mathematics in Computer Science</t>
  </si>
  <si>
    <t>Mediterranean Conference on Control and Automation</t>
  </si>
  <si>
    <t>Mediterranean Conference on Information Systems</t>
  </si>
  <si>
    <t>Meeting on the Mathematics of Language</t>
  </si>
  <si>
    <t>Methods for Modalities Workshop</t>
  </si>
  <si>
    <t>Mexican Conference on Pattern Recognition</t>
  </si>
  <si>
    <t>Mexican International Conference on Artificial Intelligence</t>
  </si>
  <si>
    <t>Mexican International Conference on Computer Science</t>
  </si>
  <si>
    <t>Microprocessors and Microsystems</t>
  </si>
  <si>
    <t>MIT International Conference on Information Quality</t>
  </si>
  <si>
    <t>Mobile Networks and Applications</t>
  </si>
  <si>
    <t>Modern Artificial Intelligence and Cognitive Science Conference</t>
  </si>
  <si>
    <t>Multiagent and Grid Systems</t>
  </si>
  <si>
    <t>Multikonferenz Wirtschaftsinformatik</t>
  </si>
  <si>
    <t>Multimedia Systems</t>
  </si>
  <si>
    <t>Multimedia Tools and Applications</t>
  </si>
  <si>
    <t>Multiple Access Communications</t>
  </si>
  <si>
    <t>Multiple Classifier Systems</t>
  </si>
  <si>
    <t>Nano/Micro Engineered and Molecular Systems</t>
  </si>
  <si>
    <t xml:space="preserve">NASA Formal Methods Symposium </t>
  </si>
  <si>
    <t>NASA/ESA Conference on Adaptive Hardware and Systems</t>
  </si>
  <si>
    <t>Natural Language Processing and Cognitive Science</t>
  </si>
  <si>
    <t>Nature Inspired Distributed Computing</t>
  </si>
  <si>
    <t>Network and Distributed System Security Symposium</t>
  </si>
  <si>
    <t>Network and Operating System Support for Digital Audio and Video</t>
  </si>
  <si>
    <t>Network and Systems Support for Games</t>
  </si>
  <si>
    <t>Networking and Electronic Commerce Research Conference</t>
  </si>
  <si>
    <t>Neural Computing and Applications</t>
  </si>
  <si>
    <t>New Security Paradigms Workshop</t>
  </si>
  <si>
    <t>Nordic Conference on Computational Linguistics</t>
  </si>
  <si>
    <t>Nordic Conference on Secure IT Systems</t>
  </si>
  <si>
    <t>Nordic Seminar on Computational Mechanics</t>
  </si>
  <si>
    <t>Nordic Workshop on Programming Theory</t>
  </si>
  <si>
    <t>Normative Multi-Agent Systems</t>
  </si>
  <si>
    <t>nternational Conference on Human-Computer Interaction with Mobile Devices and Services</t>
  </si>
  <si>
    <t>ODR Conference</t>
  </si>
  <si>
    <t>OnTheMove Conferences/Workshops</t>
  </si>
  <si>
    <t>Open Knowledge Conference</t>
  </si>
  <si>
    <t>Operating Systems Review</t>
  </si>
  <si>
    <t>Optimization Letters</t>
  </si>
  <si>
    <t>OWL: Experiences and Directions Workshop</t>
  </si>
  <si>
    <t>Pacific Rim International Conference on Artificial Intelligence</t>
  </si>
  <si>
    <t>Pacific Symposium on Biocomputing</t>
  </si>
  <si>
    <t>Pacific-Asia Workshop on Intelligence and Security Informatics</t>
  </si>
  <si>
    <t>Paladyn: Journal of Behavioral Robotics</t>
  </si>
  <si>
    <t>Parallel Problem Solving from Nature</t>
  </si>
  <si>
    <t>Pattern Analysis and Applications</t>
  </si>
  <si>
    <t>PeerJ Computer Science</t>
  </si>
  <si>
    <t>Personal and Ubiquitous Computing</t>
  </si>
  <si>
    <t>Procedia Computer Science</t>
  </si>
  <si>
    <t>Proceedings of the ACM on Programming Languages</t>
  </si>
  <si>
    <t>Proceedings of the Augmented Human International Conference</t>
  </si>
  <si>
    <t>Proceedings of the European Conference on Software Maintenance and Reengineering</t>
  </si>
  <si>
    <t>Proceedings of the IEEE/ACM International Symposium on Volume Graphics</t>
  </si>
  <si>
    <t>Proceedings of the International Conference on 3-D Digital Imaging and Modeling</t>
  </si>
  <si>
    <t>Proceedings of the International Conference on Distributed Computing Systems</t>
  </si>
  <si>
    <t>Programming and Computer Software</t>
  </si>
  <si>
    <t xml:space="preserve">Quality of Information and Communications Technology </t>
  </si>
  <si>
    <t>Quality of Service in Multiservice IP Networks</t>
  </si>
  <si>
    <t>Quantum Information &amp; Computation</t>
  </si>
  <si>
    <t>Queueing Systems</t>
  </si>
  <si>
    <t>RAIRO - Theoretical Informatics and Applications</t>
  </si>
  <si>
    <t>Reliable Computing</t>
  </si>
  <si>
    <t>Requirements Engineering</t>
  </si>
  <si>
    <t>Research in Adaptive and Convergent Systems</t>
  </si>
  <si>
    <t>Robotics: Science and Systems Conference</t>
  </si>
  <si>
    <t>Scandinavian Conference on Artificial Intelligence</t>
  </si>
  <si>
    <t>Scandinavian Conference on Image Analysis</t>
  </si>
  <si>
    <t>Scheme and Functional Programming Workshop</t>
  </si>
  <si>
    <t>Science China Information Sciences</t>
  </si>
  <si>
    <t>Science Robotics</t>
  </si>
  <si>
    <t>Scientific Programming</t>
  </si>
  <si>
    <t>SDL Forum</t>
  </si>
  <si>
    <t>Semantic Web Challenges</t>
  </si>
  <si>
    <t>SEMANTiCS Conference</t>
  </si>
  <si>
    <t>Sensor Networks</t>
  </si>
  <si>
    <t>Shape Modeling International Symposium</t>
  </si>
  <si>
    <t>SIGDIAL Conference</t>
  </si>
  <si>
    <t>Signal Processing: Image Communication</t>
  </si>
  <si>
    <t>Signal, Image and Video Processing</t>
  </si>
  <si>
    <t>Smart Card Research and Advanced Application Conference</t>
  </si>
  <si>
    <t>Soft Computing</t>
  </si>
  <si>
    <t>Software Quality Journal</t>
  </si>
  <si>
    <t>Sound &amp; Music Computing Conference</t>
  </si>
  <si>
    <t>Studies in Computational Intelligence</t>
  </si>
  <si>
    <t>Studies in Fuzziness and Soft Computing</t>
  </si>
  <si>
    <t>Studies in Informatics and Control</t>
  </si>
  <si>
    <t>Swarm and Evolutionary Computation</t>
  </si>
  <si>
    <t>Swarm Intelligence</t>
  </si>
  <si>
    <t>Symposium of Abstraction, Reformulation, and Approximation</t>
  </si>
  <si>
    <t>Symposium on Computer-Human Interaction for Management of Information Technology</t>
  </si>
  <si>
    <t>Symposium on Electronic Crime Research</t>
  </si>
  <si>
    <t>Symposium on Identity and Trust on the Internet</t>
  </si>
  <si>
    <t xml:space="preserve">Symposium on Programming Languages and Software Tools </t>
  </si>
  <si>
    <t>Symposium on Usable Privacy and Security</t>
  </si>
  <si>
    <t>Synthesis Lectures on Artificial Intelligence and Machine Learning</t>
  </si>
  <si>
    <t>Synthesis Lectures on Computer Architecture</t>
  </si>
  <si>
    <t>Synthesis Lectures on Computer Graphics and Animation</t>
  </si>
  <si>
    <t>Synthesis Lectures on Computer Science</t>
  </si>
  <si>
    <t>Synthesis Lectures on Mobile and Pervasive Computing</t>
  </si>
  <si>
    <t>Tagungsreihe Mensch und Computer</t>
  </si>
  <si>
    <t>Telecommunication Systems</t>
  </si>
  <si>
    <t>The Graphical Web</t>
  </si>
  <si>
    <t>The International Arab Journal of Information Technology</t>
  </si>
  <si>
    <t>The International Journal of Virtual Reality</t>
  </si>
  <si>
    <t>The Journal of Open Source Software</t>
  </si>
  <si>
    <t>The Journal of Systems and Software</t>
  </si>
  <si>
    <t>The Visual Computer</t>
  </si>
  <si>
    <t>Theory of Computing</t>
  </si>
  <si>
    <t>Transactions of the Association for Computational Linguistics</t>
  </si>
  <si>
    <t>Transactions on High-Performance Embedded Architectures and Compilers</t>
  </si>
  <si>
    <t>Transactions on Large-Scale Data- and Knowledge-Centered Systems</t>
  </si>
  <si>
    <t>TSI. Technique et Sciences Informatiques</t>
  </si>
  <si>
    <t>USENIX Large Installation Systems Administration Conference</t>
  </si>
  <si>
    <t>USENIX Symposium on Networked Systems Design and Implementation</t>
  </si>
  <si>
    <t>Virtual Machine Research and Technology Symposium</t>
  </si>
  <si>
    <t>Visual Information and Information Systems</t>
  </si>
  <si>
    <t>Visual Information Expert Workshop</t>
  </si>
  <si>
    <t>Visualization and Data Analysis</t>
  </si>
  <si>
    <t>VLDB workshop on Management of Uncertain Data</t>
  </si>
  <si>
    <t>VLDB Workshop on Secure Data Management</t>
  </si>
  <si>
    <t>Wearable and Implantable Body Sensor Networks</t>
  </si>
  <si>
    <t>Western European Workshop on Research in Cryptology</t>
  </si>
  <si>
    <t>Wiley Interdisciplinary Reviews: Data Mining and Knowledge Discovery</t>
  </si>
  <si>
    <t>Winter Simulation Conference</t>
  </si>
  <si>
    <t>Wireless and Optical Communication Conference</t>
  </si>
  <si>
    <t>Wireless Communications and Mobile Computing</t>
  </si>
  <si>
    <t>Workshop on Algorithmic Approaches for Transportation Modeling, Optimization, and Systems</t>
  </si>
  <si>
    <t>Workshop on Algorithms and Models for the Web Graph</t>
  </si>
  <si>
    <t>Workshop on Algorithms in Bioinformatics</t>
  </si>
  <si>
    <t>Workshop on Applications of Computer Vision</t>
  </si>
  <si>
    <t>Workshop on Approximation and Online Algorithms</t>
  </si>
  <si>
    <t>Workshop on Attention and Performance in Computational Vision</t>
  </si>
  <si>
    <t>Workshop on Autonomic Communication</t>
  </si>
  <si>
    <t>Workshop on Computer Architecture Education</t>
  </si>
  <si>
    <t>Workshop on Data analytics in the Cloud</t>
  </si>
  <si>
    <t>Workshop on Data Management for Sensor Networks</t>
  </si>
  <si>
    <t>Workshop on Distributed Data and Structures</t>
  </si>
  <si>
    <t>Workshop on E-Business</t>
  </si>
  <si>
    <t>Workshop on Energy Data Management</t>
  </si>
  <si>
    <t>Workshop on Evaluating Vector-Space Representations for NLP</t>
  </si>
  <si>
    <t>Workshop on Exception Handling</t>
  </si>
  <si>
    <t xml:space="preserve">Workshop on Foundations of Aspect-Oriented Languages </t>
  </si>
  <si>
    <t>Workshop on Foundations of Genetic Algorithms</t>
  </si>
  <si>
    <t>Workshop on Foundations of Security and Privacy</t>
  </si>
  <si>
    <t>Workshop on General Purpose Processing Using GPU</t>
  </si>
  <si>
    <t>Workshop on Geographic Information Retrieval</t>
  </si>
  <si>
    <t>Workshop on High Performance Computational Finance</t>
  </si>
  <si>
    <t>Workshop on Intelligent Solutions in Embedded Systems</t>
  </si>
  <si>
    <t>Workshop on Interaction between Compilers and Computer Architectures</t>
  </si>
  <si>
    <t>Workshop on Job Scheduling Strategies for Parallel Processing</t>
  </si>
  <si>
    <t>Workshop on Knowledge Discovery and Data Mining</t>
  </si>
  <si>
    <t>Workshop on Logic, Language, Information and Computation</t>
  </si>
  <si>
    <t>Workshop on Nonmonotonic Reasoning, Action, and Change</t>
  </si>
  <si>
    <t>Workshop on Novel Data Stream Pattern Mining Techniques</t>
  </si>
  <si>
    <t>Workshop on Objects and Agents</t>
  </si>
  <si>
    <t>Workshop on Online Social Networks</t>
  </si>
  <si>
    <t>Workshop on Positioning, Navigation and Communications</t>
  </si>
  <si>
    <t>Workshop on Quantitative Aspects of Programming Languages and Systems</t>
  </si>
  <si>
    <t>Workshop on Quantities in Formal Methods</t>
  </si>
  <si>
    <t>Workshop on Real World Wireless Sensor Networks</t>
  </si>
  <si>
    <t>Workshop on Semantic Deep Learning</t>
  </si>
  <si>
    <t>Workshop on Semantic Web Information Management</t>
  </si>
  <si>
    <t>Workshop on Semantic Web Solutions for Large-scale Biomedical Data Analytics</t>
  </si>
  <si>
    <t>Workshop on Virtual Machines and Intermediate Languages for Emerging Modularization Mechanisms</t>
  </si>
  <si>
    <t>Workshop on Virtual Reality Interaction and Physical Simulation</t>
  </si>
  <si>
    <t>Workshop on Virtualization in High-Performance Cloud Computing</t>
  </si>
  <si>
    <t>Workshop on Web Mining</t>
  </si>
  <si>
    <t>Workshop on Wireless Ad hoc and Sensor Networks</t>
  </si>
  <si>
    <t>Workshops Bildverarbeitung für die Medizin</t>
  </si>
  <si>
    <t>Workshop-School on Theoretical Computer Science</t>
  </si>
  <si>
    <t>World Conference on Information Security Applications</t>
  </si>
  <si>
    <t>World Congress of International Fuzzy Systems Association</t>
  </si>
  <si>
    <t>World Congress on Engineering</t>
  </si>
  <si>
    <t>World Congress on Nature and Biologically Inspired Computing</t>
  </si>
  <si>
    <t>World Congress on Services</t>
  </si>
  <si>
    <t>World Summit on the Knowledge Society</t>
  </si>
  <si>
    <t>WWW/Internet Conference</t>
  </si>
  <si>
    <t>AAAI Conference on Artificial Intelligence and Interactive Digital Entertainment</t>
  </si>
  <si>
    <t>Elektro-nik/teknik/magnetisme, kom.tek. mekatronik</t>
  </si>
  <si>
    <t>Annual Reviews in Control</t>
  </si>
  <si>
    <t>Applied Acoustics</t>
  </si>
  <si>
    <t>Automatica</t>
  </si>
  <si>
    <t>Biomedical Optics Express</t>
  </si>
  <si>
    <t>Computer Networks</t>
  </si>
  <si>
    <t>Computer Vision and Image Understanding</t>
  </si>
  <si>
    <t>Control Engineering Practice</t>
  </si>
  <si>
    <t>Electric Power Systems Research</t>
  </si>
  <si>
    <t>IEEE - ACM Transactions on Networking</t>
  </si>
  <si>
    <t>IEEE - ASME Transactions on Mechatronics</t>
  </si>
  <si>
    <t>IEEE Circuits and Systems Magazine</t>
  </si>
  <si>
    <t>IEEE Communications Magazine</t>
  </si>
  <si>
    <t>IEEE Communications Surveys &amp; Tutorials</t>
  </si>
  <si>
    <t>IEEE Industrial Electronics Magazine</t>
  </si>
  <si>
    <t>IEEE Journal of Emerging and Selected Topics in Power Electronics</t>
  </si>
  <si>
    <t>IEEE Journal of Quantum Electronics</t>
  </si>
  <si>
    <t>IEEE Journal of Solid State Circuits</t>
  </si>
  <si>
    <t>IEEE Journal on Selected Areas in Communications</t>
  </si>
  <si>
    <t>IEEE Journal on Selected Topics in Quantum Electronics</t>
  </si>
  <si>
    <t>IEEE Journal on Selected Topics in Signal Processing</t>
  </si>
  <si>
    <t>IEEE Network</t>
  </si>
  <si>
    <t>IEEE Photonics Technology Letters</t>
  </si>
  <si>
    <t>IEEE Power &amp; Energy Magazine</t>
  </si>
  <si>
    <t>IEEE Robotics and Automation Magazine</t>
  </si>
  <si>
    <t>IEEE Sensors Journal</t>
  </si>
  <si>
    <t>IEEE Signal Processing Magazine</t>
  </si>
  <si>
    <t>IEEE Transactions on Antennas and Propagation</t>
  </si>
  <si>
    <t>IEEE Transactions on Automatic Control</t>
  </si>
  <si>
    <t>IEEE Transactions on Communications</t>
  </si>
  <si>
    <t>IEEE Transactions on Control Systems Technology</t>
  </si>
  <si>
    <t>IEEE Transactions on Dielectrics and Electrical Insulation</t>
  </si>
  <si>
    <t>IEEE Transactions on Image Processing</t>
  </si>
  <si>
    <t>IEEE Transactions on Industrial Electronics</t>
  </si>
  <si>
    <t>IEEE Transactions on Industry Applications</t>
  </si>
  <si>
    <t>IEEE Transactions on Microwave Theory and Techniques</t>
  </si>
  <si>
    <t>IEEE Transactions on Mobile Computing</t>
  </si>
  <si>
    <t>IEEE Transactions on Multimedia</t>
  </si>
  <si>
    <t>IEEE Transactions on Power Electronics</t>
  </si>
  <si>
    <t>IEEE Transactions on Power Systems</t>
  </si>
  <si>
    <t>IEEE Transactions on Robotics</t>
  </si>
  <si>
    <t>IEEE Transactions on Signal Processing</t>
  </si>
  <si>
    <t>IEEE Transactions on Ultrasonics, Ferroelectrics and Frequency Control</t>
  </si>
  <si>
    <t>IEEE Transactions on Vehicular Technology</t>
  </si>
  <si>
    <t>IEEE Transactions on Wireless Communications</t>
  </si>
  <si>
    <t>IEEE Vehicular Technology Magazine</t>
  </si>
  <si>
    <t>IEEE Wireless Communications</t>
  </si>
  <si>
    <t>IEEE/ACM Transactions on Audio, Speech, and Language Processing</t>
  </si>
  <si>
    <t>IET Renewable Power Generation</t>
  </si>
  <si>
    <t>Information Sciences</t>
  </si>
  <si>
    <t>Integrated Computer-Aided Engineering</t>
  </si>
  <si>
    <t>International Journal of Computer Vision</t>
  </si>
  <si>
    <t>International Journal of Electrical Power &amp; Energy Systems</t>
  </si>
  <si>
    <t>International Journal of Robust and Nonlinear Control</t>
  </si>
  <si>
    <t>International Workshop on Antenna Technology</t>
  </si>
  <si>
    <t>Journal of Field Robotics</t>
  </si>
  <si>
    <t>Journal of Lightwave Technology</t>
  </si>
  <si>
    <t>Journal of Microelectromechanical Systems</t>
  </si>
  <si>
    <t>Measurement Science and Technology</t>
  </si>
  <si>
    <t>Optica</t>
  </si>
  <si>
    <t>Optics Communications</t>
  </si>
  <si>
    <t>Organic Electronics</t>
  </si>
  <si>
    <t>Proceedings of the IEEE</t>
  </si>
  <si>
    <t>Progress in Optics</t>
  </si>
  <si>
    <t>Progress in Quantum Electronics</t>
  </si>
  <si>
    <t>Robotics and Autonomous Systems</t>
  </si>
  <si>
    <t>Semiconductor Science and Technology</t>
  </si>
  <si>
    <t>Sensors</t>
  </si>
  <si>
    <t>Sensors and Actuators A: Physical</t>
  </si>
  <si>
    <t>Signal Processing</t>
  </si>
  <si>
    <t xml:space="preserve"> International conference on advanced robotics </t>
  </si>
  <si>
    <t>ACM Transactions on Embedded Computing Systems</t>
  </si>
  <si>
    <t>ACM Transactions on Reconfigurable Technology and Systems</t>
  </si>
  <si>
    <t>Acoustical Science and Technology</t>
  </si>
  <si>
    <t>Active and Passive Electronic Components</t>
  </si>
  <si>
    <t>Actuators</t>
  </si>
  <si>
    <t>Acustica United with Acta Acustica</t>
  </si>
  <si>
    <t>Ad Hoc Networks</t>
  </si>
  <si>
    <t>Ad-Hoc &amp; Sensor Wireless Networks</t>
  </si>
  <si>
    <t>Advanced Electromagnetics</t>
  </si>
  <si>
    <t>Advanced Engineering Informatics</t>
  </si>
  <si>
    <t>Advanced Robotics</t>
  </si>
  <si>
    <t>Advances in Imaging and Electron Physics</t>
  </si>
  <si>
    <t>Advances in Multimedia</t>
  </si>
  <si>
    <t>Aegean Conference Electrical Machines and Power Electronics</t>
  </si>
  <si>
    <t>Aegean Conference on Electrical Machines and Power Electronics &amp; Optimization of Electrical &amp; Electronic Equipment Conference</t>
  </si>
  <si>
    <t>AEIT HVDC International Conference</t>
  </si>
  <si>
    <t>AES convention</t>
  </si>
  <si>
    <t>AIAA/CEAS Aeroacoustics Conference</t>
  </si>
  <si>
    <t>Allerton Conference on Communication, Control, and Computing</t>
  </si>
  <si>
    <t>American Control Conference</t>
  </si>
  <si>
    <t>Analog Circuits and Signal Processing Series</t>
  </si>
  <si>
    <t>Analog Integrated Circuits and Signal Processing</t>
  </si>
  <si>
    <t>Annales des Telecommunications</t>
  </si>
  <si>
    <t>Annual Conference of the Society of Instrument and Control Engineers of Japan</t>
  </si>
  <si>
    <t>Annual International Conference of the IEEE Engineering in Medicine and Biology Society</t>
  </si>
  <si>
    <t>Annual Meeting and Symposium of the Antenna Measurement Techniques Association</t>
  </si>
  <si>
    <t>Annual Reliability and Maintainability Symposium</t>
  </si>
  <si>
    <t>Applicable Algebra in Engineering, Communication and Computing</t>
  </si>
  <si>
    <t>Applied Bionics and Biomechanics</t>
  </si>
  <si>
    <t>Applied Computational Electromagnetics Society journal</t>
  </si>
  <si>
    <t>Applied Superconductivity Conference</t>
  </si>
  <si>
    <t>Artificial Life and Robotics</t>
  </si>
  <si>
    <t>Asian Conference on Energy, Power and Transportation Electrification</t>
  </si>
  <si>
    <t>Asian Control Conference</t>
  </si>
  <si>
    <t>Asian Journal of Control</t>
  </si>
  <si>
    <t>Asia-Pacific Microwave Conference</t>
  </si>
  <si>
    <t>Asilomar Conference on Signals, Systems and Computers. Conference Record</t>
  </si>
  <si>
    <t>Asilomar Conference on Signals, Systems, and Computers</t>
  </si>
  <si>
    <t>ASME - JSME - KSME Joint Fluids Engineering Conference</t>
  </si>
  <si>
    <t>ASTECHNOVA International Energy Conference</t>
  </si>
  <si>
    <t>Australian &amp; New Zealand Control Conference</t>
  </si>
  <si>
    <t>Automatika – Journal for Control, Measurement, Electronics, Computing and Communications</t>
  </si>
  <si>
    <t>Automation and Remote Control</t>
  </si>
  <si>
    <t>Bell Labs Technical Journal</t>
  </si>
  <si>
    <t>Bioelectromagnetics</t>
  </si>
  <si>
    <t>Bulk Power Systems Dynamics and Control Symposium</t>
  </si>
  <si>
    <t>CHILEAN Conference on Electrical, Electronics Engineering, Information and Communication Technologies</t>
  </si>
  <si>
    <t>Chinese Control and Decision Conference</t>
  </si>
  <si>
    <t>Chinese Control Conference</t>
  </si>
  <si>
    <t>Circuit World</t>
  </si>
  <si>
    <t>Circuits, Systems and Signal Processing</t>
  </si>
  <si>
    <t>CIRED Workshop</t>
  </si>
  <si>
    <t>Communications in Computer and Information Science</t>
  </si>
  <si>
    <t>Computer Communications</t>
  </si>
  <si>
    <t>Computer Science &amp; Electronic Engineering Conference</t>
  </si>
  <si>
    <t>Computer Speech and Language</t>
  </si>
  <si>
    <t>Conference on Control and Fault-Tolerant Systems</t>
  </si>
  <si>
    <t>Conference on Lasers and Electro-Optics</t>
  </si>
  <si>
    <t>Conference on Lasers and Electro-Optics Europe</t>
  </si>
  <si>
    <t>Conference on Lasers and Electro-Optics Pacific Rim</t>
  </si>
  <si>
    <t>Conference on PhD Research in Microelectronics and Electronics</t>
  </si>
  <si>
    <t>Conference Proceedings of the Society for Experimental Mechanics Series</t>
  </si>
  <si>
    <t>Conference Record of the IEEE Photovoltaic Specialists Conference</t>
  </si>
  <si>
    <t>Control and Cybernetics</t>
  </si>
  <si>
    <t>Control Engineering</t>
  </si>
  <si>
    <t>Digest of Technical Papers - IEEE International Solid-State Circuits Conference</t>
  </si>
  <si>
    <t>Digital Signal Processing</t>
  </si>
  <si>
    <t>Displays</t>
  </si>
  <si>
    <t xml:space="preserve">Dynamic Systems and Control Conference </t>
  </si>
  <si>
    <t>EAI International Conference on Smart Grid Inspired Future Technologies</t>
  </si>
  <si>
    <t>ECTI Transactions</t>
  </si>
  <si>
    <t>EE - Evaluation Engineering</t>
  </si>
  <si>
    <t>Electric Power Components and Systems</t>
  </si>
  <si>
    <t>Electrical Engineering</t>
  </si>
  <si>
    <t>Electrical Engineering in Japan</t>
  </si>
  <si>
    <t>Electromagnetics</t>
  </si>
  <si>
    <t>Electronic Design</t>
  </si>
  <si>
    <t>Electronic Products</t>
  </si>
  <si>
    <t>Electronics</t>
  </si>
  <si>
    <t>Electronics Letters</t>
  </si>
  <si>
    <t>Electronics World</t>
  </si>
  <si>
    <t>Embedded Systems Design</t>
  </si>
  <si>
    <t>EPE ECCE Europe</t>
  </si>
  <si>
    <t>EPE Journal</t>
  </si>
  <si>
    <t>Ericsson Review</t>
  </si>
  <si>
    <t>ETRI Journal</t>
  </si>
  <si>
    <t>Eurasip Journal on Advances in Signal Processing</t>
  </si>
  <si>
    <t>Eurasip Journal on Audio, Speech, and Music Processing</t>
  </si>
  <si>
    <t>Eurasip Journal on Bioinformatics and Systems Biology</t>
  </si>
  <si>
    <t>Eurasip Journal on Embedded Systems</t>
  </si>
  <si>
    <t>Eurasip Journal on Information Security</t>
  </si>
  <si>
    <t>EURASIP Journal on Wireless Communications and Networking</t>
  </si>
  <si>
    <t>European Conference on Antennas and Propagation</t>
  </si>
  <si>
    <t>European Conference on Networks and Communications (EuCNC)</t>
  </si>
  <si>
    <t>European Conference on Product &amp; Process Modelling</t>
  </si>
  <si>
    <t>European Conference on Synthetic Aperture Radar</t>
  </si>
  <si>
    <t>European Control Conference</t>
  </si>
  <si>
    <t>European Journal of Control</t>
  </si>
  <si>
    <t>European Microwave Conference</t>
  </si>
  <si>
    <t>European Microwave Integrated Circuits Conference</t>
  </si>
  <si>
    <t>European Microwave Week</t>
  </si>
  <si>
    <t>European Radar Conference</t>
  </si>
  <si>
    <t>European Signal Processing Conference</t>
  </si>
  <si>
    <t>European Solid-State Device Research Conference</t>
  </si>
  <si>
    <t>European Symposium on Computer-Aided Process Engineering</t>
  </si>
  <si>
    <t>European Wireless Conference</t>
  </si>
  <si>
    <t>European Workshop on Microelectronics Education</t>
  </si>
  <si>
    <t>Eurospeech : Proceedings of the European Conference on Speech Communication and Technology</t>
  </si>
  <si>
    <t>Forum Acusticum</t>
  </si>
  <si>
    <t>Foundations and Trends in Signal Processing</t>
  </si>
  <si>
    <t>Future Network and Mobile Summit</t>
  </si>
  <si>
    <t>Global Internet of Things Summit</t>
  </si>
  <si>
    <t>GPS Solutions</t>
  </si>
  <si>
    <t>GPS World</t>
  </si>
  <si>
    <t>Great Lakes Symposia on VLSI</t>
  </si>
  <si>
    <t>Hongwai yu Haomibo Xuebao / Journal of Infrared and Millimeter Waves (JIRMW)</t>
  </si>
  <si>
    <t>IEE Control Engineering Series</t>
  </si>
  <si>
    <t>IEEE Access</t>
  </si>
  <si>
    <t>IEEE Advanced Information Technology, Electronic and Automation Control Conference</t>
  </si>
  <si>
    <t>IEEE Aerospace and Electronic Systems Magazine</t>
  </si>
  <si>
    <t>IEEE Annual Asilomar Conference on Signals, Systems, and Computers</t>
  </si>
  <si>
    <t>IEEE Annual Conference of the Industrial Electronics Society</t>
  </si>
  <si>
    <t>IEEE Antennas and Propagation Magazine</t>
  </si>
  <si>
    <t>IEEE Antennas and Propagation Society International Symposium</t>
  </si>
  <si>
    <t>IEEE Antennas and Wireless Propagation Letters</t>
  </si>
  <si>
    <t>IEEE Applied Power Electronics Conference and Exposition</t>
  </si>
  <si>
    <t>IEEE Asian Solid-State Circuits Conference</t>
  </si>
  <si>
    <t>IEEE Asia-Pacific Conference on Antennas and Propagation</t>
  </si>
  <si>
    <t>IEEE Asia-Pacific Conference on Applied Electromagnetics</t>
  </si>
  <si>
    <t>IEEE Avionics and Vehicle Fiber-Optics and Photonics Conference</t>
  </si>
  <si>
    <t>IEEE Brazilian Power Electronics Conference and Southern Power Electronics Conference</t>
  </si>
  <si>
    <t>IEEE Communications Letters</t>
  </si>
  <si>
    <t>IEEE Conference on Computer-Aided Control Systems Design</t>
  </si>
  <si>
    <t>IEEE Conference on Control Applications</t>
  </si>
  <si>
    <t>IEEE Conference on Control Technology and Applications</t>
  </si>
  <si>
    <t>IEEE Conference on Electromagnetic Field Computation</t>
  </si>
  <si>
    <t>IEEE Conference on Energy Conversion</t>
  </si>
  <si>
    <t>IEEE Conference on Energy Internet and Energy System Integration</t>
  </si>
  <si>
    <t>IEEE Conference on Evolving and Adaptive Intelligent Systems</t>
  </si>
  <si>
    <t>IEEE Control Systems Magazine</t>
  </si>
  <si>
    <t>IEEE Electric Ship Technologies Symposium</t>
  </si>
  <si>
    <t>IEEE Electrical Insulation Conference</t>
  </si>
  <si>
    <t>IEEE Electrical Insulation Magazine</t>
  </si>
  <si>
    <t>IEEE Electrical Power and Energy Conference</t>
  </si>
  <si>
    <t>IEEE Electron Device Letters</t>
  </si>
  <si>
    <t>IEEE Electronics Packaging Technology Conference</t>
  </si>
  <si>
    <t>IEEE EMBS Neural Engineering Conference</t>
  </si>
  <si>
    <t>IEEE Energy  Conversion Congress and Exposition</t>
  </si>
  <si>
    <t>IEEE Energy Conversion Congress and Exposition</t>
  </si>
  <si>
    <t>IEEE European Conference on Power Electronics and Applications</t>
  </si>
  <si>
    <t>IEEE European Innovative Smart Grid Technologies</t>
  </si>
  <si>
    <t>IEEE Global Communications Conference (GLOBECOM)</t>
  </si>
  <si>
    <t>IEEE Global Conference on Signal and Information Processing</t>
  </si>
  <si>
    <t>IEEE Global Fluid Power Society PhD Symposium</t>
  </si>
  <si>
    <t>IEEE Green Energy and Systems Conference</t>
  </si>
  <si>
    <t>IEEE High Power Diode Lasers &amp; Systems Conference</t>
  </si>
  <si>
    <t>IEEE Innovative Smart Grid Technologies Asia Conference</t>
  </si>
  <si>
    <t>IEEE Instrumentation and Measurement Magazine</t>
  </si>
  <si>
    <t>IEEE International Conference of Microelectronic Test Structures</t>
  </si>
  <si>
    <t>IEEE International Conference on Advanced Intelligent Mechatronics</t>
  </si>
  <si>
    <t>IEEE International Conference on Advanced Networks and Telecommunications Systems</t>
  </si>
  <si>
    <t>IEEE International Conference on Advanced Robotics and Mechatronics</t>
  </si>
  <si>
    <t>IEEE International Conference on Communications, Control, and Computing Technologies for Smart Grids</t>
  </si>
  <si>
    <t>IEEE International Conference on Consumer Electronics</t>
  </si>
  <si>
    <t>IEEE International Conference on Control Systems, Computing and Engineering</t>
  </si>
  <si>
    <t>IEEE International Conference on CYBER Technology in Automation, Control, and Intelligent Systems</t>
  </si>
  <si>
    <t>IEEE International Conference on DC Microgrids</t>
  </si>
  <si>
    <t>IEEE International Conference on Electronics, Circuits and Systems</t>
  </si>
  <si>
    <t>IEEE International Conference on Emerging Technologies and Factory Automation</t>
  </si>
  <si>
    <t>IEEE International Conference on Engineering, Technology and Innovation</t>
  </si>
  <si>
    <t>IEEE International Conference on Environment and Electrical Engineering</t>
  </si>
  <si>
    <t>IEEE International Conference on Image Processing</t>
  </si>
  <si>
    <t>IEEE International Conference on Industrial Engineering and Engineering Management</t>
  </si>
  <si>
    <t>IEEE International Conference on Industrial Technology</t>
  </si>
  <si>
    <t>IEEE International Conference on Innovative Smart Grid Technologies</t>
  </si>
  <si>
    <t>IEEE International Conference on Mechatronics and Automation</t>
  </si>
  <si>
    <t xml:space="preserve">IEEE International Conference on Mechatronics and Automation </t>
  </si>
  <si>
    <t>IEEE International Conference on Micro Electro Mechanical Systems</t>
  </si>
  <si>
    <t>IEEE International Conference on Power and Energy</t>
  </si>
  <si>
    <t>IEEE International Conference on Power Electronics and Drive Systems</t>
  </si>
  <si>
    <t>IEEE International Conference on Power Electronics, Drives and Energy Systems</t>
  </si>
  <si>
    <t>IEEE International Conference on Power Electronics, Intelligent Control and Energy System</t>
  </si>
  <si>
    <t>IEEE International Conference on Power Engineering, Energy and Electrical Drives</t>
  </si>
  <si>
    <t>IEEE International Conference on Robotics &amp; Automation</t>
  </si>
  <si>
    <t>IEEE International Conference on Robotics Automation and Mechatronics</t>
  </si>
  <si>
    <t>IEEE International Conference on Sensing, Diagnostics, Prognostics, and Control</t>
  </si>
  <si>
    <t>IEEE International Conference on Smart Energy Grid Engineering</t>
  </si>
  <si>
    <t>IEEE International Conference on Sustainable Energy Technologies</t>
  </si>
  <si>
    <t>IEEE International Conference on the Science of Electrical Engineering</t>
  </si>
  <si>
    <t>IEEE International Conference on Ubiquitous Wireless Broadband</t>
  </si>
  <si>
    <t>IEEE International Conference on Ultra-WideBand</t>
  </si>
  <si>
    <t>IEEE International Electric Machines and Drives Conference</t>
  </si>
  <si>
    <t>IEEE International Energy Conference</t>
  </si>
  <si>
    <t>IEEE International Future Energy Electronics Conference</t>
  </si>
  <si>
    <t>IEEE International Magnetics Conference</t>
  </si>
  <si>
    <t>IEEE International Memory Workshop</t>
  </si>
  <si>
    <t>IEEE International Midwest Symposium on Circuits and Systems</t>
  </si>
  <si>
    <t>IEEE International New Circuits and Systems Conference</t>
  </si>
  <si>
    <t>IEEE International Power Electronics and Application Conference and Exposition</t>
  </si>
  <si>
    <t>IEEE International Power Electronics and Motion Control Conference</t>
  </si>
  <si>
    <t>IEEE International Reliability Physics Symposium</t>
  </si>
  <si>
    <t>IEEE International Semiconductor Laser Conference</t>
  </si>
  <si>
    <t>IEEE International Symposium on Antennas and Propagation</t>
  </si>
  <si>
    <t>IEEE International Symposium on Antennas and Propagation and USNC-URSI Radio Science Meeting - AP-S/URSI</t>
  </si>
  <si>
    <t>IEEE International Symposium on Broadband Multimedia Systems and Broadcasting</t>
  </si>
  <si>
    <t>IEEE International Symposium on Circuits and Systems</t>
  </si>
  <si>
    <t>IEEE International Symposium on Diagnostics for Electrical Machines, Power Electronics and Drives</t>
  </si>
  <si>
    <t>IEEE International Symposium on Electromagnetic Compatibility</t>
  </si>
  <si>
    <t>IEEE International Symposium on Electromagnetic Compatibility and EMC</t>
  </si>
  <si>
    <t>IEEE International Symposium on Industrial Electronics</t>
  </si>
  <si>
    <t>IEEE International Symposium on Personal, Indoor, and Mobile Radio Communications workshops</t>
  </si>
  <si>
    <t>IEEE International Symposium on Power Electronics for Distributed Generation Systems</t>
  </si>
  <si>
    <t>IEEE International Symposium on Power Semiconductor Devices and ICs</t>
  </si>
  <si>
    <t>IEEE International Symposium on Systems Engineering</t>
  </si>
  <si>
    <t>IEEE International Symposium on Wireless Communication Systems</t>
  </si>
  <si>
    <t>IEEE International Systems Conference</t>
  </si>
  <si>
    <t>IEEE International Telecommunications Energy Conference</t>
  </si>
  <si>
    <t>IEEE International Topical Meeting on Microwave Photonics</t>
  </si>
  <si>
    <t>IEEE International Ultrasonics Symposium</t>
  </si>
  <si>
    <t>IEEE International Wireless Symposium</t>
  </si>
  <si>
    <t>IEEE International Workshop on Compressed Sensing Theory and its Applications to Radar, Sonar and Remote Sensing</t>
  </si>
  <si>
    <t>IEEE International Workshop on Computational Advances in Multi-Sensor Adaptive Processing</t>
  </si>
  <si>
    <t>IEEE International Workshop on Computer Aided Modeling and Design of Communication Links and Networks</t>
  </si>
  <si>
    <t>IEEE International Workshop on Machine Learning for Signal Processing</t>
  </si>
  <si>
    <t>IEEE International Workshop on Signal Processing Advances for Wireless Communications</t>
  </si>
  <si>
    <t>IEEE Intersociety Conference on Thermal and Thermomechanical Phenomena in Electronic Systems</t>
  </si>
  <si>
    <t>IEEE Jordan International Joint Conference on electrical engineering and information technology</t>
  </si>
  <si>
    <t>IEEE Journal of Robotics and Automation</t>
  </si>
  <si>
    <t>IEEE Journal on Emerging and Selected Topics in Circuits and Systems</t>
  </si>
  <si>
    <t>IEEE LCS: The Magazine of Lightwave Communications Systems</t>
  </si>
  <si>
    <t>IEEE Magnetics Conference</t>
  </si>
  <si>
    <t>IEEE Microwave and Wireless Components Letters</t>
  </si>
  <si>
    <t>IEEE Microwave Magazine</t>
  </si>
  <si>
    <t>IEEE MTT-S International Conference on Numerical Electromagnetic and Multiphysics Modeling and Optimization</t>
  </si>
  <si>
    <t>IEEE Multi-Conference on Systems and Control</t>
  </si>
  <si>
    <t>IEEE MultiMedia</t>
  </si>
  <si>
    <t>IEEE Nordic Circuit and Systems Conference</t>
  </si>
  <si>
    <t>IEEE Nordic Circuits and Systems Conference</t>
  </si>
  <si>
    <t>IEEE Nuclear Science Symposium and Medical Imaging Conference</t>
  </si>
  <si>
    <t>IEEE PES Asia-Pacific Power and Energy Engineering Conference</t>
  </si>
  <si>
    <t>IEEE PES General Meeting</t>
  </si>
  <si>
    <t xml:space="preserve">IEEE PES Innovative Smart Grid Technologies Conference </t>
  </si>
  <si>
    <t>IEEE PES Innovative Smart Grid Technologies Conference - Asia</t>
  </si>
  <si>
    <t>IEEE PES Innovative Smart Grid Technologies Conference - Latin America</t>
  </si>
  <si>
    <t>IEEE PES PowerTech Conference</t>
  </si>
  <si>
    <t>IEEE Photonics Conference</t>
  </si>
  <si>
    <t>IEEE Photonics Journal</t>
  </si>
  <si>
    <t>IEEE Power &amp; Energy Society General Meeting</t>
  </si>
  <si>
    <t>IEEE Power and Energy Conference at Illinois</t>
  </si>
  <si>
    <t>IEEE Power and Energy Society General Meeting</t>
  </si>
  <si>
    <t>IEEE PowerTech</t>
  </si>
  <si>
    <t>IEEE Radio and Antenna Days of the Indian Ocean</t>
  </si>
  <si>
    <t>IEEE Radio Frequency Integrated Circuits Symposium. Digest of Papers</t>
  </si>
  <si>
    <t>IEEE RAS/EMBS International Conference on Biomedical Robotics and Biomechatronics</t>
  </si>
  <si>
    <t>IEEE Sensors</t>
  </si>
  <si>
    <t>IEEE Signal Processing Letters</t>
  </si>
  <si>
    <t>IEEE Southern Power Electronics Conference</t>
  </si>
  <si>
    <t>IEEE Spectrum</t>
  </si>
  <si>
    <t>IEEE Student Conference on Research and Development</t>
  </si>
  <si>
    <t>IEEE Summer Topicals Meeting Series</t>
  </si>
  <si>
    <t>IEEE Symposium on Security and Privacy</t>
  </si>
  <si>
    <t>IEEE Technology and Society Magazine</t>
  </si>
  <si>
    <t>IEEE Transactions on Aerospace and Electronic Systems</t>
  </si>
  <si>
    <t>IEEE Transactions on Applied Superconductivity</t>
  </si>
  <si>
    <t>IEEE Transactions on Biomedical Circuits and Systems</t>
  </si>
  <si>
    <t>IEEE Transactions on Broadcasting</t>
  </si>
  <si>
    <t>IEEE Transactions on Circuits and Systems for Video Technology</t>
  </si>
  <si>
    <t>IEEE Transactions on Circuits and Systems II: Express Briefs</t>
  </si>
  <si>
    <t>IEEE Transactions on Circuits and Systems Part 1: Regular Papers</t>
  </si>
  <si>
    <t>IEEE Transactions on Components, Packaging and Manufacturing Technology</t>
  </si>
  <si>
    <t>IEEE Transactions on Computer-Aided Design of Integrated Circuits and Systems</t>
  </si>
  <si>
    <t>IEEE Transactions on Consumer Electronics</t>
  </si>
  <si>
    <t>IEEE Transactions on Device and Materials Reliability</t>
  </si>
  <si>
    <t>IEEE Transactions on Electromagnetic Compatibility</t>
  </si>
  <si>
    <t>IEEE Transactions on Electron Devices</t>
  </si>
  <si>
    <t>IEEE Transactions on Instrumentation and Measurement</t>
  </si>
  <si>
    <t>IEEE Transactions on Magnetics</t>
  </si>
  <si>
    <t>IEEE Transactions on Parallel and Distributed Systems</t>
  </si>
  <si>
    <t>IEEE Transactions on Reliability</t>
  </si>
  <si>
    <t>IEEE Transactions on Semiconductor Manufacturing</t>
  </si>
  <si>
    <t>IEEE Transactions on Terahertz Science and Technology</t>
  </si>
  <si>
    <t>IEEE Transportation Electrification Conference and Expo Asia-Pacific</t>
  </si>
  <si>
    <t>IEEE Visual Communication and Image Processing</t>
  </si>
  <si>
    <t>IEEE Wireless and Microwave Technology Conference</t>
  </si>
  <si>
    <t>IEEE Wireless Communications Letters</t>
  </si>
  <si>
    <t>IEEE Wireless Power Transfer Conference</t>
  </si>
  <si>
    <t>IEEE Workshop on Control and Modeling for Power Electronics</t>
  </si>
  <si>
    <t>IEEE Workshop on Electrical Machines Design, Control and Diagnosis</t>
  </si>
  <si>
    <t>IEEE Workshop on Environmental, Energy, and Structural Monitoring Systems</t>
  </si>
  <si>
    <t>IEICE Transactions on Communications</t>
  </si>
  <si>
    <t>IET Circuits, Devices &amp; Systems</t>
  </si>
  <si>
    <t>IET Clean Energy and Technology Conference</t>
  </si>
  <si>
    <t>IET Control Theory &amp; Applications</t>
  </si>
  <si>
    <t>IET Electric Power Applications</t>
  </si>
  <si>
    <t>IET International Conference on AC and DC Power Transmission</t>
  </si>
  <si>
    <t>IET International Conference on Advances in Power System Control, Operation and Management</t>
  </si>
  <si>
    <t>IET International Conference on Developments in Power System Protection</t>
  </si>
  <si>
    <t>IET International Conference on Power Electronics, Machines and Drives</t>
  </si>
  <si>
    <t>IET International Conference on Renewable Power Generation</t>
  </si>
  <si>
    <t>IET Microwaves, Antennas &amp; Propagation</t>
  </si>
  <si>
    <t>IET Optoelectronics</t>
  </si>
  <si>
    <t>IET Power Electronics</t>
  </si>
  <si>
    <t>IET Radar, Sonar &amp; Navigation</t>
  </si>
  <si>
    <t>IET Renewable Power Generation Conference</t>
  </si>
  <si>
    <t>IET Science, Measurement &amp; Technology</t>
  </si>
  <si>
    <t>IET’s Antennas and Propagation Conference</t>
  </si>
  <si>
    <t>IETE Journal of Research</t>
  </si>
  <si>
    <t>IFAC Conference on Control Applications in Marine Systems, Robotics, and Vehicles</t>
  </si>
  <si>
    <t>IFAC Symposium on Dynamics and Control of Process Systems, including Biosystems</t>
  </si>
  <si>
    <t>IFAC Workshop on Control of Systems Modeled by Partial Differential Equations</t>
  </si>
  <si>
    <t>IFAC Workshop Series</t>
  </si>
  <si>
    <t>IFAC-PapersOnLine</t>
  </si>
  <si>
    <t>IFIP Networking Conference</t>
  </si>
  <si>
    <t>IMAPS Nordic Conference on Microelectronics Packaging</t>
  </si>
  <si>
    <t>Industrial Lubrication &amp; Tribology</t>
  </si>
  <si>
    <t>Industrial Robot: the international journal of robotics research and application</t>
  </si>
  <si>
    <t>Intelligent Service Robotics</t>
  </si>
  <si>
    <t>International Advanced Research Workshop on transformers</t>
  </si>
  <si>
    <t>International Biennale Baltic Electronics Conference,</t>
  </si>
  <si>
    <t>International Communications Energy Conference</t>
  </si>
  <si>
    <t>International Conference and Exhibition on Electricity distribution</t>
  </si>
  <si>
    <t>International Conference and exposition on Electrical and Power Engineering</t>
  </si>
  <si>
    <t xml:space="preserve">International Conference Mechatronic Systems and Materials </t>
  </si>
  <si>
    <t>International Conference of Health Informatics</t>
  </si>
  <si>
    <t>International Conference on 5G for Ubiquitous Connectivity</t>
  </si>
  <si>
    <t>International Conference on Advanced Infocomm Technology</t>
  </si>
  <si>
    <t>International Conference on Advanced Information Management and Service</t>
  </si>
  <si>
    <t>International Conference on Advanced Technologies for Communications</t>
  </si>
  <si>
    <t>International Conference on Advances in Computing, Communications and Informatics</t>
  </si>
  <si>
    <t>International Conference on Clean Electrical Power</t>
  </si>
  <si>
    <t>International Conference on Climbing and Walking Robots and the Support Technologies for Mobile Machines</t>
  </si>
  <si>
    <t>International Conference on Compatibility and Power Electronics</t>
  </si>
  <si>
    <t>International Conference on Compatibility, Power Electronics and Power Engineering</t>
  </si>
  <si>
    <t>International Conference on Computational Intelligence and Communication Networks</t>
  </si>
  <si>
    <t>International Conference on Control and Fault-Tolerant Systems</t>
  </si>
  <si>
    <t>International Conference on Control, Automation and Robotics</t>
  </si>
  <si>
    <t>International Conference on Control, Automation, Robotics and Vision</t>
  </si>
  <si>
    <t>International Conference on Coupled Problems in Science and Engineering</t>
  </si>
  <si>
    <t>International Conference on Dielectrics</t>
  </si>
  <si>
    <t>International Conference on Digital Signal Processing</t>
  </si>
  <si>
    <t>International Conference on Electrical Drives and Power Electronics</t>
  </si>
  <si>
    <t>International Conference on Electrical Machines</t>
  </si>
  <si>
    <t>International Conference on Electrical Machines and Systems</t>
  </si>
  <si>
    <t>International Conference on Electricity Distribution</t>
  </si>
  <si>
    <t>International Conference on Electromagnetics in Advanced Applications</t>
  </si>
  <si>
    <t>International Conference on Energy and Environment Research</t>
  </si>
  <si>
    <t>International Conference on Field Programmable Logic and Applications</t>
  </si>
  <si>
    <t>International Conference on Fluid Power and Mechatronics</t>
  </si>
  <si>
    <t>International conference on Foundations of Computer-Aided Process Design</t>
  </si>
  <si>
    <t>International Conference on Image Processing</t>
  </si>
  <si>
    <t>International Conference on Imaging for Crime Detection and Prevention</t>
  </si>
  <si>
    <t>International Conference on Informatics in Control, Automation and Robotics</t>
  </si>
  <si>
    <t>International Conference on Infrared, Millimeter and Terahertz Waves</t>
  </si>
  <si>
    <t>International Conference on Intelligent Green Building and Smart Grid</t>
  </si>
  <si>
    <t>International conference on Intelligent System Applications to Power Systems</t>
  </si>
  <si>
    <t>International Conference on Intelligent Transport Systems Telecommunications</t>
  </si>
  <si>
    <t>International Conference on Knowledge and Smart Technology</t>
  </si>
  <si>
    <t>International Conference on Knowledge Engineering and Ontology Development</t>
  </si>
  <si>
    <t>International Conference on Knowledge Management and Information Sharing</t>
  </si>
  <si>
    <t>International Conference on Mechatronics and Robotics Engineering</t>
  </si>
  <si>
    <t>International Conference on Micro Electro Mechanical Systems</t>
  </si>
  <si>
    <t>International Conference on Network and Service Management</t>
  </si>
  <si>
    <t>International Conference on Noise and Vibration Engineering</t>
  </si>
  <si>
    <t>International Conference on Numerical Electromagnetic Modeling and Optimization</t>
  </si>
  <si>
    <t>International Conference on Optical Communications and Networks</t>
  </si>
  <si>
    <t>International Conference on Optical Network Design and Modeling, ONDM</t>
  </si>
  <si>
    <t>International Conference on Optical Networks Design and Modelling</t>
  </si>
  <si>
    <t>International Conference on Optimization of Electrical and Electronic Equipment</t>
  </si>
  <si>
    <t>International Conference on Opto-Electronics and Applied Optics</t>
  </si>
  <si>
    <t>International conference on Photonics in switching, PS</t>
  </si>
  <si>
    <t>International Conference on Power Electronics and ECCE Asia</t>
  </si>
  <si>
    <t>International Conference on Power System Technology</t>
  </si>
  <si>
    <t>International Conference on Power Systems</t>
  </si>
  <si>
    <t>International Conference on Power Systems Transients</t>
  </si>
  <si>
    <t>International Conference on Probabilistic Methods Applied to Power Systems</t>
  </si>
  <si>
    <t>International Conference on Renewable Energy Research and Applications</t>
  </si>
  <si>
    <t>International Conference on Research and Education in Mechatronics</t>
  </si>
  <si>
    <t>International Conference on Sensing, Diagnostics, Prognostics, and Control</t>
  </si>
  <si>
    <t>International Conference on Signal Processing and Communication Systems</t>
  </si>
  <si>
    <t>International Conference on Smart Grid and Clean Energy Technologies</t>
  </si>
  <si>
    <t>International Conference on Solid-State Sensors, Actuators and Microsystems</t>
  </si>
  <si>
    <t>International conference on Structural Engineering, Mechanichs and Computation</t>
  </si>
  <si>
    <t>International Conference on System of Systems Engineering</t>
  </si>
  <si>
    <t>International Conference on Telecommunication Systems, Services, and Applications</t>
  </si>
  <si>
    <t>International Conference on the European Energy Market</t>
  </si>
  <si>
    <t>International Conference on Thermal, Mechanical and Multi-Physics Simulation and Experiments in Microelectronics and Microsystems</t>
  </si>
  <si>
    <t>International Conference on Thermoelectrics</t>
  </si>
  <si>
    <t>International Conference on Unmanned Aircraft Systems</t>
  </si>
  <si>
    <t>International conference WASTES: Solutions, Treatments and Opportunities</t>
  </si>
  <si>
    <t>International Conferences of the Audio Engineering Society</t>
  </si>
  <si>
    <t>International Congress of Theoretical and Applied Mechanics</t>
  </si>
  <si>
    <t>International Congress on Acoustics</t>
  </si>
  <si>
    <t>International Design Engineering Technical Conference and Computers and Information in Engineering Conference</t>
  </si>
  <si>
    <t>International Electric Drives Production Conference</t>
  </si>
  <si>
    <t>International Field Exploration and Development Conference</t>
  </si>
  <si>
    <t>International Forum on Strategic Technology</t>
  </si>
  <si>
    <t>International Journal of Adaptive Control and Signal Processing</t>
  </si>
  <si>
    <t>International Journal of Advanced Robotic Systems</t>
  </si>
  <si>
    <t>International Journal of Aeroacoustics</t>
  </si>
  <si>
    <t>International Journal of Antennas and Propagation</t>
  </si>
  <si>
    <t>International Journal of Automation and Computing</t>
  </si>
  <si>
    <t>International Journal of Automation and Control</t>
  </si>
  <si>
    <t>International Journal of Autonomous and Adaptive Communications Systems</t>
  </si>
  <si>
    <t>International Journal of Circuit Theory and Applications</t>
  </si>
  <si>
    <t>International Journal of Control</t>
  </si>
  <si>
    <t>International Journal of Control, Automation and Systems</t>
  </si>
  <si>
    <t>International Journal of Digital Crime and Forensics</t>
  </si>
  <si>
    <t>International Journal of Digital Multimedia Broadcasting</t>
  </si>
  <si>
    <t>International Journal of Electronics</t>
  </si>
  <si>
    <t>International Journal of High Speed Electronics and Systems</t>
  </si>
  <si>
    <t>International Journal of Mobile Communications</t>
  </si>
  <si>
    <t>International Journal of Mobile Computing and Multimedia Communications</t>
  </si>
  <si>
    <t>International Journal of Mobile Network Design and Innovation</t>
  </si>
  <si>
    <t>International Journal of Numerical Modelling: Electronic Networks, Devices and Fields</t>
  </si>
  <si>
    <t>International Journal of Power Electronics</t>
  </si>
  <si>
    <t>International Journal of R F and Microwave Computer-Aided Engineering</t>
  </si>
  <si>
    <t>International Journal of Reconfigurable Computing</t>
  </si>
  <si>
    <t>International Journal of Robotics and Automation</t>
  </si>
  <si>
    <t>International Journal of Satellite Communications and Networking</t>
  </si>
  <si>
    <t>International Journal of Social Robotics</t>
  </si>
  <si>
    <t>International Journal of Systems, Control and Communications</t>
  </si>
  <si>
    <t>International Mechanical Engineering Congress &amp; Exposition</t>
  </si>
  <si>
    <t>International Microwave and Optoelectronics Conference</t>
  </si>
  <si>
    <t>International Middle East Power Systems Conference</t>
  </si>
  <si>
    <t>International Multi-Conference on Engineering, Computer and Information Sciences</t>
  </si>
  <si>
    <t>International Multiconference on Systems, Signals &amp; Devices</t>
  </si>
  <si>
    <t>International Multidisciplinary Conference on Computer and Energy Science</t>
  </si>
  <si>
    <t>International Operational Modal Analysis Conference</t>
  </si>
  <si>
    <t>International Power Electronics, Drive Systems and Technologies Conference</t>
  </si>
  <si>
    <t>International Renewable and Sustainable Energy Conference</t>
  </si>
  <si>
    <t>International Scientific Conference Electronics</t>
  </si>
  <si>
    <t>International Scientific Conference on Power and Electrical Engineering of Riga Technical University</t>
  </si>
  <si>
    <t>International Series on Intelligent Systems, Control and Automation: Science and Engineering</t>
  </si>
  <si>
    <t>International Siberian Conference on Control and Communications</t>
  </si>
  <si>
    <t>International Spring Seminar on Electronics Technology</t>
  </si>
  <si>
    <t>International Symposium on Advanced Research in Asynchronous Circuits and Systems</t>
  </si>
  <si>
    <t>International Symposium on Advanced Topics in Electrical Engineering</t>
  </si>
  <si>
    <t>International Symposium on Electrical Apparatus and Technologies</t>
  </si>
  <si>
    <t>International Symposium on Electromagnetic Theory</t>
  </si>
  <si>
    <t>International Symposium on Environment Friendly Energies and Applications</t>
  </si>
  <si>
    <t>International Symposium on Medical Information and Communication Technology</t>
  </si>
  <si>
    <t>International Symposium on Power Electronics</t>
  </si>
  <si>
    <t>International symposium on power electronics, electrical drives, automation and motion</t>
  </si>
  <si>
    <t>International Symposium on Quality Electronic Design</t>
  </si>
  <si>
    <t>International Symposium on Signals, Circuits and Systems</t>
  </si>
  <si>
    <t>International Symposium on Turbo Codes &amp; Iterative Information Processing</t>
  </si>
  <si>
    <t>International Symposium on Wireless Communication Systems</t>
  </si>
  <si>
    <t>International Technical Meeting of The Satellite Division of the Institute of Navigation</t>
  </si>
  <si>
    <t>International Transactions on Electrical Energy Systems</t>
  </si>
  <si>
    <t>International Universities Power Engineering Conference</t>
  </si>
  <si>
    <t>International Universities' Power Engineering Conference</t>
  </si>
  <si>
    <t>International Workshop in Acoustic Echo and Noise Control</t>
  </si>
  <si>
    <t>International Workshop on Health Text Mining and Information Analysis</t>
  </si>
  <si>
    <t>International Workshop on Integrated Nonlinear Microwave and Millimetre-Wave Circuits</t>
  </si>
  <si>
    <t>International Workshop on Quality of Multimedia Experience</t>
  </si>
  <si>
    <t>International Workshop on Resilient Networks Design and Modeling</t>
  </si>
  <si>
    <t>International Youth Conference on Energy</t>
  </si>
  <si>
    <t>IPSJ Transactions on Computer Vision and Applications</t>
  </si>
  <si>
    <t>IWA Conference on Instrumentation, Control and Automation</t>
  </si>
  <si>
    <t>J A S A Express Letters</t>
  </si>
  <si>
    <t>Joint Workshop on Cyber-Physical Security and Resilience in Smart Grids</t>
  </si>
  <si>
    <t>Journal of Advanced Researches in Dynamical and Control Systems</t>
  </si>
  <si>
    <t>Journal of China Universities of Posts and Telecommunications</t>
  </si>
  <si>
    <t>Journal of Communications and Networks</t>
  </si>
  <si>
    <t>Journal of Communications Software and Systems</t>
  </si>
  <si>
    <t>Journal of Communications Technology and Electronics</t>
  </si>
  <si>
    <t>Journal of Computational Electronics</t>
  </si>
  <si>
    <t>Journal of Computer Science and Control Systems</t>
  </si>
  <si>
    <t>Journal of Control Theory and Applications</t>
  </si>
  <si>
    <t>Journal of Cyber Security and Mobility</t>
  </si>
  <si>
    <t>Journal of Display Technology</t>
  </si>
  <si>
    <t>Journal of Dynamic Systems, Measurement and Control</t>
  </si>
  <si>
    <t>Journal of Electrical and Computer Engineering</t>
  </si>
  <si>
    <t>Journal of Electromagnetic Waves and Applications</t>
  </si>
  <si>
    <t>Journal of Electronic Materials</t>
  </si>
  <si>
    <t>Journal of Electronic Packaging</t>
  </si>
  <si>
    <t>Journal of Electrostatics</t>
  </si>
  <si>
    <t>Journal of Guidance, Control, and Dynamics</t>
  </si>
  <si>
    <t>Journal of ICT Standardization</t>
  </si>
  <si>
    <t>Journal of Infrared, Millimeter and Terahertz Waves</t>
  </si>
  <si>
    <t>Journal of Integer Sequences</t>
  </si>
  <si>
    <t>Journal of Intelligent Systems</t>
  </si>
  <si>
    <t>Journal of Mechanisms and Robotics</t>
  </si>
  <si>
    <t>Journal of Microelectronics and Electronic Packaging</t>
  </si>
  <si>
    <t>Journal of Microwave Power and Electromagnetic Energy</t>
  </si>
  <si>
    <t>Journal of Open Research Software</t>
  </si>
  <si>
    <t>Journal of Optical Communications</t>
  </si>
  <si>
    <t>Journal of Optical Communications and Networking</t>
  </si>
  <si>
    <t>Journal of Phase Equilibria and Diffusion</t>
  </si>
  <si>
    <t>Journal of Power Electronics</t>
  </si>
  <si>
    <t>Journal of Russian Laser Research</t>
  </si>
  <si>
    <t>Journal of Signal Processing Systems</t>
  </si>
  <si>
    <t>Journal of the American Helicopter Society</t>
  </si>
  <si>
    <t>Journal of the Audio Engineering Society</t>
  </si>
  <si>
    <t>Journal of the European Optical Society - Rapid Publications</t>
  </si>
  <si>
    <t>Journal of The Institute of Telecommunications Professionals</t>
  </si>
  <si>
    <t>Journal of Ultrasound in Medicine</t>
  </si>
  <si>
    <t>Lasers in Engineering</t>
  </si>
  <si>
    <t>Latin-American Conference on Communications</t>
  </si>
  <si>
    <t>Lecture Notes in Control and Information Sciences</t>
  </si>
  <si>
    <t>Loughborough Antennas &amp; Propagation Conference</t>
  </si>
  <si>
    <t>Magnetic Resonance Imaging</t>
  </si>
  <si>
    <t>Measurement and Control</t>
  </si>
  <si>
    <t>MEC International Conference on Big Data and Smart City</t>
  </si>
  <si>
    <t>Mechanisms and Machine Science</t>
  </si>
  <si>
    <t>Mechatronics Forum International Conference</t>
  </si>
  <si>
    <t>Mediterranean Electrotechnical Conference</t>
  </si>
  <si>
    <t>Metamaterials</t>
  </si>
  <si>
    <t>Microelectronic Engineering</t>
  </si>
  <si>
    <t>Microelectronics Journal</t>
  </si>
  <si>
    <t>Microelectronics Reliability</t>
  </si>
  <si>
    <t>Microsystem Technologies: Micro- and Nanosystems Information Storage and Processing Systems</t>
  </si>
  <si>
    <t>Microwave &amp; Optical Technology Letters</t>
  </si>
  <si>
    <t>Microwave Journal</t>
  </si>
  <si>
    <t>Microwaves &amp; R F</t>
  </si>
  <si>
    <t>Midwest Symposium on Circuits and Systems. Conference Proceedings</t>
  </si>
  <si>
    <t>Modern Electric Power Systems</t>
  </si>
  <si>
    <t>Multidimensional Systems and Signal Processing</t>
  </si>
  <si>
    <t>Network: Computation in Neural Systems</t>
  </si>
  <si>
    <t>Neural Processing Letters</t>
  </si>
  <si>
    <t>Nonlinear Dynamics and Systems Theory</t>
  </si>
  <si>
    <t>Nonlinear Dynamics of Electronic Systems Conference</t>
  </si>
  <si>
    <t>NORCHIP</t>
  </si>
  <si>
    <t>Nordic Laser Materials Processing Conference</t>
  </si>
  <si>
    <t>North American Power Symposium</t>
  </si>
  <si>
    <t>NTT Technical Review</t>
  </si>
  <si>
    <t>Nuclear Science Symposium and Medical Imaging Conference</t>
  </si>
  <si>
    <t>Oceans Conference &amp; Exposition</t>
  </si>
  <si>
    <t>Open Seminar on Acoustics</t>
  </si>
  <si>
    <t>Optica Applicata</t>
  </si>
  <si>
    <t>Optical and Quantum Electronics</t>
  </si>
  <si>
    <t>Optical Fiber Communications Conference and Exhibition</t>
  </si>
  <si>
    <t>Optical Fiber Technology</t>
  </si>
  <si>
    <t>Optics &amp; Laser Technology</t>
  </si>
  <si>
    <t>Optics &amp; Photonics News</t>
  </si>
  <si>
    <t>Optics and Lasers in Engineering</t>
  </si>
  <si>
    <t>Optimal Control Applications and Methods</t>
  </si>
  <si>
    <t>Optimization and Engineering</t>
  </si>
  <si>
    <t>Opto-Electronics And Communications Conference</t>
  </si>
  <si>
    <t>Opto-Electronics Review</t>
  </si>
  <si>
    <t>PhotonIcs and Electromagnetics Research Symposium (Progress in Electromagnetic Research Symposium)</t>
  </si>
  <si>
    <t>Physical Communication</t>
  </si>
  <si>
    <t>Polish Congress of Mechanics and International Conference on Computer Methods in Mechanics</t>
  </si>
  <si>
    <t>Porceedings of the IEEE European Conference on Antennas and Propagation (EuCAP)</t>
  </si>
  <si>
    <t>Power Electronics, Drive Systems &amp; Technologies Conference</t>
  </si>
  <si>
    <t>Power Systems Computation Conference</t>
  </si>
  <si>
    <t>Power Technology and Engineering</t>
  </si>
  <si>
    <t>Problems of Information Transmission</t>
  </si>
  <si>
    <t>Proceeding ofthe IEEE International Conference on Indoor Positioning and Indoor Navigation (IPIN)</t>
  </si>
  <si>
    <t>Proceedings of ESSCIRC</t>
  </si>
  <si>
    <t>Proceedings of IEEE Sensors</t>
  </si>
  <si>
    <t>Proceedings of the  International Joint Conference on E-Business and Telecommunications (ICETE)</t>
  </si>
  <si>
    <t>Proceedings of the ACM/IEEE International Symposium on Computer Architecture</t>
  </si>
  <si>
    <t>Proceedings Of the American Control Conference</t>
  </si>
  <si>
    <t>Proceedings of the Annual Conference of the IEEE Industrial Electronics Society</t>
  </si>
  <si>
    <t>Proceedings of the Conference On Lasers And Electro-Optics (CLEO)</t>
  </si>
  <si>
    <t>Proceedings of the Custom Integrated Circuits Conference</t>
  </si>
  <si>
    <t>Proceedings of the Design, Automation, and Test in Europe Conference and Exhibition</t>
  </si>
  <si>
    <t>Proceedings of the European Conference on Optical Communication</t>
  </si>
  <si>
    <t>Proceedings of the European Signal Processing Conference</t>
  </si>
  <si>
    <t>Proceedings of the European Test Workshop</t>
  </si>
  <si>
    <t>Proceedings of the European Wireless Conference</t>
  </si>
  <si>
    <t>Proceedings of the IEEE Annual Wireless and Microwave Technology Conference</t>
  </si>
  <si>
    <t>Proceedings of the IEEE Asia-Pacific Microwave Conference (APMC)</t>
  </si>
  <si>
    <t>Proceedings of the IEEE Computer Society Annual Symposium on VLSI</t>
  </si>
  <si>
    <t>Proceedings of the IEEE Conference on Control Technology and Applications (CCTA)</t>
  </si>
  <si>
    <t>Proceedings of the IEEE Conference on Decision and Control</t>
  </si>
  <si>
    <t>Proceedings of the IEEE Consumer Communications and Networking Conference (CCNC)</t>
  </si>
  <si>
    <t>Proceedings of the IEEE European Conference on Networks and Communications (EuCNC)</t>
  </si>
  <si>
    <t>Proceedings of the IEEE European Conference on Optical Communication (ECOC)</t>
  </si>
  <si>
    <t>Proceedings of the IEEE European Conference on Power Electronics and Applications</t>
  </si>
  <si>
    <t>Proceedings of the IEEE European Microwave Conference (EuMC)</t>
  </si>
  <si>
    <t>Proceedings of the IEEE European Microwave Integrated Circuits Conference (EuMIC)</t>
  </si>
  <si>
    <t>Proceedings of the IEEE General Assembly and Scientific Symposium (URSI GASS)</t>
  </si>
  <si>
    <t>Proceedings of the IEEE Global Conference on Signal and Information Processing</t>
  </si>
  <si>
    <t>Proceedings of the IEEE Globecom Workshops (GC Wkshps)</t>
  </si>
  <si>
    <t>Proceedings of the IEEE Information Theory Workshop</t>
  </si>
  <si>
    <t>Proceedings of the IEEE International Conference on Acoustics, Speech, and Signal Processing</t>
  </si>
  <si>
    <t>Proceedings of the IEEE International Conference on Cloud Networking (CloudNet)</t>
  </si>
  <si>
    <t>Proceedings of the IEEE International Conference on Communications</t>
  </si>
  <si>
    <t>Proceedings of the IEEE International Conference on Communications (ICC)</t>
  </si>
  <si>
    <t>Proceedings of the IEEE International Conference on Communications Workshops (ICC Workshops)</t>
  </si>
  <si>
    <t>Proceedings of the IEEE International Conference on Compatibility, Power Electronics and Power Engineering (CPE-POWERENG)</t>
  </si>
  <si>
    <t>Proceedings of the IEEE International Conference On Control, Automation And Robotics (ICCAR)</t>
  </si>
  <si>
    <t>Proceedings of the IEEE International Conference on Control, Decision and Information Technologies (CoDIT)</t>
  </si>
  <si>
    <t>Proceedings of the IEEE International Conference on Electrical Machines and Systems (ICEMS)</t>
  </si>
  <si>
    <t>Proceedings of the IEEE International Conference on Electronics, Circuits and Systems</t>
  </si>
  <si>
    <t>Proceedings of the IEEE International Conference on Evolving and Adaptive Intelligent Systems (EAIS)</t>
  </si>
  <si>
    <t>Proceedings of the IEEE International Conference On Group Iv Photonics (GFP)</t>
  </si>
  <si>
    <t>Proceedings of the IEEE International Conference on Imaging Systems and Techniques (IST)</t>
  </si>
  <si>
    <t>Proceedings of the IEEE International Conference on Industrial Technology (ICIT)</t>
  </si>
  <si>
    <t>Proceedings of the IEEE International Conference on Information Fusion (FUSION)</t>
  </si>
  <si>
    <t>Proceedings of the IEEE International Conference on Micro Electro Mechanical Systems (MEMS)</t>
  </si>
  <si>
    <t>Proceedings of the IEEE International Conference on Probabilistic Methods Applied to Power Systems (PMAPS)</t>
  </si>
  <si>
    <t>Proceedings of the IEEE International Conference on the Design of Reliable Communication Networks (DRCN)</t>
  </si>
  <si>
    <t>Proceedings of the IEEE International Conference on Unmanned Aircraft Systems (ICUAS)</t>
  </si>
  <si>
    <t>Proceedings of the IEEE International SOC Conference</t>
  </si>
  <si>
    <t>Proceedings of the IEEE International Symposium on Antennas and Propagation (APSURSI)</t>
  </si>
  <si>
    <t>Proceedings of the IEEE International Symposium on Defect and Fault Tolerance in VLSI Systems</t>
  </si>
  <si>
    <t>Proceedings of the IEEE International Symposium on Information Theory</t>
  </si>
  <si>
    <t>Proceedings of the IEEE International Universities' Power Engineering Conference (UPEC)</t>
  </si>
  <si>
    <t>Proceedings of the IEEE International Workshop on Antenna Technology (iWAT)</t>
  </si>
  <si>
    <t>Proceedings of the IEEE International Workshop on Resilient Networks Design and Modeling (RNDM)</t>
  </si>
  <si>
    <t>Proceedings of the IEEE Photonics Conference</t>
  </si>
  <si>
    <t>Proceedings of the IEEE Photonics Conference (IPC)</t>
  </si>
  <si>
    <t>Proceedings of the IEEE Photonics Society Summer Topical Meeting Series (SUM)</t>
  </si>
  <si>
    <t xml:space="preserve">Proceedings Of The IEEE Photovoltaic Specialists Conference (PVSC) </t>
  </si>
  <si>
    <t>Proceedings of the IEEE Semiconductor Thermal Measurement and Management Symposium</t>
  </si>
  <si>
    <t>Proceedings of the IEEE Sensor Array and Multichannel Signal Processing Workshop</t>
  </si>
  <si>
    <t>Proceedings of the IEEE Telecommunications Forum (TELFOR)</t>
  </si>
  <si>
    <t>Proceedings of the IEEE URSI International Symposium on Electromagnetic Theory (EMTS)</t>
  </si>
  <si>
    <t>Proceedings of the IEEE VTS Vehicular Technology Conference</t>
  </si>
  <si>
    <t>Proceedings of the IEEE Wireless Telecommunications Symposium (WTS)</t>
  </si>
  <si>
    <t>Proceedings of the IEEE Workshop on Signal Processing Advances in Wireless Communications</t>
  </si>
  <si>
    <t>Proceedings of the IEEE Workshop on Signal Processing Systems</t>
  </si>
  <si>
    <t>Proceedings of the IEEEInternational Workshop on Acoustic Signal Enhancement (IWAENC)</t>
  </si>
  <si>
    <t>Proceedings of the Institution of Mechanical Engineers, Part A: Journal of Power and Energy</t>
  </si>
  <si>
    <t>Proceedings of the Institution of Mechanical Engineers, Part I: Journal of Systems and Control Engineering</t>
  </si>
  <si>
    <t>Proceedings of the International Conference on Data Engineering</t>
  </si>
  <si>
    <t>Proceedings Of The International Conference On Informatics In Control, Automation And Robotics</t>
  </si>
  <si>
    <t>Proceedings of the International Conference on Spoken Language Processing</t>
  </si>
  <si>
    <t>Proceedings of the International Conference on VLSI Design</t>
  </si>
  <si>
    <t>Proceedings of the International Symposium on High-Performance Computer Architecture</t>
  </si>
  <si>
    <t>Proceedings of the International Symposium on High-Performance Computing in an Advanced Collaborative Environment</t>
  </si>
  <si>
    <t>Proceedings of the International Symposium on Low Power Electronics and Design</t>
  </si>
  <si>
    <t>Proceedings of the International Symposium on Multiple-Valued Logic</t>
  </si>
  <si>
    <t>Proceedings of the NASA/DoD Conference on Evolvable Hardware</t>
  </si>
  <si>
    <t>Proceedings of the Nordic Insulation Symposium</t>
  </si>
  <si>
    <t>Proceedings of the Symposium on Computer Arithmetic</t>
  </si>
  <si>
    <t>Proceedings of the Wireless Personal Multimedia Communications Symposia</t>
  </si>
  <si>
    <t>Proceedings ofthe IEEE Asia-Pacific Conference on Antennas and Propagation (APCAP)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</si>
  <si>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</si>
  <si>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</si>
  <si>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</si>
  <si>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</si>
  <si>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 xml:space="preserve">Progress In Electromagnetics Research PIER </t>
  </si>
  <si>
    <t>Quantum Electronics</t>
  </si>
  <si>
    <t>Radio Science</t>
  </si>
  <si>
    <t>Radioengineering</t>
  </si>
  <si>
    <t>Recent Advances in Space Technology</t>
  </si>
  <si>
    <t>Research Letters in Signal Processing</t>
  </si>
  <si>
    <t>Robotics and Computer-Integrated Manufacturing</t>
  </si>
  <si>
    <t>SBMO/IEEE MTT-S International Microwave and Optoelectronics Conference</t>
  </si>
  <si>
    <t>Scanning</t>
  </si>
  <si>
    <t>Sensors and Materials</t>
  </si>
  <si>
    <t>Ship Technology Research</t>
  </si>
  <si>
    <t>SICE International Symposium on Control Systems</t>
  </si>
  <si>
    <t>SIGIR Forum</t>
  </si>
  <si>
    <t>Signal Processing Algorithms, Architectures, Arrangements and Applications</t>
  </si>
  <si>
    <t>Simulation</t>
  </si>
  <si>
    <t>SMPTE Motion Imaging Journal</t>
  </si>
  <si>
    <t>Solid State Technology</t>
  </si>
  <si>
    <t>Solid-State Electronics</t>
  </si>
  <si>
    <t>Sound &amp; Vibration</t>
  </si>
  <si>
    <t>Speech Communication</t>
  </si>
  <si>
    <t>SPIE Astronomical Telescopes + Instrumentation</t>
  </si>
  <si>
    <t>SPIE Defense + Security</t>
  </si>
  <si>
    <t>SPIE Medical Imaging</t>
  </si>
  <si>
    <t>SPIE Security + Defence</t>
  </si>
  <si>
    <t>Spring conference on Computer graphics</t>
  </si>
  <si>
    <t>Springer Series in Wireless Technology</t>
  </si>
  <si>
    <t>Springer Topics in Signal Processing</t>
  </si>
  <si>
    <t>Springer Tracts in Advanced Robotics</t>
  </si>
  <si>
    <t>Springerbriefs In Applied Sciences And Technology</t>
  </si>
  <si>
    <t>SpringerBriefs in Electrical and Computer Engineering</t>
  </si>
  <si>
    <t>Strojniski Vestnik</t>
  </si>
  <si>
    <t>Symposia on VLSI Technology and Circuits</t>
  </si>
  <si>
    <t>Symposium on Design, Test, Integration and Packaging of MEMS/MOEMS</t>
  </si>
  <si>
    <t>Systems &amp; Control Letters</t>
  </si>
  <si>
    <t>The Imaging Science Journal</t>
  </si>
  <si>
    <t>The International Journal of Applied Electromagnetics and Mechanics</t>
  </si>
  <si>
    <t>The International Workshop on Acoustic Signal Enhancement</t>
  </si>
  <si>
    <t>The Journal of Imaging Science and Technology</t>
  </si>
  <si>
    <t>The Journal of the Acoustical Society of America</t>
  </si>
  <si>
    <t>The Radio Science Bulletin</t>
  </si>
  <si>
    <t>Toraibarojisuto/Journal of Japanese Society of Tribologists</t>
  </si>
  <si>
    <t>Transactions of the Institute of Measurement and Control</t>
  </si>
  <si>
    <t>Transactions on Emerging Telecommunications Technologies</t>
  </si>
  <si>
    <t>Ultrasonic Imaging</t>
  </si>
  <si>
    <t>Ultrasonics</t>
  </si>
  <si>
    <t>Ursi International Symposium on Electromagnetic Theory</t>
  </si>
  <si>
    <t>USNC-URSI Radio Science Meeting</t>
  </si>
  <si>
    <t>VLSI Design</t>
  </si>
  <si>
    <t>Wind Energy Symposium</t>
  </si>
  <si>
    <t>Wind Integration Workshop</t>
  </si>
  <si>
    <t>Wireless Networks</t>
  </si>
  <si>
    <t>Wireless Personal Communications</t>
  </si>
  <si>
    <t>WIT Transactions on Engineering Sciences</t>
  </si>
  <si>
    <t>Woodhead Publishing Series In Electronic And Optical Materials</t>
  </si>
  <si>
    <t>Workshop on ns-3</t>
  </si>
  <si>
    <t>Slavisk og Baltisk, Moderne græsk, Finsk, Ungarsk</t>
  </si>
  <si>
    <t>Ab Imperio: Studies of New Imperial History  and Nationalism  in the Post-Soviet Space</t>
  </si>
  <si>
    <t>Acta Slavica Iaponica</t>
  </si>
  <si>
    <t>Balkan Studies</t>
  </si>
  <si>
    <t>Bohemia - Zeitschrift für Geschichte und Kultur der böhmischen Länder</t>
  </si>
  <si>
    <t>Byzantine and Modern Greek Studies</t>
  </si>
  <si>
    <t>Canadian Slavonic Papers / Revue Canadienne des Slavistes</t>
  </si>
  <si>
    <t>Central Europe</t>
  </si>
  <si>
    <t>Ceska Literatura</t>
  </si>
  <si>
    <t>Die Welt der Slaven</t>
  </si>
  <si>
    <t>East European Politics and Societies</t>
  </si>
  <si>
    <t>Finnisch-Ugrische Forschungen</t>
  </si>
  <si>
    <t>Journal of Baltic Studies</t>
  </si>
  <si>
    <t>Journal of Contemporary Central and Eastern Europe</t>
  </si>
  <si>
    <t>Journal of Modern Greek Studies</t>
  </si>
  <si>
    <t>Journal of Southeast European and Black Sea Studies</t>
  </si>
  <si>
    <t>Kritika: Explorations in Russian and Eurasian History</t>
  </si>
  <si>
    <t>Problems of Post-Communism</t>
  </si>
  <si>
    <t>Russian History</t>
  </si>
  <si>
    <t>Russian Linguistics</t>
  </si>
  <si>
    <t>Russian Literature</t>
  </si>
  <si>
    <t>Russkij Âzyk v naucnom osvešcenii</t>
  </si>
  <si>
    <t>Sananjalka</t>
  </si>
  <si>
    <t>Scando-Slavica</t>
  </si>
  <si>
    <t>Slavic and East European Journal</t>
  </si>
  <si>
    <t>Slavic Review: Interdisciplinary Quarterly of Russian, Eurasian, and East European Studies</t>
  </si>
  <si>
    <t>Slavonic and East European Review</t>
  </si>
  <si>
    <t>Suedost-Europa</t>
  </si>
  <si>
    <t>Teksty Drugie</t>
  </si>
  <si>
    <t>The Russian Review</t>
  </si>
  <si>
    <t>The Soviet and Post-Soviet Review</t>
  </si>
  <si>
    <t>Tokovi istorije</t>
  </si>
  <si>
    <t>Virittaja</t>
  </si>
  <si>
    <t>Voprosy istorii</t>
  </si>
  <si>
    <t>Voprosy Yazykoznaniya</t>
  </si>
  <si>
    <t>Zeitschrift für Ostmitteleuropa-Forschung</t>
  </si>
  <si>
    <t>Zeitschrift für Slavische Philologie</t>
  </si>
  <si>
    <t>Zeitschrift für Slawistik</t>
  </si>
  <si>
    <t>Acta Baltico-Slavica</t>
  </si>
  <si>
    <t>Acta Linguistica Lithuanica</t>
  </si>
  <si>
    <t>Acta Poloniae Historica</t>
  </si>
  <si>
    <t>Acta Universitatis Ouluensis. Series B. Humaniora</t>
  </si>
  <si>
    <t>Acta Universitatis Tamperensis</t>
  </si>
  <si>
    <t>AFinLA Yearbook</t>
  </si>
  <si>
    <t>Annales Academiae Scientiarum Fennicae. Series Humaniora</t>
  </si>
  <si>
    <t>Anthem Series on Russian, East European and Eurasian Studies</t>
  </si>
  <si>
    <t>Anzeiger für slavische Philologie</t>
  </si>
  <si>
    <t>Balcanica</t>
  </si>
  <si>
    <t>Baltistica</t>
  </si>
  <si>
    <t>Bulgarian Historical Review</t>
  </si>
  <si>
    <t>Cahiers du Monde Russe</t>
  </si>
  <si>
    <t>Canadian-American Slavic Studies</t>
  </si>
  <si>
    <t>Casopis pro Moderní Filologii</t>
  </si>
  <si>
    <t>Casopis za Suvremenu Povijest</t>
  </si>
  <si>
    <t>Český Časopis Historický</t>
  </si>
  <si>
    <t>Český lid. Etnologický časopis</t>
  </si>
  <si>
    <t>Contemporary Southeastern Europe</t>
  </si>
  <si>
    <t>Croatian International Relations Review</t>
  </si>
  <si>
    <t xml:space="preserve">Detskie chtenia </t>
  </si>
  <si>
    <t>Digital Icons Studies in Russian, Eurasian and Central European New Media</t>
  </si>
  <si>
    <t>Dostoevsky Studies</t>
  </si>
  <si>
    <t>Etnolingwistyka</t>
  </si>
  <si>
    <t>Études finno-ougriennes</t>
  </si>
  <si>
    <t>Fennistica (Åbo akademi, Finska språket med litteraturen)</t>
  </si>
  <si>
    <t>Fenno-Ugristica</t>
  </si>
  <si>
    <t>Filologija</t>
  </si>
  <si>
    <t>Filozofija i društvo</t>
  </si>
  <si>
    <t>Finnisch - Ugrische Mitteilungen</t>
  </si>
  <si>
    <t>Fluminensia</t>
  </si>
  <si>
    <t>Folia Uralica Debreceniensia</t>
  </si>
  <si>
    <t>Glasnik Slovenskega etnološkega društva / Bulletin of the Slovene Ethnological Society</t>
  </si>
  <si>
    <t>Glasnik Srpskog antropološkog društva</t>
  </si>
  <si>
    <t>Glossos</t>
  </si>
  <si>
    <t>Harvard Ukrainian Studies</t>
  </si>
  <si>
    <t>Helsingin yliopiston Kotimaisen kirjallisuuden laitoksen julkaisuja</t>
  </si>
  <si>
    <t>Historein</t>
  </si>
  <si>
    <t>Historiallinen Aikakauskirja</t>
  </si>
  <si>
    <t>Historicky Casopis</t>
  </si>
  <si>
    <t>Hungarian Studies</t>
  </si>
  <si>
    <t>Jezyk Polski</t>
  </si>
  <si>
    <t>Joensuun yliopiston humanistisia julkaisuja</t>
  </si>
  <si>
    <t>Journal for East European Management Studies</t>
  </si>
  <si>
    <t>Journal of Balkan and Near Eastern Studies</t>
  </si>
  <si>
    <t>Journal of Educational Media, Memory, and Society</t>
  </si>
  <si>
    <t>Journal of Finnish Studies</t>
  </si>
  <si>
    <t>Journal of Slavic Linguistics</t>
  </si>
  <si>
    <t>Jyväskylä studies in humanities</t>
  </si>
  <si>
    <t>Kakkoskieli</t>
  </si>
  <si>
    <t>Kalevalaseuran Vuosikirja</t>
  </si>
  <si>
    <t>Kanava</t>
  </si>
  <si>
    <t>Keel ja Kirjandus</t>
  </si>
  <si>
    <t>Kieli</t>
  </si>
  <si>
    <t>Kielikello</t>
  </si>
  <si>
    <t>Kielikuvia</t>
  </si>
  <si>
    <t>Kieliviesti</t>
  </si>
  <si>
    <t>Knjizevna Smotra</t>
  </si>
  <si>
    <t>Kwartalnik Neofilologiczny</t>
  </si>
  <si>
    <t>Linguistica Baltica: International Journal of Baltic Linguistics</t>
  </si>
  <si>
    <t>Linguistica Uralica</t>
  </si>
  <si>
    <t>Magyar Nyelv</t>
  </si>
  <si>
    <t>Magyar Nyelvor</t>
  </si>
  <si>
    <t>Narodna umjetnost - Croatian Journal of Ethnology and Folklore Research</t>
  </si>
  <si>
    <t>Nordisk Oestforum</t>
  </si>
  <si>
    <t>Nova srpska politicka misao</t>
  </si>
  <si>
    <t>Novoe Literaturnoe Obozrenie</t>
  </si>
  <si>
    <t>Novyi Mir</t>
  </si>
  <si>
    <t>Nuori Voima</t>
  </si>
  <si>
    <t>Onomastica Uralica</t>
  </si>
  <si>
    <t>Opera Fennistica &amp; linguistica</t>
  </si>
  <si>
    <t>Osteuropa</t>
  </si>
  <si>
    <t>Pamietnik Literacki</t>
  </si>
  <si>
    <t>Pamietnik Teatralny</t>
  </si>
  <si>
    <t>Parnasso</t>
  </si>
  <si>
    <t>Philologia Fenno-Ugrica</t>
  </si>
  <si>
    <t>Politicka Misao</t>
  </si>
  <si>
    <t>Poljarnyj Vestnik</t>
  </si>
  <si>
    <t>Prilozi: Contributions</t>
  </si>
  <si>
    <t>Proceedings of the Bulgarian Academy of Sciences</t>
  </si>
  <si>
    <t>Przeglad Humanistyczny</t>
  </si>
  <si>
    <t>Rasprave: Časopis Instituta za hrvatski jezik i jezikoslovlje</t>
  </si>
  <si>
    <t>Revue des Etudes Slaves</t>
  </si>
  <si>
    <t>Routledge Contemporary Russia And Eastern Europe Series</t>
  </si>
  <si>
    <t>Russian Politics and Law</t>
  </si>
  <si>
    <t>Russian Studies in History</t>
  </si>
  <si>
    <t>Russian Studies in Literature</t>
  </si>
  <si>
    <t>Russkaya Literatura</t>
  </si>
  <si>
    <t>Sanelma</t>
  </si>
  <si>
    <t>Siirtolaisuus</t>
  </si>
  <si>
    <t>Slavia</t>
  </si>
  <si>
    <t>Slavia Orientalis</t>
  </si>
  <si>
    <t>Slavica Bergencia</t>
  </si>
  <si>
    <t>Slavica Helsingiensia</t>
  </si>
  <si>
    <t>Slavica occitania</t>
  </si>
  <si>
    <t>Slavica Slovaca</t>
  </si>
  <si>
    <t>Slavisticna Revija</t>
  </si>
  <si>
    <t>Slavonica</t>
  </si>
  <si>
    <t>Slověne. International Journal of Slavic Studies</t>
  </si>
  <si>
    <t>Slovenska Rec</t>
  </si>
  <si>
    <t>Slovenski Jezik</t>
  </si>
  <si>
    <t>Slovo a Slovesnost</t>
  </si>
  <si>
    <t>Soudobé Dějiny</t>
  </si>
  <si>
    <t>Spraakbruk</t>
  </si>
  <si>
    <t>Stockholm Slavic Studies</t>
  </si>
  <si>
    <t>Stockholm Studies in Finnish Language and Literature</t>
  </si>
  <si>
    <t>Studia Fennica. Linguistica</t>
  </si>
  <si>
    <t>Studia Slavica Academiae Scientiarum Hungaricae</t>
  </si>
  <si>
    <t>Studia Slavica Finlandensia</t>
  </si>
  <si>
    <t>Studia Uralica Upsaliensia</t>
  </si>
  <si>
    <t>Studies in Slavic and General Linguistics</t>
  </si>
  <si>
    <t>Suomalais-Ugrilaisen Seuran Aikakauskirja</t>
  </si>
  <si>
    <t>Suomi</t>
  </si>
  <si>
    <t>Suvremena Lingvistika</t>
  </si>
  <si>
    <t>Südosteuropa</t>
  </si>
  <si>
    <t>Synteesi</t>
  </si>
  <si>
    <t>Tampere Studies in Language, Translation and Culture A+B-sarja</t>
  </si>
  <si>
    <t>The Polish Review</t>
  </si>
  <si>
    <t>Tietolipas</t>
  </si>
  <si>
    <t>Trondheim Studies on Eastern European Cultures and Societies</t>
  </si>
  <si>
    <t>Turun yliopiston suomalaisen ja yleisen kielitieteen laitoksen julkaisuja</t>
  </si>
  <si>
    <t>Ural-Altaische Jahrbuecher. Neue Folge</t>
  </si>
  <si>
    <t>Uralic &amp; Altaic Book Series</t>
  </si>
  <si>
    <t>Uralica Helsingiensia</t>
  </si>
  <si>
    <t>Ursus</t>
  </si>
  <si>
    <t>VAKKI</t>
  </si>
  <si>
    <t>Virke : Äidinkielen Opettajain Liiton jäsenlehti</t>
  </si>
  <si>
    <t>Voprosy Filosofii</t>
  </si>
  <si>
    <t>Voprosy Literatury</t>
  </si>
  <si>
    <t>Zbornik Matice Srpske za Filologiju i Lingvistiku</t>
  </si>
  <si>
    <t>Zbornik Matice Srpske za Istoriju</t>
  </si>
  <si>
    <t>Zeitschrift für Balkanologie</t>
  </si>
  <si>
    <t>Zgodovinski Casopis</t>
  </si>
  <si>
    <t>Äidinkielen opettajain liiton vuosikirja</t>
  </si>
  <si>
    <t>Energi/miljøteknologi, ressourcer og bæredygtighed</t>
  </si>
  <si>
    <t>Annual Review of Environment and Resources</t>
  </si>
  <si>
    <t>Applied Energy</t>
  </si>
  <si>
    <t>Biofuels, Bioproducts and Biorefining</t>
  </si>
  <si>
    <t>Biomass &amp; Bioenergy</t>
  </si>
  <si>
    <t>Energy</t>
  </si>
  <si>
    <t>Energy Conversion and Management</t>
  </si>
  <si>
    <t>Environmental Modelling &amp; Software</t>
  </si>
  <si>
    <t>Environmental Reviews</t>
  </si>
  <si>
    <t>Environmental Science &amp; Technology</t>
  </si>
  <si>
    <t>Fuel</t>
  </si>
  <si>
    <t>GCB Bioenergy</t>
  </si>
  <si>
    <t>IEEE Transactions on Smart Grid</t>
  </si>
  <si>
    <t>Industrial Crops and Products</t>
  </si>
  <si>
    <t>International Journal of Greenhouse Gas Control</t>
  </si>
  <si>
    <t>International Journal of Life Cycle Assessment</t>
  </si>
  <si>
    <t>Journal of Industrial Ecology</t>
  </si>
  <si>
    <t>Organization &amp; Environment</t>
  </si>
  <si>
    <t>Renewable &amp; Sustainable Energy Reviews</t>
  </si>
  <si>
    <t>Sustainable Cities and Society</t>
  </si>
  <si>
    <t>Water Research</t>
  </si>
  <si>
    <t>ACS Catalysis</t>
  </si>
  <si>
    <t>Acta Mechanica Sinica</t>
  </si>
  <si>
    <t>Applied Biochemistry and Biotechnology</t>
  </si>
  <si>
    <t>Applied Solar Energy</t>
  </si>
  <si>
    <t>Archives of Thermodynamics</t>
  </si>
  <si>
    <t>ASHRAE Journal</t>
  </si>
  <si>
    <t>ASHRAE Transactions</t>
  </si>
  <si>
    <t>atw - International Journal for Nuclear Power</t>
  </si>
  <si>
    <t>Batteries</t>
  </si>
  <si>
    <t>BWK – das Energie-Fachmagazin</t>
  </si>
  <si>
    <t>Calphad: Computer Coupling of Phase Diagrams and Thermochemistry</t>
  </si>
  <si>
    <t>Carbon Management</t>
  </si>
  <si>
    <t>CIGRE Science &amp; Engineering</t>
  </si>
  <si>
    <t>CLEAN - Soil, Air, Water</t>
  </si>
  <si>
    <t>Clean Technologies and Environmental Policy</t>
  </si>
  <si>
    <t>Combustion Science and Technology</t>
  </si>
  <si>
    <t>Combustion Theory and Modelling</t>
  </si>
  <si>
    <t>Continuum Mechanics and Thermodynamics</t>
  </si>
  <si>
    <t>Cryogenics</t>
  </si>
  <si>
    <t>Desalination</t>
  </si>
  <si>
    <t>Ecological Engineering</t>
  </si>
  <si>
    <t>Ecology and Society</t>
  </si>
  <si>
    <t>Ecology Law Quarterly</t>
  </si>
  <si>
    <t>EM Magazine</t>
  </si>
  <si>
    <t>Energetika</t>
  </si>
  <si>
    <t>Energy &amp; Environment</t>
  </si>
  <si>
    <t>Energy Efficiency</t>
  </si>
  <si>
    <t>Energy Engineering</t>
  </si>
  <si>
    <t>Energy Exploration &amp; Exploitation</t>
  </si>
  <si>
    <t>Energy Policy</t>
  </si>
  <si>
    <t>Energy Reports</t>
  </si>
  <si>
    <t>Energy Research &amp; Social Science</t>
  </si>
  <si>
    <t>Energy Sources. Part A. Recovery, Utilization, and Environmental Effects</t>
  </si>
  <si>
    <t>Energy Strategy Reviews</t>
  </si>
  <si>
    <t>Energy Technology</t>
  </si>
  <si>
    <t>Environmental and Climate Technologies</t>
  </si>
  <si>
    <t>Environmental and Engineering Geoscience</t>
  </si>
  <si>
    <t>Environmental Engineering Science</t>
  </si>
  <si>
    <t>Environmental Policy and Governance</t>
  </si>
  <si>
    <t>Environmental Quality Management</t>
  </si>
  <si>
    <t>Environmental Science &amp; Technology Letters</t>
  </si>
  <si>
    <t>Environmental Technology</t>
  </si>
  <si>
    <t>European Journal of Wood and Wood Products</t>
  </si>
  <si>
    <t>Experimental Techniques</t>
  </si>
  <si>
    <t>Fuel Cells Bulletin</t>
  </si>
  <si>
    <t>Fuel Processing Technology</t>
  </si>
  <si>
    <t>Gefahrstoffe - Reinhaltung der Luft</t>
  </si>
  <si>
    <t>Global Environmental Politics</t>
  </si>
  <si>
    <t>Heat Transfer - Asian Research</t>
  </si>
  <si>
    <t>High Temperatures - High Pressures</t>
  </si>
  <si>
    <t>Holzforschung</t>
  </si>
  <si>
    <t>IEEE Journal of Photovoltaics</t>
  </si>
  <si>
    <t>IEEE Transactions on Energy Conversion</t>
  </si>
  <si>
    <t>IEEE Transactions on Nuclear Science</t>
  </si>
  <si>
    <t>IEEE Transactions on Power Delivery</t>
  </si>
  <si>
    <t>IEEE Transactions on Sustainable Energy</t>
  </si>
  <si>
    <t>IET Generation, Transmission &amp; Distribution</t>
  </si>
  <si>
    <t>Integrated Environmental Assessment and Management</t>
  </si>
  <si>
    <t>International Journal of Agricultural Science and Technology</t>
  </si>
  <si>
    <t>International Journal of Aquatic Research and Education</t>
  </si>
  <si>
    <t>International Journal of Coal Preparation and Utilization</t>
  </si>
  <si>
    <t>International Journal of Energy Research</t>
  </si>
  <si>
    <t>International Journal of Energy Sector Management</t>
  </si>
  <si>
    <t>International Journal of Energy Technology and Policy</t>
  </si>
  <si>
    <t>International Journal of Environmental Technology and Management</t>
  </si>
  <si>
    <t>International Journal of Fluid Power</t>
  </si>
  <si>
    <t>International Journal of Global Energy Issues</t>
  </si>
  <si>
    <t>International Journal of Green Energy</t>
  </si>
  <si>
    <t>International Journal of Hydrogen Energy</t>
  </si>
  <si>
    <t>International Journal of Low Radiation</t>
  </si>
  <si>
    <t>International Journal of Low-Carbon Technologies</t>
  </si>
  <si>
    <t>International Journal of Photoenergy</t>
  </si>
  <si>
    <t>International Journal of Power and Energy Conversion</t>
  </si>
  <si>
    <t>International Journal of Refrigeration</t>
  </si>
  <si>
    <t>International Journal of Sustainable Energy</t>
  </si>
  <si>
    <t>International Journal of Sustainable Energy Planning and Management</t>
  </si>
  <si>
    <t>International Journal of Sustainable Strategic Management</t>
  </si>
  <si>
    <t>International Journal of Thermodynamics</t>
  </si>
  <si>
    <t>International Journal of Thermophysics</t>
  </si>
  <si>
    <t>International Journal of Water Resources Development</t>
  </si>
  <si>
    <t>Joule</t>
  </si>
  <si>
    <t>Journal AWWA</t>
  </si>
  <si>
    <t>Journal of Applied Spectroscopy</t>
  </si>
  <si>
    <t>Journal of Biobased Materials and Bioenergy</t>
  </si>
  <si>
    <t>Journal of Bioscience and Bioengineering</t>
  </si>
  <si>
    <t>Journal of Energy Engineering</t>
  </si>
  <si>
    <t>Journal of Energy Resources Technology</t>
  </si>
  <si>
    <t>Journal of Energy Storage</t>
  </si>
  <si>
    <t>Journal of Engineering Physics and Thermophysics</t>
  </si>
  <si>
    <t>Journal of Engineering Thermophysics</t>
  </si>
  <si>
    <t>Journal of Enhanced Heat Transfer</t>
  </si>
  <si>
    <t>Journal of Environmental Assessment Policy and Management</t>
  </si>
  <si>
    <t>Journal of Environmental Engineering and Science</t>
  </si>
  <si>
    <t>Journal of Fuel Cell Science and Technology</t>
  </si>
  <si>
    <t>Journal of Hydrologic Engineering</t>
  </si>
  <si>
    <t>Journal of Natural Resources and Development</t>
  </si>
  <si>
    <t>Journal of Neutron Research</t>
  </si>
  <si>
    <t>Journal of Non-Equilibrium Thermodynamics</t>
  </si>
  <si>
    <t>Journal of Petroleum Science and Engineering</t>
  </si>
  <si>
    <t>Journal of Photonics for Energy</t>
  </si>
  <si>
    <t>Journal of Plant Sciences</t>
  </si>
  <si>
    <t>Journal of Porous Media</t>
  </si>
  <si>
    <t>Journal of Power Sources</t>
  </si>
  <si>
    <t>Journal of Renewable and Sustainable Energy</t>
  </si>
  <si>
    <t>Journal of Solar Energy Engineering</t>
  </si>
  <si>
    <t>Journal of Sustainable Development of Energy, Water and Environment Systems</t>
  </si>
  <si>
    <t>Journal of Terramechanics</t>
  </si>
  <si>
    <t>Journal of the American Water Resources Association</t>
  </si>
  <si>
    <t>Journal of the Energy Institute</t>
  </si>
  <si>
    <t>Journal of Thermophysics and Heat Transfer</t>
  </si>
  <si>
    <t>Journal of Water Processing Engineering</t>
  </si>
  <si>
    <t>Journal of Water Resources Planning and Management</t>
  </si>
  <si>
    <t>Journal of Water Supply: Research and Technology. AQUA</t>
  </si>
  <si>
    <t>La Houille Blanche</t>
  </si>
  <si>
    <t>Mine Water and the Environment</t>
  </si>
  <si>
    <t>Mineral Economics</t>
  </si>
  <si>
    <t>NATO Science for Peace and Security Series, C: Environmental Security</t>
  </si>
  <si>
    <t>Nature Energy</t>
  </si>
  <si>
    <t>New York University Environmental Law Journal</t>
  </si>
  <si>
    <t>Nuclear Plant Journal</t>
  </si>
  <si>
    <t>Oil Shale</t>
  </si>
  <si>
    <t>Ozone: Science &amp; Engineering</t>
  </si>
  <si>
    <t>Pace Environmental Law Review</t>
  </si>
  <si>
    <t>Power</t>
  </si>
  <si>
    <t>Power Engineering</t>
  </si>
  <si>
    <t>Proceedings of the Combustion Institute</t>
  </si>
  <si>
    <t>Proceedings of the Institution of Civil Engineers - Waste and Resource Management</t>
  </si>
  <si>
    <t>Proceedings of the Institution of Civil Engineers - Water Management</t>
  </si>
  <si>
    <t>Quarterly Journal of Engineering Geology and Hydrogeology</t>
  </si>
  <si>
    <t>Renewable Energy</t>
  </si>
  <si>
    <t>San Francisco Estuary and Watershed Science</t>
  </si>
  <si>
    <t>Science and Technology for the Built Environment</t>
  </si>
  <si>
    <t>Shock Waves</t>
  </si>
  <si>
    <t>Solar Energy</t>
  </si>
  <si>
    <t>Strategic Planning for Energy and the Environment</t>
  </si>
  <si>
    <t>Sustainability</t>
  </si>
  <si>
    <t>Sustainability Accounting, Management and Policy Journal</t>
  </si>
  <si>
    <t>Sustainable Energy &amp; Fuels</t>
  </si>
  <si>
    <t>Sustainable Energy Technologies and Assessments</t>
  </si>
  <si>
    <t>The Electricity Journal</t>
  </si>
  <si>
    <t>The Energy Journal</t>
  </si>
  <si>
    <t>The Extractive Industries and Society</t>
  </si>
  <si>
    <t>Thermal Science</t>
  </si>
  <si>
    <t>Transport in Porous Media</t>
  </si>
  <si>
    <t>Tropicultura</t>
  </si>
  <si>
    <t>Utilities Policy</t>
  </si>
  <si>
    <t>Waste and Biomass Valorization</t>
  </si>
  <si>
    <t>Waste Management and Research</t>
  </si>
  <si>
    <t>Water International</t>
  </si>
  <si>
    <t>Water Policy</t>
  </si>
  <si>
    <t>Water Resources</t>
  </si>
  <si>
    <t>Water SA</t>
  </si>
  <si>
    <t>Water Science and Technology</t>
  </si>
  <si>
    <t>Water Science and Technology: Water Supply</t>
  </si>
  <si>
    <t>Wiley Interdisciplinary Reviews: Energy and Environment</t>
  </si>
  <si>
    <t>Wind Energy Science</t>
  </si>
  <si>
    <t>Wood and Fiber Science</t>
  </si>
  <si>
    <t>Wood Material Science and Engineering</t>
  </si>
  <si>
    <t>Wood Science and Technology</t>
  </si>
  <si>
    <t>World Review of Science, Technology and Sustainable Development</t>
  </si>
  <si>
    <t>World Sustainable Series</t>
  </si>
  <si>
    <t>Kemiteknik, Olie-gas, procesteknologi</t>
  </si>
  <si>
    <t>AIChE Journal</t>
  </si>
  <si>
    <t>Applied Catalysis B: Environmental</t>
  </si>
  <si>
    <t>Catalysis Reviews: Science and Engineering</t>
  </si>
  <si>
    <t>Catalysts</t>
  </si>
  <si>
    <t>Chemical Engineering and Processing</t>
  </si>
  <si>
    <t>Chemical Engineering Journal</t>
  </si>
  <si>
    <t>Chemical Engineering Research &amp; Design</t>
  </si>
  <si>
    <t>Chemical Engineering Science</t>
  </si>
  <si>
    <t>Combustion and Flame</t>
  </si>
  <si>
    <t>Computers &amp; Chemical Engineering</t>
  </si>
  <si>
    <t>Fluid Phase Equilibria</t>
  </si>
  <si>
    <t>Industrial &amp; Engineering Chemistry Research</t>
  </si>
  <si>
    <t>Journal of Catalysis</t>
  </si>
  <si>
    <t>Journal of Chemical &amp; Engineering Data</t>
  </si>
  <si>
    <t>Journal of Membrane Science</t>
  </si>
  <si>
    <t>Journal of Process Control</t>
  </si>
  <si>
    <t>Progress in Energy and Combustion Science</t>
  </si>
  <si>
    <t>Reviews in Chemical Engineering</t>
  </si>
  <si>
    <t>Separation &amp; Purification Reviews</t>
  </si>
  <si>
    <t>Separation and Purification Technology</t>
  </si>
  <si>
    <t>The Journal of Supercritical Fluids</t>
  </si>
  <si>
    <t>ACS Applied Polymer Materials</t>
  </si>
  <si>
    <t>Acta Graphica</t>
  </si>
  <si>
    <t>Adsorption</t>
  </si>
  <si>
    <t>Adsorption Science &amp; Technology</t>
  </si>
  <si>
    <t>Advanced Powder Technology</t>
  </si>
  <si>
    <t>Advanced Synthesis &amp; Catalysis</t>
  </si>
  <si>
    <t>Advances in Polymer Technology</t>
  </si>
  <si>
    <t>Aerosol Science and Technology</t>
  </si>
  <si>
    <t>Applied Catalysis A: General</t>
  </si>
  <si>
    <t>Asia-Pacific Journal of Chemical Engineering</t>
  </si>
  <si>
    <t>Atomization and Sprays</t>
  </si>
  <si>
    <t>Biomass Conversion and Biorefinery</t>
  </si>
  <si>
    <t>Brazilian Journal of Chemical Engineering</t>
  </si>
  <si>
    <t>Canadian Journal of Chemical Engineering</t>
  </si>
  <si>
    <t>Catalysis Communications</t>
  </si>
  <si>
    <t>Catalysis Letters</t>
  </si>
  <si>
    <t>Catalysis Surveys from Asia</t>
  </si>
  <si>
    <t>Catalysis Today</t>
  </si>
  <si>
    <t>ChemEngineering</t>
  </si>
  <si>
    <t>Chemical &amp; Engineering News</t>
  </si>
  <si>
    <t>Chemical and Biochemical Engineering Quarterly</t>
  </si>
  <si>
    <t>Chemical and Petroleum Engineering</t>
  </si>
  <si>
    <t>Chemical Engineering</t>
  </si>
  <si>
    <t>Chemical Engineering and Technology</t>
  </si>
  <si>
    <t>Chemical Engineering Communications</t>
  </si>
  <si>
    <t>Chemical Engineering Progress</t>
  </si>
  <si>
    <t>Chemical engineering transactions</t>
  </si>
  <si>
    <t>Chemical Processing</t>
  </si>
  <si>
    <t>Chemical Product and Process Modeling</t>
  </si>
  <si>
    <t>Chemie-Ingenieur-Technik</t>
  </si>
  <si>
    <t>Chemistry &amp; Industry</t>
  </si>
  <si>
    <t>Chemistry and Technology of Fuels and Oils</t>
  </si>
  <si>
    <t>Chinese Journal of Catalysis</t>
  </si>
  <si>
    <t>Chinese Journal of Chemical Engineering</t>
  </si>
  <si>
    <t>Colloids and Surfaces A: Physicochemical and Engineering Aspects</t>
  </si>
  <si>
    <t>Color Research and Application</t>
  </si>
  <si>
    <t>Coloration Technology</t>
  </si>
  <si>
    <t>Combustion, Explosion and Shock Waves</t>
  </si>
  <si>
    <t>Computer Aided Chemical Engineering</t>
  </si>
  <si>
    <t>Drying Technology</t>
  </si>
  <si>
    <t>Dyes and Pigments</t>
  </si>
  <si>
    <t>Energy &amp; Fuels</t>
  </si>
  <si>
    <t>Engineering &amp; Mining Journal</t>
  </si>
  <si>
    <t>Experimental Heat Transfer</t>
  </si>
  <si>
    <t>Experimental Thermal and Fluid Science</t>
  </si>
  <si>
    <t>Filtration + Separation</t>
  </si>
  <si>
    <t>Fire Safety Journal</t>
  </si>
  <si>
    <t>Fluid Mechanics and Its Applications</t>
  </si>
  <si>
    <t>Frontiers of Chemical Science and Engineering</t>
  </si>
  <si>
    <t>Fuel Cells</t>
  </si>
  <si>
    <t>Heat Transfer Engineering</t>
  </si>
  <si>
    <t>Hungarian Journal of Industry and Chemistry</t>
  </si>
  <si>
    <t>Indian Journal of Chemical Technology</t>
  </si>
  <si>
    <t>Industrie Alimentari</t>
  </si>
  <si>
    <t>International Communications in Heat and Mass Transfer</t>
  </si>
  <si>
    <t>International Journal of Chemical Reactor Engineering</t>
  </si>
  <si>
    <t>International Journal of Cosmetic Science</t>
  </si>
  <si>
    <t>International Journal of Heat and Fluid Flow</t>
  </si>
  <si>
    <t>International Journal of Mining, Reclamation and Environment</t>
  </si>
  <si>
    <t>International Journal of Multiphase Flow</t>
  </si>
  <si>
    <t>International Journal of Numerical Methods for Heat and Fluid Flow</t>
  </si>
  <si>
    <t>International Journal of Oil, Gas and Coal Technology</t>
  </si>
  <si>
    <t>Inzynieria Chemiczna i Procesowa</t>
  </si>
  <si>
    <t>Iranian Journal of Chemistry and Chemical Engineering</t>
  </si>
  <si>
    <t>JCT CoatingsTech</t>
  </si>
  <si>
    <t>Journal of Applied Polymer Science</t>
  </si>
  <si>
    <t>Journal of Cellular Plastics</t>
  </si>
  <si>
    <t>Journal of Chemical Engineering of Japan</t>
  </si>
  <si>
    <t>Journal of CO2 Utilization</t>
  </si>
  <si>
    <t>Journal of Coatings Technology and Research</t>
  </si>
  <si>
    <t>Journal of Cosmetic Science</t>
  </si>
  <si>
    <t>Journal of Dispersion Science and Technology</t>
  </si>
  <si>
    <t>Journal of Environmental Chemical Engineering</t>
  </si>
  <si>
    <t>Journal of Fire Sciences</t>
  </si>
  <si>
    <t>Journal of Hazardous Materials</t>
  </si>
  <si>
    <t>Journal of Industrial and Engineering Chemistry</t>
  </si>
  <si>
    <t>Journal of Mining Science</t>
  </si>
  <si>
    <t>Journal of Natural Gas Science &amp; Engineering</t>
  </si>
  <si>
    <t>Journal of Near Infrared Spectroscopy</t>
  </si>
  <si>
    <t>Journal of Oleo Science</t>
  </si>
  <si>
    <t>Journal of Rare Earths</t>
  </si>
  <si>
    <t>Journal of Separation Science</t>
  </si>
  <si>
    <t>Journal of Surfactants and Detergents</t>
  </si>
  <si>
    <t>Journal of the American Oil Chemists' Society</t>
  </si>
  <si>
    <t>Journal of the Japan Petroleum Institute</t>
  </si>
  <si>
    <t>Journal of the Southern African Institute of Mining and Metallurgy</t>
  </si>
  <si>
    <t>Journal of the Taiwan Institute of Chemical Engineers</t>
  </si>
  <si>
    <t>Kagaku Kogaku Ronbunshu</t>
  </si>
  <si>
    <t>KGK - Kautschuk Gummi Kunststoffe</t>
  </si>
  <si>
    <t>Kinetics and Catalysis</t>
  </si>
  <si>
    <t>Korean Journal of Chemical Engineering</t>
  </si>
  <si>
    <t>Kunststoffe International</t>
  </si>
  <si>
    <t>Latin American Applied Research</t>
  </si>
  <si>
    <t>Manufacturing Chemist</t>
  </si>
  <si>
    <t>Membranes</t>
  </si>
  <si>
    <t>MethodsX</t>
  </si>
  <si>
    <t>Mineral Processing and Extractive Metallurgy Review</t>
  </si>
  <si>
    <t>Mining Technology: Transactions of the Institutions of Mining and Metallurgy</t>
  </si>
  <si>
    <t>Mining, Metallurgy &amp; Exploration</t>
  </si>
  <si>
    <t>Multiphase Science and Technology</t>
  </si>
  <si>
    <t>Nachrichten aus der Chemie</t>
  </si>
  <si>
    <t>Neftyanoe Khozyaistvo</t>
  </si>
  <si>
    <t>npj Materials Degradation</t>
  </si>
  <si>
    <t>Oil &amp; Gas Journal</t>
  </si>
  <si>
    <t>Oil &amp; Gas Science &amp; Technology</t>
  </si>
  <si>
    <t>Oil Gas European Magazine</t>
  </si>
  <si>
    <t>Organic Process Research &amp; Development</t>
  </si>
  <si>
    <t>Particle &amp; Particle Systems Characterization</t>
  </si>
  <si>
    <t>Particulate Science and Technology</t>
  </si>
  <si>
    <t>Petroleum Chemistry</t>
  </si>
  <si>
    <t>Petroleum Science and Technology</t>
  </si>
  <si>
    <t>Petrophysics</t>
  </si>
  <si>
    <t>Pigment &amp; Resin Technology</t>
  </si>
  <si>
    <t>Pipeline &amp; Gas Journal</t>
  </si>
  <si>
    <t>Plasma Chemistry &amp; Plasma Processing</t>
  </si>
  <si>
    <t>Polymer Composites</t>
  </si>
  <si>
    <t>Polymer Crystallization</t>
  </si>
  <si>
    <t>Polymer Engineering and Science</t>
  </si>
  <si>
    <t>Polymer Testing</t>
  </si>
  <si>
    <t>Powder Technology</t>
  </si>
  <si>
    <t>Process Safety and Environmental Protection</t>
  </si>
  <si>
    <t>Process Safety Progress</t>
  </si>
  <si>
    <t>Progress in Organic Coatings</t>
  </si>
  <si>
    <t>Propellants, Explosives, Pyrotechnics</t>
  </si>
  <si>
    <t>Przemysl Chemiczny</t>
  </si>
  <si>
    <t>Reaction Kinetics, Mechanisms and Catalysis</t>
  </si>
  <si>
    <t>Reactive and Functional Polymers</t>
  </si>
  <si>
    <t>Record of conference papers - Petroleum and Chemical Industry Conference</t>
  </si>
  <si>
    <t>Revista de Chimie</t>
  </si>
  <si>
    <t>Russian Journal of Applied Chemistry</t>
  </si>
  <si>
    <t>Sensing and Imaging</t>
  </si>
  <si>
    <t>Separation Science and Technology</t>
  </si>
  <si>
    <t>Solvent Extraction Research and Development, Japan</t>
  </si>
  <si>
    <t>SPE Drilling &amp; Completion</t>
  </si>
  <si>
    <t>SPE Journal</t>
  </si>
  <si>
    <t>SPE Production &amp; Operations</t>
  </si>
  <si>
    <t>SPE Reservoir Evaluation &amp; Engineering</t>
  </si>
  <si>
    <t>Tenside Surfactants Detergents</t>
  </si>
  <si>
    <t>The Chemical Engineer</t>
  </si>
  <si>
    <t>The Journal of Chemical Thermodynamics</t>
  </si>
  <si>
    <t>The Journal of Technology, Management, and Applied Engineering</t>
  </si>
  <si>
    <t>Theoretical Foundations of Chemical Engineering</t>
  </si>
  <si>
    <t>Topics in Catalysis</t>
  </si>
  <si>
    <t>Tribology Letters</t>
  </si>
  <si>
    <t>Turkish Journal of Chemistry</t>
  </si>
  <si>
    <t>World Oil</t>
  </si>
  <si>
    <t>Materialeteknologi/videnskab, nanoteknologi/science</t>
  </si>
  <si>
    <t>Advanced Materials</t>
  </si>
  <si>
    <t>Materials Science and Engineering R: Reports</t>
  </si>
  <si>
    <t>Nature Materials</t>
  </si>
  <si>
    <t>Progress in Materials Science</t>
  </si>
  <si>
    <t>2D materials</t>
  </si>
  <si>
    <t>3D Printing and Additive Manufacturing</t>
  </si>
  <si>
    <t>ACS Nano</t>
  </si>
  <si>
    <t>ACS Photonics</t>
  </si>
  <si>
    <t>Acta Biomaterialia</t>
  </si>
  <si>
    <t>Acta Materialia</t>
  </si>
  <si>
    <t>Advanced Functional Materials</t>
  </si>
  <si>
    <t>Advanced Materials Interfaces</t>
  </si>
  <si>
    <t>Advanced Optical Materials</t>
  </si>
  <si>
    <t>Advances in Catalysis</t>
  </si>
  <si>
    <t>Advances in Organometallic Chemistry</t>
  </si>
  <si>
    <t>Annual Review of Materials Research</t>
  </si>
  <si>
    <t>Applied Surface Science</t>
  </si>
  <si>
    <t>Biomaterials Science</t>
  </si>
  <si>
    <t>Carbon</t>
  </si>
  <si>
    <t>ChemElectroChem</t>
  </si>
  <si>
    <t>Composites Part A: Applied Science and Manufacturing</t>
  </si>
  <si>
    <t>Composites Part B: Engineering</t>
  </si>
  <si>
    <t>Composites Science and Technology</t>
  </si>
  <si>
    <t>Corrosion Science</t>
  </si>
  <si>
    <t>Critical Reviews in Solid State and Materials Sciences</t>
  </si>
  <si>
    <t>Current Opinion in Solid State &amp; Materials Science</t>
  </si>
  <si>
    <t>eLife</t>
  </si>
  <si>
    <t>Environmental Science: Nano</t>
  </si>
  <si>
    <t>Hydrometallurgy</t>
  </si>
  <si>
    <t>IEEE Journal of Selected Topics in Applied Earth Observations and Remote Sensing</t>
  </si>
  <si>
    <t>International Materials Reviews</t>
  </si>
  <si>
    <t>Journal of Materials Chemistry A</t>
  </si>
  <si>
    <t>Journal of Materials Chemistry B</t>
  </si>
  <si>
    <t>Journal of Materials Chemistry C</t>
  </si>
  <si>
    <t>Journal of Materials Science &amp; Technology</t>
  </si>
  <si>
    <t>Langmuir</t>
  </si>
  <si>
    <t>Materials &amp; Design</t>
  </si>
  <si>
    <t>Materials Research Letters</t>
  </si>
  <si>
    <t>Materials Science and Engineering: A - Structural Materials: Properties, Microstructure and Processing</t>
  </si>
  <si>
    <t>Materials Today</t>
  </si>
  <si>
    <t>MRS Bulletin</t>
  </si>
  <si>
    <t>Nano Energy</t>
  </si>
  <si>
    <t>Nano Letters</t>
  </si>
  <si>
    <t>Nano Research</t>
  </si>
  <si>
    <t>Nano Today</t>
  </si>
  <si>
    <t>Nanomedicine: Nanotechnology, Biology and Medicine</t>
  </si>
  <si>
    <t>Nanoscale</t>
  </si>
  <si>
    <t>Physical Review Applied</t>
  </si>
  <si>
    <t>Physical Review X</t>
  </si>
  <si>
    <t>Progress in Crystal Growth and Characterization of Materials</t>
  </si>
  <si>
    <t>RNA Biology</t>
  </si>
  <si>
    <t>Science and Technology of Advanced Materials</t>
  </si>
  <si>
    <t>Scripta Materialia</t>
  </si>
  <si>
    <t>Soft Matter</t>
  </si>
  <si>
    <t>Solar Energy Materials &amp; Solar Cells</t>
  </si>
  <si>
    <t>Surface Science Reports</t>
  </si>
  <si>
    <t>Theranostics</t>
  </si>
  <si>
    <t>ACS Energy Letters</t>
  </si>
  <si>
    <t>Additive Manufacturing</t>
  </si>
  <si>
    <t>Advanced Composites Letters</t>
  </si>
  <si>
    <t>Advanced Materials &amp; Processes</t>
  </si>
  <si>
    <t>Advanced Nanomaterials</t>
  </si>
  <si>
    <t>Advances in Applied Ceramics</t>
  </si>
  <si>
    <t>AIAA/ASCE/AHS/ASC Structures, Structural Dynamics, and Materials Conference</t>
  </si>
  <si>
    <t>Annales de Chimie, Science des Materiaux</t>
  </si>
  <si>
    <t>Annals of the University of Craiova Physics AUC</t>
  </si>
  <si>
    <t>ANTEC- The Plastics Conference</t>
  </si>
  <si>
    <t>Anti-Corrosion Methods and Materials</t>
  </si>
  <si>
    <t>Appita Journal</t>
  </si>
  <si>
    <t>Applied Optics</t>
  </si>
  <si>
    <t>Applied Physics A: Materials Science &amp; Processing</t>
  </si>
  <si>
    <t>Applied Rheology</t>
  </si>
  <si>
    <t>Archives of Metallurgy and Materials</t>
  </si>
  <si>
    <t>ASM Heat Treating Society Conference</t>
  </si>
  <si>
    <t>ASME International Manufacturing Science and Engineering Conference collocated with North American Manufacturing Research Conference</t>
  </si>
  <si>
    <t>Beilstein Journal of Nanotechnology</t>
  </si>
  <si>
    <t>BioEnergy Research</t>
  </si>
  <si>
    <t>Biointerphases</t>
  </si>
  <si>
    <t>Biosurface and Biotribology</t>
  </si>
  <si>
    <t>BIOT Conference on Poromechanics</t>
  </si>
  <si>
    <t>Boletín de la Sociedad Española de Cerámica y Vidrio</t>
  </si>
  <si>
    <t>Canadian Metallurgical Quarterly</t>
  </si>
  <si>
    <t>Cellular Polymers</t>
  </si>
  <si>
    <t>Ceramics International</t>
  </si>
  <si>
    <t>Ceramics-Silikáty</t>
  </si>
  <si>
    <t>Computational Materials Science</t>
  </si>
  <si>
    <t>Congress of International Federation for Heat Treatment and Surface Engineering</t>
  </si>
  <si>
    <t>Corrosion</t>
  </si>
  <si>
    <t>Corrosion Engineering, Science and Technology</t>
  </si>
  <si>
    <t>Corrosion Reviews</t>
  </si>
  <si>
    <t>Current Nanoscience</t>
  </si>
  <si>
    <t>Defect and Diffusion Forum</t>
  </si>
  <si>
    <t>Diamond and Related Materials</t>
  </si>
  <si>
    <t>European Conference on Fracture</t>
  </si>
  <si>
    <t>Expert Review of Molecular Diagnostics</t>
  </si>
  <si>
    <t>Ferroelectrics</t>
  </si>
  <si>
    <t>Fiber and Integrated Optics</t>
  </si>
  <si>
    <t>Fibers and Polymers</t>
  </si>
  <si>
    <t>Fibres &amp; Textiles in Eastern Europe</t>
  </si>
  <si>
    <t>Fire and Materials</t>
  </si>
  <si>
    <t>Fire Technology</t>
  </si>
  <si>
    <t>Fizika metallov i metallovedenie</t>
  </si>
  <si>
    <t>Frontiers in Biomaterials</t>
  </si>
  <si>
    <t>Frontiers in Materials</t>
  </si>
  <si>
    <t>Glass and Ceramics</t>
  </si>
  <si>
    <t>Glass Physics and Chemistry</t>
  </si>
  <si>
    <t>Gold Bulletin</t>
  </si>
  <si>
    <t>Granular Matter</t>
  </si>
  <si>
    <t>IEEE International Conference on Electronics and Nanotechnology</t>
  </si>
  <si>
    <t>IEEE International Conference on Group IV Photonics</t>
  </si>
  <si>
    <t>IEEE International Conference on Nano/Micro Engineered and Molecular Systems</t>
  </si>
  <si>
    <t>IEEE International Conference on Nanotechnology</t>
  </si>
  <si>
    <t>IEEE International Conference on Photonics</t>
  </si>
  <si>
    <t>IEEE Photonics Society Summer Topical Meeting</t>
  </si>
  <si>
    <t>IEEE Photovoltaic Specialists Conference</t>
  </si>
  <si>
    <t>IEEE Region 10 Humanitarian Technology Conference</t>
  </si>
  <si>
    <t>IEEE Transactions on Nanotechnology</t>
  </si>
  <si>
    <t>Indian Journal of Fibre &amp; Textile Research</t>
  </si>
  <si>
    <t>Infrared Physics &amp; Technology</t>
  </si>
  <si>
    <t>Inorganic Materials</t>
  </si>
  <si>
    <t>Insight - Non-Destructive Testing and Condition Monitoring</t>
  </si>
  <si>
    <t>Integrated Ferroelectrics</t>
  </si>
  <si>
    <t>Integrated Photonics Research, Silicon and Nanophotonics</t>
  </si>
  <si>
    <t>Intermetallics</t>
  </si>
  <si>
    <t>International Conference Fire and Materials</t>
  </si>
  <si>
    <t>International Conference of Textures of Materials</t>
  </si>
  <si>
    <t>International Conference on 3D Materials Science</t>
  </si>
  <si>
    <t>International Conference on Applied Superconductivity and Electromagnetic Devices</t>
  </si>
  <si>
    <t>International Conference on Concentrator Photovoltaic Systems</t>
  </si>
  <si>
    <t>International Conference on Indium Phosphide and Related Materials</t>
  </si>
  <si>
    <t>International Conference on Ion Implantation Technology</t>
  </si>
  <si>
    <t>International Conference on Nanotechnology</t>
  </si>
  <si>
    <t>International Conference on Numerical Simulation of Optoelectronic Devices</t>
  </si>
  <si>
    <t>International Conference on Optical Fiber Sensors</t>
  </si>
  <si>
    <t>International Conference on Optical MEMS and Nanophotonics</t>
  </si>
  <si>
    <t>International Conference on Photonics in Switching</t>
  </si>
  <si>
    <t>International Conference on Progress in Additive Manufacturing</t>
  </si>
  <si>
    <t>International Conference on Simulation of Semiconductor Processes and Devices</t>
  </si>
  <si>
    <t>International Congress on Advanced Electromagnetic Materials in Microwaves and Optics</t>
  </si>
  <si>
    <t>International Congress on Engineered Material Platforms for Novel Wave Phenomena</t>
  </si>
  <si>
    <t>International Journal of Applied Mechanics and Engineering</t>
  </si>
  <si>
    <t>International Journal of Materials Research</t>
  </si>
  <si>
    <t>International Journal of Minerals Metallurgy and Materials</t>
  </si>
  <si>
    <t>International Journal of Nanomedicine</t>
  </si>
  <si>
    <t>International Journal of Nanoscience</t>
  </si>
  <si>
    <t>International Journal of Nanotechnology</t>
  </si>
  <si>
    <t>International Journal of Powder Metallurgy</t>
  </si>
  <si>
    <t>International Journal of Refractory Metals and Hard Materials</t>
  </si>
  <si>
    <t>International Symposium on Shape Casting</t>
  </si>
  <si>
    <t>IOP Conference Series: Materials Science and Engineering</t>
  </si>
  <si>
    <t>Iron &amp; Steel Technology</t>
  </si>
  <si>
    <t>Ironmaking &amp; Steelmaking</t>
  </si>
  <si>
    <t>ISIJ International</t>
  </si>
  <si>
    <t>Jinshu Xuebao</t>
  </si>
  <si>
    <t>JOM</t>
  </si>
  <si>
    <t>Journal of Adhesion Science and Technology</t>
  </si>
  <si>
    <t>Journal of Alloys and Compounds</t>
  </si>
  <si>
    <t>Journal of Biomedical Materials Research. Part A</t>
  </si>
  <si>
    <t>Journal of Ceramic Processing Research</t>
  </si>
  <si>
    <t>Journal of Elastomers and Plastics</t>
  </si>
  <si>
    <t>Journal of Energetic Materials</t>
  </si>
  <si>
    <t>Journal of Engineering Materials and Technology</t>
  </si>
  <si>
    <t>Journal of Industrial Textiles</t>
  </si>
  <si>
    <t>Journal of Intelligent Material Systems and Structures</t>
  </si>
  <si>
    <t>Journal of Iron and Steel Research International</t>
  </si>
  <si>
    <t>Journal of Magnetism and Magnetic Materials</t>
  </si>
  <si>
    <t>Journal of Materials Engineering and Performance</t>
  </si>
  <si>
    <t>Journal of Materials Research</t>
  </si>
  <si>
    <t>Journal of Materials Science</t>
  </si>
  <si>
    <t>Journal of Materials Science: Materials in Electronics</t>
  </si>
  <si>
    <t>Journal of Materials Science: Materials in Medicine</t>
  </si>
  <si>
    <t>Journal of Mechanics of Materials and Structures</t>
  </si>
  <si>
    <t>Journal of Micro/Nanolithography, MEMS, and MOEMS</t>
  </si>
  <si>
    <t>Journal of Micromechanics and Microengineering</t>
  </si>
  <si>
    <t>Journal of Modern Optics</t>
  </si>
  <si>
    <t>Journal of Nanobiotechnology</t>
  </si>
  <si>
    <t>Journal of Nanomaterials</t>
  </si>
  <si>
    <t>Journal of Nanoparticle Research</t>
  </si>
  <si>
    <t>Journal of Nanoscience and Nanotechnology</t>
  </si>
  <si>
    <t>Journal of New Materials for Electrochemical Systems</t>
  </si>
  <si>
    <t>Journal of Non-Crystalline Solids: X</t>
  </si>
  <si>
    <t>Journal of Nondestructive Evaluation</t>
  </si>
  <si>
    <t>Journal of Nuclear Materials</t>
  </si>
  <si>
    <t>Journal of Optics</t>
  </si>
  <si>
    <t>Journal of Optoelectronics and Advanced Materials</t>
  </si>
  <si>
    <t>Journal of Plastic Film and Sheeting</t>
  </si>
  <si>
    <t>Journal of Porous Materials</t>
  </si>
  <si>
    <t>Journal of Reinforced Plastics &amp; Composites</t>
  </si>
  <si>
    <t>Journal of Science and Technology for Forest Products and Processes</t>
  </si>
  <si>
    <t>Journal of Sol-Gel Science and Technology</t>
  </si>
  <si>
    <t>Journal of Superconductivity and Novel Magnetism</t>
  </si>
  <si>
    <t>Journal of Testing and Evaluation</t>
  </si>
  <si>
    <t>Journal of the American Ceramic Society</t>
  </si>
  <si>
    <t>Journal of the Ceramic Society of Japan</t>
  </si>
  <si>
    <t>Journal of the European Ceramic Society</t>
  </si>
  <si>
    <t>Journal of the Society for Information Display</t>
  </si>
  <si>
    <t>Journal of Thermal Spray Technology</t>
  </si>
  <si>
    <t>Journal of Vacuum Science &amp; Technology B: Nanotechnology &amp; Microelectronics: Materials, Processing, Measurement &amp; Phenomena</t>
  </si>
  <si>
    <t>Journal of Vacuum Science &amp; Technology. A: International Journal Devoted to Vacuum, Surfaces, and Films</t>
  </si>
  <si>
    <t>Journal of Vinyl &amp; Additive Technology</t>
  </si>
  <si>
    <t>Journal of Wood Science</t>
  </si>
  <si>
    <t>Key Engineering Materials</t>
  </si>
  <si>
    <t>Korea-Australia Rheology Journal</t>
  </si>
  <si>
    <t>Kovove Materialy</t>
  </si>
  <si>
    <t>La Metallurgia Italiana</t>
  </si>
  <si>
    <t>Lecture Notes in Energy</t>
  </si>
  <si>
    <t>Materiales de Construccion</t>
  </si>
  <si>
    <t>Materials</t>
  </si>
  <si>
    <t>Materials and Corrosion</t>
  </si>
  <si>
    <t>Materials and Structures</t>
  </si>
  <si>
    <t>Materials at High Temperatures</t>
  </si>
  <si>
    <t>Materials Characterization</t>
  </si>
  <si>
    <t>Materials Evaluation</t>
  </si>
  <si>
    <t>Materials Letters</t>
  </si>
  <si>
    <t>Materials Performance</t>
  </si>
  <si>
    <t>Materials Research Bulletin</t>
  </si>
  <si>
    <t>Materials Research Express</t>
  </si>
  <si>
    <t>Materials Science</t>
  </si>
  <si>
    <t>Materials Science and Engineering B: Advanced Functional Solid-State Materials</t>
  </si>
  <si>
    <t>Materials Science and Engineering C: Materials for Biological Applications</t>
  </si>
  <si>
    <t>Materials Science and Technology</t>
  </si>
  <si>
    <t>Materials Science and Technology Conference</t>
  </si>
  <si>
    <t>Materials Science Forum</t>
  </si>
  <si>
    <t>Materials Science in Semiconductor Processing</t>
  </si>
  <si>
    <t>Materials Technology</t>
  </si>
  <si>
    <t>Materials Testing</t>
  </si>
  <si>
    <t>Materials Today: Proceedings</t>
  </si>
  <si>
    <t>Materials Transactions</t>
  </si>
  <si>
    <t>Materialwissenschaft und Werkstofftechnik</t>
  </si>
  <si>
    <t>Mechanics of Time Dependent Materials</t>
  </si>
  <si>
    <t>Membrane Technology</t>
  </si>
  <si>
    <t>Metal Powder Report</t>
  </si>
  <si>
    <t>Metal Science and Heat Treatment</t>
  </si>
  <si>
    <t>Metall</t>
  </si>
  <si>
    <t>Metallurgical and Materials Transactions A - Physical Metallurgy and Materials Science</t>
  </si>
  <si>
    <t>Metallurgical and Materials Transactions B - Process Metallurgy and Materials Processing Science</t>
  </si>
  <si>
    <t>Metallurgist</t>
  </si>
  <si>
    <t>Metals and Materials International</t>
  </si>
  <si>
    <t>Metalurgija</t>
  </si>
  <si>
    <t>Microoptics Conference</t>
  </si>
  <si>
    <t>Microporous and Mesoporous Materials</t>
  </si>
  <si>
    <t>Mineral Processing and Extractive Metallurgy: Transactions of the Institutions of Mining and Metallurgy</t>
  </si>
  <si>
    <t>Molecular Therapy - Nucleic Acids</t>
  </si>
  <si>
    <t>MRS Advances</t>
  </si>
  <si>
    <t>Nano</t>
  </si>
  <si>
    <t>Nano-Micro Letters</t>
  </si>
  <si>
    <t>Nanoscale Research Letters</t>
  </si>
  <si>
    <t>NanoScience and Technology</t>
  </si>
  <si>
    <t>Nanotechnology</t>
  </si>
  <si>
    <t>NATO Science for Peace and Security Series B: Physics and Biophysics</t>
  </si>
  <si>
    <t>NDT&amp;E international</t>
  </si>
  <si>
    <t>Nihon Reoroji Gakkaishi</t>
  </si>
  <si>
    <t>Nippon Kinzoku Gakkaishi</t>
  </si>
  <si>
    <t>Nordic Rheology Society Annual Transactions</t>
  </si>
  <si>
    <t>NSTI Nanotechnology Conference and Expo</t>
  </si>
  <si>
    <t>Optical Engineering</t>
  </si>
  <si>
    <t>Optical Materials</t>
  </si>
  <si>
    <t>Optical Materials Express</t>
  </si>
  <si>
    <t>Optical Review</t>
  </si>
  <si>
    <t>Optics Letters</t>
  </si>
  <si>
    <t>Pacific Rim International Congress on Advanced Materials and Processing</t>
  </si>
  <si>
    <t>Philosophical Magazine</t>
  </si>
  <si>
    <t>Philosophical Magazine Letters</t>
  </si>
  <si>
    <t>Photonics and Nanostructures - Fundamentals and Applications</t>
  </si>
  <si>
    <t>Physica E: Low-Dimensional Systems and Nanostructures</t>
  </si>
  <si>
    <t>Physical Review B</t>
  </si>
  <si>
    <t>Physical Review Materials</t>
  </si>
  <si>
    <t xml:space="preserve">Physics and Chemistry of Glasses: European Journal of Glass Science and Technology Part B </t>
  </si>
  <si>
    <t>Physics and Chemistry of Minerals</t>
  </si>
  <si>
    <t>Plasma Processes and Polymers</t>
  </si>
  <si>
    <t>Plasmonics</t>
  </si>
  <si>
    <t>Plastics Engineering</t>
  </si>
  <si>
    <t>Polymers and Polymer Composites</t>
  </si>
  <si>
    <t>Powder Diffraction</t>
  </si>
  <si>
    <t>Powder Metallurgy and Metal Ceramics</t>
  </si>
  <si>
    <t>Praktische Metallographie</t>
  </si>
  <si>
    <t>Proceedings of the Institution of Mechanical Engineers, Part L: Journal of Materials: Design and Applications</t>
  </si>
  <si>
    <t>Proceedings of the International Conference Days on Diffraction (DD)</t>
  </si>
  <si>
    <t>Proceedings of the Risø International Symposium on Materials Science</t>
  </si>
  <si>
    <t>Rare Metals</t>
  </si>
  <si>
    <t>Reinforced Plastics</t>
  </si>
  <si>
    <t>Research in Nondestructive Evaluation</t>
  </si>
  <si>
    <t>Reviews on Advanced Materials Science</t>
  </si>
  <si>
    <t>Revista de Metalurgia</t>
  </si>
  <si>
    <t>Russian Journal of Nondestructive Testing</t>
  </si>
  <si>
    <t>Russian Metallurgy</t>
  </si>
  <si>
    <t>Science and Engineering of Composite Materials</t>
  </si>
  <si>
    <t>Science of Advanced Materials</t>
  </si>
  <si>
    <t>Sealing Technology</t>
  </si>
  <si>
    <t>Semiconductors and Semimetals</t>
  </si>
  <si>
    <t>Small Methods</t>
  </si>
  <si>
    <t>Solar RRL</t>
  </si>
  <si>
    <t>Soldering &amp; Surface Mount Technology</t>
  </si>
  <si>
    <t>SPIE Nanoscience + Engineering</t>
  </si>
  <si>
    <t>SPIE Optics + Photonics</t>
  </si>
  <si>
    <t>SPIE Photonics Europe</t>
  </si>
  <si>
    <t>SPIE Photonics West</t>
  </si>
  <si>
    <t>SPIE Smart Structures + Nondestructive Evaluation</t>
  </si>
  <si>
    <t>SPIE Smart Structures and Materials + Nondestructive Evaluation and Health Monitoring</t>
  </si>
  <si>
    <t>Steel in Translation</t>
  </si>
  <si>
    <t>Steel Research International</t>
  </si>
  <si>
    <t>Strength, Fracture and Complexity</t>
  </si>
  <si>
    <t>Superconductor Science &amp; Technology</t>
  </si>
  <si>
    <t>Surface Engineering</t>
  </si>
  <si>
    <t>Surface Science</t>
  </si>
  <si>
    <t>Surface Science Spectra</t>
  </si>
  <si>
    <t>Symposium on Microelectronics Technology and Devices</t>
  </si>
  <si>
    <t>Synthetic Metals</t>
  </si>
  <si>
    <t>Tetsu to Hagane</t>
  </si>
  <si>
    <t>The Journal of Adhesion</t>
  </si>
  <si>
    <t>Thin Solid Films</t>
  </si>
  <si>
    <t xml:space="preserve">TMS Annual Meeting and Exhibition </t>
  </si>
  <si>
    <t>Transactions of the IMF: The International Journal of Surface Engineering and Coatings</t>
  </si>
  <si>
    <t>Transactions of the Indian Institute of Metals</t>
  </si>
  <si>
    <t>Vacuum</t>
  </si>
  <si>
    <t>XIII International Conference on Computational Plasticity</t>
  </si>
  <si>
    <t>Medicinsk teknologi</t>
  </si>
  <si>
    <t>Annals of Biomedical Engineering</t>
  </si>
  <si>
    <t>Annual Review of Biomedical Engineering</t>
  </si>
  <si>
    <t>Biomaterials</t>
  </si>
  <si>
    <t>Critical Care</t>
  </si>
  <si>
    <t>Frontiers in Neuroscience</t>
  </si>
  <si>
    <t>IEEE Transactions on Biomedical Engineering</t>
  </si>
  <si>
    <t>IEEE Transactions on Medical Imaging</t>
  </si>
  <si>
    <t>IEEE Transactions on Neural Systems and Rehabilitation Engineering</t>
  </si>
  <si>
    <t>Journal of Neural Engineering</t>
  </si>
  <si>
    <t>Journal of NeuroEngineering and Rehabilitation</t>
  </si>
  <si>
    <t>The American Journal of Medicine</t>
  </si>
  <si>
    <t>Acta Clinica Belgica</t>
  </si>
  <si>
    <t>Acta Physiologica</t>
  </si>
  <si>
    <t>Advanced Healthcare Materials</t>
  </si>
  <si>
    <t>Artificial Cells, Nanomedicine and Biotechnology</t>
  </si>
  <si>
    <t>Artificial Organs</t>
  </si>
  <si>
    <t>Australasian Physical &amp; Engineering Sciences in Medicine</t>
  </si>
  <si>
    <t>Biocybernetics and Biomedical Engineering</t>
  </si>
  <si>
    <t>Biomechanics and Modeling in Mechanobiology</t>
  </si>
  <si>
    <t>BioMedical Engineering Online</t>
  </si>
  <si>
    <t>Biomedical Engineering: Applications, Basis and Communications</t>
  </si>
  <si>
    <t>Biomedical Microdevices</t>
  </si>
  <si>
    <t>Biomedical Signal Processing and Control</t>
  </si>
  <si>
    <t>Biomedizinische Technik</t>
  </si>
  <si>
    <t>BMC Medical Imaging</t>
  </si>
  <si>
    <t>BMC Medical Informatics and Decision Making</t>
  </si>
  <si>
    <t>Cell and Tissue Banking</t>
  </si>
  <si>
    <t>Cellular and Molecular Bioengineering</t>
  </si>
  <si>
    <t>Clinical Physiology and Functional Imaging</t>
  </si>
  <si>
    <t>Computer Methods in Biomechanics and Biomedical Engineering</t>
  </si>
  <si>
    <t>Computerized Medical Imaging and Graphics</t>
  </si>
  <si>
    <t>Computers in Biology and Medicine</t>
  </si>
  <si>
    <t>Computing in Cardiology</t>
  </si>
  <si>
    <t>Disability and Rehabilitation: Assistive Technology</t>
  </si>
  <si>
    <t>Evidence-Based Complementary and Alternative Medicine</t>
  </si>
  <si>
    <t>Expert Review of Medical Devices</t>
  </si>
  <si>
    <t>IEEE Journal of Biomedical and Health Informatics</t>
  </si>
  <si>
    <t>IEEE Pulse</t>
  </si>
  <si>
    <t>Imaging In Medical Diagnosis And Therapy</t>
  </si>
  <si>
    <t>International Journal of Adhesion and Adhesives</t>
  </si>
  <si>
    <t>International Journal of Human Factors Modelling and Simulation</t>
  </si>
  <si>
    <t>International Journal of Image and Graphics</t>
  </si>
  <si>
    <t>International Journal of Medical Robotics and Computer Assisted Surgery</t>
  </si>
  <si>
    <t>Journal of Applied Clinical Medical Physics</t>
  </si>
  <si>
    <t>Journal of Artificial Organs</t>
  </si>
  <si>
    <t>Journal of Assistive Technologies</t>
  </si>
  <si>
    <t>Journal of Biomaterials Applications</t>
  </si>
  <si>
    <t>Journal of Biomedical Materials Research. Part B: Applied Biomaterials</t>
  </si>
  <si>
    <t>Journal of Biomedical Science and Engineering</t>
  </si>
  <si>
    <t>Journal of Chromatography B: Analytical Technologies in the Biomedical and Life Sciences</t>
  </si>
  <si>
    <t>Journal of Clinical Engineering</t>
  </si>
  <si>
    <t>Journal of Contemporary Brachytherapy</t>
  </si>
  <si>
    <t>Journal of Digital Imaging</t>
  </si>
  <si>
    <t>Journal of Hard Tissue Biology</t>
  </si>
  <si>
    <t>Journal of Pervasive Systems Engineering</t>
  </si>
  <si>
    <t>Journal of Tissue Engineering and Regenerative Medicine</t>
  </si>
  <si>
    <t>Journal of Vibroengineering</t>
  </si>
  <si>
    <t>Medical &amp; Biological Engineering &amp; Computing</t>
  </si>
  <si>
    <t>Medical Engineering &amp; Physics</t>
  </si>
  <si>
    <t>Molecular Pain</t>
  </si>
  <si>
    <t>Pacing and Clinical Electrophysiology</t>
  </si>
  <si>
    <t>PDA Journal of Pharmaceutical Science and Technology</t>
  </si>
  <si>
    <t>Physics in Medicine and Biology</t>
  </si>
  <si>
    <t>Proceedings of the IEEE International Symposium on Biomedical Imaging (ISBI)</t>
  </si>
  <si>
    <t>Proceedings of the Institution of Mechanical Engineers, Part H: Journal of Engineering in Medicine</t>
  </si>
  <si>
    <t xml:space="preserve">Proceedings of the International Conference of the IEEE Engineering in Medicine and Biology Society </t>
  </si>
  <si>
    <t>Progress in Biomedical Optics and Imaging</t>
  </si>
  <si>
    <t>Regenerative Medicine</t>
  </si>
  <si>
    <t>Simulation Modelling Practice and Theory</t>
  </si>
  <si>
    <t>Studies in Health Technology and Informatics</t>
  </si>
  <si>
    <t>The Journal of Manual &amp; Manipulative Therapy</t>
  </si>
  <si>
    <t>The Knee</t>
  </si>
  <si>
    <t>Tomography -  A Journal for Imaging Research</t>
  </si>
  <si>
    <t>System- og teknologiudvikling, serviceudvikling, facilities management og byggeledelse</t>
  </si>
  <si>
    <t>Architectural Engineering and Design Management</t>
  </si>
  <si>
    <t>Building Research and Information</t>
  </si>
  <si>
    <t>Computers in Industry</t>
  </si>
  <si>
    <t>Concurrent Engineering: Research and Applications</t>
  </si>
  <si>
    <t>Construction Economics and Building</t>
  </si>
  <si>
    <t>Construction Innovation</t>
  </si>
  <si>
    <t>Construction Management and Economics</t>
  </si>
  <si>
    <t>Creativity and Innovation Management</t>
  </si>
  <si>
    <t>Engineering, Construction and Architectural Management</t>
  </si>
  <si>
    <t>Expert Systems with Applications</t>
  </si>
  <si>
    <t>Human Factors and Ergonomics in Manufacturing &amp; Service Industries</t>
  </si>
  <si>
    <t>International Journal of Healthcare Technology and Management</t>
  </si>
  <si>
    <t>International Journal of Operations and Production Management</t>
  </si>
  <si>
    <t>International Journal of Production Economics</t>
  </si>
  <si>
    <t>International Journal of Project Management</t>
  </si>
  <si>
    <t>International Journal of Technology Management</t>
  </si>
  <si>
    <t>Journal of Cleaner Production</t>
  </si>
  <si>
    <t>Journal of Construction Engineering and Management</t>
  </si>
  <si>
    <t>Journal of Engineering Design</t>
  </si>
  <si>
    <t>Journal of Management in Engineering</t>
  </si>
  <si>
    <t>Journal of Manufacturing Systems</t>
  </si>
  <si>
    <t>Journal of Quality Technology</t>
  </si>
  <si>
    <t>Journal of Technology Transfer</t>
  </si>
  <si>
    <t>Organizational Behavior and Human Decision Processes</t>
  </si>
  <si>
    <t>Production and Operations Management</t>
  </si>
  <si>
    <t>Project Management Journal</t>
  </si>
  <si>
    <t>Reliability Engineering &amp; System Safety</t>
  </si>
  <si>
    <t>Safety Science</t>
  </si>
  <si>
    <t>Systems Engineering</t>
  </si>
  <si>
    <t>Technovation</t>
  </si>
  <si>
    <t xml:space="preserve"> WSEAS Transactions on Systems and Control</t>
  </si>
  <si>
    <t>Accreditation and Quality Assurance</t>
  </si>
  <si>
    <t>ACM International Conference on emerging Networking EXperiments and Technologies</t>
  </si>
  <si>
    <t>ACM International Conference on Systems for Energy-Efficient Built Environments</t>
  </si>
  <si>
    <t>ACM Symposium on Applied Computing,</t>
  </si>
  <si>
    <t>Agents and multi-agent Systems for AAL and e-HEALTH</t>
  </si>
  <si>
    <t>Asia Pacific Journal of Operational Research</t>
  </si>
  <si>
    <t>Asian Journal of Technology Innovation</t>
  </si>
  <si>
    <t>ASME International Design Engineering Technical Conferences &amp; Computers and Information in Engineering Conference</t>
  </si>
  <si>
    <t>Association of Researchers in Construction Management (ARCOM) Annual Conference</t>
  </si>
  <si>
    <t>Built Environment Project and Asset Management</t>
  </si>
  <si>
    <t>Business Process Management Journal</t>
  </si>
  <si>
    <t>Canadian Biosystems Engineering</t>
  </si>
  <si>
    <t>CIB Facilities Management Conference</t>
  </si>
  <si>
    <t>CIB Proceedings</t>
  </si>
  <si>
    <t>CIB proceedings WG 55</t>
  </si>
  <si>
    <t>CIB Proceedings workgroup 65</t>
  </si>
  <si>
    <t>CIRP Journal of Manufacturing Science and Technology</t>
  </si>
  <si>
    <t>Construction Robotics</t>
  </si>
  <si>
    <t>Design Science</t>
  </si>
  <si>
    <t>Endeavour</t>
  </si>
  <si>
    <t>Engineering Failure Analysis</t>
  </si>
  <si>
    <t>Engineering Management Journal</t>
  </si>
  <si>
    <t>EUROFM Research Symposium</t>
  </si>
  <si>
    <t>European Conference on Innovation and Entrepreneurship</t>
  </si>
  <si>
    <t>Flexible Services and Manufacturing Journal</t>
  </si>
  <si>
    <t>Forschung im Ingenieurwesen</t>
  </si>
  <si>
    <t>HAZARDS Symposium Series</t>
  </si>
  <si>
    <t>Healthcare Technology Letters</t>
  </si>
  <si>
    <t>IEEE Conference on Technologies for Sustainability</t>
  </si>
  <si>
    <t>IEEE Industry Applications Magazine</t>
  </si>
  <si>
    <t>IEEE International Systems Engineering Symposium</t>
  </si>
  <si>
    <t>IEEE Potentials</t>
  </si>
  <si>
    <t>IEEE RAS &amp; EMBS International Conference on Biomedical Robotic and Biomechatronics</t>
  </si>
  <si>
    <t>IEEE Robotics and Automation Letters</t>
  </si>
  <si>
    <t>IEEE Transactions on Cybernetics</t>
  </si>
  <si>
    <t>IEEE Transactions on Haptics</t>
  </si>
  <si>
    <t>IEEE Transactions on Human-Machine Systems</t>
  </si>
  <si>
    <t>IEEE Transactions on Systems, Man, and Cybernetics: Systems</t>
  </si>
  <si>
    <t>IIE Transactions</t>
  </si>
  <si>
    <t>Industrial and Commercial Training</t>
  </si>
  <si>
    <t>INFOR: Information Systems and Operational Research</t>
  </si>
  <si>
    <t>Instruments and Experimental Techniques</t>
  </si>
  <si>
    <t>Intelligent Buildings International</t>
  </si>
  <si>
    <t>International CINet Conference</t>
  </si>
  <si>
    <t>International Conference and Utility Exhibition on Green Energy for Sustainable Development</t>
  </si>
  <si>
    <t>International Conference on Changeable, Agile, Reconfigurable and Virtual Production</t>
  </si>
  <si>
    <t>International Conference on Climbing and Walking Robots</t>
  </si>
  <si>
    <t>International Conference on Humanoid Robots</t>
  </si>
  <si>
    <t>International Conference on Practical Applications of Agents and Multi-Agent Systems</t>
  </si>
  <si>
    <t>International Conference on Service Systems and Service Management</t>
  </si>
  <si>
    <t>International Group of Lean Construction</t>
  </si>
  <si>
    <t>International Journal for Computational Methods in Engineering Science &amp; Mechanics</t>
  </si>
  <si>
    <t>International Journal of Crashworthiness</t>
  </si>
  <si>
    <t>International Journal of Humanoid Robotics</t>
  </si>
  <si>
    <t>International Journal of Integrated Supply Management</t>
  </si>
  <si>
    <t>International Journal of Internet Manufacturing and Services</t>
  </si>
  <si>
    <t>International Journal of Knowledge-Based and Intelligent Engineering Systems</t>
  </si>
  <si>
    <t>International Journal of Law in the Built Environment</t>
  </si>
  <si>
    <t>International Journal of Performability Engineering</t>
  </si>
  <si>
    <t>International Journal of Reliability, Quality &amp; Safety Engineering</t>
  </si>
  <si>
    <t>International Journal of Services and Operations Management</t>
  </si>
  <si>
    <t>International Journal of Services and Standards</t>
  </si>
  <si>
    <t>International Journal of Services Operations and Informatics</t>
  </si>
  <si>
    <t>International Journal of Services Technology and Management</t>
  </si>
  <si>
    <t>International Journal of Sustainable Engineering</t>
  </si>
  <si>
    <t>International Journal of Systems Science</t>
  </si>
  <si>
    <t>International Journal of Technology Intelligence and Planning</t>
  </si>
  <si>
    <t>International Risk Management Conference</t>
  </si>
  <si>
    <t>Iranian Journal of Science and Technology. Transaction A: Science</t>
  </si>
  <si>
    <t>ISA Transactions</t>
  </si>
  <si>
    <t>Issues in Science and Technology</t>
  </si>
  <si>
    <t>Johns Hopkins A P L Technical Digest</t>
  </si>
  <si>
    <t>Journal for the Advancement of Performance Information and Value</t>
  </si>
  <si>
    <t>Journal of Applied Measurement</t>
  </si>
  <si>
    <t>Journal of Engineering Technology</t>
  </si>
  <si>
    <t>Journal of Engineering, Design and Technology</t>
  </si>
  <si>
    <t>Journal of Enterprise Architecture</t>
  </si>
  <si>
    <t>Journal of Facilities Management</t>
  </si>
  <si>
    <t>Journal of Failure Analysis and Prevention</t>
  </si>
  <si>
    <t>Journal of Homeland Security and Emergency Management</t>
  </si>
  <si>
    <t>Journal of Information Technology in Construction</t>
  </si>
  <si>
    <t>Journal of Innovation &amp; Knowledge</t>
  </si>
  <si>
    <t>Journal of Loss Prevention in the Process Industries</t>
  </si>
  <si>
    <t>Journal of Modern Project Management</t>
  </si>
  <si>
    <t>Journal of Quality in Maintenance Engineering</t>
  </si>
  <si>
    <t>Journal of Real-Time Image Processing</t>
  </si>
  <si>
    <t>Journal of Research of the National Institute of Standards and Technology</t>
  </si>
  <si>
    <t>Journal of Scientific and Industrial Research</t>
  </si>
  <si>
    <t>Journal of the Operations Research Society of Japan</t>
  </si>
  <si>
    <t>Journal of Usability Studies</t>
  </si>
  <si>
    <t>JSME International Journal. Series C, Mechanical Systems, Machine Elements and Manufacturing</t>
  </si>
  <si>
    <t>Lean Construction Journal</t>
  </si>
  <si>
    <t>Lecture Notes in Networks and Systems</t>
  </si>
  <si>
    <t>Machining Science and Technology</t>
  </si>
  <si>
    <t>Manufacturing Engineering</t>
  </si>
  <si>
    <t>Manufacturing Letters</t>
  </si>
  <si>
    <t>Materials and Manufacturing Processes</t>
  </si>
  <si>
    <t>Measurement Techniques</t>
  </si>
  <si>
    <t>Microgravity - Science and Technology</t>
  </si>
  <si>
    <t>MIT Technology Review</t>
  </si>
  <si>
    <t>Naval Research Logistics</t>
  </si>
  <si>
    <t>Noise Control Engineering Journal</t>
  </si>
  <si>
    <t>Nondestructive Testing and Evaluation</t>
  </si>
  <si>
    <t>Open House International</t>
  </si>
  <si>
    <t>Optimization</t>
  </si>
  <si>
    <t>Optimization Methods and Software</t>
  </si>
  <si>
    <t>Precision Engineering</t>
  </si>
  <si>
    <t>Procedia CIRP</t>
  </si>
  <si>
    <t>Procedia Economics and Finance</t>
  </si>
  <si>
    <t>Proceedings of the CIRP Seminars on Manufacturing Systems</t>
  </si>
  <si>
    <t>Proceedings of the IEEE International Conference on Software Maintenance and Evolution</t>
  </si>
  <si>
    <t>Proceedings of the IEEE/IFIP International Symposium on Rapid System Prototyping</t>
  </si>
  <si>
    <t>Proceedings of the Institution of Mechanical Engineers, Part O: Journal of Risk and Reliability</t>
  </si>
  <si>
    <t>Proceedings of the International Conference on Engineering Design</t>
  </si>
  <si>
    <t>Proceedings of the International Systems and Software Product Line Conference</t>
  </si>
  <si>
    <t>Proceedings of the Reliability and Maintainability Symposium</t>
  </si>
  <si>
    <t>Quality and Reliability Engineering International</t>
  </si>
  <si>
    <t>Quality Engineering</t>
  </si>
  <si>
    <t>Rapid Prototyping Journal</t>
  </si>
  <si>
    <t>Sadhana</t>
  </si>
  <si>
    <t>Science China Technological Sciences</t>
  </si>
  <si>
    <t>Series on Technology Management</t>
  </si>
  <si>
    <t>Smart and Sustainable Built Environment</t>
  </si>
  <si>
    <t>Springer Series in Supply Chain Management</t>
  </si>
  <si>
    <t>Supply Chain Forum: an international journal</t>
  </si>
  <si>
    <t>Technology Innovation Management Review</t>
  </si>
  <si>
    <t>The IET Conference Publication Series</t>
  </si>
  <si>
    <t>The International Journal of construction management</t>
  </si>
  <si>
    <t>The Journal for Education in the Built Environment</t>
  </si>
  <si>
    <t>The Open Construction &amp; Building Technology Journal</t>
  </si>
  <si>
    <t>Woodhead Publishing Series in Civil and Structural Engineering</t>
  </si>
  <si>
    <t>Konstruktion, maskin - og produktionsteknologi</t>
  </si>
  <si>
    <t>Annual Review of Fluid Mechanics</t>
  </si>
  <si>
    <t>Applied Thermal Engineering</t>
  </si>
  <si>
    <t>CIRP Annals : Manufacturing Technology</t>
  </si>
  <si>
    <t>Composite Structures</t>
  </si>
  <si>
    <t>Computer Methods in Applied Mechanics and Engineering</t>
  </si>
  <si>
    <t>Engineering Fracture Mechanics</t>
  </si>
  <si>
    <t>European Journal of Mechanics A - Solids</t>
  </si>
  <si>
    <t>International Journal for Numerical Methods in Engineering</t>
  </si>
  <si>
    <t>International Journal of Fracture</t>
  </si>
  <si>
    <t>International Journal of Machine Tools and Manufacture</t>
  </si>
  <si>
    <t>International Journal of Non-Linear Mechanics</t>
  </si>
  <si>
    <t>International Journal of Plasticity</t>
  </si>
  <si>
    <t>International Journal of Solids and Structures</t>
  </si>
  <si>
    <t>Journal of Applied Mechanics</t>
  </si>
  <si>
    <t>Journal of Fluid Mechanics</t>
  </si>
  <si>
    <t>Journal of Manufacturing Science and Engineering</t>
  </si>
  <si>
    <t>Journal of Mechanical Design</t>
  </si>
  <si>
    <t>Journal of Non-Newtonian Fluid Mechanics</t>
  </si>
  <si>
    <t>Journal of Rheology</t>
  </si>
  <si>
    <t>Journal of Sandwich Structures &amp; Materials</t>
  </si>
  <si>
    <t>Journal of Sound and Vibration</t>
  </si>
  <si>
    <t>Journal of the Mechanics and Physics of Solids</t>
  </si>
  <si>
    <t>Mechanical Systems and Signal Processing</t>
  </si>
  <si>
    <t>Mechanics of Materials</t>
  </si>
  <si>
    <t>Mechanism and Machine Theory</t>
  </si>
  <si>
    <t>Modelling and Simulation in Materials Science and Engineering</t>
  </si>
  <si>
    <t>Multibody System Dynamics</t>
  </si>
  <si>
    <t>Nonlinear Dynamics</t>
  </si>
  <si>
    <t>Numerical Heat Transfer Part A: Applications</t>
  </si>
  <si>
    <t>Production Planning &amp; Control</t>
  </si>
  <si>
    <t>Research in Engineering Design</t>
  </si>
  <si>
    <t>Rheologica Acta</t>
  </si>
  <si>
    <t>Structural and Multidisciplinary Optimization</t>
  </si>
  <si>
    <t>The International Journal of Robotics Research</t>
  </si>
  <si>
    <t>Tribology International</t>
  </si>
  <si>
    <t>Wear</t>
  </si>
  <si>
    <t>Wind Energy</t>
  </si>
  <si>
    <t>Acta Mechanica</t>
  </si>
  <si>
    <t>Acta Mechanica Solida Sinica</t>
  </si>
  <si>
    <t>Advanced Engineering Materials</t>
  </si>
  <si>
    <t>Advances in Mechanical Engineering</t>
  </si>
  <si>
    <t>Aerospace America</t>
  </si>
  <si>
    <t>Aerospace Science and Technology</t>
  </si>
  <si>
    <t>Aircraft Engineering and Aerospace Technology</t>
  </si>
  <si>
    <t>AIAA Journal</t>
  </si>
  <si>
    <t>Applied Composite Materials</t>
  </si>
  <si>
    <t>Applied Mechanics Reviews</t>
  </si>
  <si>
    <t>Archive of Applied Mechanics</t>
  </si>
  <si>
    <t>Artificial Intelligence for Engineering Design, Analysis and Manufacturing</t>
  </si>
  <si>
    <t>Assembly Automation</t>
  </si>
  <si>
    <t>Building Acoustics</t>
  </si>
  <si>
    <t>Composite Interfaces</t>
  </si>
  <si>
    <t>Computational Mechanics</t>
  </si>
  <si>
    <t>Computer Methods and Programs in Biomedicine</t>
  </si>
  <si>
    <t>Computers &amp; Fluids</t>
  </si>
  <si>
    <t>Conference Record of the IEEE Industry Applications Conference</t>
  </si>
  <si>
    <t>Dynamics of Continuous, Discrete and Impulsive Systems. Series B: Applications and Algorithms</t>
  </si>
  <si>
    <t>Engineering Optimization</t>
  </si>
  <si>
    <t>ESA Bulletin</t>
  </si>
  <si>
    <t>Euroheat &amp; Power</t>
  </si>
  <si>
    <t>European Journal of Industrial Engineering</t>
  </si>
  <si>
    <t>European Journal of Mechanics B - Fluids</t>
  </si>
  <si>
    <t>European Polymer Journal</t>
  </si>
  <si>
    <t>Experiments in Fluids</t>
  </si>
  <si>
    <t>Extreme Mechanics Letters</t>
  </si>
  <si>
    <t>Filtration</t>
  </si>
  <si>
    <t>Finite Elements in Analysis and Design</t>
  </si>
  <si>
    <t>Flow Measurement and Instrumentation</t>
  </si>
  <si>
    <t>Flow, Turbulence and Combustion</t>
  </si>
  <si>
    <t>Fluid Dynamics</t>
  </si>
  <si>
    <t>Fluid Dynamics Research</t>
  </si>
  <si>
    <t>Friction</t>
  </si>
  <si>
    <t>International Applied Mechanics</t>
  </si>
  <si>
    <t>International Journal for Numerical Methods in Fluids</t>
  </si>
  <si>
    <t>International Journal of Advanced Manufacturing Technology</t>
  </si>
  <si>
    <t>International Journal of Automotive Technology</t>
  </si>
  <si>
    <t>International Journal of Bifurcation and Chaos in Applied Sciences and Engineering</t>
  </si>
  <si>
    <t>International Journal of Computational Fluid Dynamics</t>
  </si>
  <si>
    <t>International Journal of Computer Integrated Manufacturing</t>
  </si>
  <si>
    <t>International Journal of Engine Research</t>
  </si>
  <si>
    <t>International Journal of Engineering Science</t>
  </si>
  <si>
    <t>International Journal of Fatigue</t>
  </si>
  <si>
    <t>International Journal of Heat and Mass Transfer</t>
  </si>
  <si>
    <t>International Journal of Heavy Vehicle Systems</t>
  </si>
  <si>
    <t>International Journal of Impact Engineering</t>
  </si>
  <si>
    <t>International Journal of Industrial Engineering: Theory, Applications and Practice</t>
  </si>
  <si>
    <t>International Journal of Manufacturing Technology and Management</t>
  </si>
  <si>
    <t>International Journal of Mass Customisation</t>
  </si>
  <si>
    <t>International Journal of Material Forming</t>
  </si>
  <si>
    <t>International Journal of Materials and Product Technology</t>
  </si>
  <si>
    <t>International Journal of Mechanical Sciences</t>
  </si>
  <si>
    <t>International Journal of Polymeric Materials and Polymeric Biomaterials</t>
  </si>
  <si>
    <t>International Journal of Pressure Vessels and Piping</t>
  </si>
  <si>
    <t>International Journal of Product Development</t>
  </si>
  <si>
    <t>International Journal of Product Lifecycle Management</t>
  </si>
  <si>
    <t>International Journal of Production Research</t>
  </si>
  <si>
    <t>International Journal of Rotating Machinery</t>
  </si>
  <si>
    <t>International Journal of Simulation and Process Modelling</t>
  </si>
  <si>
    <t>International Journal of Structural Stability and Dynamics</t>
  </si>
  <si>
    <t>International Journal of Thermal Sciences</t>
  </si>
  <si>
    <t>International Journal of Turbo and Jet Engines</t>
  </si>
  <si>
    <t>International Journal of Vehicle Autonomous Systems</t>
  </si>
  <si>
    <t>International Journal of Vehicle Design</t>
  </si>
  <si>
    <t>International Journal of Vehicle Systems Modelling and Testing</t>
  </si>
  <si>
    <t>International Journal of Ventilation</t>
  </si>
  <si>
    <t>International Journal on Interactive Design and Manufacturing</t>
  </si>
  <si>
    <t>International Polymer Processing</t>
  </si>
  <si>
    <t>Journal of Advanced Manufacturing Systems</t>
  </si>
  <si>
    <t>Journal of Aerospace Engineering</t>
  </si>
  <si>
    <t>Journal of Aircraft</t>
  </si>
  <si>
    <t>Journal of Applied Mathematics and Mechanics</t>
  </si>
  <si>
    <t>Journal of Applied Mechanics and Technical Physics</t>
  </si>
  <si>
    <t>Journal of Applied Surface Finishing</t>
  </si>
  <si>
    <t>Journal of Composite Materials</t>
  </si>
  <si>
    <t>Journal of Computational Acoustics</t>
  </si>
  <si>
    <t>Journal of Computational and Theoretical Nanoscience</t>
  </si>
  <si>
    <t>Journal of Computational Design and Engineering</t>
  </si>
  <si>
    <t>Journal of Computing and Information Science in Engineering</t>
  </si>
  <si>
    <t>Journal of Elasticity</t>
  </si>
  <si>
    <t>Journal of Engineering for Gas Turbines and Power</t>
  </si>
  <si>
    <t>Journal of Fluids and Structures</t>
  </si>
  <si>
    <t>Journal of Fluids Engineering</t>
  </si>
  <si>
    <t>Journal of Fuels and Lubricants</t>
  </si>
  <si>
    <t>Journal of Global Optimization</t>
  </si>
  <si>
    <t>Journal of Heat Transfer</t>
  </si>
  <si>
    <t>Journal of Hydraulic Research</t>
  </si>
  <si>
    <t>Journal of Intelligent Manufacturing</t>
  </si>
  <si>
    <t>Journal of Laser Applications</t>
  </si>
  <si>
    <t>Journal of Low Frequency Noise, Vibration and Active Control</t>
  </si>
  <si>
    <t>Journal of Manufacturing Engineering</t>
  </si>
  <si>
    <t>Journal of Materials Processing Technology</t>
  </si>
  <si>
    <t>Journal of Mechanical Science and Technology</t>
  </si>
  <si>
    <t>Journal of Non-Crystalline Solids</t>
  </si>
  <si>
    <t>Journal of Performance of Constructed Facilities</t>
  </si>
  <si>
    <t>Journal of Pressure Vessel Technology</t>
  </si>
  <si>
    <t>Journal of Propulsion and Power</t>
  </si>
  <si>
    <t>Journal of Ship Research</t>
  </si>
  <si>
    <t>Journal of Spacecraft and Rockets</t>
  </si>
  <si>
    <t>Journal of Statistical Mechanics: Theory and Experiment</t>
  </si>
  <si>
    <t>Journal of the Astronautical Sciences</t>
  </si>
  <si>
    <t>Journal of the Brazilian Society of Mechanical Sciences and Engineering</t>
  </si>
  <si>
    <t>Journal of the Mechanical Behavior of Materials</t>
  </si>
  <si>
    <t>Journal of the Optical Society of America B: Optical Physics</t>
  </si>
  <si>
    <t>Journal of Thermal Stresses</t>
  </si>
  <si>
    <t>Journal of Thermoplastic Composite Materials</t>
  </si>
  <si>
    <t>Journal of Tribology</t>
  </si>
  <si>
    <t>Journal of Turbomachinery</t>
  </si>
  <si>
    <t>Journal of Turbulence</t>
  </si>
  <si>
    <t>Journal of Vibration and Acoustics</t>
  </si>
  <si>
    <t>Journal of Vibration and Control</t>
  </si>
  <si>
    <t>Journal of Wind Engineering &amp; Industrial Aerodynamics</t>
  </si>
  <si>
    <t>Latin American Journal of Solids and Structures</t>
  </si>
  <si>
    <t>Lubricants</t>
  </si>
  <si>
    <t>Machine Vision &amp; Applications</t>
  </si>
  <si>
    <t>Management and Production Engineering Review</t>
  </si>
  <si>
    <t>Manufacturing Review</t>
  </si>
  <si>
    <t>Meccanica</t>
  </si>
  <si>
    <t>Mechanical Engineering</t>
  </si>
  <si>
    <t>Mechanics &amp; Industry</t>
  </si>
  <si>
    <t>Mechanics Based Design of Structures and Machines</t>
  </si>
  <si>
    <t>Mechanics of Composite Materials</t>
  </si>
  <si>
    <t>Mechanics Research Communications</t>
  </si>
  <si>
    <t>Mechatronics</t>
  </si>
  <si>
    <t>Modeling, Identification and Control</t>
  </si>
  <si>
    <t>Numerical Heat Transfer Part B: Fundamentals</t>
  </si>
  <si>
    <t>Oxidation of Metals</t>
  </si>
  <si>
    <t>Philosophical Transactions of the Royal Society A: Mathematical, Physical and Engineering Sciences</t>
  </si>
  <si>
    <t>Physica Status Solidi. Rapid Research Letters</t>
  </si>
  <si>
    <t>Physics of Fluids</t>
  </si>
  <si>
    <t>Polymer</t>
  </si>
  <si>
    <t>Powder Metallurgy</t>
  </si>
  <si>
    <t>Proceedings of the Institution of Mechanical Engineers, Part B: Journal of Engineering Manufacture</t>
  </si>
  <si>
    <t>Proceedings of the Institution of Mechanical Engineers, Part C: Journal of Mechanical Engineering Science</t>
  </si>
  <si>
    <t>Proceedings of the Institution of Mechanical Engineers, Part D: Journal of Automobile Engineering</t>
  </si>
  <si>
    <t>Proceedings of the Institution of Mechanical Engineers, Part E: Journal of Process Mechanical Engineering</t>
  </si>
  <si>
    <t>Proceedings of the Institution of Mechanical Engineers, Part G: Journal of Aerospace Engineering</t>
  </si>
  <si>
    <t>Proceedings of the Institution of Mechanical Engineers, Part J: Journal of Engineering Tribology</t>
  </si>
  <si>
    <t>Proceedings of the Institution of Mechanical Engineers, Part K: Journal of Multi-body Dynamics</t>
  </si>
  <si>
    <t>Proceedings of the Royal Society A: Mathematical, Physical and Engineering Sciences</t>
  </si>
  <si>
    <t>Production &amp; Manufacturing Research</t>
  </si>
  <si>
    <t>Progress in Aerospace Sciences</t>
  </si>
  <si>
    <t>Robotica</t>
  </si>
  <si>
    <t>Science and Technology of Welding and Joining</t>
  </si>
  <si>
    <t>Ships and Offshore Structures</t>
  </si>
  <si>
    <t>Shock and Vibration</t>
  </si>
  <si>
    <t>Smart Materials and Structures</t>
  </si>
  <si>
    <t>Stapp Car Crash Journal</t>
  </si>
  <si>
    <t>Strain</t>
  </si>
  <si>
    <t>Structural Control and Health Monitoring</t>
  </si>
  <si>
    <t>Superlattices and Microstructures</t>
  </si>
  <si>
    <t>Surface and Coatings Technology</t>
  </si>
  <si>
    <t>Technical Physics</t>
  </si>
  <si>
    <t>Technical Physics Letters</t>
  </si>
  <si>
    <t>Technische Mechanik</t>
  </si>
  <si>
    <t>The Aeronautical Journal</t>
  </si>
  <si>
    <t>The International Journal of Cast Metals Research</t>
  </si>
  <si>
    <t>The Journal of Strain Analysis for Engineering Design</t>
  </si>
  <si>
    <t>Theoretical and Computational Fluid Dynamics</t>
  </si>
  <si>
    <t>Thin-Walled Structures</t>
  </si>
  <si>
    <t>Transactions of Nonferrous Metals Society of China</t>
  </si>
  <si>
    <t>Transactions of the Canadian Society for Mechanical Engineering</t>
  </si>
  <si>
    <t>Transactions of the Japan Society for Aeronautical and Space Sciences</t>
  </si>
  <si>
    <t>Tribology &amp; Lubrication Technology</t>
  </si>
  <si>
    <t>Tribology Transactions</t>
  </si>
  <si>
    <t>Tunnelling and Underground Space Technology</t>
  </si>
  <si>
    <t>Vehicle System Dynamics</t>
  </si>
  <si>
    <t>Waves in Random and Complex Media</t>
  </si>
  <si>
    <t>Welding in the World</t>
  </si>
  <si>
    <t>Welding Journal</t>
  </si>
  <si>
    <t>Wind Engineering</t>
  </si>
  <si>
    <t>Zeitschrift fuer Angewandte Mathematik und Mechanik</t>
  </si>
  <si>
    <t>Fødevarevidenskab/teknologi/kvalitet/sikkerhed</t>
  </si>
  <si>
    <t>Chemometrics and Intelligent Laboratory Systems</t>
  </si>
  <si>
    <t>Critical Reviews in Food Science and Nutrition</t>
  </si>
  <si>
    <t>Critical Reviews in Microbiology</t>
  </si>
  <si>
    <t>Food Chemistry</t>
  </si>
  <si>
    <t>Food Control</t>
  </si>
  <si>
    <t>Food Hydrocolloids</t>
  </si>
  <si>
    <t>Food Quality and Preference</t>
  </si>
  <si>
    <t>International Dairy Journal</t>
  </si>
  <si>
    <t>International Journal of Food Microbiology</t>
  </si>
  <si>
    <t>Journal of Agricultural and Food Chemistry</t>
  </si>
  <si>
    <t>Meat Science</t>
  </si>
  <si>
    <t>Metabolomics</t>
  </si>
  <si>
    <t>Molecular Nutrition &amp; Food Research</t>
  </si>
  <si>
    <t>Obesity Reviews</t>
  </si>
  <si>
    <t>The American Journal of Clinical Nutrition</t>
  </si>
  <si>
    <t>The Journal of Nutrition</t>
  </si>
  <si>
    <t>Trends in Food Science &amp; Technology</t>
  </si>
  <si>
    <t>Acta Alimentaria</t>
  </si>
  <si>
    <t>Advances in Biochemical Engineering/Biotechnology</t>
  </si>
  <si>
    <t>Advances in Carbohydrate Chemistry and Biochemistry</t>
  </si>
  <si>
    <t>Agro Food Industry Hi-Tech</t>
  </si>
  <si>
    <t>Anaerobe</t>
  </si>
  <si>
    <t>Analytical Biochemistry</t>
  </si>
  <si>
    <t>Annals of Nutrition and Metabolism</t>
  </si>
  <si>
    <t>Antimicrobial Agents and Chemotherapy</t>
  </si>
  <si>
    <t>Appetite</t>
  </si>
  <si>
    <t>Applied Microbiology and Biotechnology</t>
  </si>
  <si>
    <t>Applied Spectroscopy</t>
  </si>
  <si>
    <t>Archivos Latinoamericanos de Nutricion</t>
  </si>
  <si>
    <t>Asia Pacific Journal of Clinical Nutrition</t>
  </si>
  <si>
    <t>Australian Journal of Grape and Wine Research</t>
  </si>
  <si>
    <t>Beverages</t>
  </si>
  <si>
    <t>Biocatalysis and Biotransformation</t>
  </si>
  <si>
    <t>Biochemical Engineering Journal</t>
  </si>
  <si>
    <t>Biological Trace Element Research</t>
  </si>
  <si>
    <t>Biotechnology and Bioengineering</t>
  </si>
  <si>
    <t>Biotechnology Journal</t>
  </si>
  <si>
    <t>Biotechnology Progress</t>
  </si>
  <si>
    <t>British Food Journal</t>
  </si>
  <si>
    <t>Canadian Journal of Dietetic Practice and Research</t>
  </si>
  <si>
    <t>Carbohydrate Research</t>
  </si>
  <si>
    <t>Cereal Foods World</t>
  </si>
  <si>
    <t>Chemical Senses</t>
  </si>
  <si>
    <t>Chemosensory Perception</t>
  </si>
  <si>
    <t>Comprehensive Reviews in Food Science and Food Safety</t>
  </si>
  <si>
    <t>Computers and Electronics in Agriculture</t>
  </si>
  <si>
    <t>Coordination Chemistry Reviews</t>
  </si>
  <si>
    <t>Critical Reviews in Biotechnology</t>
  </si>
  <si>
    <t>Critical Reviews in Eukaryotic Gene Expression</t>
  </si>
  <si>
    <t>Current Developments in Nutrition</t>
  </si>
  <si>
    <t>Current Opinion in Clinical Nutrition and Metabolic Care</t>
  </si>
  <si>
    <t>Czech Journal of Food Sciences</t>
  </si>
  <si>
    <t>Dairy Science &amp; Technology</t>
  </si>
  <si>
    <t>Deutsche Lebensmittel-Rundschau</t>
  </si>
  <si>
    <t>Die Fleischwirtschaft</t>
  </si>
  <si>
    <t>Ecology of Food and Nutrition</t>
  </si>
  <si>
    <t>Enzyme and Microbial Technology</t>
  </si>
  <si>
    <t>Ernährungs Umschau</t>
  </si>
  <si>
    <t>European Food Research and Technology</t>
  </si>
  <si>
    <t>European Journal of Clinical Nutrition</t>
  </si>
  <si>
    <t>European Journal of Lipid Science and Technology</t>
  </si>
  <si>
    <t>European Journal of Nutrition</t>
  </si>
  <si>
    <t>European Journal of Protistology</t>
  </si>
  <si>
    <t>FEMS Microbiology Ecology</t>
  </si>
  <si>
    <t>Flavour and Fragrance Journal</t>
  </si>
  <si>
    <t>Fleischwirtschaft International</t>
  </si>
  <si>
    <t>Food &amp; Function</t>
  </si>
  <si>
    <t>Food &amp; Nutrition Research</t>
  </si>
  <si>
    <t>Food Additives and Contaminants</t>
  </si>
  <si>
    <t>Food Analytical Methods</t>
  </si>
  <si>
    <t>Food and Agricultural Immunology</t>
  </si>
  <si>
    <t>Food and Bioprocess Technology</t>
  </si>
  <si>
    <t>Food and Bioproducts Processing</t>
  </si>
  <si>
    <t>Food and Chemical Toxicology</t>
  </si>
  <si>
    <t>Food and Foodways</t>
  </si>
  <si>
    <t>Food and Nutrition Bulletin</t>
  </si>
  <si>
    <t>Food and Waterborne Parasitology</t>
  </si>
  <si>
    <t>Food Biophysics</t>
  </si>
  <si>
    <t>Food Biotechnology</t>
  </si>
  <si>
    <t>Food Research International</t>
  </si>
  <si>
    <t>Food Reviews International</t>
  </si>
  <si>
    <t>Food Science and Biotechnology</t>
  </si>
  <si>
    <t>Food Science and Technology International</t>
  </si>
  <si>
    <t>Food Science and Technology Research</t>
  </si>
  <si>
    <t>Food Structure</t>
  </si>
  <si>
    <t>Food Technology</t>
  </si>
  <si>
    <t>Food Technology and Biotechnology</t>
  </si>
  <si>
    <t>Foods</t>
  </si>
  <si>
    <t>Frontiers in Nutrition</t>
  </si>
  <si>
    <t>Grasas y Aceites</t>
  </si>
  <si>
    <t>Hospitality &amp; Society</t>
  </si>
  <si>
    <t>Industrial Biotechnology</t>
  </si>
  <si>
    <t>Innovative Food Science and Emerging Technologies</t>
  </si>
  <si>
    <t>International Journal for Vitamin and Nutrition Research</t>
  </si>
  <si>
    <t>International Journal of Dairy Technology</t>
  </si>
  <si>
    <t>International Journal of Food Properties</t>
  </si>
  <si>
    <t>International Journal of Food Science &amp; Technology</t>
  </si>
  <si>
    <t>International Journal of Food Sciences and Nutrition</t>
  </si>
  <si>
    <t>International Sugar Journal</t>
  </si>
  <si>
    <t>Italian Journal of Food Science</t>
  </si>
  <si>
    <t>Journal International des Sciences de la Vigne et du Vin</t>
  </si>
  <si>
    <t>Journal of AOAC International</t>
  </si>
  <si>
    <t>Journal of Aquatic Food Product Technology</t>
  </si>
  <si>
    <t>Journal of Bacteriology</t>
  </si>
  <si>
    <t>Journal of Bioactive and Compatible Polymers</t>
  </si>
  <si>
    <t>Journal of Cereal Science</t>
  </si>
  <si>
    <t>Journal of Chemometrics</t>
  </si>
  <si>
    <t>Journal of Clinical Biochemistry and Nutrition</t>
  </si>
  <si>
    <t>Journal of Culinary Science &amp; Technology</t>
  </si>
  <si>
    <t>Journal of Dairy Research</t>
  </si>
  <si>
    <t>Journal of Dietary Supplements</t>
  </si>
  <si>
    <t>Journal of Essential Oil Research</t>
  </si>
  <si>
    <t>Journal of Food and Drug Analysis</t>
  </si>
  <si>
    <t>Journal of Food Biochemistry</t>
  </si>
  <si>
    <t>Journal of Food Composition and Analysis</t>
  </si>
  <si>
    <t>Journal of Food Engineering</t>
  </si>
  <si>
    <t>Journal of Food Measurement and Characterization</t>
  </si>
  <si>
    <t>Journal of Food Process Engineering</t>
  </si>
  <si>
    <t>Journal of Food Processing and Preservation</t>
  </si>
  <si>
    <t>Journal of Food Protection</t>
  </si>
  <si>
    <t>Journal of Food Quality</t>
  </si>
  <si>
    <t>Journal of Food Safety</t>
  </si>
  <si>
    <t>Journal of Food Safety and Food Quality</t>
  </si>
  <si>
    <t>Journal of Food Science</t>
  </si>
  <si>
    <t>Journal of Food Science and Technology</t>
  </si>
  <si>
    <t>Journal of Functional Foods</t>
  </si>
  <si>
    <t>Journal of Human Nutrition and Dietetics</t>
  </si>
  <si>
    <t>Journal of Medicinal Food</t>
  </si>
  <si>
    <t>Journal of Nutrition &amp; Intermediary Metabolism</t>
  </si>
  <si>
    <t>Journal of Nutrition in Gerontology and Geriatrics</t>
  </si>
  <si>
    <t>Journal of Nutrition, Health and Aging</t>
  </si>
  <si>
    <t>Journal of Nutritional Science</t>
  </si>
  <si>
    <t>Journal of Nutritional Science and Vitaminology</t>
  </si>
  <si>
    <t>Journal of Renal Nutrition</t>
  </si>
  <si>
    <t>Journal of Sensory Studies</t>
  </si>
  <si>
    <t>Journal of Texture Studies</t>
  </si>
  <si>
    <t>Journal of the Academy of Nutrition and Dietetics</t>
  </si>
  <si>
    <t>Journal of the American College of Nutrition</t>
  </si>
  <si>
    <t>Journal of the American Society of Brewing Chemists</t>
  </si>
  <si>
    <t>Journal of the Institute of Brewing</t>
  </si>
  <si>
    <t>Journal of the Science of Food and Agriculture</t>
  </si>
  <si>
    <t>Lebensmittel - Wissenschaft und Technologie</t>
  </si>
  <si>
    <t>Lipids</t>
  </si>
  <si>
    <t>Listy Cukrovarnicke a Reparske</t>
  </si>
  <si>
    <t>Maternal and Child Nutrition</t>
  </si>
  <si>
    <t>Metabolites</t>
  </si>
  <si>
    <t>Milk Science International - Milchwissenschaft</t>
  </si>
  <si>
    <t>Nippon Shokuhin Kagaku Kogaku Kaishi</t>
  </si>
  <si>
    <t>npj Science of Food</t>
  </si>
  <si>
    <t>Nutricion Hospitalaria</t>
  </si>
  <si>
    <t>Nutrition</t>
  </si>
  <si>
    <t>Nutrition &amp; Metabolism</t>
  </si>
  <si>
    <t>Nutrition and Cancer</t>
  </si>
  <si>
    <t>Nutrition and Dietetics</t>
  </si>
  <si>
    <t>Nutrition Bulletin</t>
  </si>
  <si>
    <t>Nutrition Journal</t>
  </si>
  <si>
    <t>Nutrition Research</t>
  </si>
  <si>
    <t>Nutrition Research Reviews</t>
  </si>
  <si>
    <t>Nutrition Reviews</t>
  </si>
  <si>
    <t>Nutrition, Metabolism &amp; Cardiovascular Diseases</t>
  </si>
  <si>
    <t>Nutritional Neuroscience</t>
  </si>
  <si>
    <t>Packaging Technology and Science</t>
  </si>
  <si>
    <t>Plant Foods for Human Nutrition</t>
  </si>
  <si>
    <t>Plus Proces</t>
  </si>
  <si>
    <t>Polish Journal of Food and Nutrition Sciences</t>
  </si>
  <si>
    <t>Postharvest Biology and Technology</t>
  </si>
  <si>
    <t>Process Biochemistry</t>
  </si>
  <si>
    <t>Public Health Nutrition</t>
  </si>
  <si>
    <t>Shokuhin Eiseigaku Zasshi</t>
  </si>
  <si>
    <t>Starch</t>
  </si>
  <si>
    <t>The British Journal of Nutrition</t>
  </si>
  <si>
    <t>The Journal of Nutritional Biochemistry</t>
  </si>
  <si>
    <t>WHO FOOD ADDITIVES SERIES</t>
  </si>
  <si>
    <t>World Review of Nutrition and Dietetics</t>
  </si>
  <si>
    <t>Zuckerindustrie</t>
  </si>
  <si>
    <t>Medicin</t>
  </si>
  <si>
    <t>Annals of Internal Medicine</t>
  </si>
  <si>
    <t>Cancer Cell</t>
  </si>
  <si>
    <t>Immunity</t>
  </si>
  <si>
    <t>JAMA: The Journal of the American Medical Association</t>
  </si>
  <si>
    <t>Nature Medicine</t>
  </si>
  <si>
    <t>The BMJ</t>
  </si>
  <si>
    <t>The Lancet</t>
  </si>
  <si>
    <t>The New England Journal of Medicine</t>
  </si>
  <si>
    <t>Advances in Immunology</t>
  </si>
  <si>
    <t>Annals of Oncology</t>
  </si>
  <si>
    <t>Annals of the Rheumatic Diseases</t>
  </si>
  <si>
    <t>Annual Review of Immunology</t>
  </si>
  <si>
    <t>Annual Review of Medicine</t>
  </si>
  <si>
    <t>Arthritis &amp; Rheumatology</t>
  </si>
  <si>
    <t>Blood</t>
  </si>
  <si>
    <t>Blood Reviews</t>
  </si>
  <si>
    <t>Cancer and Metastasis Reviews</t>
  </si>
  <si>
    <t>Cancer Research</t>
  </si>
  <si>
    <t>Circulation</t>
  </si>
  <si>
    <t>Circulation Research</t>
  </si>
  <si>
    <t>Clinical Cancer Research</t>
  </si>
  <si>
    <t>Clinical Infectious Diseases</t>
  </si>
  <si>
    <t>Clinical Microbiology Reviews</t>
  </si>
  <si>
    <t>Cochrane Database of Systematic Reviews</t>
  </si>
  <si>
    <t>Current Opinion in Immunology</t>
  </si>
  <si>
    <t>Diabetes</t>
  </si>
  <si>
    <t>Diabetes Care</t>
  </si>
  <si>
    <t xml:space="preserve">Emerging Infectious Diseases </t>
  </si>
  <si>
    <t>Endocrine Reviews</t>
  </si>
  <si>
    <t>European Heart Journal</t>
  </si>
  <si>
    <t>Gut</t>
  </si>
  <si>
    <t>Hepatology</t>
  </si>
  <si>
    <t>Hypertension</t>
  </si>
  <si>
    <t>JAMA Internal Medicine</t>
  </si>
  <si>
    <t>Journal of Bone and Mineral Research</t>
  </si>
  <si>
    <t>Journal of Clinical Endocrinology and Metabolism</t>
  </si>
  <si>
    <t>Journal of Clinical Investigation</t>
  </si>
  <si>
    <t>Journal of Clinical Oncology</t>
  </si>
  <si>
    <t>Journal of Hepatology</t>
  </si>
  <si>
    <t>Journal of Internal Medicine</t>
  </si>
  <si>
    <t>Journal of the American College of Cardiology</t>
  </si>
  <si>
    <t>Journal of the American Society of Nephrology</t>
  </si>
  <si>
    <t>Journal of the National Cancer Institute</t>
  </si>
  <si>
    <t>Leukemia</t>
  </si>
  <si>
    <t>Nature Reviews. Cancer</t>
  </si>
  <si>
    <t>Nature Reviews. Cardiology</t>
  </si>
  <si>
    <t>Nature Reviews. Clinical Oncology</t>
  </si>
  <si>
    <t>Nature Reviews. Endocrinology</t>
  </si>
  <si>
    <t>Nature Reviews. Gastroenterology &amp; Hepatology</t>
  </si>
  <si>
    <t>Nature Reviews. Immunology</t>
  </si>
  <si>
    <t>Nature Reviews. Nephrology</t>
  </si>
  <si>
    <t>Nature Reviews. Rheumatology</t>
  </si>
  <si>
    <t>PLOS Medicine</t>
  </si>
  <si>
    <t>The American Journal of Gastroenterology</t>
  </si>
  <si>
    <t>The European Respiratory Journal</t>
  </si>
  <si>
    <t>The Lancet Infectious Diseases</t>
  </si>
  <si>
    <t>The Lancet Oncology</t>
  </si>
  <si>
    <t>Thorax</t>
  </si>
  <si>
    <t>Trends in Endocrinology and Metabolism</t>
  </si>
  <si>
    <t>Trends in Immunology</t>
  </si>
  <si>
    <t>Abdominal Radiology</t>
  </si>
  <si>
    <t>Acta Diabetologica</t>
  </si>
  <si>
    <t>Acta Haematologica</t>
  </si>
  <si>
    <t>Acta Oncologica</t>
  </si>
  <si>
    <t>Acute Cardiac Care</t>
  </si>
  <si>
    <t>Advances in Cancer Research</t>
  </si>
  <si>
    <t>Advances in Chronic Kidney Disease</t>
  </si>
  <si>
    <t>Aging Clinical and Experimental Research</t>
  </si>
  <si>
    <t>AIDS</t>
  </si>
  <si>
    <t>AIDS Reviews</t>
  </si>
  <si>
    <t>Allergy: European Journal of Allergy and Clinical Immunology</t>
  </si>
  <si>
    <t>American Heart Journal</t>
  </si>
  <si>
    <t>American Journal of Case Reports</t>
  </si>
  <si>
    <t>American Journal of Clinical Oncology</t>
  </si>
  <si>
    <t>American Journal of Hematology</t>
  </si>
  <si>
    <t>American Journal of Hypertension</t>
  </si>
  <si>
    <t>American Journal of Infection Control</t>
  </si>
  <si>
    <t>American Journal of Kidney Diseases</t>
  </si>
  <si>
    <t>American Journal of Nephrology</t>
  </si>
  <si>
    <t>American Journal of the Medical Sciences</t>
  </si>
  <si>
    <t>Angiology</t>
  </si>
  <si>
    <t>Annals of Allergy, Asthma, &amp; Immunology</t>
  </si>
  <si>
    <t>Annals of Clinical Microbiology and Antimicrobials</t>
  </si>
  <si>
    <t>Annals of Hematology</t>
  </si>
  <si>
    <t>Annals of Hepatology</t>
  </si>
  <si>
    <t>Annals of Medicine</t>
  </si>
  <si>
    <t>Anticancer Research</t>
  </si>
  <si>
    <t>Antiviral Therapy</t>
  </si>
  <si>
    <t>Archives of Gerontology and Geriatrics</t>
  </si>
  <si>
    <t>Archives of Medical Research</t>
  </si>
  <si>
    <t>Arteriosclerosis, Thrombosis, and Vascular Biology</t>
  </si>
  <si>
    <t>Arthritis Care &amp; Research</t>
  </si>
  <si>
    <t>Arthritis Research &amp; Therapy</t>
  </si>
  <si>
    <t>Arthroskopie</t>
  </si>
  <si>
    <t>Asian Journal of Andrology</t>
  </si>
  <si>
    <t>Atherosclerosis</t>
  </si>
  <si>
    <t>Atherosclerosis. Supplement</t>
  </si>
  <si>
    <t>Autoimmunity</t>
  </si>
  <si>
    <t>Autoimmunity Reviews</t>
  </si>
  <si>
    <t>Basic Research in Cardiology</t>
  </si>
  <si>
    <t>Best Practice &amp; Research: Clinical Endocrinology &amp; Metabolism</t>
  </si>
  <si>
    <t>Best Practice &amp; Research: Clinical Gastroenterology</t>
  </si>
  <si>
    <t>Best Practice &amp; Research: Clinical Haematology</t>
  </si>
  <si>
    <t>Best Practice &amp; Research: Clinical Rheumatology</t>
  </si>
  <si>
    <t>Bibliotek for Laeger</t>
  </si>
  <si>
    <t>Biogerontology</t>
  </si>
  <si>
    <t>Biomarkers and Genomic Medicine</t>
  </si>
  <si>
    <t>Biomarkers in Medicine</t>
  </si>
  <si>
    <t>Blood Cells, Molecules and Diseases</t>
  </si>
  <si>
    <t>Blood Coagulation and Fibrinolysis</t>
  </si>
  <si>
    <t>Blood Pressure</t>
  </si>
  <si>
    <t>Blood Pressure Monitoring</t>
  </si>
  <si>
    <t>BMC Cancer</t>
  </si>
  <si>
    <t>BMC Cardiovascular Disorders</t>
  </si>
  <si>
    <t>BMC Endocrine Disorders</t>
  </si>
  <si>
    <t>BMC Gastroenterology</t>
  </si>
  <si>
    <t>BMC Geriatrics</t>
  </si>
  <si>
    <t>BMC Hematology</t>
  </si>
  <si>
    <t>BMC Immunology</t>
  </si>
  <si>
    <t>BMC Infectious Diseases</t>
  </si>
  <si>
    <t>BMC Medical Research Methodology</t>
  </si>
  <si>
    <t>BMC Medicine</t>
  </si>
  <si>
    <t>BMC Nephrology</t>
  </si>
  <si>
    <t>BMC Pulmonary Medicine</t>
  </si>
  <si>
    <t>BMJ Global Health</t>
  </si>
  <si>
    <t>BMJ Supportive &amp; Palliative Care</t>
  </si>
  <si>
    <t>Bone</t>
  </si>
  <si>
    <t>Bone Marrow Transplantation</t>
  </si>
  <si>
    <t>Bone Research</t>
  </si>
  <si>
    <t>Breast Cancer Research</t>
  </si>
  <si>
    <t>Breast Cancer Research and Treatment</t>
  </si>
  <si>
    <t>British Journal of Cancer</t>
  </si>
  <si>
    <t xml:space="preserve">British Journal of General Practice Open </t>
  </si>
  <si>
    <t>British Journal of Haematology</t>
  </si>
  <si>
    <t>British Medical Bulletin</t>
  </si>
  <si>
    <t>Canadian Journal of Cardiology</t>
  </si>
  <si>
    <t>Canadian Journal of Gastroenterology and Hepatology</t>
  </si>
  <si>
    <t>Cancer</t>
  </si>
  <si>
    <t>Cancer Biology &amp; Therapy</t>
  </si>
  <si>
    <t>Cancer Cell International</t>
  </si>
  <si>
    <t>Cancer Epidemiology</t>
  </si>
  <si>
    <t>Cancer Gene Therapy</t>
  </si>
  <si>
    <t>Cancer genetics and cytogenetics</t>
  </si>
  <si>
    <t>Cancer Genomics &amp; Proteomics</t>
  </si>
  <si>
    <t>Cancer Imaging</t>
  </si>
  <si>
    <t>Cancer Investigation</t>
  </si>
  <si>
    <t>Cancer Letters</t>
  </si>
  <si>
    <t>Cancer Medicine</t>
  </si>
  <si>
    <t>Cancer Prevention Research</t>
  </si>
  <si>
    <t>Cancer Science</t>
  </si>
  <si>
    <t>Cancer Treatment Reviews</t>
  </si>
  <si>
    <t>Cardiology</t>
  </si>
  <si>
    <t>Cardiology Clinics</t>
  </si>
  <si>
    <t>Cardiology in Review</t>
  </si>
  <si>
    <t>Cardiology in the Young</t>
  </si>
  <si>
    <t>Cardiovascular Diabetology</t>
  </si>
  <si>
    <t>Cardiovascular Endocrinology</t>
  </si>
  <si>
    <t>Cardiovascular Research</t>
  </si>
  <si>
    <t>Cardiovascular Revascularization Medicine</t>
  </si>
  <si>
    <t>Cardiovascular Toxicology</t>
  </si>
  <si>
    <t>Cardiovascular Ultrasound</t>
  </si>
  <si>
    <t>Catheterization and Cardiovascular Interventions</t>
  </si>
  <si>
    <t>Cell Communication and Signaling</t>
  </si>
  <si>
    <t>Cellular and Molecular Gastroenterology and Hepatology</t>
  </si>
  <si>
    <t>Cellular Oncology</t>
  </si>
  <si>
    <t>Chemotherapy</t>
  </si>
  <si>
    <t>Chest</t>
  </si>
  <si>
    <t>Chinese Medical Journal</t>
  </si>
  <si>
    <t>Circulation Journal</t>
  </si>
  <si>
    <t>Circulation: Arrhythmia and Electrophysiology</t>
  </si>
  <si>
    <t>Circulation: Cardiovascular Genetics</t>
  </si>
  <si>
    <t>Circulation: Cardiovascular Quality and Outcomes</t>
  </si>
  <si>
    <t>Circulation: Heart Failure</t>
  </si>
  <si>
    <t>Cleveland Clinic Journal of Medicine</t>
  </si>
  <si>
    <t>Clinical Anatomy</t>
  </si>
  <si>
    <t>Clinical and Applied Thrombosis/Hemostasis</t>
  </si>
  <si>
    <t>Clinical and Experimental Allergy</t>
  </si>
  <si>
    <t>Clinical and Experimental Hypertension</t>
  </si>
  <si>
    <t>Clinical and Experimental Immunology</t>
  </si>
  <si>
    <t>Clinical and Experimental Medicine</t>
  </si>
  <si>
    <t>Clinical and Experimental Metastasis</t>
  </si>
  <si>
    <t>Clinical and Experimental Nephrology</t>
  </si>
  <si>
    <t>Clinical and Experimental Rheumatology</t>
  </si>
  <si>
    <t>Clinical and Translational Allergy</t>
  </si>
  <si>
    <t>Clinical and Translational Imaging</t>
  </si>
  <si>
    <t>Clinical and Translational Oncology</t>
  </si>
  <si>
    <t>Clinical Breast Cancer</t>
  </si>
  <si>
    <t>Clinical Cardiology</t>
  </si>
  <si>
    <t>Clinical Case Studies</t>
  </si>
  <si>
    <t>Clinical Cases in Mineral and Bone Metabolism</t>
  </si>
  <si>
    <t>Clinical Endocrinology</t>
  </si>
  <si>
    <t>Clinical Epidemiology</t>
  </si>
  <si>
    <t>Clinical Gastroenterology and Hepatology</t>
  </si>
  <si>
    <t>Clinical Gerontologist</t>
  </si>
  <si>
    <t>Clinical Hemorheology and Microcirculation</t>
  </si>
  <si>
    <t>Clinical Immunology</t>
  </si>
  <si>
    <t>Clinical Interventions in Aging</t>
  </si>
  <si>
    <t xml:space="preserve">Clinical Journal of American Society of Nephrology. </t>
  </si>
  <si>
    <t>Clinical Journal of Oncology Nursing</t>
  </si>
  <si>
    <t>Clinical Lung Cancer</t>
  </si>
  <si>
    <t>Clinical Lymphoma, Myeloma &amp; Leukemia</t>
  </si>
  <si>
    <t>Clinical Medicine</t>
  </si>
  <si>
    <t>Clinical Microbiology and Infection</t>
  </si>
  <si>
    <t>Clinical Nephrology</t>
  </si>
  <si>
    <t>Clinical Oncology</t>
  </si>
  <si>
    <t>Clinical Pediatric Hematology-Oncology</t>
  </si>
  <si>
    <t>Clinical Pulmonary Medicine</t>
  </si>
  <si>
    <t>Clinical Research in Cardiology</t>
  </si>
  <si>
    <t>Clinical Reviews in Allergy &amp; Immunology</t>
  </si>
  <si>
    <t>Clinical Rheumatology</t>
  </si>
  <si>
    <t>Clinical Risk</t>
  </si>
  <si>
    <t>Clinical Science</t>
  </si>
  <si>
    <t>Clinics and Research in Hepatology and Gastroenterology</t>
  </si>
  <si>
    <t>Clinics in Chest Medicine</t>
  </si>
  <si>
    <t>Clinics in Geriatric Medicine</t>
  </si>
  <si>
    <t>Clinics in Liver Disease</t>
  </si>
  <si>
    <t>CMAJ : Canadian Medical Association Journal</t>
  </si>
  <si>
    <t>Colo-Proctology</t>
  </si>
  <si>
    <t>Colorectal Disease</t>
  </si>
  <si>
    <t>Companion To Braunwald's Heart Disease</t>
  </si>
  <si>
    <t>Congenital Anomalies</t>
  </si>
  <si>
    <t>Congenital Heart Disease</t>
  </si>
  <si>
    <t>Contributions to Nephrology</t>
  </si>
  <si>
    <t>Coronary Artery Disease</t>
  </si>
  <si>
    <t>Critical Pathways in Cardiology</t>
  </si>
  <si>
    <t>Critical Reviews in Immunology</t>
  </si>
  <si>
    <t>Critical Reviews in Oncology/Hematology</t>
  </si>
  <si>
    <t>Current Allergy &amp; Asthma Reports</t>
  </si>
  <si>
    <t>Current Atherosclerosis Reports</t>
  </si>
  <si>
    <t>Current Cardiology Reports</t>
  </si>
  <si>
    <t>Current Diabetes Reports</t>
  </si>
  <si>
    <t>Current Diabetes Reviews</t>
  </si>
  <si>
    <t>Current Gastroenterology Reports</t>
  </si>
  <si>
    <t>Current H I V Research</t>
  </si>
  <si>
    <t>Current Hypertension Reports</t>
  </si>
  <si>
    <t>Current Infectious Disease Reports</t>
  </si>
  <si>
    <t>Current Oncology Reports</t>
  </si>
  <si>
    <t>Current Opinion in Allergy and Clinical Immunology</t>
  </si>
  <si>
    <t>Current Opinion in Cardiology</t>
  </si>
  <si>
    <t>Current Opinion in Endocrinology, Diabetes and Obesity</t>
  </si>
  <si>
    <t>Current Opinion in Gastroenterology</t>
  </si>
  <si>
    <t>Current Opinion in Hematology</t>
  </si>
  <si>
    <t>Current Opinion in Infectious Diseases</t>
  </si>
  <si>
    <t>Current Opinion in Nephrology &amp; Hypertension</t>
  </si>
  <si>
    <t>Current Opinion in Oncology</t>
  </si>
  <si>
    <t>Current Opinion in Pulmonary Medicine</t>
  </si>
  <si>
    <t>Current Opinion in Rheumatology</t>
  </si>
  <si>
    <t>Current Opinion in Supportive and Palliative Care</t>
  </si>
  <si>
    <t>Current Problems in Cancer</t>
  </si>
  <si>
    <t>Current Problems in Cardiology</t>
  </si>
  <si>
    <t>Current Rheumatology Reports</t>
  </si>
  <si>
    <t>Current Rheumatology Reviews</t>
  </si>
  <si>
    <t>Cytotherapy</t>
  </si>
  <si>
    <t>Danish Medical Journal</t>
  </si>
  <si>
    <t>Diabetes &amp; Metabolism</t>
  </si>
  <si>
    <t>Diabetes and Vascular Disease Research</t>
  </si>
  <si>
    <t>Diabetes Care. Supplement</t>
  </si>
  <si>
    <t>Diabetes Research and Clinical Practice</t>
  </si>
  <si>
    <t>Diabetes Spectrum</t>
  </si>
  <si>
    <t>Diabetes Technology &amp; Therapeutics</t>
  </si>
  <si>
    <t>Diabetes, Obesity and Metabolism</t>
  </si>
  <si>
    <t>Diabetes/Metabolism Research and Reviews</t>
  </si>
  <si>
    <t>Diabetic Medicine</t>
  </si>
  <si>
    <t>Diabetologia</t>
  </si>
  <si>
    <t>Diabetology &amp; Metabolic Syndrome</t>
  </si>
  <si>
    <t>Diagnostic and Prognostic Research</t>
  </si>
  <si>
    <t>Diagnostic Microbiology and Infectious Disease</t>
  </si>
  <si>
    <t>Digestion</t>
  </si>
  <si>
    <t>Digestive and Liver Disease</t>
  </si>
  <si>
    <t>Digestive Diseases</t>
  </si>
  <si>
    <t>Digestive Diseases and Sciences</t>
  </si>
  <si>
    <t>Digestive Endoscopy</t>
  </si>
  <si>
    <t>Discovery Medicine</t>
  </si>
  <si>
    <t>Diseases of the Colon and Rectum</t>
  </si>
  <si>
    <t>EBioMedicine</t>
  </si>
  <si>
    <t>Echocardiography: A Journal of Cardiovascular Ultrasound and Allied Techniques</t>
  </si>
  <si>
    <t>Endocrine</t>
  </si>
  <si>
    <t>Endocrine Journal</t>
  </si>
  <si>
    <t>Endocrine Practice</t>
  </si>
  <si>
    <t>Endocrine Research</t>
  </si>
  <si>
    <t>Endocrinology</t>
  </si>
  <si>
    <t>Endocrinology &amp; Metabolism Clinics of North America</t>
  </si>
  <si>
    <t>Endoscopy</t>
  </si>
  <si>
    <t>Epidemiology and Infection</t>
  </si>
  <si>
    <t>ERJ Open Research</t>
  </si>
  <si>
    <t>Esophagus</t>
  </si>
  <si>
    <t>Europace</t>
  </si>
  <si>
    <t>European Heart Journal Cardiovascular Imaging</t>
  </si>
  <si>
    <t>European Heart Journal Supplements</t>
  </si>
  <si>
    <t>European Journal of Cancer</t>
  </si>
  <si>
    <t>European Journal of Clinical Investigation</t>
  </si>
  <si>
    <t>European Journal of Clinical Microbiology &amp; Infectious Diseases</t>
  </si>
  <si>
    <t>European Journal of Endocrinology</t>
  </si>
  <si>
    <t>European Journal of Endocrinology. Supplement</t>
  </si>
  <si>
    <t>European Journal of Gastroenterology and Hepatology</t>
  </si>
  <si>
    <t>European Journal of Haematology</t>
  </si>
  <si>
    <t>European Journal of Heart Failure</t>
  </si>
  <si>
    <t>European Journal of Hybrid Imaging - EJNMMI Multimodality Journal</t>
  </si>
  <si>
    <t>European Journal of Immunology</t>
  </si>
  <si>
    <t>European Journal of Internal Medicine</t>
  </si>
  <si>
    <t>European Respiratory Journal. Supplement</t>
  </si>
  <si>
    <t>European Respiratory Review</t>
  </si>
  <si>
    <t>European Thyroid Journal</t>
  </si>
  <si>
    <t>Experimental and Clinical Endocrinology and Diabetes</t>
  </si>
  <si>
    <t>Experimental Hematology</t>
  </si>
  <si>
    <t>Experimental Hematology &amp; Oncology</t>
  </si>
  <si>
    <t>Experimental Lung Research</t>
  </si>
  <si>
    <t>Experimental Oncology</t>
  </si>
  <si>
    <t>Expert Review of Cardiovascular Therapy</t>
  </si>
  <si>
    <t>Expert Review of Gastroenterology &amp; Hepatology</t>
  </si>
  <si>
    <t>Expert Reviews in Molecular Medicine</t>
  </si>
  <si>
    <t>Frontiers in Oncology</t>
  </si>
  <si>
    <t>Frontiers of Gastrointestinal Research</t>
  </si>
  <si>
    <t>Frontiers of Hormone Research</t>
  </si>
  <si>
    <t>Future Oncology</t>
  </si>
  <si>
    <t>G3: Genes, Genomes, Genetics</t>
  </si>
  <si>
    <t>Gastric Cancer</t>
  </si>
  <si>
    <t>Gastroenterology</t>
  </si>
  <si>
    <t>Gastroenterology Clinics of North America</t>
  </si>
  <si>
    <t>Gastroenterology Research and Practice</t>
  </si>
  <si>
    <t>Gastrointestinal Endoscopy</t>
  </si>
  <si>
    <t>Genome Medicine</t>
  </si>
  <si>
    <t>Geriatrics &amp; Gerontology International</t>
  </si>
  <si>
    <t>Gerodontology</t>
  </si>
  <si>
    <t>Gerontology</t>
  </si>
  <si>
    <t>Haematologica</t>
  </si>
  <si>
    <t>Haemophilia</t>
  </si>
  <si>
    <t>Haemostaseologie</t>
  </si>
  <si>
    <t>Health Science Reports</t>
  </si>
  <si>
    <t>Heart</t>
  </si>
  <si>
    <t>Heart &amp; Lung</t>
  </si>
  <si>
    <t>Heart and Vessels</t>
  </si>
  <si>
    <t>Heart Failure Reviews</t>
  </si>
  <si>
    <t>Heart Rhythm</t>
  </si>
  <si>
    <t>Heart, Lung and Circulation</t>
  </si>
  <si>
    <t>Helicobacter</t>
  </si>
  <si>
    <t>Hematological Oncology</t>
  </si>
  <si>
    <t>Hematologie</t>
  </si>
  <si>
    <t>Hematology</t>
  </si>
  <si>
    <t>Hematology - Oncology and Stem Cell Therapy</t>
  </si>
  <si>
    <t>Hematology/Oncology Clinics of North America</t>
  </si>
  <si>
    <t>Hemodialysis International</t>
  </si>
  <si>
    <t>Hemoglobin</t>
  </si>
  <si>
    <t>Hepatology International</t>
  </si>
  <si>
    <t>Hepatology Research</t>
  </si>
  <si>
    <t>Herz</t>
  </si>
  <si>
    <t>HIV Clinical Trials</t>
  </si>
  <si>
    <t>HIV Medicine</t>
  </si>
  <si>
    <t>Hormone and Metabolic Research</t>
  </si>
  <si>
    <t>Hormones and Behavior</t>
  </si>
  <si>
    <t>Hospital Practice</t>
  </si>
  <si>
    <t>Hypertension Research</t>
  </si>
  <si>
    <t>Immunogenetics</t>
  </si>
  <si>
    <t>Immunology and Allergy Clinics of North America</t>
  </si>
  <si>
    <t>Indian Journal of Gastroenterology</t>
  </si>
  <si>
    <t>Infection Control &amp; Hospital Epidemiology</t>
  </si>
  <si>
    <t>Infection: A Journal of Infectious Diseases</t>
  </si>
  <si>
    <t>Infectious Disease Clinics of North America</t>
  </si>
  <si>
    <t>Infectious Diseases</t>
  </si>
  <si>
    <t>Infectious Diseases in Clinical Practice</t>
  </si>
  <si>
    <t>Infectious Diseases of Poverty</t>
  </si>
  <si>
    <t>Inflammation</t>
  </si>
  <si>
    <t>Inflammation Research</t>
  </si>
  <si>
    <t>Internal Medicine Journal</t>
  </si>
  <si>
    <t>International Angiology</t>
  </si>
  <si>
    <t>International Archives of Allergy and Immunology</t>
  </si>
  <si>
    <t>International Heart Journal</t>
  </si>
  <si>
    <t>International Immunology</t>
  </si>
  <si>
    <t>International Journal of Cancer</t>
  </si>
  <si>
    <t>International Journal of Cardiology</t>
  </si>
  <si>
    <t>International Journal of Chronic Obstructive Pulmonary Disease</t>
  </si>
  <si>
    <t>International Journal of Clinical Oncology</t>
  </si>
  <si>
    <t>International Journal of Emergency Medicine</t>
  </si>
  <si>
    <t>International Journal of Endocrinology</t>
  </si>
  <si>
    <t>International Journal of Hematologic Oncology</t>
  </si>
  <si>
    <t>International Journal of Hematology</t>
  </si>
  <si>
    <t>International Journal of Hyperthermia</t>
  </si>
  <si>
    <t>International Journal of Impotence Research</t>
  </si>
  <si>
    <t>International Journal of Infectious Diseases</t>
  </si>
  <si>
    <t>International Journal of Laboratory Hematology</t>
  </si>
  <si>
    <t>International Journal of Medical Sciences</t>
  </si>
  <si>
    <t>International Journal of Oncology</t>
  </si>
  <si>
    <t>International Journal of Radiation Oncology, Biology, Physics</t>
  </si>
  <si>
    <t>International Journal of Rheumatic Diseases</t>
  </si>
  <si>
    <t>International Journal of Rheumatology</t>
  </si>
  <si>
    <t>International Journal of STD &amp; AIDS</t>
  </si>
  <si>
    <t>International Journal of Tuberculosis and Lung Disease</t>
  </si>
  <si>
    <t>International Medical Journal</t>
  </si>
  <si>
    <t>International Reviews of Immunology</t>
  </si>
  <si>
    <t>International Urology and Nephrology</t>
  </si>
  <si>
    <t>Islets</t>
  </si>
  <si>
    <t>JAMA Network Open</t>
  </si>
  <si>
    <t>JAMA Oncology</t>
  </si>
  <si>
    <t>Japanese Journal of Clinical Oncology</t>
  </si>
  <si>
    <t>Japanese Journal of Infectious Diseases</t>
  </si>
  <si>
    <t>JBMR Plus</t>
  </si>
  <si>
    <t>JCI Insight</t>
  </si>
  <si>
    <t>Joint Bone Spine</t>
  </si>
  <si>
    <t>Journal of Adolescent and Young Adult Oncology</t>
  </si>
  <si>
    <t>Journal of Antimicrobial Chemotherapy</t>
  </si>
  <si>
    <t>Journal of Asthma</t>
  </si>
  <si>
    <t>Journal of Autoimmunity</t>
  </si>
  <si>
    <t>Journal of Bone and Mineral Metabolism</t>
  </si>
  <si>
    <t>Journal of Bone Oncology</t>
  </si>
  <si>
    <t>Journal of Bronchology &amp; Interventional Pulmonology</t>
  </si>
  <si>
    <t>Journal of Cancer Research and Clinical Oncology</t>
  </si>
  <si>
    <t>Journal of Cancer Survivorship</t>
  </si>
  <si>
    <t>Journal of Cardiac Failure</t>
  </si>
  <si>
    <t>Journal of Cardiopulmonary Rehabilitation and Prevention</t>
  </si>
  <si>
    <t>Journal of Cardiovascular Computed Tomography</t>
  </si>
  <si>
    <t>Journal of Cardiovascular Electrophysiology</t>
  </si>
  <si>
    <t>Journal of Cardiovascular Magnetic Resonance</t>
  </si>
  <si>
    <t>Journal of Cardiovascular Medicine</t>
  </si>
  <si>
    <t>Journal of Cardiovascular Translational Research</t>
  </si>
  <si>
    <t>Journal of Chemotherapy</t>
  </si>
  <si>
    <t>Journal of Clinical Apheresis</t>
  </si>
  <si>
    <t>Journal of Clinical Gastroenterology</t>
  </si>
  <si>
    <t>Journal of Clinical Hypertension</t>
  </si>
  <si>
    <t>Journal of Clinical Immunology</t>
  </si>
  <si>
    <t>Journal of Clinical Microbiology</t>
  </si>
  <si>
    <t>Journal of Clinical Rheumatology</t>
  </si>
  <si>
    <t>Journal of Clinical Virology</t>
  </si>
  <si>
    <t>Journal of Cystic Fibrosis</t>
  </si>
  <si>
    <t>Journal of Developmental Origins of Health and Disease</t>
  </si>
  <si>
    <t>Journal of Diabetes</t>
  </si>
  <si>
    <t>Journal of Diabetes and its Complications</t>
  </si>
  <si>
    <t>Journal of Diabetes Investigation</t>
  </si>
  <si>
    <t>Journal of Digestive Diseases</t>
  </si>
  <si>
    <t>Journal of Electrocardiology</t>
  </si>
  <si>
    <t>Journal of Endocrinological Investigation</t>
  </si>
  <si>
    <t>Journal of Endocrinology</t>
  </si>
  <si>
    <t>Journal of Experimental Therapeutics and Oncology</t>
  </si>
  <si>
    <t>Journal of Gastroenterology</t>
  </si>
  <si>
    <t>Journal of Gastroenterology and Hepatology</t>
  </si>
  <si>
    <t>Journal of Gastrointestinal and Liver Diseases</t>
  </si>
  <si>
    <t>Journal of Gastrointestinal Cancer</t>
  </si>
  <si>
    <t>Journal of Gene Medicine</t>
  </si>
  <si>
    <t>Journal of General Internal Medicine</t>
  </si>
  <si>
    <t>Journal of Geriatric Oncology</t>
  </si>
  <si>
    <t>Journal of Gynecologic Oncology</t>
  </si>
  <si>
    <t>Journal of Hematology &amp; Oncology</t>
  </si>
  <si>
    <t>Journal of Hospital Infection</t>
  </si>
  <si>
    <t>Journal of Hospital Medicine</t>
  </si>
  <si>
    <t>Journal of Human Hypertension</t>
  </si>
  <si>
    <t>Journal of Immunology Research</t>
  </si>
  <si>
    <t>Journal of Immunotherapy</t>
  </si>
  <si>
    <t>Journal of Infection</t>
  </si>
  <si>
    <t>Journal of Infection and Chemotherapy</t>
  </si>
  <si>
    <t>Journal of Infection in Developing Countries</t>
  </si>
  <si>
    <t>Journal of Inherited Metabolic Disease</t>
  </si>
  <si>
    <t>Journal of Interventional Cardiac Electrophysiology</t>
  </si>
  <si>
    <t>Journal of Interventional Cardiology</t>
  </si>
  <si>
    <t>Journal of Invasive Cardiology</t>
  </si>
  <si>
    <t>Journal of Investigational Allergology and Clinical Immunology</t>
  </si>
  <si>
    <t>Journal of Investigative Medicine</t>
  </si>
  <si>
    <t>Journal of Medical Case Reports</t>
  </si>
  <si>
    <t>Journal of Medical Science</t>
  </si>
  <si>
    <t>Journal of Molecular Endocrinology</t>
  </si>
  <si>
    <t>Journal of Nephrology</t>
  </si>
  <si>
    <t>Journal of Neuro-Oncology</t>
  </si>
  <si>
    <t>Journal of Nuclear Cardiology</t>
  </si>
  <si>
    <t>Journal of Oncology Practice</t>
  </si>
  <si>
    <t>Journal of Rheumatology</t>
  </si>
  <si>
    <t>Journal of Sexual Medicine</t>
  </si>
  <si>
    <t>Journal of Stroke &amp; Cerebrovascular Diseases</t>
  </si>
  <si>
    <t>Journal of the American Academy of Audiology</t>
  </si>
  <si>
    <t>Journal of the American Heart Association</t>
  </si>
  <si>
    <t>Journal of the American Society of Echocardiography</t>
  </si>
  <si>
    <t>Journal of the National Cancer Institute Monographs</t>
  </si>
  <si>
    <t>Journal of the National Comprehensive Cancer Network</t>
  </si>
  <si>
    <t>Journal of the Pancreas</t>
  </si>
  <si>
    <t>Journal of the Renin-Angiotensin-Aldosterone System</t>
  </si>
  <si>
    <t>Journal of the Royal Society of Medicine</t>
  </si>
  <si>
    <t>Journal of Thoracic Oncology</t>
  </si>
  <si>
    <t>Journal of Thrombosis and Haemostasis</t>
  </si>
  <si>
    <t>Journal of Thrombosis and Thrombolysis</t>
  </si>
  <si>
    <t>Journal of Vascular and Interventional Radiology</t>
  </si>
  <si>
    <t>Journal of Viral Hepatitis</t>
  </si>
  <si>
    <t>Journals of Gerontology. Series A: Biological Sciences &amp; Medical Sciences</t>
  </si>
  <si>
    <t>Kidney and Blood Pressure Research</t>
  </si>
  <si>
    <t>Leukemia and Lymphoma</t>
  </si>
  <si>
    <t>Leukemia Research</t>
  </si>
  <si>
    <t>Liver International</t>
  </si>
  <si>
    <t>Lung</t>
  </si>
  <si>
    <t>Lung Cancer</t>
  </si>
  <si>
    <t>Lupus</t>
  </si>
  <si>
    <t>Magnetic Resonance Imaging Clinics of North America</t>
  </si>
  <si>
    <t>Mayo Clinic Proceedings</t>
  </si>
  <si>
    <t>Medical Journal of Australia</t>
  </si>
  <si>
    <t>Medical Oncology</t>
  </si>
  <si>
    <t>Medical Science Monitor</t>
  </si>
  <si>
    <t>Medicine</t>
  </si>
  <si>
    <t>Medicines</t>
  </si>
  <si>
    <t>Metabolic Syndrome and Related Disorders</t>
  </si>
  <si>
    <t>Metabolism</t>
  </si>
  <si>
    <t>Microbial Ecology in Health &amp; Disease</t>
  </si>
  <si>
    <t>Microcirculation</t>
  </si>
  <si>
    <t>Microvascular Research</t>
  </si>
  <si>
    <t>Minerva Urologica e Nefrologica</t>
  </si>
  <si>
    <t>Modern Rheumatology</t>
  </si>
  <si>
    <t>Molecular Cancer</t>
  </si>
  <si>
    <t>Molecular Cancer Research</t>
  </si>
  <si>
    <t>Molecular Immunology</t>
  </si>
  <si>
    <t>Molecular Medicine Reports</t>
  </si>
  <si>
    <t>Molecular Oncology</t>
  </si>
  <si>
    <t>Nefrologia</t>
  </si>
  <si>
    <t>NeoPlasia</t>
  </si>
  <si>
    <t>Neoplasma</t>
  </si>
  <si>
    <t>Nephrology</t>
  </si>
  <si>
    <t>Nephrology, Dialysis, Transplantation</t>
  </si>
  <si>
    <t>Nephron</t>
  </si>
  <si>
    <t>Neurogastroenterology and Motility</t>
  </si>
  <si>
    <t>Neuro-Oncology</t>
  </si>
  <si>
    <t>Obesity Medicine</t>
  </si>
  <si>
    <t>OncoImmunology</t>
  </si>
  <si>
    <t>Oncology</t>
  </si>
  <si>
    <t>Oncology Reports</t>
  </si>
  <si>
    <t>Oncology Research</t>
  </si>
  <si>
    <t>Oncology Research and Treatment</t>
  </si>
  <si>
    <t>OncoTargets and Therapy</t>
  </si>
  <si>
    <t>Open Heart</t>
  </si>
  <si>
    <t>Open Journal of Immunology</t>
  </si>
  <si>
    <t>Osteoarthritis and Cartilage</t>
  </si>
  <si>
    <t>Pancreas</t>
  </si>
  <si>
    <t>Pancreatology</t>
  </si>
  <si>
    <t>Parasites &amp; Vectors</t>
  </si>
  <si>
    <t xml:space="preserve">Pediatric Rheumatology </t>
  </si>
  <si>
    <t>Perfusion</t>
  </si>
  <si>
    <t>Peritoneal Dialysis International</t>
  </si>
  <si>
    <t>Physical &amp; Occupational Therapy in Geriatrics</t>
  </si>
  <si>
    <t>Pilot and Feasibility Studies</t>
  </si>
  <si>
    <t>Pituitary</t>
  </si>
  <si>
    <t>Pneumologie</t>
  </si>
  <si>
    <t>Practical Radiation Oncology</t>
  </si>
  <si>
    <t>Prehospital and Disaster Medicine</t>
  </si>
  <si>
    <t>Progress in Cardiovascular Diseases</t>
  </si>
  <si>
    <t>Progress in Experimental Tumor Research</t>
  </si>
  <si>
    <t>QJM: An International Journal of Medicine</t>
  </si>
  <si>
    <t>Radiotherapy &amp; Oncology</t>
  </si>
  <si>
    <t>Rejuvenation Research</t>
  </si>
  <si>
    <t>Reproductive Biology and Endocrinology</t>
  </si>
  <si>
    <t>Respiration</t>
  </si>
  <si>
    <t>Respiratory Medicine</t>
  </si>
  <si>
    <t>Respirology</t>
  </si>
  <si>
    <t>Reumatologia Clinica</t>
  </si>
  <si>
    <t>Reviews in Endocrine and Metabolic Disorders</t>
  </si>
  <si>
    <t>Reviews in Medical Virology</t>
  </si>
  <si>
    <t>Rheumatic Diseases Clinics of North America</t>
  </si>
  <si>
    <t>Rheumatology</t>
  </si>
  <si>
    <t>Rheumatology International</t>
  </si>
  <si>
    <t>RMD Open</t>
  </si>
  <si>
    <t>Sarcoidosis Vasculitis and Diffuse Lung Diseases</t>
  </si>
  <si>
    <t>Sarcoma</t>
  </si>
  <si>
    <t>Scandinavian Cardiovascular Journal</t>
  </si>
  <si>
    <t>Scandinavian Journal of Gastroenterology</t>
  </si>
  <si>
    <t>Scandinavian Journal of Gastroenterology. Supplement</t>
  </si>
  <si>
    <t>Scandinavian Journal of Immunology</t>
  </si>
  <si>
    <t>Scandinavian Journal of Infectious Diseases. Supplementum</t>
  </si>
  <si>
    <t>Scandinavian Journal of Rheumatology</t>
  </si>
  <si>
    <t>Scandinavian Journal of Rheumatology. Supplement</t>
  </si>
  <si>
    <t>Scandinavian Journal of Urology</t>
  </si>
  <si>
    <t>Scientific Data</t>
  </si>
  <si>
    <t>Seminars in Arthritis and Rheumatism</t>
  </si>
  <si>
    <t>Seminars in Dialysis</t>
  </si>
  <si>
    <t>Seminars in Hematology</t>
  </si>
  <si>
    <t>Seminars in Immunology</t>
  </si>
  <si>
    <t>Seminars in Liver Disease</t>
  </si>
  <si>
    <t>Seminars in Nephrology</t>
  </si>
  <si>
    <t>Seminars in Oncology</t>
  </si>
  <si>
    <t>Seminars in Oncology Nursing</t>
  </si>
  <si>
    <t>Seminars in Radiation Oncology</t>
  </si>
  <si>
    <t>Seminars in Thrombosis and Hemostasis</t>
  </si>
  <si>
    <t>Strahlentherapie und Onkologie</t>
  </si>
  <si>
    <t>Surgical Oncology Clinics of North America</t>
  </si>
  <si>
    <t>Systematic Reviews</t>
  </si>
  <si>
    <t>Targeted Oncology</t>
  </si>
  <si>
    <t>Techniques in Coloproctology</t>
  </si>
  <si>
    <t>The American Journal of Cardiology</t>
  </si>
  <si>
    <t>The British Journal of Cardiology</t>
  </si>
  <si>
    <t>The Cancer Journal</t>
  </si>
  <si>
    <t>The Clinical Respiratory Journal</t>
  </si>
  <si>
    <t>The Cochrane library</t>
  </si>
  <si>
    <t>The Diabetes Educator</t>
  </si>
  <si>
    <t>The Journal of Heart and Lung Transplantation</t>
  </si>
  <si>
    <t>The Journal of Heart Valve Disease</t>
  </si>
  <si>
    <t>The Journal of Infectious Diseases</t>
  </si>
  <si>
    <t>The Journal of Supportive Oncology</t>
  </si>
  <si>
    <t>The Journal of Vascular Access</t>
  </si>
  <si>
    <t>The Lancet Diabetes &amp; Endocrinology</t>
  </si>
  <si>
    <t>The Lancet Global Health</t>
  </si>
  <si>
    <t>The Lancet Haematology</t>
  </si>
  <si>
    <t>The Lancet Respiratory Medicine</t>
  </si>
  <si>
    <t>The Oncologist</t>
  </si>
  <si>
    <t>The Prostate</t>
  </si>
  <si>
    <t>The Review of Diabetic Studies</t>
  </si>
  <si>
    <t>Therapeutic Apheresis and Dialysis</t>
  </si>
  <si>
    <t>Thrombosis and Haemostasis</t>
  </si>
  <si>
    <t>Thrombosis Journal</t>
  </si>
  <si>
    <t>Thrombosis Research</t>
  </si>
  <si>
    <t>Thyroid</t>
  </si>
  <si>
    <t>Transfusion</t>
  </si>
  <si>
    <t>Transfusion and Apheresis Science</t>
  </si>
  <si>
    <t>Transfusion Medicine</t>
  </si>
  <si>
    <t>Transfusion Medicine and Hemotherapy</t>
  </si>
  <si>
    <t>Transfusion Medicine Reviews</t>
  </si>
  <si>
    <t>Translational Oncology</t>
  </si>
  <si>
    <t>Transplant Infectious Disease</t>
  </si>
  <si>
    <t>Transplantation</t>
  </si>
  <si>
    <t>Travel Medicine and Infectious Disease</t>
  </si>
  <si>
    <t>Trends in Cardiovascular Medicine</t>
  </si>
  <si>
    <t>Tuberculosis</t>
  </si>
  <si>
    <t>Tumor Biology</t>
  </si>
  <si>
    <t>Tumordiagnostik &amp; Therapie</t>
  </si>
  <si>
    <t>Ugeskrift for Laeger</t>
  </si>
  <si>
    <t>Vascular Medicine</t>
  </si>
  <si>
    <t>Vector Borne and Zoonotic Diseases</t>
  </si>
  <si>
    <t>Viral Immunology</t>
  </si>
  <si>
    <t>Vox Sanguinis</t>
  </si>
  <si>
    <t>World Journal of Gastroenterology</t>
  </si>
  <si>
    <t>Kirurgiske fag</t>
  </si>
  <si>
    <t>American Journal of Transplantation</t>
  </si>
  <si>
    <t>Annals of Surgery</t>
  </si>
  <si>
    <t>Annals of Surgical Oncology</t>
  </si>
  <si>
    <t>British Journal of Surgery</t>
  </si>
  <si>
    <t>European Journal of Vascular and Endovascular Surgery</t>
  </si>
  <si>
    <t>European Urology</t>
  </si>
  <si>
    <t>Journal of Bone and Joint Surgery: American Volume</t>
  </si>
  <si>
    <t>Journal of Orthopaedic Research</t>
  </si>
  <si>
    <t>Journal of the American College of Surgeons</t>
  </si>
  <si>
    <t>Journal of Vascular Surgery</t>
  </si>
  <si>
    <t>Liver Transplantation</t>
  </si>
  <si>
    <t>Obesity Surgery</t>
  </si>
  <si>
    <t>Plastic and Reconstructive Surgery</t>
  </si>
  <si>
    <t>Surgery</t>
  </si>
  <si>
    <t>Surgery for Obesity and Related Diseases</t>
  </si>
  <si>
    <t>Surgical Endoscopy</t>
  </si>
  <si>
    <t>The Journal of Thoracic and Cardiovascular Surgery</t>
  </si>
  <si>
    <t>The Journal of Urology</t>
  </si>
  <si>
    <t>Transplant International</t>
  </si>
  <si>
    <t>Acta Chirurgica Belgica</t>
  </si>
  <si>
    <t>Acta Orthopaedica</t>
  </si>
  <si>
    <t xml:space="preserve">Acta Orthopaedica. Supplementum </t>
  </si>
  <si>
    <t>Aesthetic Plastic Surgery</t>
  </si>
  <si>
    <t>American Surgeon</t>
  </si>
  <si>
    <t>Annales de Chirurgie Plastique Esthetique</t>
  </si>
  <si>
    <t>Annals of Plastic Surgery</t>
  </si>
  <si>
    <t>Annals of the Royal College of Surgeons of England</t>
  </si>
  <si>
    <t>Annals of Vascular Surgery</t>
  </si>
  <si>
    <t>ANZ Journal of Surgery</t>
  </si>
  <si>
    <t>Archives of Cardiovascular Diseases</t>
  </si>
  <si>
    <t>Arthroscopy: The Journal of Arthroscopy and Related Surgery</t>
  </si>
  <si>
    <t>ASAIO Journal</t>
  </si>
  <si>
    <t>Asian Journal of Endoscopic Surgery</t>
  </si>
  <si>
    <t>Asian Journal of Surgery</t>
  </si>
  <si>
    <t>BioMetals</t>
  </si>
  <si>
    <t>BJU International</t>
  </si>
  <si>
    <t>BMC Surgery</t>
  </si>
  <si>
    <t>BMC Urology</t>
  </si>
  <si>
    <t>Canadian Journal of Surgery</t>
  </si>
  <si>
    <t>Cardiovascular Therapeutics</t>
  </si>
  <si>
    <t>Cirugia Espanola</t>
  </si>
  <si>
    <t>Clinical Orthopaedics and Related Research</t>
  </si>
  <si>
    <t>Clinical Transplantation</t>
  </si>
  <si>
    <t>Clinics in Colon &amp; Rectal Surgery</t>
  </si>
  <si>
    <t>Clinics in Plastic Surgery</t>
  </si>
  <si>
    <t>Current Opinion in Urology</t>
  </si>
  <si>
    <t>Current Orthopaedic Practice</t>
  </si>
  <si>
    <t>Current Problems in Surgery</t>
  </si>
  <si>
    <t>Current Urology Reports</t>
  </si>
  <si>
    <t>Der Chirurg</t>
  </si>
  <si>
    <t>Der Orthopaede</t>
  </si>
  <si>
    <t>Der Unfallchirurg</t>
  </si>
  <si>
    <t>Der Urologe</t>
  </si>
  <si>
    <t>Dermatologic Surgery</t>
  </si>
  <si>
    <t>Digestive Surgery</t>
  </si>
  <si>
    <t>Eklem Hastaliklan ve Cerrahisi</t>
  </si>
  <si>
    <t>European Journal of Cardio-Thoracic Surgery</t>
  </si>
  <si>
    <t>European Journal of Orthopaedic Surgery &amp; Traumatology</t>
  </si>
  <si>
    <t>European Journal of Plastic Surgery</t>
  </si>
  <si>
    <t>European Journal of Surgical Oncology</t>
  </si>
  <si>
    <t>European Surgery</t>
  </si>
  <si>
    <t>European Surgical Research</t>
  </si>
  <si>
    <t>European Urology Supplements</t>
  </si>
  <si>
    <t>Facial Plastic Surgery</t>
  </si>
  <si>
    <t>Facial Plastic Surgery Clinics of North America</t>
  </si>
  <si>
    <t>Female Pelvic Medicine and Reconstructive Surgery</t>
  </si>
  <si>
    <t>Foot and Ankle Surgery</t>
  </si>
  <si>
    <t>Gefaesschirurgie</t>
  </si>
  <si>
    <t>General Thoracic and Cardiovascular Surgery</t>
  </si>
  <si>
    <t>Global Spine Journal</t>
  </si>
  <si>
    <t>Hand Clinics</t>
  </si>
  <si>
    <t>Handchirurgie - Mikrochirurgie - Plastische Chirurgie</t>
  </si>
  <si>
    <t>Hernia</t>
  </si>
  <si>
    <t>Hip International</t>
  </si>
  <si>
    <t>HPB Surgery</t>
  </si>
  <si>
    <t>Indian Journal of Plastic Surgery</t>
  </si>
  <si>
    <t>Indian Journal of Surgery</t>
  </si>
  <si>
    <t>Interactive Cardiovascular and Thoracic Surgery</t>
  </si>
  <si>
    <t>International Brazilian Journal of Urology</t>
  </si>
  <si>
    <t>International Journal of Colorectal Disease</t>
  </si>
  <si>
    <t>International Journal of Computer Assisted Radiology and Surgery</t>
  </si>
  <si>
    <t>International Journal of Shoulder Surgery</t>
  </si>
  <si>
    <t>International Journal of Surgery</t>
  </si>
  <si>
    <t>International Journal of Surgical Oncology</t>
  </si>
  <si>
    <t>International Journal of Urology</t>
  </si>
  <si>
    <t>International Orthopaedics</t>
  </si>
  <si>
    <t>International Surgery</t>
  </si>
  <si>
    <t>International Urogynecology Journal</t>
  </si>
  <si>
    <t>International Wound Journal</t>
  </si>
  <si>
    <t>JAMA Facial Plastic Surgery</t>
  </si>
  <si>
    <t>JAMA Surgery</t>
  </si>
  <si>
    <t>Journal de Chirurgie Viscérale</t>
  </si>
  <si>
    <t>Journal of Arthroplasty</t>
  </si>
  <si>
    <t>Journal of Atherosclerosis and Thrombosis</t>
  </si>
  <si>
    <t>Journal of Cardiac Surgery</t>
  </si>
  <si>
    <t>Journal of Cardiothoracic Surgery</t>
  </si>
  <si>
    <t>Journal of Cosmetic and Laser Therapy</t>
  </si>
  <si>
    <t>Journal of Endourology</t>
  </si>
  <si>
    <t>Journal of Endovascular Therapy</t>
  </si>
  <si>
    <t>Journal of Gastrointestinal Surgery</t>
  </si>
  <si>
    <t>Journal of Gynecologic Surgery</t>
  </si>
  <si>
    <t>Journal of Hand Surgery (American Volume)</t>
  </si>
  <si>
    <t>Journal of Hand Surgery (European Volume)</t>
  </si>
  <si>
    <t>Journal of Hip Preservation Surgery</t>
  </si>
  <si>
    <t>Journal of Investigative Surgery</t>
  </si>
  <si>
    <t>Journal of Knee Surgery</t>
  </si>
  <si>
    <t>Journal of Laparoendoscopic &amp; Advanced Surgical Techniques Parts A &amp; B</t>
  </si>
  <si>
    <t>Journal of Minimal Access Surgery</t>
  </si>
  <si>
    <t>Journal of Orofacial Orthopedics</t>
  </si>
  <si>
    <t>Journal of Orthopaedic Science</t>
  </si>
  <si>
    <t>Journal of Orthopaedic Surgery</t>
  </si>
  <si>
    <t>Journal of Orthopaedic Trauma</t>
  </si>
  <si>
    <t>Journal of Orthopaedics and Traumatology</t>
  </si>
  <si>
    <t>Journal of Pediatric Surgery</t>
  </si>
  <si>
    <t>Journal of Plastic Surgery and Hand Surgery</t>
  </si>
  <si>
    <t>Journal of Plastic, Reconstructive &amp; Aesthetic Surgery</t>
  </si>
  <si>
    <t>Journal of Reconstructive Microsurgery</t>
  </si>
  <si>
    <t>Journal of Refractive Surgery</t>
  </si>
  <si>
    <t>Journal of Robotic Surgery</t>
  </si>
  <si>
    <t>Journal of Shoulder and Elbow Surgery</t>
  </si>
  <si>
    <t>Journal of Surgical Education</t>
  </si>
  <si>
    <t>Journal of Surgical Oncology</t>
  </si>
  <si>
    <t>Journal of Surgical Research</t>
  </si>
  <si>
    <t>Journal of the American Academy of Orthopaedic Surgeons</t>
  </si>
  <si>
    <t>Journal of the American Podiatric Medical Association</t>
  </si>
  <si>
    <t>Knee Surgery, Sports Traumatology, Arthroscopy</t>
  </si>
  <si>
    <t>Langenbecks Archives of Surgery</t>
  </si>
  <si>
    <t>Lasers in Medical Science</t>
  </si>
  <si>
    <t>Lasers in Surgery and Medicine</t>
  </si>
  <si>
    <t>Microfluidics and Nanofluidics</t>
  </si>
  <si>
    <t>Microsurgery</t>
  </si>
  <si>
    <t>Minerva Chirurgica</t>
  </si>
  <si>
    <t>Minimally Invasive Therapy and Allied Technologies</t>
  </si>
  <si>
    <t>Nature Reviews. Urology</t>
  </si>
  <si>
    <t>Operative Techniques in Thoracic and Cardiovascular Surgery</t>
  </si>
  <si>
    <t>Oral and Maxillofacial Surgery</t>
  </si>
  <si>
    <t>Orthopaedics &amp; Traumatology: Surgery &amp; Research</t>
  </si>
  <si>
    <t>Orthopedic Clinics of North America</t>
  </si>
  <si>
    <t>Orthopedics</t>
  </si>
  <si>
    <t>Ostomy - Wound Management</t>
  </si>
  <si>
    <t>Pediatric Surgery International</t>
  </si>
  <si>
    <t>Phlebologie</t>
  </si>
  <si>
    <t>Phlebology</t>
  </si>
  <si>
    <t>Photomedicine and Laser Surgery</t>
  </si>
  <si>
    <t>Progres en Urologie</t>
  </si>
  <si>
    <t>Prostate Cancer and Prostatic Diseases</t>
  </si>
  <si>
    <t>Scandinavian Journal of Surgery</t>
  </si>
  <si>
    <t>Seminars in Plastic Surgery</t>
  </si>
  <si>
    <t>Seminars in Spine Surgery</t>
  </si>
  <si>
    <t>Seminars in Thoracic and Cardiovascular Surgery</t>
  </si>
  <si>
    <t>Seminars in Vascular Surgery</t>
  </si>
  <si>
    <t>South African Journal of Surgery</t>
  </si>
  <si>
    <t>Surgery Today</t>
  </si>
  <si>
    <t>Surgical Clinics of North America</t>
  </si>
  <si>
    <t>Surgical Innovation</t>
  </si>
  <si>
    <t>Surgical Laparoscopy, Endoscopy and Percutaneous Techniques</t>
  </si>
  <si>
    <t>Surgical Oncology</t>
  </si>
  <si>
    <t>Surgical Practice</t>
  </si>
  <si>
    <t>Techniques in Foot &amp; Ankle Surgery</t>
  </si>
  <si>
    <t>Techniques in Hand &amp; Upper Extremity Surgery</t>
  </si>
  <si>
    <t>Techniques in Orthopaedics</t>
  </si>
  <si>
    <t>Techniques in Shoulder and Elbow Surgery</t>
  </si>
  <si>
    <t>The American Journal of Surgery</t>
  </si>
  <si>
    <t>The Annals of Thoracic Surgery</t>
  </si>
  <si>
    <t>The Bone &amp; Joint Journal</t>
  </si>
  <si>
    <t>The Breast</t>
  </si>
  <si>
    <t>The Foot</t>
  </si>
  <si>
    <t>The Heart Surgery Forum</t>
  </si>
  <si>
    <t>The International Journal of Artificial Organs</t>
  </si>
  <si>
    <t>The International Journal of Lower Extremity Wounds</t>
  </si>
  <si>
    <t>The Journal of Cardiovascular Surgery</t>
  </si>
  <si>
    <t>The Journal of Foot &amp; Ankle Surgery</t>
  </si>
  <si>
    <t>The Surgeon - Journal of the Royal Colleges of Surgeons of Edinburgh and Royal College of Surgeons in Ireland</t>
  </si>
  <si>
    <t>The Thoracic and Cardiovascular Surgeon</t>
  </si>
  <si>
    <t>Transplantation Proceedings</t>
  </si>
  <si>
    <t>Urolithiasis</t>
  </si>
  <si>
    <t>Urologia Internationalis</t>
  </si>
  <si>
    <t>Urologic Clinics of North America</t>
  </si>
  <si>
    <t>Urologic Oncology: Seminars and Original Investigations</t>
  </si>
  <si>
    <t>Urology</t>
  </si>
  <si>
    <t>Vascular</t>
  </si>
  <si>
    <t>Vascular and Endovascular Surgery</t>
  </si>
  <si>
    <t>World Journal of Emergency Surgery</t>
  </si>
  <si>
    <t>World Journal of Surgery</t>
  </si>
  <si>
    <t>World Journal of Surgical Oncology</t>
  </si>
  <si>
    <t>World Journal of Urology</t>
  </si>
  <si>
    <t>WOUNDS: A Compendium of Clinical Research and Practice</t>
  </si>
  <si>
    <t>Zeitschrift fuer Orthopaedie und Unfallchirurgie</t>
  </si>
  <si>
    <t>Zentralblatt fuer Chirurgie</t>
  </si>
  <si>
    <t>Lingvistik</t>
  </si>
  <si>
    <t xml:space="preserve">Acta Linguistica Hafniensia: International Journal of Linguistics </t>
  </si>
  <si>
    <t>American Journal of Speech-Language Pathology</t>
  </si>
  <si>
    <t>Annals of Dyslexia</t>
  </si>
  <si>
    <t>Annual Conference of the North American Chapter of the Association for Computational Linguistics: Human Language Technologies</t>
  </si>
  <si>
    <t>Anthropological Linguistics</t>
  </si>
  <si>
    <t>Aphasiology</t>
  </si>
  <si>
    <t>Applied Linguistics</t>
  </si>
  <si>
    <t>Applied Psycholinguistics</t>
  </si>
  <si>
    <t>Bilingualism: Language and Cognition</t>
  </si>
  <si>
    <t>Canadian Modern Language Review</t>
  </si>
  <si>
    <t>Clinical Linguistics &amp; Phonetics</t>
  </si>
  <si>
    <t>Cognitive Linguistics</t>
  </si>
  <si>
    <t>Cognitive Semiotics</t>
  </si>
  <si>
    <t>Computational Linguistics</t>
  </si>
  <si>
    <t>Conference of the European Chapter of the Association for Computational Linguistics</t>
  </si>
  <si>
    <t>Constructional Approaches to Language</t>
  </si>
  <si>
    <t>Corpus Linguistics and Linguistic Theory</t>
  </si>
  <si>
    <t>Diachronica</t>
  </si>
  <si>
    <t>Die Sprache</t>
  </si>
  <si>
    <t>Discourse Approaches to Politics, Society and Culture</t>
  </si>
  <si>
    <t>Discourse Studies</t>
  </si>
  <si>
    <t>Folia Linguistica</t>
  </si>
  <si>
    <t>Folia Linguistica Historica</t>
  </si>
  <si>
    <t>Functions of Language</t>
  </si>
  <si>
    <t>Gender and Language</t>
  </si>
  <si>
    <t>Gesture</t>
  </si>
  <si>
    <t>Gesture Studies</t>
  </si>
  <si>
    <t>Historische Sprachforschung</t>
  </si>
  <si>
    <t>Indogermanische Forschungen</t>
  </si>
  <si>
    <t>Intercultural Pragmatics</t>
  </si>
  <si>
    <t>International Journal of American Linguistics</t>
  </si>
  <si>
    <t>International Journal of Applied Linguistics</t>
  </si>
  <si>
    <t>International Journal of Audiology</t>
  </si>
  <si>
    <t>International Journal of Bilingualism</t>
  </si>
  <si>
    <t>International Journal of Corpus Linguistics</t>
  </si>
  <si>
    <t>International Journal of Language and Communication Disorders</t>
  </si>
  <si>
    <t>International Journal of Language and Culture</t>
  </si>
  <si>
    <t>International Journal of Lexicography</t>
  </si>
  <si>
    <t>International Journal of the Sociology of Language</t>
  </si>
  <si>
    <t>Journal of African Languages and Linguistics</t>
  </si>
  <si>
    <t>Journal of Child Language</t>
  </si>
  <si>
    <t>Journal of Communication Disorders</t>
  </si>
  <si>
    <t>Journal of Historical Pragmatics</t>
  </si>
  <si>
    <t>Journal of Linguistic Anthropology</t>
  </si>
  <si>
    <t>Journal of Linguistics</t>
  </si>
  <si>
    <t>Journal of Logic, Language and Information</t>
  </si>
  <si>
    <t>Journal of Multilingual &amp; Multicultural Development</t>
  </si>
  <si>
    <t>Journal of Neurolinguistics</t>
  </si>
  <si>
    <t>Journal of Phonetics</t>
  </si>
  <si>
    <t>Journal of Pidgin and Creole Languages</t>
  </si>
  <si>
    <t>Journal of Pragmatics</t>
  </si>
  <si>
    <t>Journal of Semantics</t>
  </si>
  <si>
    <t>Journal of Sociolinguistics</t>
  </si>
  <si>
    <t>Language</t>
  </si>
  <si>
    <t>Language Acquisition</t>
  </si>
  <si>
    <t>Language and Cognition</t>
  </si>
  <si>
    <t>Language and Speech</t>
  </si>
  <si>
    <t>Language in Society</t>
  </si>
  <si>
    <t>Language Policy</t>
  </si>
  <si>
    <t>Language Resources and Evaluation</t>
  </si>
  <si>
    <t>Language Sciences</t>
  </si>
  <si>
    <t>Language Testing</t>
  </si>
  <si>
    <t>Language Variation and Change</t>
  </si>
  <si>
    <t>Language, Cognition and Neuroscience</t>
  </si>
  <si>
    <t>Lexicographica: International Annual for Lexicography / Revue Internationale de Lexicographie / Internationales Jahrbuch für Lexikographie</t>
  </si>
  <si>
    <t>Linguistic Inquiry</t>
  </si>
  <si>
    <t>Linguistic Typology</t>
  </si>
  <si>
    <t>Linguistics</t>
  </si>
  <si>
    <t>Linguistics and Philosophy</t>
  </si>
  <si>
    <t>Machine Translation</t>
  </si>
  <si>
    <t>Meeting of the Association for Computational Linguistics</t>
  </si>
  <si>
    <t>Mind &amp; Language</t>
  </si>
  <si>
    <t>Morphology</t>
  </si>
  <si>
    <t>Natural Language &amp; Linguistic Theory</t>
  </si>
  <si>
    <t>Natural Language Engineering</t>
  </si>
  <si>
    <t>Natural Language Semantics</t>
  </si>
  <si>
    <t>Nordic Journal of Linguistics</t>
  </si>
  <si>
    <t>Phonetica: International Journal of Phonetic Science</t>
  </si>
  <si>
    <t>Phonology</t>
  </si>
  <si>
    <t>Pragmatics &amp; Cognition</t>
  </si>
  <si>
    <t>Pragmatics and Beyond New Series</t>
  </si>
  <si>
    <t>Pragmatics and Society</t>
  </si>
  <si>
    <t>Reading Research Quarterly</t>
  </si>
  <si>
    <t>Research on Language and Social Interaction</t>
  </si>
  <si>
    <t>Second Language Research</t>
  </si>
  <si>
    <t>Semantics and Pragmatics</t>
  </si>
  <si>
    <t>Semiotica</t>
  </si>
  <si>
    <t>Sign Language &amp; Linguistics</t>
  </si>
  <si>
    <t>Sign Systems Studies</t>
  </si>
  <si>
    <t>Sprachwissenschaft</t>
  </si>
  <si>
    <t>Studia Linguistica</t>
  </si>
  <si>
    <t>Studies in African Linguistics</t>
  </si>
  <si>
    <t>Studies in Language</t>
  </si>
  <si>
    <t>STUF - Language Typology and Universals</t>
  </si>
  <si>
    <t>Syntax</t>
  </si>
  <si>
    <t>Terminology</t>
  </si>
  <si>
    <t>Text &amp; Talk</t>
  </si>
  <si>
    <t>The Linguistic Review</t>
  </si>
  <si>
    <t>Theoretical Linguistics</t>
  </si>
  <si>
    <t>Transactions of the Philological Society</t>
  </si>
  <si>
    <t>Trends in Linguistics. Studies and Monographs</t>
  </si>
  <si>
    <t>Varieties of English Around the World</t>
  </si>
  <si>
    <t>Zeitschrift für Dialektologie und Linguistik</t>
  </si>
  <si>
    <t>Zeitschrift für germanistische Linguistik</t>
  </si>
  <si>
    <t>Acta Linguistica Hungarica</t>
  </si>
  <si>
    <t>Advances in Digital Language Learning and Teaching</t>
  </si>
  <si>
    <t>Advances in Historical Sociolinguistics</t>
  </si>
  <si>
    <t>Advances in Instructed Second Language Acquisition Research</t>
  </si>
  <si>
    <t>Advances in Sociolinguistics</t>
  </si>
  <si>
    <t>Advances in Stylistics</t>
  </si>
  <si>
    <t>Africana Linguistica</t>
  </si>
  <si>
    <t>AILA Applied Linguistics Series</t>
  </si>
  <si>
    <t>AILA Review</t>
  </si>
  <si>
    <t>AION-Linguistica</t>
  </si>
  <si>
    <t>Alfa : Revista de Linguística</t>
  </si>
  <si>
    <t>Algonquian Conference. Papers</t>
  </si>
  <si>
    <t>American Speech</t>
  </si>
  <si>
    <t>Analele Universitatii din Craiova, Seria Stiinte Filologice, Lingvistica</t>
  </si>
  <si>
    <t>Annales Societatis Scientiarum Færoensis – Supplementa</t>
  </si>
  <si>
    <t>Annual Meeting of the Cognitive Science Society</t>
  </si>
  <si>
    <t>Annual Review of Applied Linguistics</t>
  </si>
  <si>
    <t>Apples - Journal of Applied Language Studies</t>
  </si>
  <si>
    <t>Applications of Cognitive Linguistics</t>
  </si>
  <si>
    <t>Applied Linguistics Review</t>
  </si>
  <si>
    <t>Applied Semiotics</t>
  </si>
  <si>
    <t>Approaches to Hungarian</t>
  </si>
  <si>
    <t>Approaches to Translation Studies</t>
  </si>
  <si>
    <t>Argotica</t>
  </si>
  <si>
    <t>Argumentation &amp; Analyse du Discours</t>
  </si>
  <si>
    <t>Argumentation in Context</t>
  </si>
  <si>
    <t>Asian EFL Journal</t>
  </si>
  <si>
    <t>Asian Englishes</t>
  </si>
  <si>
    <t>Asian Journal of Applied Linguistics</t>
  </si>
  <si>
    <t>Asia-Pacific Language Variation</t>
  </si>
  <si>
    <t>Australian Journal of Linguistics</t>
  </si>
  <si>
    <t>Australian Review of Applied Linguistics</t>
  </si>
  <si>
    <t>Autism &amp; Developmental Language Impairments</t>
  </si>
  <si>
    <t>Axiomathes</t>
  </si>
  <si>
    <t>Beitraege zur Geschichte der Sprachwissenschaft</t>
  </si>
  <si>
    <t>Beitraege zur Namenforschung</t>
  </si>
  <si>
    <t>Belgian Journal of Linguistics</t>
  </si>
  <si>
    <t>Bellaterra Journal of Teaching &amp; Learning Language &amp; Literature</t>
  </si>
  <si>
    <t>Bergen Language and Linguistics Studies</t>
  </si>
  <si>
    <t>Berkeley Insights in Linguistics and Semiotics</t>
  </si>
  <si>
    <t>Berkeley Linguistics Society. Proceedings of the Annual Meeting</t>
  </si>
  <si>
    <t>Beszédkutatás</t>
  </si>
  <si>
    <t>Bilingual Research Journal</t>
  </si>
  <si>
    <t>Biolinguistics</t>
  </si>
  <si>
    <t>Bloomsbury Advances in Translation</t>
  </si>
  <si>
    <t>Boletin de Filologia</t>
  </si>
  <si>
    <t>Brill's Annual of Afroasiatic Languages and Linguistics</t>
  </si>
  <si>
    <t>Brill's Handbooks in Linguistics</t>
  </si>
  <si>
    <t>Brill's Studies in Historical Linguistics</t>
  </si>
  <si>
    <t>Brill's Studies in Indo-European Languages &amp; Linguistics</t>
  </si>
  <si>
    <t>Brill's Studies in Language, Cognition &amp; Culture</t>
  </si>
  <si>
    <t>Brill's Studies in South and Southwest Asian Languages</t>
  </si>
  <si>
    <t>Brill's Studies in the Indigenous Languages of the Americas</t>
  </si>
  <si>
    <t>Bulletin de la Societe de Linguistique de Paris</t>
  </si>
  <si>
    <t>Bulletin Suisse de Linguistique Appliquee</t>
  </si>
  <si>
    <t>Cadernos de Etnolinguistica</t>
  </si>
  <si>
    <t>CADAAD Journal</t>
  </si>
  <si>
    <t>Cahiers de Lexicologie</t>
  </si>
  <si>
    <t>Cahiers de Linguistique</t>
  </si>
  <si>
    <t>Cahiers Ferdinand de Saussure</t>
  </si>
  <si>
    <t>CALICO Journal</t>
  </si>
  <si>
    <t>Cambridge Applied Linguistics</t>
  </si>
  <si>
    <t>Cambridge Approaches to Linguistics</t>
  </si>
  <si>
    <t>Cambridge Handbooks In Language And Linguistics</t>
  </si>
  <si>
    <t>Cambridge Language Surveys</t>
  </si>
  <si>
    <t>Cambridge Studies in Linguistics</t>
  </si>
  <si>
    <t>Cambridge Textbooks in Linguistics</t>
  </si>
  <si>
    <t>Canadian Journal of Applied Linguistics</t>
  </si>
  <si>
    <t>Canadian Journal of Linguistics</t>
  </si>
  <si>
    <t>Casopis pro Moderni Filologii</t>
  </si>
  <si>
    <t>Catalan Journal of Linguistics</t>
  </si>
  <si>
    <t>Chinese as a Second Language Research</t>
  </si>
  <si>
    <t>Chinese Journal of Applied Linguistics</t>
  </si>
  <si>
    <t>Chinese Language and Discourse</t>
  </si>
  <si>
    <t>Chinese Semiotic Studies</t>
  </si>
  <si>
    <t>Círculo de Lingüística Aplicada a la Comunicación</t>
  </si>
  <si>
    <t>Classroom Discourse</t>
  </si>
  <si>
    <t>CogniTextes</t>
  </si>
  <si>
    <t>Cognitive Linguistic Studies</t>
  </si>
  <si>
    <t>Cognitive Linguistic Studies in Cultural Contexts</t>
  </si>
  <si>
    <t>Cognitive Linguistics Research</t>
  </si>
  <si>
    <t>Cognitive Philology</t>
  </si>
  <si>
    <t>Cognitive Semantics</t>
  </si>
  <si>
    <t>Communication &amp; Cognition</t>
  </si>
  <si>
    <t>Concentric: Studies in Linguistics</t>
  </si>
  <si>
    <t>Constructions and Frames</t>
  </si>
  <si>
    <t>Converging Evidence in Language and Communication Research</t>
  </si>
  <si>
    <t>Copenhagen Studies in Indo-European</t>
  </si>
  <si>
    <t>Corpora</t>
  </si>
  <si>
    <t>CORPUS</t>
  </si>
  <si>
    <t>Creole Language Library</t>
  </si>
  <si>
    <t>Critical Inquiry in Language Studies</t>
  </si>
  <si>
    <t>Critical Multilingualism Studies</t>
  </si>
  <si>
    <t>CSLI Studies in Computational Linguistics</t>
  </si>
  <si>
    <t>Cuadernos de Lingüística de El Colegio de México</t>
  </si>
  <si>
    <t>Cultural Linguistics</t>
  </si>
  <si>
    <t>Culture and Language Use</t>
  </si>
  <si>
    <t>Current Issues in Language Planning</t>
  </si>
  <si>
    <t>Current Issues in Linguistic Theory</t>
  </si>
  <si>
    <t>Current Research in the Semantics - Pragmatics Interface</t>
  </si>
  <si>
    <t>Dacoromania</t>
  </si>
  <si>
    <t>Danske Talesprog</t>
  </si>
  <si>
    <t>Degres: le journal des revues culturelles</t>
  </si>
  <si>
    <t>Developments in English as a Lingua Franca</t>
  </si>
  <si>
    <t>Dialectologia</t>
  </si>
  <si>
    <t>Dialectologia et Geolinguistica</t>
  </si>
  <si>
    <t>Diálogo de la Lengua</t>
  </si>
  <si>
    <t>Dialogue and Discourse</t>
  </si>
  <si>
    <t>Dialogue Studies</t>
  </si>
  <si>
    <t>Dictionaries</t>
  </si>
  <si>
    <t>Discours - Revue de linguistique, psycholinguistique et informatique</t>
  </si>
  <si>
    <t>Discourse Processes</t>
  </si>
  <si>
    <t>Discourse, Context &amp; Media</t>
  </si>
  <si>
    <t>Diskursmuster - Discourse Patterns</t>
  </si>
  <si>
    <t>Dutch Journal of Applied Linguistics</t>
  </si>
  <si>
    <t>East African Languages and Dialects</t>
  </si>
  <si>
    <t>Eesti Rakenduslingvistika Uhingu Aastaraamat</t>
  </si>
  <si>
    <t>eLex Conference. Proceedings</t>
  </si>
  <si>
    <t>Emakeele Seltsi Aastaraamat</t>
  </si>
  <si>
    <t>Empirical Approaches to Linguistic Theory</t>
  </si>
  <si>
    <t>Endangered Languages and Cultures</t>
  </si>
  <si>
    <t>English Corpus Linguistics</t>
  </si>
  <si>
    <t>English Language Research Journal</t>
  </si>
  <si>
    <t>English Text Construction</t>
  </si>
  <si>
    <t>Equivalences</t>
  </si>
  <si>
    <t>Estudios de Linguistica Chibcha</t>
  </si>
  <si>
    <t>Estudios de Lingüística del Español</t>
  </si>
  <si>
    <t>Estudos de Lingüística Galega</t>
  </si>
  <si>
    <t>Etudes Creoles</t>
  </si>
  <si>
    <t>Etudes de Communication</t>
  </si>
  <si>
    <t>EURALEX International Congress</t>
  </si>
  <si>
    <t>EuroAmerican Journal of Applied Linguistics and Languages</t>
  </si>
  <si>
    <t>EUROCALL Conference</t>
  </si>
  <si>
    <t>European Journal of Applied Linguistics</t>
  </si>
  <si>
    <t>European Journal of Language Policy</t>
  </si>
  <si>
    <t>European Semiotics</t>
  </si>
  <si>
    <t>European Workshop on Natural Language Generation</t>
  </si>
  <si>
    <t>Explorations: A Journal of Language and Literature</t>
  </si>
  <si>
    <t>Faits de Langues</t>
  </si>
  <si>
    <t>Finno-Ugric Languages and Linguistics</t>
  </si>
  <si>
    <t>FIT Monograph Series/Collection</t>
  </si>
  <si>
    <t>Folia Onomastica Croatica</t>
  </si>
  <si>
    <t>Foreign Language Annals</t>
  </si>
  <si>
    <t>Fremdsprachen und Hochschule</t>
  </si>
  <si>
    <t>Functional Linguistics</t>
  </si>
  <si>
    <t>Gesprächsforschung</t>
  </si>
  <si>
    <t>Globe: A Journal of Language, Culture and Communication</t>
  </si>
  <si>
    <t>Glossa</t>
  </si>
  <si>
    <t>Glottotheory</t>
  </si>
  <si>
    <t>Goyōron kenkyū / Studies in Pragmatics</t>
  </si>
  <si>
    <t>Grammatical Analyses of African Languages</t>
  </si>
  <si>
    <t>Grazer Linguistische Studien</t>
  </si>
  <si>
    <t>Hamburg Studies in Multilingualism</t>
  </si>
  <si>
    <t>Hamburg Studies on Linguistic Diversity</t>
  </si>
  <si>
    <t>Heritage Language Journal</t>
  </si>
  <si>
    <t>Hermēneus: Revista de Traducción e Interpretación</t>
  </si>
  <si>
    <t>Hermes</t>
  </si>
  <si>
    <t>Hethitica, Bibliothèque des Cahiers de Linguistique de Louvain (BCLL)</t>
  </si>
  <si>
    <t>Hieronymus Complutensis</t>
  </si>
  <si>
    <t>Himalayan Linguistics</t>
  </si>
  <si>
    <t>Histoire Epistemologie Langage</t>
  </si>
  <si>
    <t>Historical Sociolinguistics</t>
  </si>
  <si>
    <t>Human Cognitive Processing</t>
  </si>
  <si>
    <t>Iberia : An International Journal of Theoretical Linguistics</t>
  </si>
  <si>
    <t>ICAME Journal</t>
  </si>
  <si>
    <t>Ikala : Revista de Lenguaje y Cultura</t>
  </si>
  <si>
    <t>IMPACT: Studies in Language and Society</t>
  </si>
  <si>
    <t>Incontri Linguistici</t>
  </si>
  <si>
    <t>Indo-European Linguistics</t>
  </si>
  <si>
    <t>Information Design Journal</t>
  </si>
  <si>
    <t>Intercultural Promenades</t>
  </si>
  <si>
    <t>International Conference of Speech Prosody</t>
  </si>
  <si>
    <t>International Conference on Computational Linguistics</t>
  </si>
  <si>
    <t>International Conference on Dependency Linguistics</t>
  </si>
  <si>
    <t>International Conference on Generative Approaches to the Lexicon</t>
  </si>
  <si>
    <t>International Conference on Terminology and Knowledge Engineering</t>
  </si>
  <si>
    <t>International Journal of Bilingual Education and Bilingualism</t>
  </si>
  <si>
    <t>International Journal of Chinese Linguistics</t>
  </si>
  <si>
    <t>International Journal of Diachronic Linguistics and Linguistic Reconstruction</t>
  </si>
  <si>
    <t>International Journal of Learner Corpus Research</t>
  </si>
  <si>
    <t>International Journal of Multicultural Education</t>
  </si>
  <si>
    <t>International Journal of Multilingualism</t>
  </si>
  <si>
    <t>International Journal of Speech Technology</t>
  </si>
  <si>
    <t>International Journal of Speech, Language and the Law</t>
  </si>
  <si>
    <t>International Multilingual Research Journal</t>
  </si>
  <si>
    <t>International Review of Applied Linguistics in Language Teaching</t>
  </si>
  <si>
    <t>International Review of Pragmatics</t>
  </si>
  <si>
    <t>International Workshop on Semantic Evaluation</t>
  </si>
  <si>
    <t>Intralinea</t>
  </si>
  <si>
    <t>Inussuk</t>
  </si>
  <si>
    <t>Isogloss</t>
  </si>
  <si>
    <t>ITL - International Journal of Applied Linguistics</t>
  </si>
  <si>
    <t>Jezik in Slovstvo</t>
  </si>
  <si>
    <t>Jezikoslovni Zapiski</t>
  </si>
  <si>
    <t>Journal of Applied Linguistics and Professional Practice</t>
  </si>
  <si>
    <t>Journal of Asian Pacific Communication</t>
  </si>
  <si>
    <t>Journal of Celtic Linguistics</t>
  </si>
  <si>
    <t>Journal of Creative Practices in Language Learning and Teaching</t>
  </si>
  <si>
    <t>Journal of Greek Linguistics</t>
  </si>
  <si>
    <t>Journal of Historical Linguistics</t>
  </si>
  <si>
    <t>Journal of Historical Sociolinguistics</t>
  </si>
  <si>
    <t>Journal of Immersion and Content-Based Language Education</t>
  </si>
  <si>
    <t>Journal of Interactional Research in Communication Disorders</t>
  </si>
  <si>
    <t>Journal of Jewish Languages</t>
  </si>
  <si>
    <t>Journal of Language Aggression and Conflict</t>
  </si>
  <si>
    <t>Journal of Language and Sexuality</t>
  </si>
  <si>
    <t>Journal of Language Contact</t>
  </si>
  <si>
    <t>Journal of Language Modelling</t>
  </si>
  <si>
    <t>Journal of Latin Linguistics</t>
  </si>
  <si>
    <t>Journal of Linguistic Geography</t>
  </si>
  <si>
    <t>Journal of Literary Semantics</t>
  </si>
  <si>
    <t>Journal of Modern Languages</t>
  </si>
  <si>
    <t>Journal of Psycholinguistic Research</t>
  </si>
  <si>
    <t>Journal of Quantitative Linguistics</t>
  </si>
  <si>
    <t>Journal of Research Design and Statistics in Linguistics and Communication Science</t>
  </si>
  <si>
    <t>Journal of Second Language Pronunciation</t>
  </si>
  <si>
    <t>Journal of Second Language Teaching &amp; Research</t>
  </si>
  <si>
    <t>Journal of Second Language Writing</t>
  </si>
  <si>
    <t>Journal of South Asian Languages and Linguistics</t>
  </si>
  <si>
    <t>Journal of Spanish Language Teaching</t>
  </si>
  <si>
    <t>Journal of Speech and Language Pathology</t>
  </si>
  <si>
    <t>Journal of the International Phonetic Association</t>
  </si>
  <si>
    <t>Journal of Translation</t>
  </si>
  <si>
    <t>Journal of Universal Language</t>
  </si>
  <si>
    <t>Journal of West African Languages</t>
  </si>
  <si>
    <t>Journal of World Languages</t>
  </si>
  <si>
    <t>JournaLIPP</t>
  </si>
  <si>
    <t>KODIKAS/CODE. Ars Semeiotica</t>
  </si>
  <si>
    <t>KOME: An International Journal of Pure Communication Inquiry</t>
  </si>
  <si>
    <t>Korean Linguistics</t>
  </si>
  <si>
    <t>L2 Journal</t>
  </si>
  <si>
    <t>La Linguistique</t>
  </si>
  <si>
    <t>Laboratory Phonology</t>
  </si>
  <si>
    <t>Langage &amp; Societe</t>
  </si>
  <si>
    <t>Language &amp; Communication</t>
  </si>
  <si>
    <t>Language &amp; Ecology</t>
  </si>
  <si>
    <t>Language Acquisition and Language Disorders</t>
  </si>
  <si>
    <t>Language and Computers</t>
  </si>
  <si>
    <t>Language and Dialogue</t>
  </si>
  <si>
    <t>Language and History</t>
  </si>
  <si>
    <t>Language and Intercultural Communication</t>
  </si>
  <si>
    <t>Language and Linguistics</t>
  </si>
  <si>
    <t>Language and Linguistics Compass</t>
  </si>
  <si>
    <t>Language and Linguistics in Melanesia</t>
  </si>
  <si>
    <t>Language and Psychoanalysis</t>
  </si>
  <si>
    <t>Language and Sociocultural Theory</t>
  </si>
  <si>
    <t>Language and the Human Lifespan (LHLS)</t>
  </si>
  <si>
    <t>Language Awareness</t>
  </si>
  <si>
    <t>Language Documentation &amp; Conservation</t>
  </si>
  <si>
    <t>Language Dynamics and Change</t>
  </si>
  <si>
    <t>Language Faculty and Beyond</t>
  </si>
  <si>
    <t>Language Learning and Development</t>
  </si>
  <si>
    <t>Language Learning and Language Teaching</t>
  </si>
  <si>
    <t>Language Learning in Higher Education</t>
  </si>
  <si>
    <t>Language Matters: Studies in the Languages of Africa</t>
  </si>
  <si>
    <t>Language Play And Creativity</t>
  </si>
  <si>
    <t>Language Problems and Language Planning</t>
  </si>
  <si>
    <t>Language Under Discussion</t>
  </si>
  <si>
    <t>Language Value</t>
  </si>
  <si>
    <t>Language Variation</t>
  </si>
  <si>
    <t>Language, Context and Cognition</t>
  </si>
  <si>
    <t>Language, Interaction and Acquisition</t>
  </si>
  <si>
    <t>Language, Mind, Culture and Society</t>
  </si>
  <si>
    <t>Language, Speech and Hearing Services in Schools</t>
  </si>
  <si>
    <t>Language@Internet</t>
  </si>
  <si>
    <t>Languages in Contrast: international journal for contrastive linguistics</t>
  </si>
  <si>
    <t>Latin American Journal of Content and Language Integrated Learning</t>
  </si>
  <si>
    <t>Leiden Studies in Indo-European</t>
  </si>
  <si>
    <t>Lengas</t>
  </si>
  <si>
    <t>Lengua y Migración</t>
  </si>
  <si>
    <t>Lenguas Modernas</t>
  </si>
  <si>
    <t>Leuvense Bijdragen</t>
  </si>
  <si>
    <t>Lexicography</t>
  </si>
  <si>
    <t>Lexicometrica</t>
  </si>
  <si>
    <t>Lexikos</t>
  </si>
  <si>
    <t>Lexis</t>
  </si>
  <si>
    <t>Lexis - Journal in English Lexicology</t>
  </si>
  <si>
    <t>L'Information Grammaticale</t>
  </si>
  <si>
    <t>Lingua</t>
  </si>
  <si>
    <t>Lingua e Stile</t>
  </si>
  <si>
    <t>Linguaculture</t>
  </si>
  <si>
    <t>Linguae &amp; Litterae</t>
  </si>
  <si>
    <t>Linguamática</t>
  </si>
  <si>
    <t>Lingue Antiche e Moderne</t>
  </si>
  <si>
    <t>Lingue e Linguaggi</t>
  </si>
  <si>
    <t>Linguistic Analysis</t>
  </si>
  <si>
    <t>Linguistic Approaches to Bilingualism</t>
  </si>
  <si>
    <t>Linguistic Discovery</t>
  </si>
  <si>
    <t>Linguistic Insights - Studies in Language and Communication</t>
  </si>
  <si>
    <t>Linguistic Landscape</t>
  </si>
  <si>
    <t>Linguistic Research</t>
  </si>
  <si>
    <t>Linguistic Variation</t>
  </si>
  <si>
    <t>Linguistica Antverpiensia, New Series - Themes in Translation Studies</t>
  </si>
  <si>
    <t>Linguistica Atlantica</t>
  </si>
  <si>
    <t>Linguistica Pragensia</t>
  </si>
  <si>
    <t>Linguistica Silesiana</t>
  </si>
  <si>
    <t>Linguistics and Education</t>
  </si>
  <si>
    <t>Linguistics and the Human Sciences</t>
  </si>
  <si>
    <t>Linguistics Applied</t>
  </si>
  <si>
    <t>Linguistics in the Netherlands</t>
  </si>
  <si>
    <t>Linguistics Vanguard</t>
  </si>
  <si>
    <t>Linguistik Aktuell</t>
  </si>
  <si>
    <t>Linguistik Online</t>
  </si>
  <si>
    <t>Linguistische Arbeiten</t>
  </si>
  <si>
    <t>Linguistische Berichte</t>
  </si>
  <si>
    <t>Lingvisticae Investigationes</t>
  </si>
  <si>
    <t>Lingvisticae Investigationes: Supplementa</t>
  </si>
  <si>
    <t>Literacy</t>
  </si>
  <si>
    <t>Literacy Research Association Annual Conference</t>
  </si>
  <si>
    <t>Literacy Studies</t>
  </si>
  <si>
    <t>Llengua, Societat i Comunicació</t>
  </si>
  <si>
    <t>Lodz Papers in Pragmatics</t>
  </si>
  <si>
    <t>Lodz Studies in Language</t>
  </si>
  <si>
    <t>Logos et Littera: Journal of Interdisciplinary Approaches to Text</t>
  </si>
  <si>
    <t>London Oriental and African Language Library</t>
  </si>
  <si>
    <t>Mediterranean Language Review</t>
  </si>
  <si>
    <t>Metaphor and the Social World</t>
  </si>
  <si>
    <t>Metaphor in Language, Cognition and Communication</t>
  </si>
  <si>
    <t>metaphorik.de</t>
  </si>
  <si>
    <t>Moderna språk</t>
  </si>
  <si>
    <t>MonTI. Monografías de Traducción e Interpretación</t>
  </si>
  <si>
    <t>Mouton Series in Pragmatics</t>
  </si>
  <si>
    <t>MTM Journal</t>
  </si>
  <si>
    <t>Muenchener Studien zur Sprachwissenschaft</t>
  </si>
  <si>
    <t>Multilingua - Journal of Cross-Cultural and Interlanguage Communication</t>
  </si>
  <si>
    <t>Multilingual Education</t>
  </si>
  <si>
    <t>Multilingual Matters Series</t>
  </si>
  <si>
    <t>Muttersprache</t>
  </si>
  <si>
    <t>Namenkundliche Informationen</t>
  </si>
  <si>
    <t>Names</t>
  </si>
  <si>
    <t>Natural Language Processing</t>
  </si>
  <si>
    <t>NEALT (Northern European Association of Language Technology) Proceedings Series</t>
  </si>
  <si>
    <t>Neuphilologische Mitteilungen</t>
  </si>
  <si>
    <t>Névtani értesítö</t>
  </si>
  <si>
    <t>Norsk Lingvistisk Tidsskrift</t>
  </si>
  <si>
    <t>Northern European Journal of Language Technology</t>
  </si>
  <si>
    <t>Novitas-ROYAL (Research on Youth and Language)</t>
  </si>
  <si>
    <t>NOWELE</t>
  </si>
  <si>
    <t>NOWELE. Supplement</t>
  </si>
  <si>
    <t>Ny Forskning i Grammatik</t>
  </si>
  <si>
    <t>NYS TESOL journal</t>
  </si>
  <si>
    <t>Oceanic Linguistics</t>
  </si>
  <si>
    <t>Onoma: Journal of the International Council of Onomastic Sciences</t>
  </si>
  <si>
    <t>Onomastica Slavogermanica</t>
  </si>
  <si>
    <t>Open Linguistics</t>
  </si>
  <si>
    <t>Orbis: International Journal of General Linguistics and Linguistic Documentation / Bulletin international de linguistique générale et de documentation linguistique</t>
  </si>
  <si>
    <t>Ord og Tunga</t>
  </si>
  <si>
    <t>Oslo Studies in Language</t>
  </si>
  <si>
    <t>Oxford Studies In Comparative Syntax</t>
  </si>
  <si>
    <t>Oxford Studies in Sociolinguistics</t>
  </si>
  <si>
    <t>Palimpsestes. Textes de Reference</t>
  </si>
  <si>
    <t>Papia: Revista Brasileira de Estudos do Contato Linguístico</t>
  </si>
  <si>
    <t>Phonology and Phonetics</t>
  </si>
  <si>
    <t>Polifonia</t>
  </si>
  <si>
    <t>Polskie Towarzystwo Jezykoznawcze. Biuletyn</t>
  </si>
  <si>
    <t>Polyphonie-linguistique et littéraire</t>
  </si>
  <si>
    <t>Poznan Studies in Contemporary Linguistics</t>
  </si>
  <si>
    <t>Pragmalingüística</t>
  </si>
  <si>
    <t>Pragmática Sociocultural</t>
  </si>
  <si>
    <t>Pragmatics: Quarterly Publication of the International Pragmatics Association</t>
  </si>
  <si>
    <t>Proceedings of the International Congress of Phonetic Sciences</t>
  </si>
  <si>
    <t>Proceedings of the LFG-conference</t>
  </si>
  <si>
    <t>Proceedings of the West Coast Conference on Formal Linguistics</t>
  </si>
  <si>
    <t>Procesamiento del Lenguaje Natural</t>
  </si>
  <si>
    <t>Processability Approaches to Language Acquisition Research &amp; Teaching</t>
  </si>
  <si>
    <t>Public Journal of Semiotics</t>
  </si>
  <si>
    <t>Puhe ja Kieli</t>
  </si>
  <si>
    <t xml:space="preserve">Quaderns: revista de traducció </t>
  </si>
  <si>
    <t>Questions and Answers in Linguistics</t>
  </si>
  <si>
    <t>RASK – International journal of language and communication</t>
  </si>
  <si>
    <t>Rask. Supplement</t>
  </si>
  <si>
    <t>Recherches Linguistiques de Vincennes</t>
  </si>
  <si>
    <t>Recherches sémiotiques / Semiotic Inquiry</t>
  </si>
  <si>
    <t>RELC Journal: A Journal of Language Teaching and Research</t>
  </si>
  <si>
    <t>Research in Language</t>
  </si>
  <si>
    <t>Review of Cognitive Linguistics</t>
  </si>
  <si>
    <t>Revista de Dialectología y Tradiciones Populares</t>
  </si>
  <si>
    <t>Revista de Lenguas para Fines Especificos</t>
  </si>
  <si>
    <t>Revista de Lexicografia</t>
  </si>
  <si>
    <t>Revista de Lingüística y Lenguas Aplicadas</t>
  </si>
  <si>
    <t>Revista de Llengua i Dret</t>
  </si>
  <si>
    <t>Revista Española de Lingüística Aplicada</t>
  </si>
  <si>
    <t>Revista Tradumàtica: Technologies de la traducció</t>
  </si>
  <si>
    <t>Revue Francaise de Linguistique Appliquee</t>
  </si>
  <si>
    <t>Rhesis</t>
  </si>
  <si>
    <t>Rivista Italiana di Filosofia del Linguaggio</t>
  </si>
  <si>
    <t>RLA. Revista de lingüística teórica y aplicada</t>
  </si>
  <si>
    <t>Romance Languages and Linguistic Theory</t>
  </si>
  <si>
    <t>Romani Studies</t>
  </si>
  <si>
    <t>Routledge Advances In Communication And Linguistic Theory</t>
  </si>
  <si>
    <t>Routledge Handbooks In Applied Linguistics</t>
  </si>
  <si>
    <t>Routledge Handbooks In Linguistics</t>
  </si>
  <si>
    <t>Routledge Studies In Language Change</t>
  </si>
  <si>
    <t>Routledge Studies In Sociolinguistics</t>
  </si>
  <si>
    <t>Scripta Manent</t>
  </si>
  <si>
    <t>Selected Papers from UK-CLA Meetings</t>
  </si>
  <si>
    <t>Semiotics, Communication and Cognition</t>
  </si>
  <si>
    <t>Sendebar</t>
  </si>
  <si>
    <t>Sign Language Studies</t>
  </si>
  <si>
    <t>Sign Language Typology</t>
  </si>
  <si>
    <t>Sign Language Typology Series</t>
  </si>
  <si>
    <t>Signa</t>
  </si>
  <si>
    <t>Signs</t>
  </si>
  <si>
    <t>SKY Journal of Linguistics</t>
  </si>
  <si>
    <t>Social Interaction. Video-Based Studies of Human Sociality</t>
  </si>
  <si>
    <t>Social Semiotics</t>
  </si>
  <si>
    <t>Social Text</t>
  </si>
  <si>
    <t>Sociolinguistic Studies</t>
  </si>
  <si>
    <t>Sociolinguistica: Internationales Jahrbuch für europäische Soziolinguistik /  International Yearbook of European Sociolinguistics /  Annuaire International de la Sociolinguistique Européenne</t>
  </si>
  <si>
    <t>Sociolinguistics in Deaf Communities</t>
  </si>
  <si>
    <t>South African Journal of African Languages</t>
  </si>
  <si>
    <t>Southern African Linguistics and Applied Language Studies</t>
  </si>
  <si>
    <t>Speech and Context</t>
  </si>
  <si>
    <t>Sprache im Technischen Zeitalter</t>
  </si>
  <si>
    <t>Sprache und Oralitaet in Afrika</t>
  </si>
  <si>
    <t>Springerbriefs In Linguistics</t>
  </si>
  <si>
    <t>Stellenbosch Papers in Linguistics</t>
  </si>
  <si>
    <t>Studi e Saggi Linguistici</t>
  </si>
  <si>
    <t>Studia Etymologica Cracoviensia</t>
  </si>
  <si>
    <t>Studia Grammatica</t>
  </si>
  <si>
    <t>Studies in Arabic Linguistics</t>
  </si>
  <si>
    <t>Studies in Bilingualism</t>
  </si>
  <si>
    <t>Studies in Chinese Language and Discourse</t>
  </si>
  <si>
    <t>Studies in Chinese Linguistics</t>
  </si>
  <si>
    <t>Studies in Corpus Linguistics</t>
  </si>
  <si>
    <t>Studies in Functional and Structural Linguistics</t>
  </si>
  <si>
    <t>Studies in Generative Grammar</t>
  </si>
  <si>
    <t>Studies in Interactional Sociolinguistics</t>
  </si>
  <si>
    <t>Studies in Language and Social Interaction</t>
  </si>
  <si>
    <t>Studies in Language Companion Series</t>
  </si>
  <si>
    <t>Studies In Language Companion Series (Slcs)</t>
  </si>
  <si>
    <t>Studies in Language Variation</t>
  </si>
  <si>
    <t>Studies in Pragmatics</t>
  </si>
  <si>
    <t>Studies in Second Language Learning and Teaching</t>
  </si>
  <si>
    <t>Studies in Semitic Languages and Linguistics</t>
  </si>
  <si>
    <t>Studies in Variation, Contacts and Change in English</t>
  </si>
  <si>
    <t>Studies in World Language Problems</t>
  </si>
  <si>
    <t>Studies in Writing</t>
  </si>
  <si>
    <t>Studies in Written Language and Literacy</t>
  </si>
  <si>
    <t>Studies on Language Acquisition</t>
  </si>
  <si>
    <t>Studii de Gramatica Contrastiva</t>
  </si>
  <si>
    <t>Studii de Lingvistica</t>
  </si>
  <si>
    <t>Studii si Cercetari Lingvistice</t>
  </si>
  <si>
    <t>Study Abroad Research in Second Language Acquisition and International Education</t>
  </si>
  <si>
    <t>Sustainable Multilingualism</t>
  </si>
  <si>
    <t>Synergies Italie</t>
  </si>
  <si>
    <t>System</t>
  </si>
  <si>
    <t>Task-Based Language Teaching: Issues, Research and Practice</t>
  </si>
  <si>
    <t>TESL Canada Journal</t>
  </si>
  <si>
    <t>TESOL Journal</t>
  </si>
  <si>
    <t>The American Journal of Semiotics</t>
  </si>
  <si>
    <t>The ATA Scholarly Monograph Series</t>
  </si>
  <si>
    <t>The Especialist</t>
  </si>
  <si>
    <t>The JALT CALL journal : the journal of the JALT CALL SIG</t>
  </si>
  <si>
    <t>The Journal of Indo-European Studies</t>
  </si>
  <si>
    <t>The Mental Lexicon</t>
  </si>
  <si>
    <t>The Phonetician</t>
  </si>
  <si>
    <t>The Reading Matrix</t>
  </si>
  <si>
    <t>Tijdschrift voor Taalbeheersing</t>
  </si>
  <si>
    <t>Tocharian and Indo-European Studies</t>
  </si>
  <si>
    <t>Tonos Digital: Revista Electrónica de Estudios Filológicos</t>
  </si>
  <si>
    <t>Topics in Humor Research</t>
  </si>
  <si>
    <t>Trans</t>
  </si>
  <si>
    <t>Transactions of the Charles S. Peirce Society</t>
  </si>
  <si>
    <t>Translation and Multilingual Natural Language Processing</t>
  </si>
  <si>
    <t>Translation and Translanguaging in Multilingual Contexts</t>
  </si>
  <si>
    <t>Translation Review</t>
  </si>
  <si>
    <t>Translation Spaces</t>
  </si>
  <si>
    <t>Travaux de linguistique: Revue internationale de linguistique française</t>
  </si>
  <si>
    <t>Travaux interdisciplinaires sur la parole et le langage</t>
  </si>
  <si>
    <t>Treballs de sociolingüística catalana</t>
  </si>
  <si>
    <t>Trends In Applied Lingusitics</t>
  </si>
  <si>
    <t>Trends in Language Acquisition Research</t>
  </si>
  <si>
    <t>Tuebinger Beitraege zur Linguistik</t>
  </si>
  <si>
    <t>Typological Studies in Language</t>
  </si>
  <si>
    <t>Taal en Tongval</t>
  </si>
  <si>
    <t>Usage-Based Linguistic Informatics</t>
  </si>
  <si>
    <t>Utrecht Studies in Language and Communication</t>
  </si>
  <si>
    <t>Vigo International Journal of Applied Linguistics</t>
  </si>
  <si>
    <t>Vocabulary Learning and Instruction</t>
  </si>
  <si>
    <t>Voice and Speech Review</t>
  </si>
  <si>
    <t>Word Structure</t>
  </si>
  <si>
    <t>WORD: Journal of the International Linguistic Association</t>
  </si>
  <si>
    <t>Workshop on Vision and Language</t>
  </si>
  <si>
    <t>Writing Systems Research</t>
  </si>
  <si>
    <t>Yearbook of Corpus Linguistics and Pragmatics</t>
  </si>
  <si>
    <t>Yearbook of Phraseology</t>
  </si>
  <si>
    <t>Yearbook of the Literacy Research Association</t>
  </si>
  <si>
    <t>Zeitschrift für Angewandte Linguistik</t>
  </si>
  <si>
    <t>Zeitschrift für Dialektologie und Linguistik – Beihefte</t>
  </si>
  <si>
    <t>Zeitschrift für Interkulturellen Fremdsprachenunterricht</t>
  </si>
  <si>
    <t>Zeitschrift für Semiotik</t>
  </si>
  <si>
    <t>Zeitschrift für Sprachwissenschaft</t>
  </si>
  <si>
    <t>Zeitschrift für Ägyptische Sprache und Altertumskunde</t>
  </si>
  <si>
    <t>ZFF - Zeitschrift für Fremdsprachenforschung</t>
  </si>
  <si>
    <t>Zielsprache Deutsch</t>
  </si>
  <si>
    <t>Anæstesi, intensiv, akut</t>
  </si>
  <si>
    <t>American Journal of Respiratory and Critical Care Medicine</t>
  </si>
  <si>
    <t>Anesthesiology</t>
  </si>
  <si>
    <t>British Journal of Anaesthesia</t>
  </si>
  <si>
    <t>Critical Care Medicine</t>
  </si>
  <si>
    <t>Intensive Care Medicine</t>
  </si>
  <si>
    <t>The Journal of Pain</t>
  </si>
  <si>
    <t>Academic Emergency Medicine</t>
  </si>
  <si>
    <t>Acta Anaesthesiologica Belgica</t>
  </si>
  <si>
    <t>Acta Anaesthesiologica Scandinavica</t>
  </si>
  <si>
    <t>Advanced Emergency Nursing Journal</t>
  </si>
  <si>
    <t>Aesthetic Surgery Journal</t>
  </si>
  <si>
    <t>American Journal of Critical Care</t>
  </si>
  <si>
    <t>American Journal of Emergency Medicine</t>
  </si>
  <si>
    <t>Anaesthesia</t>
  </si>
  <si>
    <t>Anaesthesia and Intensive Care</t>
  </si>
  <si>
    <t>Anesthesia and Analgesia</t>
  </si>
  <si>
    <t>Anesthesia Progress</t>
  </si>
  <si>
    <t>Anesthesiology Clinics</t>
  </si>
  <si>
    <t>Annals of Cardiac Anaesthesia</t>
  </si>
  <si>
    <t>Annals of Emergency Medicine</t>
  </si>
  <si>
    <t>Archives of Orthopaedic and Trauma Surgery</t>
  </si>
  <si>
    <t>Australasian Journal of Disaster and Trauma Studies</t>
  </si>
  <si>
    <t>Best Practice &amp; Research: Clinical Anaesthesiology</t>
  </si>
  <si>
    <t>Blood Purification</t>
  </si>
  <si>
    <t>BMC Anesthesiology</t>
  </si>
  <si>
    <t>BMC Emergency Medicine</t>
  </si>
  <si>
    <t>Burns</t>
  </si>
  <si>
    <t>Canadian Journal of Anaesthesia</t>
  </si>
  <si>
    <t>Canadian Journal of Emergency Medicine</t>
  </si>
  <si>
    <t>Critical Care Clinics</t>
  </si>
  <si>
    <t>Current Opinion in Anaesthesiology</t>
  </si>
  <si>
    <t>Current Opinion in Critical Care</t>
  </si>
  <si>
    <t>Der Anaesthesist</t>
  </si>
  <si>
    <t>Emergency Medicine</t>
  </si>
  <si>
    <t>Emergency Medicine Clinics of North America</t>
  </si>
  <si>
    <t>Emergency Medicine Journal</t>
  </si>
  <si>
    <t>European Journal of Anaesthesiology</t>
  </si>
  <si>
    <t>European Journal of Emergency Medicine</t>
  </si>
  <si>
    <t>European Journal of Pain</t>
  </si>
  <si>
    <t>European Journal of Trauma and Emergency Surgery</t>
  </si>
  <si>
    <t>Injury</t>
  </si>
  <si>
    <t>International Anesthesiology Clinics</t>
  </si>
  <si>
    <t>International Journal of Obstetric Anesthesia</t>
  </si>
  <si>
    <t>Journal of Anesthesia</t>
  </si>
  <si>
    <t>Journal of Cardiothoracic and Vascular Anesthesia</t>
  </si>
  <si>
    <t>Journal of Clinical Anesthesia</t>
  </si>
  <si>
    <t>Journal of Clinical Monitoring and Computing</t>
  </si>
  <si>
    <t>Journal of Critical Care</t>
  </si>
  <si>
    <t>Journal of Intensive Care</t>
  </si>
  <si>
    <t>Journal of Intensive Care Medicine</t>
  </si>
  <si>
    <t>Journal of Neurosurgical Anesthesiology</t>
  </si>
  <si>
    <t>Journal of Parenteral and Enteral Nutrition</t>
  </si>
  <si>
    <t>Journal of Trauma and Dissociation</t>
  </si>
  <si>
    <t>Medicina Intensiva</t>
  </si>
  <si>
    <t>Neurocritical Care</t>
  </si>
  <si>
    <t>Notfall und Rettungsmedizin</t>
  </si>
  <si>
    <t>Paediatric Anaesthesia</t>
  </si>
  <si>
    <t>Pain Medicine</t>
  </si>
  <si>
    <t>Pain Research and Treatment</t>
  </si>
  <si>
    <t>Pediatric Critical Care Medicine</t>
  </si>
  <si>
    <t>Pediatric Emergency Care</t>
  </si>
  <si>
    <t>Prehospital Emergency Care</t>
  </si>
  <si>
    <t>Primary Care Respiratory Journal</t>
  </si>
  <si>
    <t>Regional Anesthesia and Pain Medicine</t>
  </si>
  <si>
    <t>Renal Failure</t>
  </si>
  <si>
    <t>Resuscitation</t>
  </si>
  <si>
    <t>Scandinavian Journal of Pain</t>
  </si>
  <si>
    <t>Scandinavian Journal of Trauma, Resuscitation and Emergency Medicine</t>
  </si>
  <si>
    <t>Seminars in Cardiothoracic and Vascular Anesthesia</t>
  </si>
  <si>
    <t>Seminars in Respiratory and Critical Care Medicine</t>
  </si>
  <si>
    <t>Shock</t>
  </si>
  <si>
    <t>The Journal of Emergency Medicine</t>
  </si>
  <si>
    <t>The Journal of Trauma and Acute Care Surgery</t>
  </si>
  <si>
    <t>Trauma</t>
  </si>
  <si>
    <t>Trends in Anaesthesia and Critical Care</t>
  </si>
  <si>
    <t>Neurologi, neurokirurgi, psykiatri</t>
  </si>
  <si>
    <t>Annals of Neurology</t>
  </si>
  <si>
    <t>Annual Review of Neuroscience</t>
  </si>
  <si>
    <t>Behavioral and Brain Sciences</t>
  </si>
  <si>
    <t>Biological Psychiatry</t>
  </si>
  <si>
    <t>Brain</t>
  </si>
  <si>
    <t>Brain Research</t>
  </si>
  <si>
    <t>British Journal of Psychiatry</t>
  </si>
  <si>
    <t>Cerebral Cortex</t>
  </si>
  <si>
    <t>Current Opinion in Neurobiology</t>
  </si>
  <si>
    <t>Epilepsy Currents</t>
  </si>
  <si>
    <t>Frontiers in Neuroendocrinology</t>
  </si>
  <si>
    <t>JAMA Neurology</t>
  </si>
  <si>
    <t>JAMA Psychiatry</t>
  </si>
  <si>
    <t>Journal of Cerebral Blood Flow and Metabolism</t>
  </si>
  <si>
    <t>Journal of the American Academy of Child and Adolescent Psychiatry</t>
  </si>
  <si>
    <t>Molecular Psychiatry</t>
  </si>
  <si>
    <t>Movement Disorders</t>
  </si>
  <si>
    <t>Nature Clinical Practice Neurology</t>
  </si>
  <si>
    <t>Nature Neuroscience</t>
  </si>
  <si>
    <t>Nature Reviews. Neuroscience</t>
  </si>
  <si>
    <t>Neurobiology of Disease</t>
  </si>
  <si>
    <t>NeuroImage</t>
  </si>
  <si>
    <t>Neurology</t>
  </si>
  <si>
    <t>Neuron</t>
  </si>
  <si>
    <t>Neuroscience &amp; Biobehavioral Reviews</t>
  </si>
  <si>
    <t>Pain</t>
  </si>
  <si>
    <t>Progress in Neurobiology</t>
  </si>
  <si>
    <t>Psychological Medicine</t>
  </si>
  <si>
    <t>Schizophrenia Bulletin</t>
  </si>
  <si>
    <t>Sleep Medicine Reviews</t>
  </si>
  <si>
    <t>Stroke</t>
  </si>
  <si>
    <t>The American Journal of Psychiatry</t>
  </si>
  <si>
    <t>The Journal of Neuroscience</t>
  </si>
  <si>
    <t>The Lancet Neurology</t>
  </si>
  <si>
    <t>The Lancet Psychiatry</t>
  </si>
  <si>
    <t>Trends in Neurosciences</t>
  </si>
  <si>
    <t>World Psychiatry</t>
  </si>
  <si>
    <t>Academic Psychiatry</t>
  </si>
  <si>
    <t>Acta Neurobiologiae Experimentalis</t>
  </si>
  <si>
    <t>Acta Neurochirurgica</t>
  </si>
  <si>
    <t>Acta Neurochirurgica Supplement</t>
  </si>
  <si>
    <t>Acta Neurologica Belgica</t>
  </si>
  <si>
    <t>Acta Neurologica Scandinavica</t>
  </si>
  <si>
    <t>Acta Neurologica Scandinavica. Supplementum</t>
  </si>
  <si>
    <t>Acta Neuropsychiatrica</t>
  </si>
  <si>
    <t>Acta Psychiatrica Scandinavica</t>
  </si>
  <si>
    <t>Acta Psychiatrica Scandinavica. Supplementum</t>
  </si>
  <si>
    <t>Adolescent Psychiatry</t>
  </si>
  <si>
    <t>Advances in Psychosomatic Medicine</t>
  </si>
  <si>
    <t>African Journal of Neurological Sciences</t>
  </si>
  <si>
    <t>Aging, Neuropsychology, and Cognition</t>
  </si>
  <si>
    <t>Alcoholism Treatment Quarterly</t>
  </si>
  <si>
    <t>Alzheimer Disease and Associated Disorders</t>
  </si>
  <si>
    <t>American Journal of Alzheimer's Disease and Other Dementias</t>
  </si>
  <si>
    <t>American Journal of Orthopsychiatry</t>
  </si>
  <si>
    <t>Amyotrophic Lateral Sclerosis and Frontotemporal Degeneration</t>
  </si>
  <si>
    <t>Annals of Clinical Psychiatry</t>
  </si>
  <si>
    <t>Annals of General Psychiatry</t>
  </si>
  <si>
    <t>Applied Neuropsychology: Adult</t>
  </si>
  <si>
    <t>Applied Neuropsychology: Child</t>
  </si>
  <si>
    <t>Applied Research in Mental Retardation</t>
  </si>
  <si>
    <t>Archives of Suicide Research</t>
  </si>
  <si>
    <t>Australasian Psychiatry</t>
  </si>
  <si>
    <t>Autism Research and Treatment</t>
  </si>
  <si>
    <t>Autonomic Neuroscience: Basic and Clinical</t>
  </si>
  <si>
    <t>Behavioral and Brain Functions</t>
  </si>
  <si>
    <t>Behavioral Sleep Medicine</t>
  </si>
  <si>
    <t>Behavioural Neurology</t>
  </si>
  <si>
    <t>Bipolar Disorders</t>
  </si>
  <si>
    <t>BJPsych Advances</t>
  </si>
  <si>
    <t>BMC Neurology</t>
  </si>
  <si>
    <t>BMC Neuroscience</t>
  </si>
  <si>
    <t>BMC Psychiatry</t>
  </si>
  <si>
    <t>Borderline Personality Disorder and Emotion Dysregulation</t>
  </si>
  <si>
    <t>Brain &amp; Development</t>
  </si>
  <si>
    <t>Brain and Behavior</t>
  </si>
  <si>
    <t>Brain and Language</t>
  </si>
  <si>
    <t>Brain Imaging and Behavior</t>
  </si>
  <si>
    <t>Brain Impairment</t>
  </si>
  <si>
    <t>Brain Injury</t>
  </si>
  <si>
    <t>Brain Research Bulletin</t>
  </si>
  <si>
    <t>Brain Stimulation</t>
  </si>
  <si>
    <t>Brain Structure and Function</t>
  </si>
  <si>
    <t>Brain Topography</t>
  </si>
  <si>
    <t>Brain, Behavior and Evolution</t>
  </si>
  <si>
    <t>Brain, Behavior, and Immunity</t>
  </si>
  <si>
    <t>British Journal of Neurosurgery</t>
  </si>
  <si>
    <t>Canadian Journal of Neurological Sciences</t>
  </si>
  <si>
    <t>Cephalalgia</t>
  </si>
  <si>
    <t>Cerebrovascular Diseases</t>
  </si>
  <si>
    <t>Child and Adolescent Psychiatric Clinics of North America</t>
  </si>
  <si>
    <t>Child's Nervous System</t>
  </si>
  <si>
    <t>Clinical Autonomic Research</t>
  </si>
  <si>
    <t>Clinical Child Psychology &amp; Psychiatry</t>
  </si>
  <si>
    <t>Clinical E E G and Neuroscience</t>
  </si>
  <si>
    <t>Clinical Electroencephalography and Neuroscience</t>
  </si>
  <si>
    <t>Clinical Neurology and Neurosurgery</t>
  </si>
  <si>
    <t>Clinical Neurophysiology</t>
  </si>
  <si>
    <t>Clinical Neurophysiology. Supplement</t>
  </si>
  <si>
    <t>Clinical Neuropsychiatry</t>
  </si>
  <si>
    <t>Clinical Practice and Epidemiology in Mental Health</t>
  </si>
  <si>
    <t>CNS &amp; Neurological Disorders - Drug Targets</t>
  </si>
  <si>
    <t>CNS Spectrums</t>
  </si>
  <si>
    <t>Cognitive and Behavioral Neurology</t>
  </si>
  <si>
    <t>Cognitive Neuropsychiatry</t>
  </si>
  <si>
    <t>Comprehensive Psychiatry</t>
  </si>
  <si>
    <t>Cortex</t>
  </si>
  <si>
    <t>Crisis: The Journal of Crisis Intervention and Suicide Prevention</t>
  </si>
  <si>
    <t>Current Neurology and Neuroscience Reports</t>
  </si>
  <si>
    <t>Current Opinion in Neurology</t>
  </si>
  <si>
    <t>Current Opinion in Psychiatry</t>
  </si>
  <si>
    <t>Current Pain and Headache Reports</t>
  </si>
  <si>
    <t>Current Psychiatry Reports</t>
  </si>
  <si>
    <t>Current Treatment Options in Neurology</t>
  </si>
  <si>
    <t>Dementia</t>
  </si>
  <si>
    <t>Dementia and Geriatric Cognitive Disorders</t>
  </si>
  <si>
    <t>Developmental Medicine and Child Neurology</t>
  </si>
  <si>
    <t>Developmental Neurobiology</t>
  </si>
  <si>
    <t>Developmental Neurorehabilitation</t>
  </si>
  <si>
    <t>Developmental Neuroscience</t>
  </si>
  <si>
    <t>Developmental Psychobiology</t>
  </si>
  <si>
    <t>Eating Behaviors</t>
  </si>
  <si>
    <t>Epilepsia</t>
  </si>
  <si>
    <t>Epilepsy &amp; Behavior</t>
  </si>
  <si>
    <t>Epilepsy Research</t>
  </si>
  <si>
    <t>Epileptic Disorders</t>
  </si>
  <si>
    <t>European Archives of Psychiatry and Clinical Neuroscience</t>
  </si>
  <si>
    <t>European Child &amp; Adolescent Psychiatry</t>
  </si>
  <si>
    <t>European Journal of Neurology</t>
  </si>
  <si>
    <t>European Journal of Neuroscience</t>
  </si>
  <si>
    <t>European Journal of Paediatric Neurology</t>
  </si>
  <si>
    <t>European Neurology</t>
  </si>
  <si>
    <t>European Psychiatry</t>
  </si>
  <si>
    <t>Evidence - Based Mental Health</t>
  </si>
  <si>
    <t>Experimental and Clinical Psychopharmacology</t>
  </si>
  <si>
    <t>Experimental Brain Research</t>
  </si>
  <si>
    <t>Experimental Neurology</t>
  </si>
  <si>
    <t>Fluids and Barriers of the CNS</t>
  </si>
  <si>
    <t>Folia Neuropathologica</t>
  </si>
  <si>
    <t>Frontiers in Behavioral Neuroscience</t>
  </si>
  <si>
    <t>Frontiers in Neurology</t>
  </si>
  <si>
    <t>Frontiers in Psychiatry</t>
  </si>
  <si>
    <t>Functional Neurology</t>
  </si>
  <si>
    <t>General Hospital Psychiatry</t>
  </si>
  <si>
    <t>Genes, Brain and Behavior</t>
  </si>
  <si>
    <t>Harvard Review of Psychiatry</t>
  </si>
  <si>
    <t>Headache</t>
  </si>
  <si>
    <t>Human Brain Mapping</t>
  </si>
  <si>
    <t>Human Psychopharmacology: Clinical and Experimental</t>
  </si>
  <si>
    <t>International Forum of Psychoanalysis</t>
  </si>
  <si>
    <t>International Journal of Developmental Neuroscience</t>
  </si>
  <si>
    <t>International Journal of Geriatric Psychiatry</t>
  </si>
  <si>
    <t>International Journal of Law and Psychiatry</t>
  </si>
  <si>
    <t>International Journal of Methods in Psychiatric Research</t>
  </si>
  <si>
    <t>International Journal of Neuropsychopharmacology</t>
  </si>
  <si>
    <t>International Journal of Neuroscience</t>
  </si>
  <si>
    <t>International Journal of Psychiatry in Clinical Practice</t>
  </si>
  <si>
    <t>International Journal of Social Psychiatry</t>
  </si>
  <si>
    <t>International Journal of Stroke</t>
  </si>
  <si>
    <t>International Psychogeriatrics</t>
  </si>
  <si>
    <t>International Review of Neurobiology</t>
  </si>
  <si>
    <t>International Review of Psychiatry</t>
  </si>
  <si>
    <t>Invertebrate Neuroscience</t>
  </si>
  <si>
    <t>Israel Journal of Psychiatry and Related Sciences</t>
  </si>
  <si>
    <t>Journal of Alzheimer's Disease</t>
  </si>
  <si>
    <t>Journal of Anxiety Disorders</t>
  </si>
  <si>
    <t>Journal of Behavior Therapy and Experimental Psychiatry</t>
  </si>
  <si>
    <t>Journal of Behavioral Addictions</t>
  </si>
  <si>
    <t>Journal of Chemical Neuroanatomy</t>
  </si>
  <si>
    <t>Journal of Child and Adolescent Psychopharmacology</t>
  </si>
  <si>
    <t>Journal of Clinical and Experimental Neuropsychology</t>
  </si>
  <si>
    <t>Journal of Clinical Neuromuscular Disease</t>
  </si>
  <si>
    <t>Journal of Clinical Neurophysiology</t>
  </si>
  <si>
    <t>Journal of Clinical Neuroscience</t>
  </si>
  <si>
    <t>Journal of Clinical Psychiatry</t>
  </si>
  <si>
    <t>Journal of Clinical Psychopharmacology</t>
  </si>
  <si>
    <t>Journal of Cognitive Psychotherapy</t>
  </si>
  <si>
    <t>Journal of Computational Neuroscience</t>
  </si>
  <si>
    <t>Journal of Gay &amp; Lesbian Mental Health</t>
  </si>
  <si>
    <t>Journal of Geriatric Psychiatry and Neurology</t>
  </si>
  <si>
    <t>Journal of Head Trauma Rehabilitation</t>
  </si>
  <si>
    <t>Journal of Integrative Neuroscience</t>
  </si>
  <si>
    <t>Journal of Molecular Neuroscience</t>
  </si>
  <si>
    <t>Journal of Motor Behavior</t>
  </si>
  <si>
    <t>Journal of Nervous and Mental Disease</t>
  </si>
  <si>
    <t>Journal of Neural Transmission</t>
  </si>
  <si>
    <t>Journal of Neural Transmission. Supplement</t>
  </si>
  <si>
    <t>Journal of Neurochemistry</t>
  </si>
  <si>
    <t>Journal of Neuroendocrinology</t>
  </si>
  <si>
    <t>Journal of Neuroimaging</t>
  </si>
  <si>
    <t>Journal of Neuroimmunology</t>
  </si>
  <si>
    <t>Journal of Neurological Surgery. Part A: Central European Neurosurgery</t>
  </si>
  <si>
    <t>Journal of Neurological Surgery. Part B: Skull Base</t>
  </si>
  <si>
    <t>Journal of Neurology</t>
  </si>
  <si>
    <t>Journal of Neurology, Neurosurgery and Psychiatry</t>
  </si>
  <si>
    <t>Journal of Neuropathology and Experimental Neurology</t>
  </si>
  <si>
    <t>Journal of Neuroradiology</t>
  </si>
  <si>
    <t>Journal of Neuroscience Methods</t>
  </si>
  <si>
    <t>Journal of Neuroscience Research</t>
  </si>
  <si>
    <t>Journal of Neurosurgery</t>
  </si>
  <si>
    <t>Journal of Neurosurgery: Spine</t>
  </si>
  <si>
    <t>Journal of Neurotrauma</t>
  </si>
  <si>
    <t>Journal of NeuroVirology</t>
  </si>
  <si>
    <t>Journal of Psychiatric Practice</t>
  </si>
  <si>
    <t>Journal of Psychiatric Research</t>
  </si>
  <si>
    <t>Journal of Psychiatry and Neuroscience</t>
  </si>
  <si>
    <t>Journal of Sleep Research</t>
  </si>
  <si>
    <t>Journal of Spinal Disorders &amp; Techniques</t>
  </si>
  <si>
    <t>Journal of the American Academy of Psychiatry and the Law</t>
  </si>
  <si>
    <t>Journal of the Neurological Sciences</t>
  </si>
  <si>
    <t>Journal of the Peripheral Nervous System</t>
  </si>
  <si>
    <t>Key Issues in Mental Health</t>
  </si>
  <si>
    <t>Metabolic Brain Disease</t>
  </si>
  <si>
    <t>Mind and Matter</t>
  </si>
  <si>
    <t>Molecular and Cellular Neuroscience</t>
  </si>
  <si>
    <t>Motor Control</t>
  </si>
  <si>
    <t>Movement Disorders Clinical Practice</t>
  </si>
  <si>
    <t>Multiple Sclerosis Journal</t>
  </si>
  <si>
    <t>Neural Plasticity</t>
  </si>
  <si>
    <t>Neurobiology of Aging</t>
  </si>
  <si>
    <t>Neurobiology of Learning and Memory</t>
  </si>
  <si>
    <t>Neurocase</t>
  </si>
  <si>
    <t>Neurochemical Research</t>
  </si>
  <si>
    <t>Neuroendocrinology</t>
  </si>
  <si>
    <t>Neuroendocrinology Letters</t>
  </si>
  <si>
    <t>Neuroepidemiology</t>
  </si>
  <si>
    <t>Neurogenetics</t>
  </si>
  <si>
    <t>Neuroimaging Clinics of North America</t>
  </si>
  <si>
    <t>Neurologia</t>
  </si>
  <si>
    <t>Neurologia Medico-Chirurgica</t>
  </si>
  <si>
    <t>Neurologic Clinics</t>
  </si>
  <si>
    <t>Neurological Research</t>
  </si>
  <si>
    <t>Neurological Sciences</t>
  </si>
  <si>
    <t>Neurological Surgery</t>
  </si>
  <si>
    <t>Neurology India</t>
  </si>
  <si>
    <t>Neuromodulation: Technology at the Neural Interface</t>
  </si>
  <si>
    <t>NeuroMolecular Medicine</t>
  </si>
  <si>
    <t>Neuromuscular Disorders</t>
  </si>
  <si>
    <t>Neuropeptides</t>
  </si>
  <si>
    <t>Neurophysiology</t>
  </si>
  <si>
    <t>Neuropsychiatric Disease and Treatment</t>
  </si>
  <si>
    <t>Neuro-Psychoanalysis</t>
  </si>
  <si>
    <t>Neuropsychobiology</t>
  </si>
  <si>
    <t>Neuropsychological Rehabilitation</t>
  </si>
  <si>
    <t>Neuroradiology</t>
  </si>
  <si>
    <t>NeuroRehabilitation</t>
  </si>
  <si>
    <t>Neurorehabilitation and Neural Repair</t>
  </si>
  <si>
    <t>NeuroReport</t>
  </si>
  <si>
    <t>Neuroscience</t>
  </si>
  <si>
    <t>Neuroscience and Behavioral Physiology</t>
  </si>
  <si>
    <t>Neuroscience Letters</t>
  </si>
  <si>
    <t>Neuroscience Research</t>
  </si>
  <si>
    <t>NeuroSignals</t>
  </si>
  <si>
    <t>Neurosurgery</t>
  </si>
  <si>
    <t>Neurosurgery Clinics of North America</t>
  </si>
  <si>
    <t>Neurosurgery Quarterly</t>
  </si>
  <si>
    <t>Neurosurgical Review</t>
  </si>
  <si>
    <t>Neurotoxicity Research</t>
  </si>
  <si>
    <t>Neurourology and Urodynamics</t>
  </si>
  <si>
    <t>Nordic Journal of Psychiatry</t>
  </si>
  <si>
    <t>Nordic Journal of Psychiatry. Supplement</t>
  </si>
  <si>
    <t>Pain Practice</t>
  </si>
  <si>
    <t>Parkinsonism &amp; Related Disorders</t>
  </si>
  <si>
    <t>Pediatric Neurosurgery</t>
  </si>
  <si>
    <t>Practical Neurology</t>
  </si>
  <si>
    <t>Progress in Brain Research</t>
  </si>
  <si>
    <t>Progress in Neuro-Psychopharmacology &amp; Biological Psychiatry</t>
  </si>
  <si>
    <t>Psychiatric Annals</t>
  </si>
  <si>
    <t>Psychiatric Clinics of North America</t>
  </si>
  <si>
    <t>Psychiatric Genetics</t>
  </si>
  <si>
    <t>Psychiatric Quarterly</t>
  </si>
  <si>
    <t>Psychiatric Rehabilitation Journal</t>
  </si>
  <si>
    <t>Psychiatric Services</t>
  </si>
  <si>
    <t>Psychiatry</t>
  </si>
  <si>
    <t>Psychiatry and Clinical Neurosciences</t>
  </si>
  <si>
    <t>Psychiatry Research</t>
  </si>
  <si>
    <t>Psychiatry Research: Neuroimaging</t>
  </si>
  <si>
    <t>Psychiatry, Psychology and Law</t>
  </si>
  <si>
    <t>Psychoanalysis and History</t>
  </si>
  <si>
    <t>Psychoanalytic Psychotherapy</t>
  </si>
  <si>
    <t>Psychodynamic Practice</t>
  </si>
  <si>
    <t>Psychodynamic Psychiatry</t>
  </si>
  <si>
    <t>Psychoneuroendocrinology</t>
  </si>
  <si>
    <t>Psychopathology</t>
  </si>
  <si>
    <t>Psychotherapy and Psychosomatics</t>
  </si>
  <si>
    <t>Restorative Neurology and Neuroscience</t>
  </si>
  <si>
    <t>Reviews in the Neurosciences</t>
  </si>
  <si>
    <t>Scandinavian Psychoanalytic Review</t>
  </si>
  <si>
    <t>Schizophrenia Research</t>
  </si>
  <si>
    <t>Seizure - European Journal of Epilepsy</t>
  </si>
  <si>
    <t>Seminars in Neurology</t>
  </si>
  <si>
    <t>Sleep and Biological Rhythm</t>
  </si>
  <si>
    <t>Sleep and Breathing</t>
  </si>
  <si>
    <t>Sleep Medicine</t>
  </si>
  <si>
    <t>Social Cognitive and Affective Neuroscience</t>
  </si>
  <si>
    <t>Social Neuroscience</t>
  </si>
  <si>
    <t>Somatosensory and Motor Research</t>
  </si>
  <si>
    <t>Spinal Cord</t>
  </si>
  <si>
    <t>Stereotactic and Functional Neurosurgery</t>
  </si>
  <si>
    <t>Synapse</t>
  </si>
  <si>
    <t>The American Journal of Geriatric Psychiatry</t>
  </si>
  <si>
    <t>The American Journal of Psychoanalysis</t>
  </si>
  <si>
    <t>The Australian &amp; New Zealand Journal of Psychiatry</t>
  </si>
  <si>
    <t>The Canadian Journal of Psychiatry</t>
  </si>
  <si>
    <t>The Cerebellum</t>
  </si>
  <si>
    <t>The Clinical Journal of Pain</t>
  </si>
  <si>
    <t>The Clinical Neuropsychologist</t>
  </si>
  <si>
    <t>The European Journal of Psychiatry</t>
  </si>
  <si>
    <t>The Hippocampus</t>
  </si>
  <si>
    <t>The International Journal of Psychiatry in Medicine</t>
  </si>
  <si>
    <t>The Journal of Addictions &amp; Offender Counseling</t>
  </si>
  <si>
    <t>The Journal of Clinical Sleep Medicine</t>
  </si>
  <si>
    <t>The Journal of Comparative Neurology</t>
  </si>
  <si>
    <t>The Journal of Electroconvulsive Therapy</t>
  </si>
  <si>
    <t>The Journal of Forensic Psychiatry &amp; Psychology</t>
  </si>
  <si>
    <t>The Journal of Headache and Pain</t>
  </si>
  <si>
    <t>The Journal of Neuropsychiatry and Clinical Neurosciences</t>
  </si>
  <si>
    <t>The Journal of Spinal Cord Medicine</t>
  </si>
  <si>
    <t>The Neurodiagnostic Journal</t>
  </si>
  <si>
    <t>The Neurologist</t>
  </si>
  <si>
    <t>The Neuroscientist</t>
  </si>
  <si>
    <t>The Psychoanalytic Review</t>
  </si>
  <si>
    <t>The Spine Journal</t>
  </si>
  <si>
    <t>The World Journal of Biological Psychiatry</t>
  </si>
  <si>
    <t>Topics in Spinal Cord Injury Rehabilitation</t>
  </si>
  <si>
    <t>Topics in Stroke Rehabilitation</t>
  </si>
  <si>
    <t>Transcultural Psychiatry</t>
  </si>
  <si>
    <t>Visual Neuroscience</t>
  </si>
  <si>
    <t>World Neurosurgery</t>
  </si>
  <si>
    <t>Øre-næse-hals, øjensygdomme</t>
  </si>
  <si>
    <t>Acta Ophthalmologica</t>
  </si>
  <si>
    <t>British Journal of Ophthalmology</t>
  </si>
  <si>
    <t>Ear and Hearing</t>
  </si>
  <si>
    <t>Experimental Eye Research</t>
  </si>
  <si>
    <t>Head &amp; Neck - Journal for the Sciences and Specialties of the Head and Neck</t>
  </si>
  <si>
    <t>Hearing Research</t>
  </si>
  <si>
    <t>Investigative Ophthalmology &amp; Visual Science</t>
  </si>
  <si>
    <t>Journal of the Association for Research in Otolaryngology</t>
  </si>
  <si>
    <t>Ophthalmology</t>
  </si>
  <si>
    <t>Progress in Retinal and Eye Research</t>
  </si>
  <si>
    <t>The Laryngoscope</t>
  </si>
  <si>
    <t>Acta Oto-Laryngologica</t>
  </si>
  <si>
    <t>Advances in Oto-Rhino-Laryngology</t>
  </si>
  <si>
    <t>American Journal of Ophthalmology</t>
  </si>
  <si>
    <t>American Journal of Otolaryngology</t>
  </si>
  <si>
    <t>American Journal of Rhinology &amp; Allergy</t>
  </si>
  <si>
    <t>Annals of Otology, Rhinology and Laryngology</t>
  </si>
  <si>
    <t>Audiology and Neuro-Otology</t>
  </si>
  <si>
    <t>Auris Nasus Larynx</t>
  </si>
  <si>
    <t>BMC Ear, Nose and Throat Disorders</t>
  </si>
  <si>
    <t>BMC Ophthalmology</t>
  </si>
  <si>
    <t>Canadian Journal of Ophthalmology</t>
  </si>
  <si>
    <t>Clinical and Experimental Ophthalmology</t>
  </si>
  <si>
    <t>Clinical and Experimental Optometry</t>
  </si>
  <si>
    <t>Clinical Otolaryngology</t>
  </si>
  <si>
    <t>Contact Lens &amp; Anterior Eye</t>
  </si>
  <si>
    <t>Cornea</t>
  </si>
  <si>
    <t>Current Eye Research</t>
  </si>
  <si>
    <t>Current Opinion in Ophthalmology</t>
  </si>
  <si>
    <t>Current Opinion in Organ Transplantation</t>
  </si>
  <si>
    <t>Current Opinion in Otolaryngology &amp; Head and Neck Surgery</t>
  </si>
  <si>
    <t>Der Ophthalmologe</t>
  </si>
  <si>
    <t>Documenta Ophthalmologica</t>
  </si>
  <si>
    <t>Dysphagia</t>
  </si>
  <si>
    <t>Ear, Nose &amp; Throat Journal</t>
  </si>
  <si>
    <t>European Archives of Oto-Rhino-Laryngology</t>
  </si>
  <si>
    <t>European Journal of Ophthalmology</t>
  </si>
  <si>
    <t>Eye</t>
  </si>
  <si>
    <t>Eye and Contact Lens: Science and Clinical Practice</t>
  </si>
  <si>
    <t>Folia Phoniatrica et Logopaedica</t>
  </si>
  <si>
    <t>Graefe's Archive for Clinical and Experimental Ophthalmology</t>
  </si>
  <si>
    <t>Hearing, Balance and Communication</t>
  </si>
  <si>
    <t>HNO</t>
  </si>
  <si>
    <t>International Journal of Pediatric Otorhinolaryngology</t>
  </si>
  <si>
    <t>International Journal of Speech-Language Pathology</t>
  </si>
  <si>
    <t>International Ophthalmology</t>
  </si>
  <si>
    <t>International Ophthalmology Clinics</t>
  </si>
  <si>
    <t>JAMA Ophthalmology</t>
  </si>
  <si>
    <t>JAMA Otolaryngology</t>
  </si>
  <si>
    <t>Japanese Journal of Ophthalmology</t>
  </si>
  <si>
    <t>Journal for Oto-Rhino-Laryngology, Head and Neck Surgery</t>
  </si>
  <si>
    <t>Journal Francais d'Ophtalmologie</t>
  </si>
  <si>
    <t>Journal of Biomedical Optics</t>
  </si>
  <si>
    <t>Journal of Cataract &amp; Refractive Surgery</t>
  </si>
  <si>
    <t>Journal of Glaucoma</t>
  </si>
  <si>
    <t>Journal of Laryngology and Otology</t>
  </si>
  <si>
    <t>Journal of Neuro-Ophthalmology</t>
  </si>
  <si>
    <t>Journal of Ocular Pharmacology and Therapeutics</t>
  </si>
  <si>
    <t>Journal of Otolaryngology - Head &amp; Neck Surgery</t>
  </si>
  <si>
    <t>Journal of Pediatric Ophthalmology &amp; Strabismus</t>
  </si>
  <si>
    <t>Journal of Speech, Language, and Hearing Research</t>
  </si>
  <si>
    <t>Journal of Vestibular Research: Equilibrium and Orientation</t>
  </si>
  <si>
    <t>Journal of Vision</t>
  </si>
  <si>
    <t>Journal of Visual Impairment &amp; Blindness</t>
  </si>
  <si>
    <t>Journal of AAPOS</t>
  </si>
  <si>
    <t>Klinische Monatsblätter für Augenheilkunde</t>
  </si>
  <si>
    <t>Laryngo- Rhino- Otologie</t>
  </si>
  <si>
    <t>Neuro-Ophthalmology</t>
  </si>
  <si>
    <t>Ocular Immunology and Inflammation</t>
  </si>
  <si>
    <t>Ophthalmic and Physiological Optics</t>
  </si>
  <si>
    <t>Ophthalmic Epidemiology</t>
  </si>
  <si>
    <t>Ophthalmic Genetics</t>
  </si>
  <si>
    <t>Ophthalmic Plastic and Reconstructive Surgery</t>
  </si>
  <si>
    <t>Ophthalmic Research</t>
  </si>
  <si>
    <t>Ophthalmologica</t>
  </si>
  <si>
    <t>Optometry and Vision Science</t>
  </si>
  <si>
    <t>Orbit</t>
  </si>
  <si>
    <t>Otolaryngologic Clinics of North America</t>
  </si>
  <si>
    <t>Otolaryngology - Head and Neck Surgery</t>
  </si>
  <si>
    <t>Otology &amp; Neurotology</t>
  </si>
  <si>
    <t>Retina</t>
  </si>
  <si>
    <t>Rhinology</t>
  </si>
  <si>
    <t>Seminars in Hearing</t>
  </si>
  <si>
    <t>Seminars in Ophthalmology</t>
  </si>
  <si>
    <t>Seminars in Speech and Language</t>
  </si>
  <si>
    <t>Strabismus</t>
  </si>
  <si>
    <t>Survey of Ophthalmology</t>
  </si>
  <si>
    <t>The Journal of Voice</t>
  </si>
  <si>
    <t>Trends in Hearing</t>
  </si>
  <si>
    <t>Vision Research</t>
  </si>
  <si>
    <t>Gynækologi og obst.</t>
  </si>
  <si>
    <t>American Journal of Obstetrics &amp; Gynecology</t>
  </si>
  <si>
    <t>BJOG: An International Journal of Obstetrics and Gynaecology</t>
  </si>
  <si>
    <t>Gynecologic Oncology</t>
  </si>
  <si>
    <t>Human Reproduction</t>
  </si>
  <si>
    <t>Ultrasound in Obstetrics and Gynecology</t>
  </si>
  <si>
    <t>Acta Obstetricia et Gynecologica Scandinavica</t>
  </si>
  <si>
    <t>American Journal of Perinatology</t>
  </si>
  <si>
    <t>American Journal of Reproductive Immunology</t>
  </si>
  <si>
    <t>Archives of Disease in Childhood. Fetal and Neonatal Edition</t>
  </si>
  <si>
    <t>Archives of Gynecology and Obstetrics</t>
  </si>
  <si>
    <t>Best Practice &amp; Research: Clinical Obstetrics &amp; Gynaecology</t>
  </si>
  <si>
    <t>Biology of Reproduction</t>
  </si>
  <si>
    <t>Birth</t>
  </si>
  <si>
    <t>BMC Pregnancy and Childbirth</t>
  </si>
  <si>
    <t>BMC Women's Health</t>
  </si>
  <si>
    <t>Climacteric</t>
  </si>
  <si>
    <t>Clinical Obstetrics and Gynecology</t>
  </si>
  <si>
    <t>Clinics in Perinatology</t>
  </si>
  <si>
    <t>Contemporary Ob-Gyn</t>
  </si>
  <si>
    <t>Contraception</t>
  </si>
  <si>
    <t>Current Opinion in Obstetrics &amp; Gynecology</t>
  </si>
  <si>
    <t>Der Gynaekologe</t>
  </si>
  <si>
    <t>Early Human Development</t>
  </si>
  <si>
    <t>European Journal of Gynecological Oncology</t>
  </si>
  <si>
    <t>European Journal of Obstetrics &amp; Gynecology and Reproductive Biology</t>
  </si>
  <si>
    <t>Fertility and Sterility</t>
  </si>
  <si>
    <t>Fetal and Maternal Medicine Review</t>
  </si>
  <si>
    <t>Fetal Diagnosis and Therapy</t>
  </si>
  <si>
    <t>Geburtshilfe und Frauenheilkunde</t>
  </si>
  <si>
    <t>Gynaekologische Endokrinologie</t>
  </si>
  <si>
    <t>Gynecologic and Obstetric Investigation</t>
  </si>
  <si>
    <t>Gynecological Endocrinology</t>
  </si>
  <si>
    <t>Gynecological Surgery</t>
  </si>
  <si>
    <t>Human Reproduction Update</t>
  </si>
  <si>
    <t>Hypertension in Pregnancy</t>
  </si>
  <si>
    <t>Infectious Diseases in Obstetrics and Gynecology</t>
  </si>
  <si>
    <t>International Journal of Gynecological Cancer</t>
  </si>
  <si>
    <t>International Journal of Gynecology &amp; Obstetrics</t>
  </si>
  <si>
    <t>Journal of Assisted Reproduction and Genetics</t>
  </si>
  <si>
    <t>Journal of Human Lactation</t>
  </si>
  <si>
    <t>Journal of Minimally Invasive Gynecology</t>
  </si>
  <si>
    <t>Journal of Obstetrics and Gynaecology</t>
  </si>
  <si>
    <t>Journal of Obstetrics and Gynaecology Research</t>
  </si>
  <si>
    <t>Journal of Pediatric and Adolescent Gynecology</t>
  </si>
  <si>
    <t>Journal of Perinatal Medicine</t>
  </si>
  <si>
    <t>Journal of Perinatology</t>
  </si>
  <si>
    <t>Journal of Psychosomatic Obstetrics and Gynecology</t>
  </si>
  <si>
    <t>Journal of Reproductive Medicine</t>
  </si>
  <si>
    <t xml:space="preserve">Menopause </t>
  </si>
  <si>
    <t>Minerva Ginecologica</t>
  </si>
  <si>
    <t>Neonatology</t>
  </si>
  <si>
    <t>Obstetrical &amp; Gynecological Survey</t>
  </si>
  <si>
    <t>Obstetrics and Gynecology</t>
  </si>
  <si>
    <t>Obstetrics and Gynecology Clinics of North America</t>
  </si>
  <si>
    <t>Obstetrics, Gynecology and Reproductive Medicine</t>
  </si>
  <si>
    <t>Placenta</t>
  </si>
  <si>
    <t>Prenatal Diagnosis</t>
  </si>
  <si>
    <t>Reproductive Medicine and Biology</t>
  </si>
  <si>
    <t>Seminars in Fetal &amp; Neonatal Medicine</t>
  </si>
  <si>
    <t>Seminars in Perinatology</t>
  </si>
  <si>
    <t>Seminars in Reproductive Medicine</t>
  </si>
  <si>
    <t>The Australian and New Zealand Journal of Obstetrics and Gynaecology</t>
  </si>
  <si>
    <t>The Breast Journal</t>
  </si>
  <si>
    <t>The European Journal of Contraception and Reproductive Health Care</t>
  </si>
  <si>
    <t>The Journal of Maternal-Fetal &amp; Neonatal Medicine</t>
  </si>
  <si>
    <t>Zeitschrift fuer Geburtshilfe und Neonatologie</t>
  </si>
  <si>
    <t>Dermatol. og Venerol.</t>
  </si>
  <si>
    <t>British Journal of Dermatology</t>
  </si>
  <si>
    <t>Contact Dermatitis</t>
  </si>
  <si>
    <t>JAMA Dermatology</t>
  </si>
  <si>
    <t>Journal of the American Academy of Dermatology</t>
  </si>
  <si>
    <t>Journal of the European Academy of Dermatology and Venereology</t>
  </si>
  <si>
    <t>The Journal of Investigative Dermatology</t>
  </si>
  <si>
    <t>Acta Dermato-Venereologica</t>
  </si>
  <si>
    <t>American Journal of Clinical Dermatology</t>
  </si>
  <si>
    <t>American Journal of Dermatopathology</t>
  </si>
  <si>
    <t>Annales de Dermatologie et de Venereologie</t>
  </si>
  <si>
    <t>Archives of Dermatological Research</t>
  </si>
  <si>
    <t>Australasian Journal of Dermatology</t>
  </si>
  <si>
    <t>BMC Dermatology</t>
  </si>
  <si>
    <t>British Journal of Dermatology. Supplement</t>
  </si>
  <si>
    <t>Case Reports in Dermatology</t>
  </si>
  <si>
    <t>Clinical and Experimental Dermatology</t>
  </si>
  <si>
    <t>Clinics in Dermatology</t>
  </si>
  <si>
    <t>Current Problems in Dermatology</t>
  </si>
  <si>
    <t>Cutis</t>
  </si>
  <si>
    <t>Der Hautarzt</t>
  </si>
  <si>
    <t>Dermatitis</t>
  </si>
  <si>
    <t>Dermatologic Clinics</t>
  </si>
  <si>
    <t>Dermatologic Therapy</t>
  </si>
  <si>
    <t>Dermatology</t>
  </si>
  <si>
    <t>Dermatology Online Journal</t>
  </si>
  <si>
    <t>Dermatology Reports</t>
  </si>
  <si>
    <t>European Journal of Dermatology</t>
  </si>
  <si>
    <t>European Journal of Pediatric Dermatology</t>
  </si>
  <si>
    <t>Experimental Dermatology</t>
  </si>
  <si>
    <t>Indian Journal of Dermatology, Venereology and Leprology</t>
  </si>
  <si>
    <t>International Journal of Dermatology</t>
  </si>
  <si>
    <t>JDDG: Journal der Deutschen Dermatologischen Gesellschaft</t>
  </si>
  <si>
    <t>Journal of Acquired Immune Deficiency Syndromes</t>
  </si>
  <si>
    <t>Journal of Clinical Dermatology</t>
  </si>
  <si>
    <t>Journal of Cosmetic Dermatology</t>
  </si>
  <si>
    <t>Journal of Cutaneous Medicine and Surgery</t>
  </si>
  <si>
    <t>Journal of Cutaneous Pathology</t>
  </si>
  <si>
    <t>Journal of Dermatological Science</t>
  </si>
  <si>
    <t>Journal of Dermatological Treatment</t>
  </si>
  <si>
    <t>Journal of Dermatology</t>
  </si>
  <si>
    <t>Journal of Drugs in Dermatology</t>
  </si>
  <si>
    <t>Journal of Lower Genital Tract Disease</t>
  </si>
  <si>
    <t>Journal of Skin Cancer</t>
  </si>
  <si>
    <t>Journal of the European Academy of Dermatology and Venereology. Supplement</t>
  </si>
  <si>
    <t>Melanoma Research</t>
  </si>
  <si>
    <t>Mycoses</t>
  </si>
  <si>
    <t>Pediatric Dermatology</t>
  </si>
  <si>
    <t>Photodermatology, Photoimmunology &amp; Photomedicine</t>
  </si>
  <si>
    <t>Pigment Cell &amp; Melanoma Research</t>
  </si>
  <si>
    <t>Seminars in Cutaneous Medicine and Surgery</t>
  </si>
  <si>
    <t>Sexually Transmitted Infections</t>
  </si>
  <si>
    <t>Skin Research and Technology</t>
  </si>
  <si>
    <t>The Journal of Investigative Dermatology Symposium Proceedings</t>
  </si>
  <si>
    <t>Wound Repair and Regeneration</t>
  </si>
  <si>
    <t>Pædiatri</t>
  </si>
  <si>
    <t>Pediatric Blood &amp; Cancer</t>
  </si>
  <si>
    <t>Pediatrics</t>
  </si>
  <si>
    <t>The Journal of Pediatrics</t>
  </si>
  <si>
    <t>Acta Paediatrica</t>
  </si>
  <si>
    <t>Archives of Disease in Childhood</t>
  </si>
  <si>
    <t>BMC Pediatrics</t>
  </si>
  <si>
    <t>Child Neuropsychology: A Journal on Normal and Abnormal Development in Childhood and Adolescence</t>
  </si>
  <si>
    <t>Clinical Pediatric Endocrinology</t>
  </si>
  <si>
    <t>Current Opinion in Pediatrics</t>
  </si>
  <si>
    <t>Enfance</t>
  </si>
  <si>
    <t>European Journal of Pediatric Surgery</t>
  </si>
  <si>
    <t>European Journal of Pediatrics</t>
  </si>
  <si>
    <t>Fetal and Pediatric Pathology</t>
  </si>
  <si>
    <t>Journal of Child Neurology</t>
  </si>
  <si>
    <t>Journal of Paediatrics and Child Health</t>
  </si>
  <si>
    <t>Journal of Pediatric Endocrinology and Metabolism</t>
  </si>
  <si>
    <t>Journal of Pediatric Gastroenterology and Nutrition</t>
  </si>
  <si>
    <t>Journal of Pediatric Health Care</t>
  </si>
  <si>
    <t>Journal of Pediatric Hematology/Oncology</t>
  </si>
  <si>
    <t>Journal of Pediatric Orthopaedics</t>
  </si>
  <si>
    <t>Journal of Pediatric Orthopaedics. Part B</t>
  </si>
  <si>
    <t>Journal of Tropical Pediatrics</t>
  </si>
  <si>
    <t>Klinische Paediatrie</t>
  </si>
  <si>
    <t>Medecine Therapeutique Pediatrie</t>
  </si>
  <si>
    <t>Minerva Pediatrica</t>
  </si>
  <si>
    <t>Neuropediatrics</t>
  </si>
  <si>
    <t>Paediatric Drugs</t>
  </si>
  <si>
    <t>Pediatric Allergy and Immunology</t>
  </si>
  <si>
    <t>Pediatric Allergy, Immunology, and Pulmonology</t>
  </si>
  <si>
    <t>Pediatric Annals</t>
  </si>
  <si>
    <t>Pediatric Cardiology</t>
  </si>
  <si>
    <t>Pediatric Diabetes</t>
  </si>
  <si>
    <t>Pediatric Exercise Science</t>
  </si>
  <si>
    <t>Pediatric Hematology &amp; Oncology</t>
  </si>
  <si>
    <t>Pediatric Nephrology</t>
  </si>
  <si>
    <t>Pediatric Neurology</t>
  </si>
  <si>
    <t>Pediatric Obesity</t>
  </si>
  <si>
    <t>Pediatric Physical Therapy</t>
  </si>
  <si>
    <t>Pediatric Pulmonology</t>
  </si>
  <si>
    <t>Pediatric Research</t>
  </si>
  <si>
    <t>Pediatric Transplantation</t>
  </si>
  <si>
    <t>Pediatrics in Review</t>
  </si>
  <si>
    <t>Pediatrics International</t>
  </si>
  <si>
    <t>The Pediatric Infectious Disease Journal</t>
  </si>
  <si>
    <t>Turkish Journal of Pediatrics</t>
  </si>
  <si>
    <t>Farmakologi og toksikologi</t>
  </si>
  <si>
    <t>Annual Review of Pharmacology and Toxicology</t>
  </si>
  <si>
    <t>British Journal of Clinical Pharmacology</t>
  </si>
  <si>
    <t>British Journal of Pharmacology</t>
  </si>
  <si>
    <t>Clinical Pharmacokinetics</t>
  </si>
  <si>
    <t>Clinical Pharmacology &amp; Therapeutics</t>
  </si>
  <si>
    <t>Critical Reviews in Toxicology</t>
  </si>
  <si>
    <t>Drug Resistance Updates</t>
  </si>
  <si>
    <t>European Journal of Clinical Pharmacology</t>
  </si>
  <si>
    <t>Medicinal Research Reviews</t>
  </si>
  <si>
    <t>Molecular Pharmacology</t>
  </si>
  <si>
    <t>Molecular Therapy</t>
  </si>
  <si>
    <t>Nature Reviews. Drug Discovery</t>
  </si>
  <si>
    <t>Neuropharmacology</t>
  </si>
  <si>
    <t>Neuropsychopharmacology</t>
  </si>
  <si>
    <t>Pharmacological Reviews</t>
  </si>
  <si>
    <t>Pharmacology &amp; Therapeutics</t>
  </si>
  <si>
    <t>Psychopharmacology</t>
  </si>
  <si>
    <t>The Journal of Pharmacology and Experimental Therapeutics</t>
  </si>
  <si>
    <t>Toxicological Sciences</t>
  </si>
  <si>
    <t>Toxicology and Applied Pharmacology</t>
  </si>
  <si>
    <t>Trends in Pharmacological Sciences</t>
  </si>
  <si>
    <t>Acta Pharmacologica Sinica</t>
  </si>
  <si>
    <t>Advances in Pharmacology</t>
  </si>
  <si>
    <t>Advances in Therapy</t>
  </si>
  <si>
    <t>Alimentary Pharmacology and Therapeutics</t>
  </si>
  <si>
    <t>ALTEX: Alternatives to Animal Experiments</t>
  </si>
  <si>
    <t>American Journal of Cardiovascular Drugs</t>
  </si>
  <si>
    <t>American Journal of Pharmacology and Toxicology</t>
  </si>
  <si>
    <t>American Journal of Therapeutics</t>
  </si>
  <si>
    <t>Annual Reports in Medicinal Chemistry</t>
  </si>
  <si>
    <t>Anti-Cancer Agents in Medicinal Chemistry</t>
  </si>
  <si>
    <t>Anti-Infective Agents</t>
  </si>
  <si>
    <t>Anti-Inflammatory &amp; Anti-Allergy Agents in Medicinal Chemistry</t>
  </si>
  <si>
    <t>Antiviral Chemistry and Chemotherapy</t>
  </si>
  <si>
    <t>Antiviral Research</t>
  </si>
  <si>
    <t>Archives of Pharmacal Research</t>
  </si>
  <si>
    <t>Archives of Toxicology</t>
  </si>
  <si>
    <t>ASSAY and Drug Development Technologies</t>
  </si>
  <si>
    <t>Australian Prescriber</t>
  </si>
  <si>
    <t>Autonomic &amp; Autacoid Pharmacology</t>
  </si>
  <si>
    <t>Basic &amp; Clinical Pharmacology &amp; Toxicology</t>
  </si>
  <si>
    <t>Behavioural Pharmacology</t>
  </si>
  <si>
    <t>Biochemical Pharmacology</t>
  </si>
  <si>
    <t>Biologicals</t>
  </si>
  <si>
    <t>BioPharm International</t>
  </si>
  <si>
    <t>Birth Defects Research</t>
  </si>
  <si>
    <t>BMC Pharmacology and Toxicology</t>
  </si>
  <si>
    <t>Canadian Journal of Physiology and Pharmacology</t>
  </si>
  <si>
    <t>Carbohydrate Polymers</t>
  </si>
  <si>
    <t>Cardiovascular &amp; Hematological Agents in Medicinal Chemistry</t>
  </si>
  <si>
    <t>Cardiovascular &amp; Hematological Disorders - Drug Targets</t>
  </si>
  <si>
    <t>Cardiovascular Drugs and Therapy</t>
  </si>
  <si>
    <t>Central Nervous System Agents in Medicinal Chemistry</t>
  </si>
  <si>
    <t>Chemical Research in Toxicology</t>
  </si>
  <si>
    <t>Chemico-Biological Interactions</t>
  </si>
  <si>
    <t>Chirality</t>
  </si>
  <si>
    <t>Clinical Drug Investigation</t>
  </si>
  <si>
    <t>Clinical Neuropharmacology</t>
  </si>
  <si>
    <t>Clinical Pharmacist</t>
  </si>
  <si>
    <t>Clinical Therapeutics</t>
  </si>
  <si>
    <t>Clinical Toxicology</t>
  </si>
  <si>
    <t>Complementary Therapies in Medicine</t>
  </si>
  <si>
    <t>Current Drug Metabolism</t>
  </si>
  <si>
    <t>Current Neuropharmacology</t>
  </si>
  <si>
    <t>Current Opinion in Pharmacology</t>
  </si>
  <si>
    <t>Cutaneous and Ocular Toxicology</t>
  </si>
  <si>
    <t>Deutsche Apotheker Zeitung</t>
  </si>
  <si>
    <t>Die Pharmazie</t>
  </si>
  <si>
    <t>Drug and Chemical Toxicology</t>
  </si>
  <si>
    <t>Drug and Therapeutics Bulletin</t>
  </si>
  <si>
    <t>Drug Development Research</t>
  </si>
  <si>
    <t>Drug Discovery Today</t>
  </si>
  <si>
    <t>Drug Metabolism and Disposition</t>
  </si>
  <si>
    <t>Drug Metabolism Reviews</t>
  </si>
  <si>
    <t>Drug Research</t>
  </si>
  <si>
    <t>Drugs &amp; Aging</t>
  </si>
  <si>
    <t>Drugs &amp; Therapy Perspectives</t>
  </si>
  <si>
    <t>Drugs of the Future</t>
  </si>
  <si>
    <t>Drugs of Today</t>
  </si>
  <si>
    <t>Endocrine, Metabolic &amp; Immune Disorders - Drug Targets</t>
  </si>
  <si>
    <t>Enfermeria Clinica</t>
  </si>
  <si>
    <t>Enfermeria Intensiva</t>
  </si>
  <si>
    <t>European Journal of Drug Metabolism and Pharmacokinetics</t>
  </si>
  <si>
    <t>European Journal of Medicinal Chemistry</t>
  </si>
  <si>
    <t>European Journal of Pharmacology</t>
  </si>
  <si>
    <t>European Neuropsychopharmacology</t>
  </si>
  <si>
    <t>Experimental and Toxicologic Pathology</t>
  </si>
  <si>
    <t>Expert Opinion on Drug Safety</t>
  </si>
  <si>
    <t>Expert Opinion on Emerging Drugs</t>
  </si>
  <si>
    <t>Expert Opinion on Investigational Drugs</t>
  </si>
  <si>
    <t>Expert Opinion on Pharmacotherapy</t>
  </si>
  <si>
    <t>Expert Opinion on Therapeutic Patents</t>
  </si>
  <si>
    <t>Expert Opinion On Therapeutic Targets</t>
  </si>
  <si>
    <t>Expert Review of Pharmacoeconomics &amp; Outcomes Research</t>
  </si>
  <si>
    <t>Fitoterapia</t>
  </si>
  <si>
    <t>Fluoride</t>
  </si>
  <si>
    <t>Folia Pharmacologica Japonica</t>
  </si>
  <si>
    <t>Frontiers in Pharmacology</t>
  </si>
  <si>
    <t>Fundamental and Clinical Pharmacology</t>
  </si>
  <si>
    <t>Human &amp; Experimental Toxicology</t>
  </si>
  <si>
    <t>Indian Journal of Pharmacology</t>
  </si>
  <si>
    <t>Infectious Disorders - Drug Targets</t>
  </si>
  <si>
    <t>Inflammopharmacology</t>
  </si>
  <si>
    <t>International Clinical Psychopharmacology</t>
  </si>
  <si>
    <t>International Journal of Antimicrobial Agents</t>
  </si>
  <si>
    <t>International Journal of Clinical Pharmacology and Therapeutics</t>
  </si>
  <si>
    <t>International Journal of Toxicology</t>
  </si>
  <si>
    <t>Journal de Pharmacie Clinique</t>
  </si>
  <si>
    <t>Journal of Analytical Toxicology</t>
  </si>
  <si>
    <t>Journal of Asian Natural Products Research</t>
  </si>
  <si>
    <t xml:space="preserve">Journal of Biochemical and Molecular Toxicology </t>
  </si>
  <si>
    <t>Journal of Cardiovascular Pharmacology</t>
  </si>
  <si>
    <t>Journal of Cardiovascular Pharmacology and Therapeutics</t>
  </si>
  <si>
    <t>Journal of Drug Targeting</t>
  </si>
  <si>
    <t>Journal of Dual Diagnosis</t>
  </si>
  <si>
    <t>Journal of Ethnopharmacology</t>
  </si>
  <si>
    <t>Journal of Hazardous, Toxic and Radioactive Waste</t>
  </si>
  <si>
    <t>Journal of Liposome Research</t>
  </si>
  <si>
    <t>Journal of Microencapsulation</t>
  </si>
  <si>
    <t>Journal of Pain &amp; Palliative Care Pharmacotherapy</t>
  </si>
  <si>
    <t>Journal of Pharmacokinetics and Pharmacodynamics</t>
  </si>
  <si>
    <t>Journal of Pharmacological and Toxicological Methods</t>
  </si>
  <si>
    <t>Journal of Pharmacological Sciences</t>
  </si>
  <si>
    <t>Journal of Pharmacy and Pharmacology</t>
  </si>
  <si>
    <t>Journal of Psychopharmacology</t>
  </si>
  <si>
    <t>Journal of Toxicologic Pathology</t>
  </si>
  <si>
    <t>Journal of Toxicological Sciences</t>
  </si>
  <si>
    <t>Krankenhauspharmazie</t>
  </si>
  <si>
    <t>Letters in Drug Design &amp; Discovery</t>
  </si>
  <si>
    <t>Medicinal Chemistry Research</t>
  </si>
  <si>
    <t>Microbial Drug Resistance</t>
  </si>
  <si>
    <t>Mini - Reviews in Medicinal Chemistry</t>
  </si>
  <si>
    <t>Naunyn-Schmiedeberg's Archives of Pharmacology</t>
  </si>
  <si>
    <t>Pharmacogenomics</t>
  </si>
  <si>
    <t>Pharmacological Reports</t>
  </si>
  <si>
    <t>Pharmacological Research</t>
  </si>
  <si>
    <t>Pharmacology</t>
  </si>
  <si>
    <t>Pharmacopsychiatry</t>
  </si>
  <si>
    <t>Pharmacotherapy</t>
  </si>
  <si>
    <t>Phytomedicine</t>
  </si>
  <si>
    <t>Phytotherapy Research</t>
  </si>
  <si>
    <t>Prescrire International</t>
  </si>
  <si>
    <t>Psychopharmacology Bulletin</t>
  </si>
  <si>
    <t>Psychopharmakotherapie</t>
  </si>
  <si>
    <t>Pulmonary Pharmacology and Therapeutics</t>
  </si>
  <si>
    <t>Regulatory Toxicology and Pharmacology</t>
  </si>
  <si>
    <t>Side Effects of Drugs Annual</t>
  </si>
  <si>
    <t>The Annals of Pharmacotherapy</t>
  </si>
  <si>
    <t>The Journal of Clinical Pharmacology</t>
  </si>
  <si>
    <t>The Medical Letter on Drugs and Therapeutics</t>
  </si>
  <si>
    <t>Therapeutic Drug Monitoring</t>
  </si>
  <si>
    <t>Therapie</t>
  </si>
  <si>
    <t>Toxicologic Pathology</t>
  </si>
  <si>
    <t>Toxicology</t>
  </si>
  <si>
    <t>Toxicology and Industrial Health</t>
  </si>
  <si>
    <t>Toxicology in Vitro</t>
  </si>
  <si>
    <t>Toxicology Letters</t>
  </si>
  <si>
    <t>Toxicology Mechanisms and Methods</t>
  </si>
  <si>
    <t>Toxicology Research</t>
  </si>
  <si>
    <t>Toxicon</t>
  </si>
  <si>
    <t>Toxin Reviews</t>
  </si>
  <si>
    <t>Vascular Pharmacology</t>
  </si>
  <si>
    <t>Yakugaku Zasshi</t>
  </si>
  <si>
    <t>Odontologi</t>
  </si>
  <si>
    <t>Advances in Dental Research</t>
  </si>
  <si>
    <t>BMC Oral Health</t>
  </si>
  <si>
    <t>Caries Research</t>
  </si>
  <si>
    <t>Clinical Oral Implants Research</t>
  </si>
  <si>
    <t>Clinical Oral Investigations</t>
  </si>
  <si>
    <t>Community Dentistry and Oral Epidemiology</t>
  </si>
  <si>
    <t>Dentomaxillofacial Radiology</t>
  </si>
  <si>
    <t>European Journal of Oral Sciences</t>
  </si>
  <si>
    <t>International Endodontic Journal</t>
  </si>
  <si>
    <t>International Journal of Paediatric Dentistry</t>
  </si>
  <si>
    <t>Journal of Clinical Periodontology</t>
  </si>
  <si>
    <t>Journal of Dental Research</t>
  </si>
  <si>
    <t>Journal of Oral &amp; Facial Pain and Headache</t>
  </si>
  <si>
    <t>Journal of Oral and Maxillofacial Surgery</t>
  </si>
  <si>
    <t>Journal of Oral Pathology &amp; Medicine</t>
  </si>
  <si>
    <t>Journal of Oral Rehabilitation</t>
  </si>
  <si>
    <t>Journal of Periodontology</t>
  </si>
  <si>
    <t>Oral Diseases</t>
  </si>
  <si>
    <t>Orthodontics &amp; Craniofacial Research</t>
  </si>
  <si>
    <t>Acta Odontologica Scandinavica</t>
  </si>
  <si>
    <t>Aktuel Nordisk Odontologi</t>
  </si>
  <si>
    <t>American Journal of Dentistry</t>
  </si>
  <si>
    <t>American Journal of Orthodontics and Dentofacial Orthopedics</t>
  </si>
  <si>
    <t>Archives of Oral Biology</t>
  </si>
  <si>
    <t>Australian Dental Journal</t>
  </si>
  <si>
    <t>Australian Endodontic Journal</t>
  </si>
  <si>
    <t>Australian Orthodontic Journal</t>
  </si>
  <si>
    <t>Brazilian Dental Journal</t>
  </si>
  <si>
    <t>British Dental Journal</t>
  </si>
  <si>
    <t>British Journal of Oral and Maxillofacial Surgery</t>
  </si>
  <si>
    <t>Cleft Palate - Craniofacial Journal</t>
  </si>
  <si>
    <t>Clinical Implant Dentistry and Related Research</t>
  </si>
  <si>
    <t>Community Dental Health</t>
  </si>
  <si>
    <t>CRANIO</t>
  </si>
  <si>
    <t>Den Norske Tannlegeforenings Tidende</t>
  </si>
  <si>
    <t>Dental Hypotheses</t>
  </si>
  <si>
    <t>Dental Materials</t>
  </si>
  <si>
    <t>Dental Materials Journal</t>
  </si>
  <si>
    <t>Dental Traumatology</t>
  </si>
  <si>
    <t>Deutsche Zahnaerztliche Zeitschrift</t>
  </si>
  <si>
    <t>Deutsches Ärzteblatt</t>
  </si>
  <si>
    <t>European Archives of Paediatric Dentistry</t>
  </si>
  <si>
    <t>European Journal of Dental Education</t>
  </si>
  <si>
    <t>European Journal of Oral Implantology</t>
  </si>
  <si>
    <t>European Journal of Oral Sciences Online</t>
  </si>
  <si>
    <t>European Journal of Orthodontics</t>
  </si>
  <si>
    <t>European Journal of Paediatric Dentistry</t>
  </si>
  <si>
    <t>European Journal of Prosthodontics and Restorative Dentistry</t>
  </si>
  <si>
    <t>Evidence - Based Dentistry</t>
  </si>
  <si>
    <t>Implant Dentistry</t>
  </si>
  <si>
    <t>International Dental Journal</t>
  </si>
  <si>
    <t>International Journal of Computerized Dentistry</t>
  </si>
  <si>
    <t>International Journal of Dental Hygiene</t>
  </si>
  <si>
    <t>International Journal of Dentistry</t>
  </si>
  <si>
    <t>International Journal of Oral &amp; Maxillofacial Implants</t>
  </si>
  <si>
    <t>International Journal of Oral and Maxillofacial Surgery</t>
  </si>
  <si>
    <t>International Journal of Periodontics &amp; Restorative Dentistry</t>
  </si>
  <si>
    <t>International Journal of Prosthodontics</t>
  </si>
  <si>
    <t>Journal of Clinical Orthodontics</t>
  </si>
  <si>
    <t>Journal of Clinical Pediatric Dentistry</t>
  </si>
  <si>
    <t>Journal of Contemporary Dental Practice</t>
  </si>
  <si>
    <t>Journal of Cranio-Maxillofacial Surgery</t>
  </si>
  <si>
    <t>Journal of Dental Hygiene</t>
  </si>
  <si>
    <t>Journal of Dentistry</t>
  </si>
  <si>
    <t>Journal of Dentistry for Children</t>
  </si>
  <si>
    <t>Journal of Esthetic and Restorative Dentistry</t>
  </si>
  <si>
    <t>Journal of Evidence-Based Dental Practice</t>
  </si>
  <si>
    <t>Journal of Oral Microbiology</t>
  </si>
  <si>
    <t>Journal of Orthodontics</t>
  </si>
  <si>
    <t>Journal of Periodontal Research</t>
  </si>
  <si>
    <t>Journal of Prosthetic Dentistry</t>
  </si>
  <si>
    <t>Journal of Prosthodontic Research</t>
  </si>
  <si>
    <t>Journal of Prosthodontics</t>
  </si>
  <si>
    <t>Journal of Public Health Dentistry</t>
  </si>
  <si>
    <t>Journal of the American Dental Association</t>
  </si>
  <si>
    <t>Journal of the Canadian Dental Association</t>
  </si>
  <si>
    <t>Molecular Oral Microbiology</t>
  </si>
  <si>
    <t>Monographs in Oral Science</t>
  </si>
  <si>
    <t>Odontology: Official Journal of the Society of the Nippon Dental University</t>
  </si>
  <si>
    <t>Operative Dentistry</t>
  </si>
  <si>
    <t>Oral Health &amp; Preventive Dentistry</t>
  </si>
  <si>
    <t>Oral Microbiology and Immunology</t>
  </si>
  <si>
    <t>Oral Oncology</t>
  </si>
  <si>
    <t>Oral Radiology</t>
  </si>
  <si>
    <t>Oral Surgery</t>
  </si>
  <si>
    <t>Oral Surgery, Oral Medicine, Oral Pathology and Oral Radiology</t>
  </si>
  <si>
    <t>Pediatric Dentistry</t>
  </si>
  <si>
    <t>Periodontology 2000</t>
  </si>
  <si>
    <t>Progress in Orthodontics</t>
  </si>
  <si>
    <t>Quintessence International</t>
  </si>
  <si>
    <t>Schweizerische Monatsschrift fuer Zahnmedizin</t>
  </si>
  <si>
    <t>Seminars in Orthodontics</t>
  </si>
  <si>
    <t>Special Care in Dentistry</t>
  </si>
  <si>
    <t>Suomen Hammaslaakarilehti</t>
  </si>
  <si>
    <t>Tandlaegebladet</t>
  </si>
  <si>
    <t>Tandlaekartidningen</t>
  </si>
  <si>
    <t>The Angle Orthodontist</t>
  </si>
  <si>
    <t>The Compendium of Continuing Education in Dentistry</t>
  </si>
  <si>
    <t>The Journal of Adhesive Dentistry</t>
  </si>
  <si>
    <t>The Journal of Clinical Dentistry</t>
  </si>
  <si>
    <t>The Journal of Craniofacial Surgery</t>
  </si>
  <si>
    <t>The Journal of Endodontics</t>
  </si>
  <si>
    <t>The Open Dentistry Journal</t>
  </si>
  <si>
    <t>The Saudi Dental Journal</t>
  </si>
  <si>
    <t>World Journal of Stomatology</t>
  </si>
  <si>
    <t>Sygepleje</t>
  </si>
  <si>
    <t>Advances in Nursing Science</t>
  </si>
  <si>
    <t>AIDS Patient Care and S T Ds</t>
  </si>
  <si>
    <t>Cancer Nursing</t>
  </si>
  <si>
    <t>European Journal of Oncology Nursing</t>
  </si>
  <si>
    <t>Health Care for Women International</t>
  </si>
  <si>
    <t>International Journal of Mental Health Nursing</t>
  </si>
  <si>
    <t>International Journal of Nursing Studies</t>
  </si>
  <si>
    <t>Journal of Advanced Nursing</t>
  </si>
  <si>
    <t>Journal of Clinical Nursing</t>
  </si>
  <si>
    <t>Journal of Family Nursing</t>
  </si>
  <si>
    <t>Journal of Mixed Methods Research</t>
  </si>
  <si>
    <t>Journal of Nursing Education</t>
  </si>
  <si>
    <t>Journal of Nursing Management</t>
  </si>
  <si>
    <t>Journal of Nursing Scholarship</t>
  </si>
  <si>
    <t>Midwifery</t>
  </si>
  <si>
    <t>Nurse Education Today</t>
  </si>
  <si>
    <t>Nursing Ethics</t>
  </si>
  <si>
    <t>Nursing Outlook</t>
  </si>
  <si>
    <t>Nursing Research</t>
  </si>
  <si>
    <t>Oncology Nursing Forum</t>
  </si>
  <si>
    <t>Patient Education and Counseling</t>
  </si>
  <si>
    <t>Rehabilitation Nursing</t>
  </si>
  <si>
    <t>The Journal of Cardiovascular Nursing</t>
  </si>
  <si>
    <t>Worldviews on Evidence-Based Nursing</t>
  </si>
  <si>
    <t>Advances in Neonatal Care</t>
  </si>
  <si>
    <t>Advances in Skin and Wound Care</t>
  </si>
  <si>
    <t>American Journal of Nursing</t>
  </si>
  <si>
    <t>Annals of Long-Term Care</t>
  </si>
  <si>
    <t>AORN Journal</t>
  </si>
  <si>
    <t>Applied Nursing Research</t>
  </si>
  <si>
    <t>Archives of Psychiatric Nursing</t>
  </si>
  <si>
    <t>Biological Research for Nursing</t>
  </si>
  <si>
    <t>BMC Nursing</t>
  </si>
  <si>
    <t>BMJ Case Reports</t>
  </si>
  <si>
    <t>British Journal of Anaesthetic &amp; Recovery Nursing</t>
  </si>
  <si>
    <t>British Journal of Community Nursing</t>
  </si>
  <si>
    <t>British Journal of Midwifery</t>
  </si>
  <si>
    <t>British Journal of Nursing</t>
  </si>
  <si>
    <t>Clinical Nursing Research</t>
  </si>
  <si>
    <t>Complementary Therapies in Clinical Practice</t>
  </si>
  <si>
    <t>Computers, Informatics, Nursing</t>
  </si>
  <si>
    <t>CONNECT: The World of Critical Care Nursing</t>
  </si>
  <si>
    <t>Contemporary Nurse</t>
  </si>
  <si>
    <t>Critical Care Nursing Quarterly</t>
  </si>
  <si>
    <t>Dimensions of Critical Care Nursing</t>
  </si>
  <si>
    <t xml:space="preserve">European Journal for Person Centered Healthcare </t>
  </si>
  <si>
    <t>European Journal of Cancer Care</t>
  </si>
  <si>
    <t>European Journal of Cardiovascular Nursing</t>
  </si>
  <si>
    <t>Evidence - Based Nursing</t>
  </si>
  <si>
    <t>Gastroenterology Nursing</t>
  </si>
  <si>
    <t>Gastrointestinal Nursing</t>
  </si>
  <si>
    <t>Geriatric Nursing</t>
  </si>
  <si>
    <t>Global Qualitative Nursing Research</t>
  </si>
  <si>
    <t>Holistic Nursing Practice</t>
  </si>
  <si>
    <t>Intensive and Critical Care Nursing</t>
  </si>
  <si>
    <t>International Emergency Nursing</t>
  </si>
  <si>
    <t>International Journal of Nursing Education Scholarship</t>
  </si>
  <si>
    <t>International Journal of Nursing Practice</t>
  </si>
  <si>
    <t>International Journal of Older People Nursing</t>
  </si>
  <si>
    <t>International Journal of Orthopaedic and Trauma Nursing</t>
  </si>
  <si>
    <t>International Journal of Palliative Nursing</t>
  </si>
  <si>
    <t>International Journal of Urological Nursing</t>
  </si>
  <si>
    <t>International Nursing Review</t>
  </si>
  <si>
    <t>Issues in Comprehensive Pediatric Nursing</t>
  </si>
  <si>
    <t>Issues in Mental Health Nursing</t>
  </si>
  <si>
    <t>JBI Database of Systematic Reviews &amp; Implementation Reports</t>
  </si>
  <si>
    <t>Journal of Addictions Nursing</t>
  </si>
  <si>
    <t>Journal of Burn Care &amp; Research</t>
  </si>
  <si>
    <t>Journal of Christian Nursing</t>
  </si>
  <si>
    <t>Journal of Community Health Nursing</t>
  </si>
  <si>
    <t>Journal of Emergency Nursing</t>
  </si>
  <si>
    <t>Journal of Forensic Nursing</t>
  </si>
  <si>
    <t>Journal of Gerontological Nursing</t>
  </si>
  <si>
    <t>Journal of Holistic Nursing</t>
  </si>
  <si>
    <t>Journal of Hospice and Palliative Nursing</t>
  </si>
  <si>
    <t>Journal of Infusion Nursing</t>
  </si>
  <si>
    <t>Journal of Interprofessional Care</t>
  </si>
  <si>
    <t>Journal of Midwifery &amp; Women's Health</t>
  </si>
  <si>
    <t>Journal of Neonatal Nursing</t>
  </si>
  <si>
    <t>Journal of Nursing and Healthcare of Chronic Illness</t>
  </si>
  <si>
    <t>Journal of Nursing Care Quality</t>
  </si>
  <si>
    <t>Journal of Nursing Measurement</t>
  </si>
  <si>
    <t>Journal of Obstetric, Gynecologic, and Neonatal Nursing</t>
  </si>
  <si>
    <t>Journal of Pediatric Nursing</t>
  </si>
  <si>
    <t>Journal of Pediatric Oncology Nursing</t>
  </si>
  <si>
    <t>Journal of PeriAnesthesia Nursing</t>
  </si>
  <si>
    <t>Journal of Perinatal and Neonatal Nursing</t>
  </si>
  <si>
    <t>Journal of Professional Nursing</t>
  </si>
  <si>
    <t>Journal of Psychiatric and Mental Health Nursing</t>
  </si>
  <si>
    <t>Journal of Psychosocial Nursing and Mental Health Services</t>
  </si>
  <si>
    <t>Journal of Renal Care</t>
  </si>
  <si>
    <t>Journal of Research in Nursing</t>
  </si>
  <si>
    <t>Journal of the American Psychiatric Nurses Association</t>
  </si>
  <si>
    <t>Journal of the Association of Nurses in AIDS Care</t>
  </si>
  <si>
    <t>Journal of Transcultural Nursing</t>
  </si>
  <si>
    <t>Journal of Vascular Nursing</t>
  </si>
  <si>
    <t>Journal of Wound Care</t>
  </si>
  <si>
    <t>Klinisk Sygepleje</t>
  </si>
  <si>
    <t>MCN: The American Journal of Maternal/Child Nursing</t>
  </si>
  <si>
    <t>Musculoskeletal Care</t>
  </si>
  <si>
    <t>Nephrology Nursing Journal</t>
  </si>
  <si>
    <t>Nordic Journal of Nursing Research</t>
  </si>
  <si>
    <t>Nordisk Sygeplejeforskning</t>
  </si>
  <si>
    <t>Nurse Education in Practice</t>
  </si>
  <si>
    <t>Nursing Administration Quarterly</t>
  </si>
  <si>
    <t>Nursing and Health Sciences</t>
  </si>
  <si>
    <t>Nursing Clinics of North America</t>
  </si>
  <si>
    <t>Nursing Economics</t>
  </si>
  <si>
    <t>Nursing Education Perspectives</t>
  </si>
  <si>
    <t>Nursing History Review</t>
  </si>
  <si>
    <t>Nursing in Critical Care</t>
  </si>
  <si>
    <t>Nursing Inquiry</t>
  </si>
  <si>
    <t>Nursing Management</t>
  </si>
  <si>
    <t>Nursing Open</t>
  </si>
  <si>
    <t>Nursing Philosophy</t>
  </si>
  <si>
    <t>Nursing Science Quarterly</t>
  </si>
  <si>
    <t>Online Brazilian Journal of Nursing</t>
  </si>
  <si>
    <t>Online Journal of Issues in Nursing</t>
  </si>
  <si>
    <t>Online Journal of Nursing Informatics</t>
  </si>
  <si>
    <t>Open Journal of Nursing</t>
  </si>
  <si>
    <t>Orthopaedic Nursing</t>
  </si>
  <si>
    <t>Pain Management Nursing</t>
  </si>
  <si>
    <t>Palliative &amp; Supportive Care</t>
  </si>
  <si>
    <t>Pediatric Nursing</t>
  </si>
  <si>
    <t>Perspectives in Psychiatric Care</t>
  </si>
  <si>
    <t>Plastic Surgical Nursing</t>
  </si>
  <si>
    <t>Policy, Politics &amp; Nursing Practice</t>
  </si>
  <si>
    <t>Progress in Palliative Care</t>
  </si>
  <si>
    <t>Public Health Nursing</t>
  </si>
  <si>
    <t>Research and Theory for Nursing Practice</t>
  </si>
  <si>
    <t>Research in Nursing &amp; Health</t>
  </si>
  <si>
    <t>Scandinavian Journal of Caring Sciences</t>
  </si>
  <si>
    <t>Sykepleien Forskning</t>
  </si>
  <si>
    <t>The Journal of Nursing Administration</t>
  </si>
  <si>
    <t>The Journal of School Nursing</t>
  </si>
  <si>
    <t>Tidsskrift for Omsorgsforskning</t>
  </si>
  <si>
    <t>Urologic Nursing</t>
  </si>
  <si>
    <t>Vaard i Norden</t>
  </si>
  <si>
    <t>Western Journal of Nursing Research</t>
  </si>
  <si>
    <t>WOCN: Journal of Wound, Ostomy and Continence Nursing</t>
  </si>
  <si>
    <t>AANA Journal</t>
  </si>
  <si>
    <t>Folkesundhed</t>
  </si>
  <si>
    <t>Addiction</t>
  </si>
  <si>
    <t>Age and Ageing</t>
  </si>
  <si>
    <t>AIDS &amp; Behavior</t>
  </si>
  <si>
    <t>Alcoholism: Clinical and Experimental Research</t>
  </si>
  <si>
    <t>American Journal of Epidemiology</t>
  </si>
  <si>
    <t>American Journal of Health Promotion</t>
  </si>
  <si>
    <t>American Journal of Preventive Medicine</t>
  </si>
  <si>
    <t>American Journal of Public Health</t>
  </si>
  <si>
    <t>American Journal of Tropical Medicine and Hygiene</t>
  </si>
  <si>
    <t>Annals of Epidemiology</t>
  </si>
  <si>
    <t>Annual Review of Public Health</t>
  </si>
  <si>
    <t>BMC Health Services Research</t>
  </si>
  <si>
    <t>BMC Public Health</t>
  </si>
  <si>
    <t>BMJ Quality and Safety</t>
  </si>
  <si>
    <t>British Journal of General Practice</t>
  </si>
  <si>
    <t>Cancer Causes &amp; Control</t>
  </si>
  <si>
    <t>Cancer Epidemiology, Biomarkers &amp; Prevention</t>
  </si>
  <si>
    <t>Carcinogenesis</t>
  </si>
  <si>
    <t>Critical Public Health</t>
  </si>
  <si>
    <t>Environmental Health Perspectives</t>
  </si>
  <si>
    <t>Environmental Research</t>
  </si>
  <si>
    <t>Epidemiologic Reviews</t>
  </si>
  <si>
    <t>Epidemiology</t>
  </si>
  <si>
    <t>European Journal of Epidemiology</t>
  </si>
  <si>
    <t>European Journal of Preventive Cardiology</t>
  </si>
  <si>
    <t>European Journal of Public Health</t>
  </si>
  <si>
    <t>Experimental Gerontology</t>
  </si>
  <si>
    <t>Family Practice</t>
  </si>
  <si>
    <t>Genetic Epidemiology</t>
  </si>
  <si>
    <t>Health &amp; Place</t>
  </si>
  <si>
    <t>Health Affairs</t>
  </si>
  <si>
    <t>Health Care Management Review</t>
  </si>
  <si>
    <t>Health Economics</t>
  </si>
  <si>
    <t>Health Education &amp; Behavior</t>
  </si>
  <si>
    <t>Health Policy</t>
  </si>
  <si>
    <t>Health Promotion International</t>
  </si>
  <si>
    <t>Health Services Research</t>
  </si>
  <si>
    <t>Indoor Air</t>
  </si>
  <si>
    <t>International Journal for Equity in Health</t>
  </si>
  <si>
    <t>International Journal of Drug Policy</t>
  </si>
  <si>
    <t>International Journal of Epidemiology</t>
  </si>
  <si>
    <t>International Journal of Hygiene and Environmental Health</t>
  </si>
  <si>
    <t>Journal of Clinical Epidemiology</t>
  </si>
  <si>
    <t>Journal of Epidemiology &amp; Community Health</t>
  </si>
  <si>
    <t>Journal of Exposure Science and Environmental Epidemiology</t>
  </si>
  <si>
    <t>Journal of Health Communication</t>
  </si>
  <si>
    <t>Journal of Health Economics</t>
  </si>
  <si>
    <t>Journal of Medical Internet Research</t>
  </si>
  <si>
    <t>Journal of Occupational and Environmental Medicine</t>
  </si>
  <si>
    <t>Journal of Occupational Health Psychology</t>
  </si>
  <si>
    <t>Journal of Rehabilitation Medicine</t>
  </si>
  <si>
    <t>Journal of the American Geriatrics Society</t>
  </si>
  <si>
    <t>Mechanisms of Ageing and Development</t>
  </si>
  <si>
    <t>Medical Care</t>
  </si>
  <si>
    <t>Medical Decision Making</t>
  </si>
  <si>
    <t>Mutagenesis</t>
  </si>
  <si>
    <t>Nanotoxicology</t>
  </si>
  <si>
    <t>Neurotoxicology and Teratology</t>
  </si>
  <si>
    <t>Occupational and Environmental Medicine</t>
  </si>
  <si>
    <t>Particle and Fibre Toxicology</t>
  </si>
  <si>
    <t>Preventive Medicine</t>
  </si>
  <si>
    <t>Psychosomatic Medicine</t>
  </si>
  <si>
    <t>Qualitative Health Research</t>
  </si>
  <si>
    <t>Quality of Life Research</t>
  </si>
  <si>
    <t>Reproduction</t>
  </si>
  <si>
    <t>Reproductive Toxicology</t>
  </si>
  <si>
    <t>Scandinavian Journal of Work, Environment &amp; Health</t>
  </si>
  <si>
    <t>Social Science &amp; Medicine</t>
  </si>
  <si>
    <t>The Gerontologist</t>
  </si>
  <si>
    <t>Tobacco Control</t>
  </si>
  <si>
    <t>Tropical Medicine &amp; International Health</t>
  </si>
  <si>
    <t>Value in Health</t>
  </si>
  <si>
    <t>Academic Medicine</t>
  </si>
  <si>
    <t>Acta Tropica</t>
  </si>
  <si>
    <t>Addiction Science &amp; Clinical Practice</t>
  </si>
  <si>
    <t>Administration and Policy in Mental Health and Mental Health Services Research</t>
  </si>
  <si>
    <t>Aerospace Medicine and Human Performance</t>
  </si>
  <si>
    <t>African Health Sciences</t>
  </si>
  <si>
    <t>African Journal of Reproductive Health</t>
  </si>
  <si>
    <t>Ageing International</t>
  </si>
  <si>
    <t>Aging &amp; Mental Health</t>
  </si>
  <si>
    <t>AIDS Care</t>
  </si>
  <si>
    <t>AIDS Education and Prevention</t>
  </si>
  <si>
    <t>AIMS Public Health</t>
  </si>
  <si>
    <t>Air Medical Journal</t>
  </si>
  <si>
    <t>Alcohol</t>
  </si>
  <si>
    <t>Alcohol Research</t>
  </si>
  <si>
    <t>Allergologie</t>
  </si>
  <si>
    <t>Allergology International</t>
  </si>
  <si>
    <t>Allergy and Asthma Proceedings</t>
  </si>
  <si>
    <t>Alternative &amp; Complementary Therapies</t>
  </si>
  <si>
    <t>Alternative Therapies in Health and Medicine</t>
  </si>
  <si>
    <t>American Annals of the Deaf</t>
  </si>
  <si>
    <t>American Family Physician</t>
  </si>
  <si>
    <t>American Journal of Dance Therapy</t>
  </si>
  <si>
    <t>American Journal of Health Behavior</t>
  </si>
  <si>
    <t>American Journal of Human Biology</t>
  </si>
  <si>
    <t>American Journal of Industrial Medicine</t>
  </si>
  <si>
    <t>American Journal of Medical Quality</t>
  </si>
  <si>
    <t>American Journal of Men's Health</t>
  </si>
  <si>
    <t>American Journal of Occupational Therapy</t>
  </si>
  <si>
    <t>American Journal of Psychiatric Rehabilitation</t>
  </si>
  <si>
    <t>Andrology</t>
  </si>
  <si>
    <t>Annales de Readaptation et de Medecine Physique</t>
  </si>
  <si>
    <t>Annals of Agricultural and Environmental Medicine</t>
  </si>
  <si>
    <t>Annals of Clinical Biochemistry</t>
  </si>
  <si>
    <t>Annals of Family Medicine</t>
  </si>
  <si>
    <t>Annals of Human Genetics</t>
  </si>
  <si>
    <t>Annals of Work Exposures and Health</t>
  </si>
  <si>
    <t>APMIS - Journal of Pathology, Microbiology and Immunology</t>
  </si>
  <si>
    <t>Applied Health Economics and Health Policy</t>
  </si>
  <si>
    <t>Applied Psychology: Health and Well-Being</t>
  </si>
  <si>
    <t>Applied Research in Quality of Life</t>
  </si>
  <si>
    <t>Archives des Maladies Professionnelles et de l'Environnement</t>
  </si>
  <si>
    <t>Archives of Environmental and Occupational Health</t>
  </si>
  <si>
    <t>Archives of Physical Medicine and Rehabilitation</t>
  </si>
  <si>
    <t>Archives of Public Health</t>
  </si>
  <si>
    <t>Archives of Women's Mental Health</t>
  </si>
  <si>
    <t>Arhiv za Higijenu Rada i Toksikologiju</t>
  </si>
  <si>
    <t>Assistive Technology</t>
  </si>
  <si>
    <t>Atencion Primaria</t>
  </si>
  <si>
    <t>Australasian Journal on Ageing</t>
  </si>
  <si>
    <t>Australian and New Zealand Journal of Public Health</t>
  </si>
  <si>
    <t>Australian Family Physician</t>
  </si>
  <si>
    <t>Australian Journal of Rural Health</t>
  </si>
  <si>
    <t>Australian Occupational Therapy Journal</t>
  </si>
  <si>
    <t>Biomeditsinskaya Khimiya</t>
  </si>
  <si>
    <t>BMC Bioinformatics</t>
  </si>
  <si>
    <t>BMC Complementary and Alternative Medicine</t>
  </si>
  <si>
    <t>BMC Family Practice</t>
  </si>
  <si>
    <t>BMC International Health and Human Rights</t>
  </si>
  <si>
    <t>BMC Medical Education</t>
  </si>
  <si>
    <t>BMC Obesity</t>
  </si>
  <si>
    <t>BMC Palliative Care</t>
  </si>
  <si>
    <t>BMJ Evidence-Based Medicine</t>
  </si>
  <si>
    <t>British Journal of Hospital Medicine</t>
  </si>
  <si>
    <t>British Journal of Occupational Therapy</t>
  </si>
  <si>
    <t>Building and Environment</t>
  </si>
  <si>
    <t>Bulletin de la Société de Pathologie Exotique</t>
  </si>
  <si>
    <t>Bulletin of the World Health Organization</t>
  </si>
  <si>
    <t>Bundesgesundheitsblatt - Gesundheitsforschung - Gesundheitsschutz</t>
  </si>
  <si>
    <t>Cambridge Quarterly of Healthcare Ethics</t>
  </si>
  <si>
    <t>Canadian Family Physician</t>
  </si>
  <si>
    <t>Canadian Journal of Occupational Therapy</t>
  </si>
  <si>
    <t>Canadian Journal of Public Health</t>
  </si>
  <si>
    <t>Canadian Journal on Aging</t>
  </si>
  <si>
    <t>Cancer Control</t>
  </si>
  <si>
    <t>Cancer Detection and Prevention</t>
  </si>
  <si>
    <t>Central European Journal of Public Health</t>
  </si>
  <si>
    <t>Child Abuse &amp; Neglect</t>
  </si>
  <si>
    <t>Child Abuse Review</t>
  </si>
  <si>
    <t>Child and Adolescent Mental Health</t>
  </si>
  <si>
    <t>Child Care in Practice</t>
  </si>
  <si>
    <t>Child Maltreatment</t>
  </si>
  <si>
    <t>Children's Health Care</t>
  </si>
  <si>
    <t>Christian Bioethics</t>
  </si>
  <si>
    <t>Chronic Illness</t>
  </si>
  <si>
    <t>Chronobiology International</t>
  </si>
  <si>
    <t>Clinical and Investigative Medicine</t>
  </si>
  <si>
    <t>Clinical Biochemistry</t>
  </si>
  <si>
    <t>Clinical Nutrition</t>
  </si>
  <si>
    <t>Clinical Rehabilitation</t>
  </si>
  <si>
    <t>ClinicoEconomics and Outcome Research</t>
  </si>
  <si>
    <t>Cost Effectiveness and Resource Allocation</t>
  </si>
  <si>
    <t>Criminal Behaviour and Mental Health</t>
  </si>
  <si>
    <t>Critical Reviews in Oncogenesis</t>
  </si>
  <si>
    <t>Critical Reviews in Physical and Rehabilitation Medicine</t>
  </si>
  <si>
    <t>Current Bioinformatics</t>
  </si>
  <si>
    <t>Das Gesundheitswesen</t>
  </si>
  <si>
    <t>Developing World Bioethics</t>
  </si>
  <si>
    <t>Die Rehabilitation</t>
  </si>
  <si>
    <t>Disability &amp; Society</t>
  </si>
  <si>
    <t>Disability and Rehabilitation</t>
  </si>
  <si>
    <t>Disease-A-Month</t>
  </si>
  <si>
    <t>Drug and Alcohol Dependence</t>
  </si>
  <si>
    <t>Drugs and Alcohol Today</t>
  </si>
  <si>
    <t>Eating Disorders</t>
  </si>
  <si>
    <t>EcoHealth</t>
  </si>
  <si>
    <t>Educational Gerontology</t>
  </si>
  <si>
    <t>Emerging Themes in Epidemiology</t>
  </si>
  <si>
    <t>Environmental and Molecular Mutagenesis</t>
  </si>
  <si>
    <t>Environmental Health</t>
  </si>
  <si>
    <t>Environmental Health and Preventive Medicine</t>
  </si>
  <si>
    <t>Environmental Science and Pollution Research</t>
  </si>
  <si>
    <t>Environmental Toxicology</t>
  </si>
  <si>
    <t>Epidemiology and Psychiatric Sciences</t>
  </si>
  <si>
    <t>Ethics &amp; Medicine: An International Journal of Bioethics</t>
  </si>
  <si>
    <t>Ethik in der Medizin</t>
  </si>
  <si>
    <t>Ethnicity and Health</t>
  </si>
  <si>
    <t>European Eating Disorders Review</t>
  </si>
  <si>
    <t>European Journal of Ageing</t>
  </si>
  <si>
    <t>European Journal of Cancer Prevention</t>
  </si>
  <si>
    <t>European Journal of Human Genetics</t>
  </si>
  <si>
    <t>European Journal of Integrative Medicine</t>
  </si>
  <si>
    <t>European Journal of Palliative Care</t>
  </si>
  <si>
    <t>European Journal of Physiotherapy</t>
  </si>
  <si>
    <t>European Journal of Work and Organizational Psychology</t>
  </si>
  <si>
    <t>European Spine Journal</t>
  </si>
  <si>
    <t>Eurosurveillance</t>
  </si>
  <si>
    <t>Evaluation and the Health Professions</t>
  </si>
  <si>
    <t>Exceptional Children</t>
  </si>
  <si>
    <t>Expert Review of Vaccines</t>
  </si>
  <si>
    <t>Familial Cancer</t>
  </si>
  <si>
    <t>Family and Community Health</t>
  </si>
  <si>
    <t>Family Medicine</t>
  </si>
  <si>
    <t>Family Practice Management</t>
  </si>
  <si>
    <t>Fisioterapia</t>
  </si>
  <si>
    <t>Food, Culture and Society</t>
  </si>
  <si>
    <t>Foodborne Pathogens and Disease</t>
  </si>
  <si>
    <t>Forschende Komplementaermedizin</t>
  </si>
  <si>
    <t>Frontiers in Public Health</t>
  </si>
  <si>
    <t>Generations</t>
  </si>
  <si>
    <t>GeroScience</t>
  </si>
  <si>
    <t>Gesundheitsoekonomie und Qualitaetsmanagement</t>
  </si>
  <si>
    <t>Global Health Promotion</t>
  </si>
  <si>
    <t>Global Health, Epidemiology and Genomics</t>
  </si>
  <si>
    <t>Global Public Health</t>
  </si>
  <si>
    <t>GMS Health Technology Assessment</t>
  </si>
  <si>
    <t>Harm Reduction Journal</t>
  </si>
  <si>
    <t>Hastings Center Report</t>
  </si>
  <si>
    <t>Health</t>
  </si>
  <si>
    <t>Health and Quality of Life Outcomes</t>
  </si>
  <si>
    <t>Health and Social Care in the Community</t>
  </si>
  <si>
    <t>Health Behavior and Policy Review</t>
  </si>
  <si>
    <t>Health Care Analysis</t>
  </si>
  <si>
    <t>Health Care Management Science</t>
  </si>
  <si>
    <t>Health Communication</t>
  </si>
  <si>
    <t>Health Economics Review</t>
  </si>
  <si>
    <t>Health Economics, Policy and Law</t>
  </si>
  <si>
    <t>Health Education Journal</t>
  </si>
  <si>
    <t>Health Expectations</t>
  </si>
  <si>
    <t>Health Information Management Journal</t>
  </si>
  <si>
    <t>Health Physics</t>
  </si>
  <si>
    <t>Health Policy and Planning</t>
  </si>
  <si>
    <t>Health Promotion Practice</t>
  </si>
  <si>
    <t>Health Research Policy and Systems</t>
  </si>
  <si>
    <t>Health Services and Outcomes Research Methodology</t>
  </si>
  <si>
    <t>Health Services Management Research</t>
  </si>
  <si>
    <t>Health Technology Assessment</t>
  </si>
  <si>
    <t>Health, Technology And Society</t>
  </si>
  <si>
    <t>HEC Forum</t>
  </si>
  <si>
    <t>HERD: Health Environments Research &amp; Design Journal</t>
  </si>
  <si>
    <t>Home Health Care Services Quarterly</t>
  </si>
  <si>
    <t>Homeopathy</t>
  </si>
  <si>
    <t>Hospitals &amp; Health Networks</t>
  </si>
  <si>
    <t>Human Fertility</t>
  </si>
  <si>
    <t>Human Heredity</t>
  </si>
  <si>
    <t>Human Resources for Health</t>
  </si>
  <si>
    <t>Implementation Science</t>
  </si>
  <si>
    <t>Industrial Health</t>
  </si>
  <si>
    <t>Infection and Immunity</t>
  </si>
  <si>
    <t>Inflammatory Bowel Diseases</t>
  </si>
  <si>
    <t>Inhalation Toxicology</t>
  </si>
  <si>
    <t>Injury Prevention</t>
  </si>
  <si>
    <t>INQUIRY: The Journal of Health Care Organization, Provision, and Financing</t>
  </si>
  <si>
    <t>Integrative Medicine</t>
  </si>
  <si>
    <t>International Archives of Occupational and Environmental Health</t>
  </si>
  <si>
    <t>International Health</t>
  </si>
  <si>
    <t>International Journal for Quality in Health Care</t>
  </si>
  <si>
    <t>International Journal of Ageing and Later Life</t>
  </si>
  <si>
    <t>International Journal of Andrology</t>
  </si>
  <si>
    <t>International Journal of Behavioral Medicine</t>
  </si>
  <si>
    <t>International Journal of Circumpolar Health</t>
  </si>
  <si>
    <t>International Journal of Clinical Practice</t>
  </si>
  <si>
    <t>International Journal of Developmental Disabilities</t>
  </si>
  <si>
    <t>International Journal of Disability, Development and Education</t>
  </si>
  <si>
    <t>International Journal of Emergency Mental Health</t>
  </si>
  <si>
    <t>International Journal of Environment and Health</t>
  </si>
  <si>
    <t>International Journal of Environmental Health Research</t>
  </si>
  <si>
    <t>International Journal of Environmental Research and Public Health</t>
  </si>
  <si>
    <t>International Journal of Evidence-Based Healthcare</t>
  </si>
  <si>
    <t>International Journal of Family Medicine</t>
  </si>
  <si>
    <t>International Journal of Forensic Mental Health</t>
  </si>
  <si>
    <t>International Journal of Health Geographics</t>
  </si>
  <si>
    <t>International Journal of Health Governance</t>
  </si>
  <si>
    <t>International Journal of Health Planning and Management</t>
  </si>
  <si>
    <t>International Journal of Health Policy and Management</t>
  </si>
  <si>
    <t>International Journal of Health Services</t>
  </si>
  <si>
    <t>International Journal of Human Rights in Healthcare</t>
  </si>
  <si>
    <t>International Journal of Injury Control and Safety Promotion</t>
  </si>
  <si>
    <t>International Journal of Occupational and Environmental Health</t>
  </si>
  <si>
    <t>International Journal of Occupational and Environmental Medicine</t>
  </si>
  <si>
    <t>International Journal of Occupational Safety and Ergonomics</t>
  </si>
  <si>
    <t>International Journal of Public Health</t>
  </si>
  <si>
    <t>International Journal of Qualitative Studies on Health and Well-Being</t>
  </si>
  <si>
    <t>International Journal of Technology Assessment in Health Care</t>
  </si>
  <si>
    <t>International Journal of Telemedicine and Applications</t>
  </si>
  <si>
    <t>International Journal of Therapy and Rehabilitation</t>
  </si>
  <si>
    <t>International Journal of Workplace Health Management</t>
  </si>
  <si>
    <t>International Maritime Health</t>
  </si>
  <si>
    <t>Isotopes in Environmental and Health Studies</t>
  </si>
  <si>
    <t>JAMA Pediatrics</t>
  </si>
  <si>
    <t>JK Science</t>
  </si>
  <si>
    <t>Journal für Verbraucherschutz und Lebensmittelsicherheit</t>
  </si>
  <si>
    <t>Journal International de Bioethique</t>
  </si>
  <si>
    <t>Journal of Adolescent Health</t>
  </si>
  <si>
    <t>Journal of Aerosol Medicine and Pulmonary Drug Delivery</t>
  </si>
  <si>
    <t>Journal of Aggression, Maltreatment &amp; Trauma</t>
  </si>
  <si>
    <t>Journal of Aging and Health</t>
  </si>
  <si>
    <t>Journal of Aging Studies</t>
  </si>
  <si>
    <t>Journal of Agricultural Safety and Health</t>
  </si>
  <si>
    <t>Journal of Allied Health</t>
  </si>
  <si>
    <t>Journal of Alternative &amp; Complementary Medicine</t>
  </si>
  <si>
    <t>Journal of Ambulatory Care Management</t>
  </si>
  <si>
    <t>Journal of American College Health</t>
  </si>
  <si>
    <t>Journal of Applied Gerontology</t>
  </si>
  <si>
    <t>Journal of Applied Toxicology</t>
  </si>
  <si>
    <t>Journal of Back and Musculoskeletal Rehabilitation</t>
  </si>
  <si>
    <t>Journal of Behavioral Health Services and Research</t>
  </si>
  <si>
    <t>Journal of Bioethical Inquiry</t>
  </si>
  <si>
    <t>Journal of Biosocial Science</t>
  </si>
  <si>
    <t>Journal of Bodywork and Movement Therapies</t>
  </si>
  <si>
    <t>Journal of Cancer Education</t>
  </si>
  <si>
    <t>Journal of Child Health Care</t>
  </si>
  <si>
    <t>Journal of Child Sexual Abuse</t>
  </si>
  <si>
    <t>Journal of Clinical Outcomes Management</t>
  </si>
  <si>
    <t>Journal of Community Health</t>
  </si>
  <si>
    <t>Journal of Community Practice</t>
  </si>
  <si>
    <t>Journal of Continuing Education in the Health Professions</t>
  </si>
  <si>
    <t>Journal of Developmental and Physical Disabilities</t>
  </si>
  <si>
    <t>Journal of Elder Abuse &amp; Neglect</t>
  </si>
  <si>
    <t>Journal of Environmental Health</t>
  </si>
  <si>
    <t>Journal of Environmental Pathology, Toxicology and Oncology</t>
  </si>
  <si>
    <t>Journal of Epidemiology</t>
  </si>
  <si>
    <t>Journal of Evaluation in Clinical Practice</t>
  </si>
  <si>
    <t>Journal of Evidence-Based Complementary &amp; Alternative Medicine</t>
  </si>
  <si>
    <t>Journal of Family Planning and Reproductive Health Care</t>
  </si>
  <si>
    <t>Journal of Fluency Disorders</t>
  </si>
  <si>
    <t>Journal of Gambling Studies</t>
  </si>
  <si>
    <t>Journal of Genetic Counseling</t>
  </si>
  <si>
    <t>Journal of Geriatric Physical Therapy</t>
  </si>
  <si>
    <t>Journal of Hand Therapy</t>
  </si>
  <si>
    <t>Journal of Health Care for the Poor and Underserved</t>
  </si>
  <si>
    <t>Journal of Health Management</t>
  </si>
  <si>
    <t>Journal of Health Politics, Policy and Law</t>
  </si>
  <si>
    <t>Journal of Health Population and Nutrition</t>
  </si>
  <si>
    <t>Journal of Health Psychology</t>
  </si>
  <si>
    <t>Journal of Health Services Research &amp; Policy</t>
  </si>
  <si>
    <t>Journal of Health, Organization and Management</t>
  </si>
  <si>
    <t>Journal of Healthcare Management</t>
  </si>
  <si>
    <t>Journal of Housing for the Elderly</t>
  </si>
  <si>
    <t>Journal of Humanistic Counseling</t>
  </si>
  <si>
    <t>Journal of Immigrant and Minority Health</t>
  </si>
  <si>
    <t>Journal of Integrated Care</t>
  </si>
  <si>
    <t>Journal of Manipulative and Physiological Therapeutics</t>
  </si>
  <si>
    <t>Journal of Medical Economics</t>
  </si>
  <si>
    <t>Journal of Medical Humanities</t>
  </si>
  <si>
    <t>Journal of Medical Screening</t>
  </si>
  <si>
    <t>Journal of Medical Systems</t>
  </si>
  <si>
    <t>Journal of Medical Toxicology</t>
  </si>
  <si>
    <t>Journal of Medical Virology</t>
  </si>
  <si>
    <t>Journal of Mental Health Policy and Economics</t>
  </si>
  <si>
    <t>Journal of Mental Health, Training, Education and Practice</t>
  </si>
  <si>
    <t>Journal of Occupational and Environmental Hygiene</t>
  </si>
  <si>
    <t>Journal of Occupational Health</t>
  </si>
  <si>
    <t>Journal of Occupational Rehabilitation</t>
  </si>
  <si>
    <t>Journal of Pain and Symptom Management</t>
  </si>
  <si>
    <t>Journal of Palliative Care</t>
  </si>
  <si>
    <t>Journal of Palliative Medicine</t>
  </si>
  <si>
    <t>Journal of Postgraduate Medicine</t>
  </si>
  <si>
    <t>Journal of Prevention and Intervention in the Community</t>
  </si>
  <si>
    <t>Journal of Prosthetics and Orthotics</t>
  </si>
  <si>
    <t>Journal of Psychoactive Drugs</t>
  </si>
  <si>
    <t>Journal of Psychosomatic Research</t>
  </si>
  <si>
    <t>Journal of Public Health</t>
  </si>
  <si>
    <t>Journal of Public Health Management and Practice</t>
  </si>
  <si>
    <t>Journal of Public Health Policy</t>
  </si>
  <si>
    <t>Journal of Public Health: From Theory to Practice</t>
  </si>
  <si>
    <t>Journal of Radiological Protection</t>
  </si>
  <si>
    <t>Journal of Rehabilitation</t>
  </si>
  <si>
    <t>Journal of Rehabilitation Research and Development</t>
  </si>
  <si>
    <t>Journal of Religion and Health</t>
  </si>
  <si>
    <t>Journal of Reproductive Immunology</t>
  </si>
  <si>
    <t>Journal of Substance Abuse Treatment</t>
  </si>
  <si>
    <t>Journal of Substance Use</t>
  </si>
  <si>
    <t>Journal of Telemedicine and Telecare</t>
  </si>
  <si>
    <t>Journal of the American Board of Family Medicine</t>
  </si>
  <si>
    <t>Journal of the American Medical Directors Association</t>
  </si>
  <si>
    <t>Journal of Translational Medicine</t>
  </si>
  <si>
    <t>Journal of Travel Medicine</t>
  </si>
  <si>
    <t>Journal of Tropical Medicine</t>
  </si>
  <si>
    <t>Journal of Urban Health</t>
  </si>
  <si>
    <t>Journal of Vector Borne Diseases</t>
  </si>
  <si>
    <t>Journal of Vocational Rehabilitation</t>
  </si>
  <si>
    <t>Journal of Water and Health</t>
  </si>
  <si>
    <t>Journal of Women and Aging</t>
  </si>
  <si>
    <t>Journal of Women's Health</t>
  </si>
  <si>
    <t>Journals of Gerontology. Series B: Psychological Sciences &amp; Social Sciences</t>
  </si>
  <si>
    <t>La Medicina del Lavoro</t>
  </si>
  <si>
    <t>La Revue du Praticien</t>
  </si>
  <si>
    <t>Leadership in Health Services</t>
  </si>
  <si>
    <t>Malaria Journal</t>
  </si>
  <si>
    <t>Manuelle Medizin</t>
  </si>
  <si>
    <t>Maternal and Child Health Journal</t>
  </si>
  <si>
    <t>Maturitas</t>
  </si>
  <si>
    <t>Medecine et Droit</t>
  </si>
  <si>
    <t>Medical Care Research and Review</t>
  </si>
  <si>
    <t>Medical Education Online</t>
  </si>
  <si>
    <t>Medical History</t>
  </si>
  <si>
    <t>Medical Hypotheses</t>
  </si>
  <si>
    <t>Medical Problems of Performing Artists</t>
  </si>
  <si>
    <t>Medicine, Conflict and Survival</t>
  </si>
  <si>
    <t>Medicine, Health Care and Philosophy</t>
  </si>
  <si>
    <t>Menopause International</t>
  </si>
  <si>
    <t>Mental Health and Physical Activity</t>
  </si>
  <si>
    <t>Military Medicine</t>
  </si>
  <si>
    <t>Molecular Human Reproduction</t>
  </si>
  <si>
    <t>Monash Bioethics Review</t>
  </si>
  <si>
    <t>Mortality</t>
  </si>
  <si>
    <t>Motricite Cerebrale</t>
  </si>
  <si>
    <t>Musculoskeletal Science and Practice</t>
  </si>
  <si>
    <t>NeuroToxicology</t>
  </si>
  <si>
    <t>New Solutions: A Journal of Environmental and Occupational Health Policy</t>
  </si>
  <si>
    <t>Nicotine &amp; Tobacco Research</t>
  </si>
  <si>
    <t>Noise &amp; Health</t>
  </si>
  <si>
    <t>Nordisk Tidsskrift for Helseforskning</t>
  </si>
  <si>
    <t>Norsk Epidemiologi</t>
  </si>
  <si>
    <t>NSW Public Health Bulletin</t>
  </si>
  <si>
    <t>Obesity Science &amp; Practice</t>
  </si>
  <si>
    <t>Occupational Medicine</t>
  </si>
  <si>
    <t>Occupational Therapy in Health Care</t>
  </si>
  <si>
    <t>Occupational Therapy in Mental Health</t>
  </si>
  <si>
    <t>Omsorg</t>
  </si>
  <si>
    <t>Organizational Behaviour In Health Care</t>
  </si>
  <si>
    <t>Osteoporosis International</t>
  </si>
  <si>
    <t>OTJR: Occupation, Participation and Health</t>
  </si>
  <si>
    <t>Paediatric and Perinatal Epidemiology</t>
  </si>
  <si>
    <t>Palliative Medicine</t>
  </si>
  <si>
    <t>Pathogens and Global Health</t>
  </si>
  <si>
    <t>Perspectives in Public Health</t>
  </si>
  <si>
    <t>PharmacoEconomics open</t>
  </si>
  <si>
    <t>Physical &amp; Occupational Therapy in Pediatrics</t>
  </si>
  <si>
    <t>Physical Therapy</t>
  </si>
  <si>
    <t>Physikalische Medizin, Rehabilitationsmedizin, Kurortmedizin</t>
  </si>
  <si>
    <t>Physiotherapy</t>
  </si>
  <si>
    <t>Physiotherapy Canada</t>
  </si>
  <si>
    <t>Physiotherapy Research International</t>
  </si>
  <si>
    <t>Physiotherapy Theory and Practice</t>
  </si>
  <si>
    <t>Policy and Practice in Health and Safety</t>
  </si>
  <si>
    <t>Population Health Management</t>
  </si>
  <si>
    <t>Population Health Metrics</t>
  </si>
  <si>
    <t>Postgraduate Medical Journal</t>
  </si>
  <si>
    <t>Postgraduate Medicine</t>
  </si>
  <si>
    <t>Practice: Social Work in Action</t>
  </si>
  <si>
    <t>Praxis</t>
  </si>
  <si>
    <t>Preventing Chronic Diseases</t>
  </si>
  <si>
    <t>Prevention Science</t>
  </si>
  <si>
    <t>Preventive Medicine Reports</t>
  </si>
  <si>
    <t>Primary Care Diabetes</t>
  </si>
  <si>
    <t>Primary Care: Clinics in Office Practice</t>
  </si>
  <si>
    <t>Primary Health Care Research and Development</t>
  </si>
  <si>
    <t>Proceedings of the Nutrition Society</t>
  </si>
  <si>
    <t>Psychosomatics</t>
  </si>
  <si>
    <t>Public Health</t>
  </si>
  <si>
    <t>Public Health Panorama</t>
  </si>
  <si>
    <t>Public Health Reports</t>
  </si>
  <si>
    <t>Public Health Reviews</t>
  </si>
  <si>
    <t>Quality in Ageing and Older Adults</t>
  </si>
  <si>
    <t>Quality Management in Health Care</t>
  </si>
  <si>
    <t>Radiation Protection Dosimetry</t>
  </si>
  <si>
    <t>Radioprotection</t>
  </si>
  <si>
    <t>Rehabilitacion</t>
  </si>
  <si>
    <t>Rehabilitation Counseling Bulletin</t>
  </si>
  <si>
    <t>Rehabilitation Research and Practice</t>
  </si>
  <si>
    <t>Reproductive Health Matters</t>
  </si>
  <si>
    <t>Reproductive Sciences</t>
  </si>
  <si>
    <t>Research and Practice for Persons with Severe Disabilities</t>
  </si>
  <si>
    <t>Research on Aging</t>
  </si>
  <si>
    <t>Residential Treatment for Children &amp; Youth</t>
  </si>
  <si>
    <t>Respiratory Care</t>
  </si>
  <si>
    <t>Revista de Saude Publica</t>
  </si>
  <si>
    <t>Revue d'Epidemiologie et de Sante Publique</t>
  </si>
  <si>
    <t>Rigakuryoho Kagaku</t>
  </si>
  <si>
    <t>Risk Analysis</t>
  </si>
  <si>
    <t>Risk Management and Healthcare Policy</t>
  </si>
  <si>
    <t>Rural and Remote Health</t>
  </si>
  <si>
    <t>Salud Publica de Mexico</t>
  </si>
  <si>
    <t>Scandinavian Journal of Disability Research</t>
  </si>
  <si>
    <t>Scandinavian Journal of Occupational Therapy</t>
  </si>
  <si>
    <t>Scandinavian Journal of Primary Health Care</t>
  </si>
  <si>
    <t>Scandinavian Journal of Public Health</t>
  </si>
  <si>
    <t>Scandinavian Journal of Public Health. Supplement</t>
  </si>
  <si>
    <t>School Mental Health</t>
  </si>
  <si>
    <t>Sciences Sociales et Sante</t>
  </si>
  <si>
    <t>Seminars in Diagnostic Pathology</t>
  </si>
  <si>
    <t>Sexual &amp; Reproductive HealthCare</t>
  </si>
  <si>
    <t>Sexual Health</t>
  </si>
  <si>
    <t>Sexuality and Disability</t>
  </si>
  <si>
    <t>Sexually Transmitted Diseases</t>
  </si>
  <si>
    <t>Social Psychiatry and Psychiatric Epidemiology</t>
  </si>
  <si>
    <t>Social Work in Public Health</t>
  </si>
  <si>
    <t>Socialmedicinsk Tidskrift</t>
  </si>
  <si>
    <t>Somnologie</t>
  </si>
  <si>
    <t>Southeast Asian Journal of Tropical Medicine and Public Health</t>
  </si>
  <si>
    <t>Spine</t>
  </si>
  <si>
    <t>SSM - Population Health</t>
  </si>
  <si>
    <t>Studies in Family Planning</t>
  </si>
  <si>
    <t>Substance Abuse Treatment, Prevention, and Policy</t>
  </si>
  <si>
    <t>Substance Abuse: Research and Treatment</t>
  </si>
  <si>
    <t>Substance Use and Misuse</t>
  </si>
  <si>
    <t>Suicide and Life-Threatening Behavior</t>
  </si>
  <si>
    <t>Suicidologi</t>
  </si>
  <si>
    <t>Suomen Laakarilehti</t>
  </si>
  <si>
    <t>Supportive Care in Cancer</t>
  </si>
  <si>
    <t>Systems Biology in Reproductive Medicine</t>
  </si>
  <si>
    <t>Technology and Health Care</t>
  </si>
  <si>
    <t>Telemedicine and e-Health</t>
  </si>
  <si>
    <t>The Aging Male</t>
  </si>
  <si>
    <t>The American Journal of Managed Care</t>
  </si>
  <si>
    <t>The Canadian Journal of Rural Medicine</t>
  </si>
  <si>
    <t>The Ethiopian Journal of Health Development</t>
  </si>
  <si>
    <t>The European Journal of General Practice</t>
  </si>
  <si>
    <t>The European Journal of Health Economics</t>
  </si>
  <si>
    <t>The Health Care Manager</t>
  </si>
  <si>
    <t>The International Journal of Biological Markers</t>
  </si>
  <si>
    <t>The International Journal of Risk and Safety in Medicine</t>
  </si>
  <si>
    <t>The Joint Commission Journal on Quality and Patient Safety</t>
  </si>
  <si>
    <t>The Journal of Clinical Ethics</t>
  </si>
  <si>
    <t>The Journal of Family Practice</t>
  </si>
  <si>
    <t>The Journal of Law, Medicine &amp; Ethics</t>
  </si>
  <si>
    <t>The Journal of Legal Medicine</t>
  </si>
  <si>
    <t>The Journal of Primary Prevention</t>
  </si>
  <si>
    <t>The Journal of Rural Health</t>
  </si>
  <si>
    <t>The Lancet Public Health</t>
  </si>
  <si>
    <t>The Milbank Quarterly</t>
  </si>
  <si>
    <t>The Online Journal of Health and Allied Sciences</t>
  </si>
  <si>
    <t>The Patient</t>
  </si>
  <si>
    <t>The Practitioner</t>
  </si>
  <si>
    <t>The Volta Review</t>
  </si>
  <si>
    <t>Theoretical Issues in Ergonomics Science</t>
  </si>
  <si>
    <t>Therapeutische Umschau</t>
  </si>
  <si>
    <t>Tidsskrift for Forskning i Sygdom og Samfund</t>
  </si>
  <si>
    <t>Timisoara Medical Journal</t>
  </si>
  <si>
    <t>Topics in Clinical Nutrition</t>
  </si>
  <si>
    <t>Topics in Geriatric Rehabilitation</t>
  </si>
  <si>
    <t>Topics in Language Disorders</t>
  </si>
  <si>
    <t>Transactions of the Royal Society of Tropical Medicine and Hygiene</t>
  </si>
  <si>
    <t>Trials</t>
  </si>
  <si>
    <t>Tropical Doctor</t>
  </si>
  <si>
    <t>Twin Research and Human Genetics</t>
  </si>
  <si>
    <t>Undersea &amp; Hyperbaric Medicine</t>
  </si>
  <si>
    <t>WHO Technical Report Series</t>
  </si>
  <si>
    <t>Wilderness &amp; Environmental Medicine</t>
  </si>
  <si>
    <t>Women &amp; Health</t>
  </si>
  <si>
    <t>Women and Birth</t>
  </si>
  <si>
    <t>Women's Health Issues</t>
  </si>
  <si>
    <t>Work: A Journal of Prevention, Assessment &amp; Rehabilitation</t>
  </si>
  <si>
    <t>Working with Older People</t>
  </si>
  <si>
    <t>WSI-Mitteilungen</t>
  </si>
  <si>
    <t>Zeitschrift fuer Evidenz, Fortbildung und Qualitaet im Gesundheitswesen</t>
  </si>
  <si>
    <t>Litteraturvidenskab</t>
  </si>
  <si>
    <t>Arcadia</t>
  </si>
  <si>
    <t>boundary 2: an international journal of literature and culture</t>
  </si>
  <si>
    <t>British Journal of Aesthetics</t>
  </si>
  <si>
    <t>Cambridge Companions to Literature</t>
  </si>
  <si>
    <t>Cambridge Studies in Medieval Literature</t>
  </si>
  <si>
    <t>Cambridge Studies in Nineteenth-Century Literature and Culture</t>
  </si>
  <si>
    <t>Cambridge Studies in Renaissance Literature and Culture</t>
  </si>
  <si>
    <t>Cambridge Studies in Romanticism</t>
  </si>
  <si>
    <t>Canadian Review of Comparative Literature</t>
  </si>
  <si>
    <t>Comparative History of Literatures in European Languages</t>
  </si>
  <si>
    <t>Comparative Literature</t>
  </si>
  <si>
    <t>Comparative Literature Studies</t>
  </si>
  <si>
    <t>Continuum Literary Studies</t>
  </si>
  <si>
    <t>Critical Quarterly</t>
  </si>
  <si>
    <t>Criticism: a quarterly for literature and the arts</t>
  </si>
  <si>
    <t>Critique</t>
  </si>
  <si>
    <t>Cross/Cultures: Readings in Post/Colonial Literatures and Cultures in English</t>
  </si>
  <si>
    <t>Cultural Memory in the Present</t>
  </si>
  <si>
    <t>Diacritics</t>
  </si>
  <si>
    <t>Early Modern Literature in History</t>
  </si>
  <si>
    <t>ESQ: A Journal of Nineteenth-Century American Literature and Culture</t>
  </si>
  <si>
    <t>Internationale Forschungen zur Allgemeinen und Vergleichenden Literaturwissenschaft</t>
  </si>
  <si>
    <t>Journal of Modern Literature</t>
  </si>
  <si>
    <t>Journal of World Literature</t>
  </si>
  <si>
    <t>Meridian: Crossing Aesthetics</t>
  </si>
  <si>
    <t>Metaphor and Symbol</t>
  </si>
  <si>
    <t>MFS: Modern Fiction Studies</t>
  </si>
  <si>
    <t>Modern Language Quarterly</t>
  </si>
  <si>
    <t>Modernism/Modernity</t>
  </si>
  <si>
    <t>Mosaic: A Journal for the Interdisciplinary Study of Literature</t>
  </si>
  <si>
    <t>Narrative</t>
  </si>
  <si>
    <t>New Literary History</t>
  </si>
  <si>
    <t>Novel: A Forum on Fiction</t>
  </si>
  <si>
    <t>Orbis Litterarum</t>
  </si>
  <si>
    <t>Paragraph</t>
  </si>
  <si>
    <t>Poetica</t>
  </si>
  <si>
    <t>Poetics</t>
  </si>
  <si>
    <t>Poetics Today</t>
  </si>
  <si>
    <t>Poetique</t>
  </si>
  <si>
    <t>Renaissance Quarterly</t>
  </si>
  <si>
    <t>Representations</t>
  </si>
  <si>
    <t>Rhetoric Society Quarterly</t>
  </si>
  <si>
    <t>Romantik : Journal for the Study of Romanticisms</t>
  </si>
  <si>
    <t>Textxet</t>
  </si>
  <si>
    <t>Victorian Literature and Culture</t>
  </si>
  <si>
    <t>a/b: Auto/Biography Studies</t>
  </si>
  <si>
    <t>Acta Humaniora</t>
  </si>
  <si>
    <t>Acta Literaria</t>
  </si>
  <si>
    <t>Acta Neophilologica</t>
  </si>
  <si>
    <t>Alif: A journal of comparative poetics</t>
  </si>
  <si>
    <t>American Book Review</t>
  </si>
  <si>
    <t>American Imago</t>
  </si>
  <si>
    <t>American Literary Scholarship</t>
  </si>
  <si>
    <t>Among The Victorians And Modernists</t>
  </si>
  <si>
    <t>ANQ: A Quarterly Journal of Short Articles, Notes and Reviews</t>
  </si>
  <si>
    <t>Archiv für das Studium der neueren Sprachen und Literaturen</t>
  </si>
  <si>
    <t>ariel: A Review of International English Literature</t>
  </si>
  <si>
    <t>Australian Literary Studies</t>
  </si>
  <si>
    <t>Bausteine zur Geschichte der Edition</t>
  </si>
  <si>
    <t>Beiträge zur neueren Literaturgeschichte [Dritte Folge]</t>
  </si>
  <si>
    <t>Biography</t>
  </si>
  <si>
    <t>Book History</t>
  </si>
  <si>
    <t>British Writers Classics</t>
  </si>
  <si>
    <t>Broken Narratives</t>
  </si>
  <si>
    <t>Canadian Literature</t>
  </si>
  <si>
    <t>Chasqui</t>
  </si>
  <si>
    <t>Chicago Review</t>
  </si>
  <si>
    <t>Children's Literature</t>
  </si>
  <si>
    <t>Children's Literature And Culture</t>
  </si>
  <si>
    <t>Children's Literature Association Quarterly</t>
  </si>
  <si>
    <t>Children's Literature, Culture, and Cognition</t>
  </si>
  <si>
    <t>Ciberletras</t>
  </si>
  <si>
    <t>CLA Journal</t>
  </si>
  <si>
    <t>Clarendon Lectures in English</t>
  </si>
  <si>
    <t>CLCWeb: Comparative Literature and Culture</t>
  </si>
  <si>
    <t>Clio: A Journal of Literature, History, and the Philosophy of History</t>
  </si>
  <si>
    <t>College Literature</t>
  </si>
  <si>
    <t>Coloquio: Letras</t>
  </si>
  <si>
    <t>Comparative Critical Studies</t>
  </si>
  <si>
    <t>Confrontation</t>
  </si>
  <si>
    <t>Connotations - A Journal for Critical Debate</t>
  </si>
  <si>
    <t>Consciousness, Literature and the Arts</t>
  </si>
  <si>
    <t>Contemporary World Writers</t>
  </si>
  <si>
    <t>Critica Letteraria</t>
  </si>
  <si>
    <t>Critical Survey</t>
  </si>
  <si>
    <t>Criticón</t>
  </si>
  <si>
    <t>Cuadernos Hispanoamericanos</t>
  </si>
  <si>
    <t>Digital Philology: A Journal of Medieval Cultures</t>
  </si>
  <si>
    <t>Early Modern Cultural Studies</t>
  </si>
  <si>
    <t>Early Modern Literary Studies</t>
  </si>
  <si>
    <t>Ecocritical Theory And Practice</t>
  </si>
  <si>
    <t>Eighteenth-Century Fiction</t>
  </si>
  <si>
    <t>Enculturation</t>
  </si>
  <si>
    <t>Especulo</t>
  </si>
  <si>
    <t>Esprit</t>
  </si>
  <si>
    <t>Essays and Studies</t>
  </si>
  <si>
    <t>Essays in Criticism</t>
  </si>
  <si>
    <t>Estudios de Literatura</t>
  </si>
  <si>
    <t>Europe: revue litteraire mensuelle</t>
  </si>
  <si>
    <t>European Romantic Review</t>
  </si>
  <si>
    <t>Evolutionary Studies in Imaginative Culture</t>
  </si>
  <si>
    <t>Extrapolation</t>
  </si>
  <si>
    <t>Faux Titre</t>
  </si>
  <si>
    <t>FILLM Studies in Languages and Literatures</t>
  </si>
  <si>
    <t>FOLIES Forum Literaturen Europas</t>
  </si>
  <si>
    <t>Forum for Modern Language Studies</t>
  </si>
  <si>
    <t>Foundation: The International Review Of Science Fiction</t>
  </si>
  <si>
    <t>Fourth Genre: explorations in nonfiction</t>
  </si>
  <si>
    <t>Frontiers of Narrative Studies</t>
  </si>
  <si>
    <t>Genesis (Manuscrits - Recherche - Invention)</t>
  </si>
  <si>
    <t>Genre: forms of discourse and culture</t>
  </si>
  <si>
    <t>Geocriticism And Spatial Literary Studies</t>
  </si>
  <si>
    <t>Germanic Notes and Reviews</t>
  </si>
  <si>
    <t>Gothaer Forschungen Zur Frühen Neuzeit</t>
  </si>
  <si>
    <t>Gothic Studies</t>
  </si>
  <si>
    <t>Hagiographies : Histoire internationale de la littérature hagiographique latine et vernaculaire en Occident des origines à 1550. International History of the Latin and Vernacular Hagiographical Literature in the West from its Origins to 1550 (CCHAG)</t>
  </si>
  <si>
    <t>Hamburger Beiträge zur Germanistik</t>
  </si>
  <si>
    <t>Harvard Studies in Comparative Literature</t>
  </si>
  <si>
    <t>Histoires Litteraires</t>
  </si>
  <si>
    <t>Historizing Modernism</t>
  </si>
  <si>
    <t>Hoelderlin-Jahrbuch</t>
  </si>
  <si>
    <t>Huntington Library Quarterly</t>
  </si>
  <si>
    <t>Iconicity in Language and Literature</t>
  </si>
  <si>
    <t>Inklings: Jahrbuch für Literatur und Ästhetik</t>
  </si>
  <si>
    <t>Interdisciplinary Studies in Literature and Environment</t>
  </si>
  <si>
    <t>Interfaces: A Journal of Medieval European Literatures</t>
  </si>
  <si>
    <t>Interlitteraria</t>
  </si>
  <si>
    <t>International Journal of the Book</t>
  </si>
  <si>
    <t>International Journal of the Humanities</t>
  </si>
  <si>
    <t>International Research in Children's Literature</t>
  </si>
  <si>
    <t>Irish University Review</t>
  </si>
  <si>
    <t>Journal of Beckett Studies</t>
  </si>
  <si>
    <t>Journal of Language, Literature and Culture</t>
  </si>
  <si>
    <t>Journal of Literary Theory</t>
  </si>
  <si>
    <t>Journal of Literature and Trauma Studies</t>
  </si>
  <si>
    <t>Journal of Narrative Theory</t>
  </si>
  <si>
    <t>Journal of the Association for the Study of Australian Literature</t>
  </si>
  <si>
    <t>Journal of the Early Book Society</t>
  </si>
  <si>
    <t>Journeys:The International Journal of Travel and Travel Writing</t>
  </si>
  <si>
    <t>KulturPoetik</t>
  </si>
  <si>
    <t>Landfall</t>
  </si>
  <si>
    <t>Latin American Indian Literatures Journal</t>
  </si>
  <si>
    <t>Law and Humanities</t>
  </si>
  <si>
    <t>L'Esprit Créateur</t>
  </si>
  <si>
    <t>Linguistic Approaches to Literature</t>
  </si>
  <si>
    <t>Literary Imagination</t>
  </si>
  <si>
    <t>Literatur und Kritik</t>
  </si>
  <si>
    <t>Literature &amp; History</t>
  </si>
  <si>
    <t>Literature and Medicine</t>
  </si>
  <si>
    <t>Literature In Context</t>
  </si>
  <si>
    <t>Literatures As World Literature</t>
  </si>
  <si>
    <t>Litterature</t>
  </si>
  <si>
    <t>Littératures</t>
  </si>
  <si>
    <t>Massachusetts Review</t>
  </si>
  <si>
    <t>Mnemosyne Supplements Online</t>
  </si>
  <si>
    <t>Monografias A</t>
  </si>
  <si>
    <t>Nabokov Studies</t>
  </si>
  <si>
    <t>Neohelicon</t>
  </si>
  <si>
    <t>New Directions In Book History</t>
  </si>
  <si>
    <t>New Directions in Religion and Literature</t>
  </si>
  <si>
    <t>New Literature Review</t>
  </si>
  <si>
    <t>New Writing</t>
  </si>
  <si>
    <t>Nineteenth-Century Prose</t>
  </si>
  <si>
    <t>Nordisk Tidskrift for Vetenskap, Konst och Industri</t>
  </si>
  <si>
    <t>Norsk Litteraturvitenskapelig Tidsskrift</t>
  </si>
  <si>
    <t>Palgrave Studies In Nineteenth-Century Writing And Culture</t>
  </si>
  <si>
    <t>Palgrave Studies in the Enlightenment, Romanticism and Print</t>
  </si>
  <si>
    <t>Papers on Language and Literature</t>
  </si>
  <si>
    <t xml:space="preserve">Papers: Explorations into Children's Literature </t>
  </si>
  <si>
    <t>Paradoxa</t>
  </si>
  <si>
    <t>Parallax. Re-Visions of Culture and Society</t>
  </si>
  <si>
    <t>Partial Answers</t>
  </si>
  <si>
    <t>Philologie im Netz</t>
  </si>
  <si>
    <t>Ploughshares</t>
  </si>
  <si>
    <t>Poetry Review</t>
  </si>
  <si>
    <t>Poetry Wales</t>
  </si>
  <si>
    <t>Postcolonial Literary Studies</t>
  </si>
  <si>
    <t>Prooftexts</t>
  </si>
  <si>
    <t>Prose Studies</t>
  </si>
  <si>
    <t>Prosopopeia</t>
  </si>
  <si>
    <t>Quaerendo</t>
  </si>
  <si>
    <t>Queen's Quarterly</t>
  </si>
  <si>
    <t>Reimagining Ireland</t>
  </si>
  <si>
    <t>Reinardus | Yearbook of the International Reynard Society</t>
  </si>
  <si>
    <t>Renascence: Essays on Values in Literature</t>
  </si>
  <si>
    <t>Revue de Littérature Comparée</t>
  </si>
  <si>
    <t>Rivista di Letterature Moderne e Comparate</t>
  </si>
  <si>
    <t>Roman 20-50: Revue d'étude du roman du XXe siècle</t>
  </si>
  <si>
    <t>Romanticism And After In France / Le Romantisme Et Après En France</t>
  </si>
  <si>
    <t>Romanticism on the Net</t>
  </si>
  <si>
    <t>Romantisme</t>
  </si>
  <si>
    <t>Routledge Handbooks In English Language Studies</t>
  </si>
  <si>
    <t>Routledge Literature Companions</t>
  </si>
  <si>
    <t>Samlaren: tidsskrift för forskning om svensk och annan nordisk litteratur</t>
  </si>
  <si>
    <t>Samuel Beckett Today/Aujourd'hui</t>
  </si>
  <si>
    <t>Scientific Study of Literature</t>
  </si>
  <si>
    <t>Spectrum Literaturwissenschaft</t>
  </si>
  <si>
    <t>Sprachkunst</t>
  </si>
  <si>
    <t>Studi e Problemi di Critica Testuale</t>
  </si>
  <si>
    <t>Studies in 20th and 21st Century Literature</t>
  </si>
  <si>
    <t>Studies in Canadian Literature/Études en Littérature Canadienne</t>
  </si>
  <si>
    <t>Studies in Comparative Literature</t>
  </si>
  <si>
    <t>Studies in English and Comparative Literature</t>
  </si>
  <si>
    <t>Studies in European Culture and History</t>
  </si>
  <si>
    <t>Studies in Literature, Culture, and the Environment / Studien zu Literatur, Kultur und Umwelt</t>
  </si>
  <si>
    <t>Studies in the Humanities</t>
  </si>
  <si>
    <t>Studies in the Literary Imagination</t>
  </si>
  <si>
    <t>Style</t>
  </si>
  <si>
    <t>Sub-Stance</t>
  </si>
  <si>
    <t>Symbolism: An International Annual of Critical Aesthetics</t>
  </si>
  <si>
    <t>Symploke</t>
  </si>
  <si>
    <t>Symposium: a quarterly journal of modern literatures.</t>
  </si>
  <si>
    <t>Testo a fronte</t>
  </si>
  <si>
    <t>Texas Studies in Literature and Language</t>
  </si>
  <si>
    <t>Text und Kritik</t>
  </si>
  <si>
    <t>Texte: revue de critique et de theorie litteraire</t>
  </si>
  <si>
    <t>The Antigonish Review</t>
  </si>
  <si>
    <t>The Cambridge Quarterly</t>
  </si>
  <si>
    <t>The CEA Critic</t>
  </si>
  <si>
    <t>The Dalhousie Review</t>
  </si>
  <si>
    <t>The Eighteenth Century: Theory and Interpretation</t>
  </si>
  <si>
    <t>The Eighteenth-Century Novel</t>
  </si>
  <si>
    <t>The Explicator</t>
  </si>
  <si>
    <t>The Hemingway Review</t>
  </si>
  <si>
    <t>The Lion and the Unicorn</t>
  </si>
  <si>
    <t>The Minnesota Review</t>
  </si>
  <si>
    <t>Tidlig Moderne</t>
  </si>
  <si>
    <t>Tidskrift foer Litteraturvetenskap</t>
  </si>
  <si>
    <t>TriQuarterly</t>
  </si>
  <si>
    <t>Trivium</t>
  </si>
  <si>
    <t>Tulsa Studies in Women's Literature</t>
  </si>
  <si>
    <t>Twentieth Century Literature</t>
  </si>
  <si>
    <t>University of Toronto Quarterly</t>
  </si>
  <si>
    <t xml:space="preserve">Utrecht Studies in Medieval Literacy </t>
  </si>
  <si>
    <t>Variaciones Borges</t>
  </si>
  <si>
    <t>Verdenslitteratur</t>
  </si>
  <si>
    <t>Victorian Network</t>
  </si>
  <si>
    <t>Waiguo Wenxue Yanjiu (Wuhan)</t>
  </si>
  <si>
    <t>Women in Context Series - Women's Writing 1850-1990</t>
  </si>
  <si>
    <t>Word &amp; Image</t>
  </si>
  <si>
    <t>Zeitschrift für Anglistik und Amerikanistik</t>
  </si>
  <si>
    <t>Veterinærmedicin</t>
  </si>
  <si>
    <t>Acta Veterinaria Scandinavica</t>
  </si>
  <si>
    <t>American Journal of Veterinary Research</t>
  </si>
  <si>
    <t>Equine Veterinary Journal</t>
  </si>
  <si>
    <t>Journal of the American Veterinary Medical Association</t>
  </si>
  <si>
    <t>Journal of Veterinary Internal Medicine</t>
  </si>
  <si>
    <t>Journal of Veterinary Pharmacology and Therapeutics</t>
  </si>
  <si>
    <t>Parasitology</t>
  </si>
  <si>
    <t>Preventive Veterinary Medicine</t>
  </si>
  <si>
    <t>Research in Veterinary Science</t>
  </si>
  <si>
    <t>The Veterinary Journal</t>
  </si>
  <si>
    <t>Theriogenology</t>
  </si>
  <si>
    <t>Veterinary Immunology and Immunopathology</t>
  </si>
  <si>
    <t>Veterinary Microbiology</t>
  </si>
  <si>
    <t>Veterinary Parasitology</t>
  </si>
  <si>
    <t>Veterinary Research</t>
  </si>
  <si>
    <t>Zoonoses and Public Health</t>
  </si>
  <si>
    <t>Acta Veterinaria Hungarica</t>
  </si>
  <si>
    <t>Alternatives to Laboratory Animals</t>
  </si>
  <si>
    <t>Anatomia, Histologia, Embryologia</t>
  </si>
  <si>
    <t>Animal Nutrition</t>
  </si>
  <si>
    <t>Annales de Medecine Veterinaire</t>
  </si>
  <si>
    <t>Australian Veterinary Journal</t>
  </si>
  <si>
    <t>Avian Diseases</t>
  </si>
  <si>
    <t>Avian Pathology</t>
  </si>
  <si>
    <t>Berliner und Muenchener Tieraerztliche Wochenschrift</t>
  </si>
  <si>
    <t>BMC Veterinary Research</t>
  </si>
  <si>
    <t>Bulletin of the Veterinary Institute in Pulawy</t>
  </si>
  <si>
    <t>Canadian Journal of Veterinary Research</t>
  </si>
  <si>
    <t>Comparative Immunology, Microbiology &amp; Infectious Diseases</t>
  </si>
  <si>
    <t>Comparative Medicine</t>
  </si>
  <si>
    <t>Dansk Veterinaertidsskrift</t>
  </si>
  <si>
    <t>Der Praktische Tierarzt</t>
  </si>
  <si>
    <t>Diagnostics</t>
  </si>
  <si>
    <t>Diseases of Aquatic Organisms</t>
  </si>
  <si>
    <t>Equine Veterinary Education</t>
  </si>
  <si>
    <t>EAAP Book of Abstracts</t>
  </si>
  <si>
    <t>Frontiers in Genetics</t>
  </si>
  <si>
    <t>Frontiers in Veterinary Science</t>
  </si>
  <si>
    <t>Genome Announcements</t>
  </si>
  <si>
    <t>Geospatial Health</t>
  </si>
  <si>
    <t>Gut Pathogens</t>
  </si>
  <si>
    <t>In Practice</t>
  </si>
  <si>
    <t>International Journal for Parasitology</t>
  </si>
  <si>
    <t>Journal of Avian Medicine and Surgery</t>
  </si>
  <si>
    <t>Journal of Comparative Pathology</t>
  </si>
  <si>
    <t>Journal of Diabetes Research</t>
  </si>
  <si>
    <t>Journal of Feline Medicine and Surgery</t>
  </si>
  <si>
    <t>Journal of Fish Diseases</t>
  </si>
  <si>
    <t>Journal of Medical Entomology</t>
  </si>
  <si>
    <t>Journal of Medical Primatology</t>
  </si>
  <si>
    <t>Journal of Small Animal Practice</t>
  </si>
  <si>
    <t>Journal of the American Association for Laboratory Animal Science</t>
  </si>
  <si>
    <t>Journal of Veterinary Cardiology</t>
  </si>
  <si>
    <t>Journal of Veterinary Diagnostic Investigation</t>
  </si>
  <si>
    <t>Journal of Veterinary Emergency and Critical Care</t>
  </si>
  <si>
    <t>Journal of Veterinary Medical Science</t>
  </si>
  <si>
    <t>Journal of Wildlife Diseases</t>
  </si>
  <si>
    <t>Journal of Zoo and Wildlife Medicine</t>
  </si>
  <si>
    <t>Lab Animal</t>
  </si>
  <si>
    <t>Laboratory Animals</t>
  </si>
  <si>
    <t>Livestock Research for Rural Development</t>
  </si>
  <si>
    <t>Medical &amp; Veterinary Entomology</t>
  </si>
  <si>
    <t>Medical Mycology</t>
  </si>
  <si>
    <t>Medycyna Weterynaryjna</t>
  </si>
  <si>
    <t>New Zealand Veterinary Journal</t>
  </si>
  <si>
    <t>Norsk Veterinaer-Tidsskrift</t>
  </si>
  <si>
    <t>Onderstepoort Journal of Veterinary Research</t>
  </si>
  <si>
    <t>Parasite Epidemiology and Control</t>
  </si>
  <si>
    <t>Parasite Immunology</t>
  </si>
  <si>
    <t>Parasitology International</t>
  </si>
  <si>
    <t>Parazitologiya</t>
  </si>
  <si>
    <t>Pesquisa Veterinária Brasileira</t>
  </si>
  <si>
    <t xml:space="preserve">PLOS Neglected Tropical Diseases </t>
  </si>
  <si>
    <t>Porcine Health Management</t>
  </si>
  <si>
    <t>Redox Biology</t>
  </si>
  <si>
    <t>Reproduction in Domestic Animals</t>
  </si>
  <si>
    <t>Revue Scientifique et Technique</t>
  </si>
  <si>
    <t>Scandinavian Journal of Laboratory Animal Science</t>
  </si>
  <si>
    <t>Schweizer Archiv fuer Tierheilkunde</t>
  </si>
  <si>
    <t>Spatial and Spatio-temporal Epidemiology</t>
  </si>
  <si>
    <t>Systematic Parasitology</t>
  </si>
  <si>
    <t>The Canadian Veterinary Journal</t>
  </si>
  <si>
    <t>The Journal of Equine Veterinary Science</t>
  </si>
  <si>
    <t>The Journal of Wildlife Management</t>
  </si>
  <si>
    <t>The UFAW/Wiley-Blackwell Animal Welfare Book Series</t>
  </si>
  <si>
    <t>The Veterinary Record</t>
  </si>
  <si>
    <t>Transboundary and Emerging Diseases</t>
  </si>
  <si>
    <t>Tropical Animal Health and Production</t>
  </si>
  <si>
    <t>Vaccine</t>
  </si>
  <si>
    <t>Vaccines</t>
  </si>
  <si>
    <t>Veterinarski Arhiv</t>
  </si>
  <si>
    <t>Veterinary Anaesthesia and Analgesia</t>
  </si>
  <si>
    <t>Veterinary and Comparative Oncology</t>
  </si>
  <si>
    <t>Veterinary and Comparative Orthopaedics and Traumatology</t>
  </si>
  <si>
    <t>Veterinary Clinical Pathology</t>
  </si>
  <si>
    <t>Veterinary Clinics of North America: Equine Practice</t>
  </si>
  <si>
    <t>Veterinary Dermatology</t>
  </si>
  <si>
    <t>Veterinary Ophthalmology</t>
  </si>
  <si>
    <t>Veterinary Pathology</t>
  </si>
  <si>
    <t>Veterinary Quarterly</t>
  </si>
  <si>
    <t>Veterinary Radiology &amp; Ultrasound</t>
  </si>
  <si>
    <t>Veterinary Research Communications</t>
  </si>
  <si>
    <t>Veterinary Sciences</t>
  </si>
  <si>
    <t>Veterinary Surgery</t>
  </si>
  <si>
    <t>Retsmedicin</t>
  </si>
  <si>
    <t>Brain Pathology</t>
  </si>
  <si>
    <t>Cardiovascular Pathology</t>
  </si>
  <si>
    <t>Forensic Science International</t>
  </si>
  <si>
    <t>Forensic Science International: Genetics</t>
  </si>
  <si>
    <t>International Journal of Legal Medicine</t>
  </si>
  <si>
    <t>Journal of Forensic Sciences</t>
  </si>
  <si>
    <t>Journal of Pathology</t>
  </si>
  <si>
    <t>Modern Pathology</t>
  </si>
  <si>
    <t>Acta Cytologica</t>
  </si>
  <si>
    <t>Acta Histochemica</t>
  </si>
  <si>
    <t>Acta Histochemica et Cytochemica</t>
  </si>
  <si>
    <t>Acta Neuropathologica</t>
  </si>
  <si>
    <t>Advances in Anatomic Pathology</t>
  </si>
  <si>
    <t>American Journal of Clinical Pathology</t>
  </si>
  <si>
    <t>American Journal of Physical Anthropology</t>
  </si>
  <si>
    <t>American Journal of Surgical Pathology</t>
  </si>
  <si>
    <t>Analytical Cellular Pathology</t>
  </si>
  <si>
    <t>Annales de Pathologie</t>
  </si>
  <si>
    <t>Annals of Diagnostic Pathology</t>
  </si>
  <si>
    <t>APMIS. Acta Pathologica, Microbiologica et Immunologica Scandinavica. Supplementum</t>
  </si>
  <si>
    <t>Applied Immunohistochemistry &amp; Molecular Morphology</t>
  </si>
  <si>
    <t>Archives of Pathology &amp; Laboratory Medicine</t>
  </si>
  <si>
    <t>Australian Journal of Forensic Sciences</t>
  </si>
  <si>
    <t>BMC Clinical Pathology</t>
  </si>
  <si>
    <t>Clinical Neuropathology</t>
  </si>
  <si>
    <t>Comparative Clinical Pathology</t>
  </si>
  <si>
    <t>Cytopathology</t>
  </si>
  <si>
    <t>Der Pathologe</t>
  </si>
  <si>
    <t>Diagnostic Cytopathology</t>
  </si>
  <si>
    <t>Diagnostic Histopathology</t>
  </si>
  <si>
    <t>Diagnostic Molecular Pathology</t>
  </si>
  <si>
    <t>Diagnostic Pathology</t>
  </si>
  <si>
    <t>Drug Metabolism and Personalized Therapy</t>
  </si>
  <si>
    <t>Endocrine Pathology</t>
  </si>
  <si>
    <t>European Journal of Histochemistry</t>
  </si>
  <si>
    <t>Experimental and Molecular Pathology</t>
  </si>
  <si>
    <t>Forensic Science, Medicine, and Pathology</t>
  </si>
  <si>
    <t>Forensic Toxicology</t>
  </si>
  <si>
    <t>Histochemistry and Cell Biology</t>
  </si>
  <si>
    <t>Histology and Histopathology</t>
  </si>
  <si>
    <t>Histopathology</t>
  </si>
  <si>
    <t>HOMO - Journal of Comparative Human Biology</t>
  </si>
  <si>
    <t>Human Pathology</t>
  </si>
  <si>
    <t>International Journal of Experimental Pathology</t>
  </si>
  <si>
    <t>International Journal of Gynecological Pathology</t>
  </si>
  <si>
    <t>International Journal of Osteoarchaeology</t>
  </si>
  <si>
    <t>International Journal of Surgical Pathology</t>
  </si>
  <si>
    <t>Journal of Clinical Pathology</t>
  </si>
  <si>
    <t>Journal of Forensic and Legal Medicine</t>
  </si>
  <si>
    <t>Journal of Forensic Radiology and Imaging</t>
  </si>
  <si>
    <t>Journal of Interpersonal Violence</t>
  </si>
  <si>
    <t>Journal of Molecular and Cellular Cardiology</t>
  </si>
  <si>
    <t>Law, Politics, and the Media</t>
  </si>
  <si>
    <t>Legal Medicine</t>
  </si>
  <si>
    <t>Medicine, Science and the Law</t>
  </si>
  <si>
    <t>Neuropathology</t>
  </si>
  <si>
    <t>Neuropathology and Applied Neurobiology</t>
  </si>
  <si>
    <t>Pathologica</t>
  </si>
  <si>
    <t>Pathology</t>
  </si>
  <si>
    <t>Pathology and Oncology Research</t>
  </si>
  <si>
    <t>Pathology, Research and Practice</t>
  </si>
  <si>
    <t>Pediatric and Developmental Pathology</t>
  </si>
  <si>
    <t>Progress in Histochemistry and Cytochemistry</t>
  </si>
  <si>
    <t>Scandinavian Journal of Forensic Science</t>
  </si>
  <si>
    <t>Science and Justice</t>
  </si>
  <si>
    <t>The American Journal of Forensic Medicine and Pathology</t>
  </si>
  <si>
    <t>The American Journal of Pathology</t>
  </si>
  <si>
    <t>Ultrastructural Pathology</t>
  </si>
  <si>
    <t>Violence and Victims</t>
  </si>
  <si>
    <t>Virchows Archiv</t>
  </si>
  <si>
    <t>Medicinske basalfag</t>
  </si>
  <si>
    <t>Advances in Parasitology</t>
  </si>
  <si>
    <t>American Journal of Physiology: Endocrinology and Metabolism</t>
  </si>
  <si>
    <t>Annual Review of Physiology</t>
  </si>
  <si>
    <t>BBA Molecular Basis of Disease</t>
  </si>
  <si>
    <t>BBA Reviews on Cancer</t>
  </si>
  <si>
    <t>Critical Reviews in Clinical Laboratory Sciences</t>
  </si>
  <si>
    <t>European Journal of Nuclear Medicine and Molecular Imaging</t>
  </si>
  <si>
    <t>FEMS Microbiology Reviews</t>
  </si>
  <si>
    <t>Human Mutation</t>
  </si>
  <si>
    <t>Investigative Radiology</t>
  </si>
  <si>
    <t>Journal of Allergy and Clinical Immunology</t>
  </si>
  <si>
    <t>Journal of General Physiology</t>
  </si>
  <si>
    <t>Journal of Immunology</t>
  </si>
  <si>
    <t>Journal of Medical Genetics</t>
  </si>
  <si>
    <t>Journal of Virology</t>
  </si>
  <si>
    <t>Molecular Aspects of Medicine</t>
  </si>
  <si>
    <t>Mutation Research - Reviews</t>
  </si>
  <si>
    <t>Nature Immunology</t>
  </si>
  <si>
    <t>Nature Reviews. Microbiology</t>
  </si>
  <si>
    <t>Physiological Reviews</t>
  </si>
  <si>
    <t>Physiology</t>
  </si>
  <si>
    <t>PLOS Genetics</t>
  </si>
  <si>
    <t>PLOS Pathogens</t>
  </si>
  <si>
    <t>Radiology</t>
  </si>
  <si>
    <t>Seminars in Cancer Biology</t>
  </si>
  <si>
    <t>Seminars in Immunopathology</t>
  </si>
  <si>
    <t>The Journal of Experimental Medicine</t>
  </si>
  <si>
    <t>The Journal of Molecular Diagnostics</t>
  </si>
  <si>
    <t>The Journal of Nuclear Medicine</t>
  </si>
  <si>
    <t>The Journal of Physiology</t>
  </si>
  <si>
    <t>Trends in Genetics</t>
  </si>
  <si>
    <t>Trends in Molecular Medicine</t>
  </si>
  <si>
    <t>Trends in Parasitology</t>
  </si>
  <si>
    <t>Academic Radiology</t>
  </si>
  <si>
    <t>Acta Bioquimica Clinica Latinoamericana</t>
  </si>
  <si>
    <t>Acta Radiologica</t>
  </si>
  <si>
    <t>Acta Radiologica Open</t>
  </si>
  <si>
    <t>Acta Virologica</t>
  </si>
  <si>
    <t>Advances in Clinical Chemistry</t>
  </si>
  <si>
    <t>Advances in Experimental Medicine and Biology</t>
  </si>
  <si>
    <t>Advances in Virus Research</t>
  </si>
  <si>
    <t>AIDS Research and Human Retroviruses</t>
  </si>
  <si>
    <t>Allergy: European Journal of Allergy and Clinical Immunology, Supplement</t>
  </si>
  <si>
    <t>Alzheimer's Research &amp; Therapy</t>
  </si>
  <si>
    <t>American Journal of Medical Genetics. Part C: Seminars in Medical Genetics</t>
  </si>
  <si>
    <t>American Journal of Neuroradiology</t>
  </si>
  <si>
    <t>American Journal of Physiology</t>
  </si>
  <si>
    <t>American Journal of Physiology: Cell Physiology</t>
  </si>
  <si>
    <t>American Journal of Physiology: Gastrointestinal and Liver Physiology</t>
  </si>
  <si>
    <t>American Journal of Physiology: Heart and Circulatory Physiology</t>
  </si>
  <si>
    <t>American Journal of Physiology: Lung Cellular and Molecular Physiology</t>
  </si>
  <si>
    <t>American Journal of Physiology: Regulatory, Integrative and Comparative Physiology</t>
  </si>
  <si>
    <t>American Journal of Physiology: Renal Physiology</t>
  </si>
  <si>
    <t>American Journal of Roentgenology</t>
  </si>
  <si>
    <t>Anatomical Science International</t>
  </si>
  <si>
    <t>Annales de Biologie Clinique</t>
  </si>
  <si>
    <t>Annals of Anatomy</t>
  </si>
  <si>
    <t>Annals of Clinical &amp; Laboratory Science</t>
  </si>
  <si>
    <t>Annals of Human Biology</t>
  </si>
  <si>
    <t>Annals of Nuclear Medicine</t>
  </si>
  <si>
    <t>Annals of the ICRP</t>
  </si>
  <si>
    <t>Applied Radiology</t>
  </si>
  <si>
    <t>Archives of Virology</t>
  </si>
  <si>
    <t>Biology of Blood and Marrow Transplantation</t>
  </si>
  <si>
    <t>Biopreservation and Biobanking</t>
  </si>
  <si>
    <t>BioResearch Open Access</t>
  </si>
  <si>
    <t>BMC Medical Genetics</t>
  </si>
  <si>
    <t>BMC Microbiology</t>
  </si>
  <si>
    <t>BMC Research Notes</t>
  </si>
  <si>
    <t>Brachytherapy</t>
  </si>
  <si>
    <t>British Journal of Radiology</t>
  </si>
  <si>
    <t>Bulletin of Experimental Biology and Medicine</t>
  </si>
  <si>
    <t>Canadian Association of Radiologists Journal</t>
  </si>
  <si>
    <t>Cancer Immunology, Immunotherapy</t>
  </si>
  <si>
    <t>Cardiovascular and Interventional Radiology</t>
  </si>
  <si>
    <t>Cell Proliferation</t>
  </si>
  <si>
    <t>Cellular Immunology</t>
  </si>
  <si>
    <t>Chinese Journal of Physiology</t>
  </si>
  <si>
    <t>Clinica Chimica Acta</t>
  </si>
  <si>
    <t>Clinical and Experimental Pharmacology and Physiology</t>
  </si>
  <si>
    <t>Clinical and Vaccine Immunology</t>
  </si>
  <si>
    <t>Clinical Genetics</t>
  </si>
  <si>
    <t>Clinical Imaging</t>
  </si>
  <si>
    <t>Clinical Neuroradiology</t>
  </si>
  <si>
    <t>Clinical Nuclear Medicine</t>
  </si>
  <si>
    <t>Clinical Radiology</t>
  </si>
  <si>
    <t>Clinics in Laboratory Medicine</t>
  </si>
  <si>
    <t>Computational and Mathematical Methods in Medicine</t>
  </si>
  <si>
    <t>CryoLetters</t>
  </si>
  <si>
    <t>Current Gene Therapy</t>
  </si>
  <si>
    <t>Current Medical Research and Opinion</t>
  </si>
  <si>
    <t>Current Molecular Medicine</t>
  </si>
  <si>
    <t>Current Opinion in Molecular Therapeutics</t>
  </si>
  <si>
    <t>Current Problems in Diagnostic Radiology</t>
  </si>
  <si>
    <t>Current Therapeutic Research</t>
  </si>
  <si>
    <t>Cytometry. Part B: Clinical Cytometry</t>
  </si>
  <si>
    <t>Der Radiologe</t>
  </si>
  <si>
    <t>Diagnostic and Therapeutic Endoscopy</t>
  </si>
  <si>
    <t>Disease Markers</t>
  </si>
  <si>
    <t>Dose-Response</t>
  </si>
  <si>
    <t>EJNMMI Research</t>
  </si>
  <si>
    <t>Emergency Radiology</t>
  </si>
  <si>
    <t>Endocrine - Related Cancer</t>
  </si>
  <si>
    <t>European Journal of Medical Genetics</t>
  </si>
  <si>
    <t>European Journal of Medical Research</t>
  </si>
  <si>
    <t>European Journal of Radiology</t>
  </si>
  <si>
    <t>European Journal of Translational Myology</t>
  </si>
  <si>
    <t>European Radiology</t>
  </si>
  <si>
    <t>Experimental &amp; Molecular Medicine</t>
  </si>
  <si>
    <t>Experimental Biology and Medicine</t>
  </si>
  <si>
    <t>Expert Opinion on Biological Therapy</t>
  </si>
  <si>
    <t>Expert Review of Anticancer Therapy</t>
  </si>
  <si>
    <t>Frontiers in Cellular Neuroscience</t>
  </si>
  <si>
    <t>Frontiers in Medicine</t>
  </si>
  <si>
    <t>Frontiers of Radiation Therapy and Oncology</t>
  </si>
  <si>
    <t>Genetics in Medicine</t>
  </si>
  <si>
    <t>Genetics Research</t>
  </si>
  <si>
    <t>HLA</t>
  </si>
  <si>
    <t>Human Antibodies</t>
  </si>
  <si>
    <t>Human Biology</t>
  </si>
  <si>
    <t>Human Genetics</t>
  </si>
  <si>
    <t>Human Immunology</t>
  </si>
  <si>
    <t>Human Physiology</t>
  </si>
  <si>
    <t>Immunology</t>
  </si>
  <si>
    <t>Immunology, Endocrine and Metabolic Agents in Medicinal Chemistry</t>
  </si>
  <si>
    <t>In Vivo</t>
  </si>
  <si>
    <t>Indian Journal of Medical Microbiology</t>
  </si>
  <si>
    <t>Innate Immunity</t>
  </si>
  <si>
    <t>Insights into Imaging</t>
  </si>
  <si>
    <t>International Journal of Cardiovascular Imaging</t>
  </si>
  <si>
    <t>International Journal of Immunopathology and Pharmacology</t>
  </si>
  <si>
    <t>International Journal of Medical Microbiology</t>
  </si>
  <si>
    <t>International Journal of Molecular Medicine</t>
  </si>
  <si>
    <t>International Journal of Peptide Research and Therapeutics</t>
  </si>
  <si>
    <t>International Journal of Radiation Biology</t>
  </si>
  <si>
    <t>Interventional Neuroradiology</t>
  </si>
  <si>
    <t>Intervirology</t>
  </si>
  <si>
    <t>Journal des Anti-Infectieux</t>
  </si>
  <si>
    <t>Journal of Anatomy</t>
  </si>
  <si>
    <t>Journal of Biological Regulators and Homeostatic Agents</t>
  </si>
  <si>
    <t>Journal of Biomolecular N M R</t>
  </si>
  <si>
    <t>Journal of Carcinogenesis</t>
  </si>
  <si>
    <t>Journal of Cellular and Molecular Medicine</t>
  </si>
  <si>
    <t>Journal of Clinical Laboratory Analysis</t>
  </si>
  <si>
    <t>Journal of Clinical Ultrasound</t>
  </si>
  <si>
    <t>Journal of Comorbidity</t>
  </si>
  <si>
    <t>Journal of Comparative Physiology A: Neuroethology, Sensory, Neural, and Behavioral Physiology</t>
  </si>
  <si>
    <t>Journal of Computer Assisted Tomography</t>
  </si>
  <si>
    <t>Journal of Diabetes Science and Technology</t>
  </si>
  <si>
    <t>Journal of Diagnostic Medical Sonography</t>
  </si>
  <si>
    <t>Journal of Electron Microscopy</t>
  </si>
  <si>
    <t>Journal of Enzyme Inhibition and Medicinal Chemistry</t>
  </si>
  <si>
    <t>Journal of Experimental &amp; Clinical Cancer Research</t>
  </si>
  <si>
    <t>Journal of Fluorescence</t>
  </si>
  <si>
    <t>Journal of General Virology</t>
  </si>
  <si>
    <t>Journal of Immunoassay and Immunochemistry</t>
  </si>
  <si>
    <t>Journal of Immunological Methods</t>
  </si>
  <si>
    <t>Journal of Long-Term Effects of Medical Implants</t>
  </si>
  <si>
    <t>Journal of Magnetic Resonance Imaging</t>
  </si>
  <si>
    <t>Journal of Mechanics in Medicine and Biology</t>
  </si>
  <si>
    <t>Journal of Medical Imaging and Radiation Oncology</t>
  </si>
  <si>
    <t>Journal of Medical Microbiology</t>
  </si>
  <si>
    <t>Journal of Musculoskeletal and Neuronal Interactions</t>
  </si>
  <si>
    <t>Journal of Musculoskeletal Research</t>
  </si>
  <si>
    <t>Journal of Negative Results in BioMedicine</t>
  </si>
  <si>
    <t>Journal of Neurophysiology</t>
  </si>
  <si>
    <t>Journal of Nuclear Medicine Technology</t>
  </si>
  <si>
    <t>Journal of Physiological Sciences</t>
  </si>
  <si>
    <t>Journal of Physiology and Pharmacology</t>
  </si>
  <si>
    <t>Journal of Radiation Research</t>
  </si>
  <si>
    <t>Journal of the Anatomical Society of India</t>
  </si>
  <si>
    <t>Journal of Thoracic Imaging</t>
  </si>
  <si>
    <t>Journal of Vascular Research</t>
  </si>
  <si>
    <t>Journal of Virological Methods</t>
  </si>
  <si>
    <t>Journal of Visual Communication in Medicine</t>
  </si>
  <si>
    <t>Korean Journal of Radiology</t>
  </si>
  <si>
    <t>LaboratoriumsMedizin</t>
  </si>
  <si>
    <t>Laboratory Medicine</t>
  </si>
  <si>
    <t>Magnetic Resonance in Medicine</t>
  </si>
  <si>
    <t>Magnetic Resonance Materials in Physics, Biology and Medicine</t>
  </si>
  <si>
    <t>Mediators of Inflammation</t>
  </si>
  <si>
    <t>Medical Dosimetry</t>
  </si>
  <si>
    <t>Medical Microbiology and Immunology</t>
  </si>
  <si>
    <t>Medical Molecular Morphology</t>
  </si>
  <si>
    <t>Methods</t>
  </si>
  <si>
    <t>Microbes and Infection</t>
  </si>
  <si>
    <t>Microbial Pathogenesis</t>
  </si>
  <si>
    <t>Microbiology and Immunology</t>
  </si>
  <si>
    <t>Micron</t>
  </si>
  <si>
    <t>Molecular and Cellular Endocrinology</t>
  </si>
  <si>
    <t>Molecular Carcinogenesis</t>
  </si>
  <si>
    <t>Molecular Medicine</t>
  </si>
  <si>
    <t>National Academy Science Letters</t>
  </si>
  <si>
    <t>Nederlands Tijdschrift voor Geneeskunde</t>
  </si>
  <si>
    <t>Neuroimmunomodulation</t>
  </si>
  <si>
    <t>NMR in Biomedicine</t>
  </si>
  <si>
    <t>Nuclear Medicine and Biology</t>
  </si>
  <si>
    <t>Nuclear Medicine Communications</t>
  </si>
  <si>
    <t>Nuklearmedizin</t>
  </si>
  <si>
    <t>Oncogene</t>
  </si>
  <si>
    <t>Pain Physician</t>
  </si>
  <si>
    <t>Pathophysiology</t>
  </si>
  <si>
    <t>Pediatric Radiology</t>
  </si>
  <si>
    <t>Pharmacology, Biochemistry and Behavior</t>
  </si>
  <si>
    <t>Physiological Genomics</t>
  </si>
  <si>
    <t>Physiological Measurement</t>
  </si>
  <si>
    <t>Physiological Research</t>
  </si>
  <si>
    <t>Plasmid</t>
  </si>
  <si>
    <t>Platelets</t>
  </si>
  <si>
    <t>Progress in Natural Science</t>
  </si>
  <si>
    <t>Proteomics - Clinical Applications</t>
  </si>
  <si>
    <t>Radiation Oncology</t>
  </si>
  <si>
    <t>Radiation Research</t>
  </si>
  <si>
    <t>RadioGraphics</t>
  </si>
  <si>
    <t>Radiography</t>
  </si>
  <si>
    <t>Radiologic Clinics of North America</t>
  </si>
  <si>
    <t>Regulatory Peptides</t>
  </si>
  <si>
    <t>Reproductive BioMedicine Online</t>
  </si>
  <si>
    <t>Respiratory Physiology &amp; Neurobiology</t>
  </si>
  <si>
    <t>Retrovirology</t>
  </si>
  <si>
    <t>Reviews in Medical Microbiology</t>
  </si>
  <si>
    <t>Revue Francaise d'Allergologie et d'Immunologie Clinique</t>
  </si>
  <si>
    <t>RöFo. Fortschritte auf dem Gebiet der Roentgenstrahlen und der bildgebenden Verfahren</t>
  </si>
  <si>
    <t>Scandinavian Journal of Clinical &amp; Laboratory Investigation</t>
  </si>
  <si>
    <t>Seminars in Interventional Radiology</t>
  </si>
  <si>
    <t>Seminars in Musculoskeletal Radiology</t>
  </si>
  <si>
    <t>Seminars in Nuclear Medicine</t>
  </si>
  <si>
    <t>Seminars in Roentgenology</t>
  </si>
  <si>
    <t>Seminars in Ultrasound, C T and M R I</t>
  </si>
  <si>
    <t>Skeletal Radiology</t>
  </si>
  <si>
    <t>Surgical and Radiologic Anatomy</t>
  </si>
  <si>
    <t>Technology in Cancer Research and Treatment</t>
  </si>
  <si>
    <t>The Neuroradiology Journal</t>
  </si>
  <si>
    <t>The Quarterly Journal of Nuclear Medicine and Molecular Imaging</t>
  </si>
  <si>
    <t>Theoretical Biology and Medical Modelling</t>
  </si>
  <si>
    <t>Thermology International</t>
  </si>
  <si>
    <t>Topics in Magnetic Resonance Imaging</t>
  </si>
  <si>
    <t>Translational Research</t>
  </si>
  <si>
    <t>Transplant Immunology</t>
  </si>
  <si>
    <t>Ultraschall in der Medizin</t>
  </si>
  <si>
    <t>Ultrasound in Medicine &amp; Biology</t>
  </si>
  <si>
    <t>Ultrasound International Open</t>
  </si>
  <si>
    <t>Ultrasound Quarterly</t>
  </si>
  <si>
    <t>Virologie</t>
  </si>
  <si>
    <t>Virology</t>
  </si>
  <si>
    <t>Virus Genes</t>
  </si>
  <si>
    <t>Virus Research</t>
  </si>
  <si>
    <t>Vitamins and Hormones</t>
  </si>
  <si>
    <t>Xenotransplantation</t>
  </si>
  <si>
    <t>Kønsforskning</t>
  </si>
  <si>
    <t>Comparative Feminist Studies</t>
  </si>
  <si>
    <t>Differences: A Journal of Feminist Cultural Studies</t>
  </si>
  <si>
    <t>European Journal of Women's Studies</t>
  </si>
  <si>
    <t>Feminist Economics</t>
  </si>
  <si>
    <t>Feminist Review</t>
  </si>
  <si>
    <t>Feminist Studies</t>
  </si>
  <si>
    <t>Feminist Theory</t>
  </si>
  <si>
    <t>Gender &amp; Society</t>
  </si>
  <si>
    <t>Gender and Politics</t>
  </si>
  <si>
    <t>Gender, Work and Organization</t>
  </si>
  <si>
    <t>GLQ: A Journal of Lesbian and Gay Studies</t>
  </si>
  <si>
    <t>Hypatia</t>
  </si>
  <si>
    <t>International Feminist Journal of Politics</t>
  </si>
  <si>
    <t>International Journal of Gender and Entrepreneurship</t>
  </si>
  <si>
    <t>Men and Masculinities</t>
  </si>
  <si>
    <t>NORA - Nordic Journal of Feminist and Gender Research</t>
  </si>
  <si>
    <t>Norma: Nordisk tidsskrift for maskulinitetsstudier</t>
  </si>
  <si>
    <t>Politics &amp; Gender</t>
  </si>
  <si>
    <t>Sexualities</t>
  </si>
  <si>
    <t>Social Politics</t>
  </si>
  <si>
    <t>Affilia</t>
  </si>
  <si>
    <t xml:space="preserve">Agenda: Empowering women for gender equity </t>
  </si>
  <si>
    <t>Asian Journal of Women's Studies</t>
  </si>
  <si>
    <t>Australian Feminist Studies</t>
  </si>
  <si>
    <t>Cadernos Pagu</t>
  </si>
  <si>
    <t>Cahiers du Genre</t>
  </si>
  <si>
    <t>Canadian Journal of Women and the Law</t>
  </si>
  <si>
    <t>Canadian Woman Studies</t>
  </si>
  <si>
    <t>Contemporary Women's Writing</t>
  </si>
  <si>
    <t>Equal Opportunities International</t>
  </si>
  <si>
    <t>Equality, Diversity and Inclusion</t>
  </si>
  <si>
    <t>Femina Politica</t>
  </si>
  <si>
    <t>Feminism &amp; Psychology</t>
  </si>
  <si>
    <t>Feminist Formations</t>
  </si>
  <si>
    <t>Feminist Theology</t>
  </si>
  <si>
    <t>Feministische Studien</t>
  </si>
  <si>
    <t>Frontiers: A Journal of Women Studies</t>
  </si>
  <si>
    <t>GENDER - Zeitschrift für Geschlecht, Kultur und Gesellschaft</t>
  </si>
  <si>
    <t>Gender and History</t>
  </si>
  <si>
    <t>Gender in Management: An International Journal</t>
  </si>
  <si>
    <t>Gender Issues</t>
  </si>
  <si>
    <t>Genders</t>
  </si>
  <si>
    <t>Genders And Sexualities In History</t>
  </si>
  <si>
    <t>Genders In The Global South</t>
  </si>
  <si>
    <t>Girlhood Studies</t>
  </si>
  <si>
    <t>Harvard Journal of Law &amp; Gender</t>
  </si>
  <si>
    <t>Hawwa</t>
  </si>
  <si>
    <t>Hecate</t>
  </si>
  <si>
    <t>Hecate's Australian Women's Book Review</t>
  </si>
  <si>
    <t>Indian Journal of Gender Studies</t>
  </si>
  <si>
    <t>Interdisciplinary Studies In Sex For Sale</t>
  </si>
  <si>
    <t>Intersections</t>
  </si>
  <si>
    <t>JENdA: A Journal of Culture and African Women Studies</t>
  </si>
  <si>
    <t>Journal of Gender Studies</t>
  </si>
  <si>
    <t>Journal of Gender-Based Violence</t>
  </si>
  <si>
    <t>Journal of Homosexuality</t>
  </si>
  <si>
    <t>Journal of International Women's Studies</t>
  </si>
  <si>
    <t>Journal of L G B T Youth</t>
  </si>
  <si>
    <t>Journal of Lesbian Studies</t>
  </si>
  <si>
    <t>Journal of Middle East Women's Studies</t>
  </si>
  <si>
    <t>Journal of the European Society of Women in Theological Research</t>
  </si>
  <si>
    <t>Journal of the History of Sexuality</t>
  </si>
  <si>
    <t>Journal of Women and Minorities in Science and Engineering</t>
  </si>
  <si>
    <t>Journal of Women, Politics &amp; Policy</t>
  </si>
  <si>
    <t>Kvinder, Køn &amp; Forskning</t>
  </si>
  <si>
    <t>Køn, samfund og politik</t>
  </si>
  <si>
    <t>Lambda Nordica</t>
  </si>
  <si>
    <t>Lyčių studijos ir tyrimai</t>
  </si>
  <si>
    <t xml:space="preserve">Medieval Feminist Forum </t>
  </si>
  <si>
    <t>Meridians: feminism, race, transnationalism</t>
  </si>
  <si>
    <t>n.paradoxa: International Feminist Art Journal</t>
  </si>
  <si>
    <t>Nan Nü</t>
  </si>
  <si>
    <t>Nashim: A Journal of Jewish Women's Studies &amp; Gender Issues</t>
  </si>
  <si>
    <t>Nineteenth-Century Gender Studies</t>
  </si>
  <si>
    <t>Nouvelle Questions Féministes</t>
  </si>
  <si>
    <t>Outskirts</t>
  </si>
  <si>
    <t>Postcolonial politics</t>
  </si>
  <si>
    <t>Routledge Advances in Feminist Studies and Intersectionality</t>
  </si>
  <si>
    <t>Routledge Research in Gender and Society</t>
  </si>
  <si>
    <t>Routledge Studies in Gender and Global Politics</t>
  </si>
  <si>
    <t>Sexuality &amp; Culture</t>
  </si>
  <si>
    <t>SQS : Journal of Queer Studies in Finland</t>
  </si>
  <si>
    <t>Studies in Gender and Sexuality</t>
  </si>
  <si>
    <t>Thamyris/Intersecting: Place, Sex and Race</t>
  </si>
  <si>
    <t>The International Journal of Transgenderism</t>
  </si>
  <si>
    <t>The Journal of Men's Studies: a scholarly journal about men and masculinities</t>
  </si>
  <si>
    <t>The Politics of Intersectionality</t>
  </si>
  <si>
    <t>Thymos</t>
  </si>
  <si>
    <t>Tidskrift för genusvetenskap</t>
  </si>
  <si>
    <t>Tidsskrift for kjønnsforskning</t>
  </si>
  <si>
    <t>Violence Against Women</t>
  </si>
  <si>
    <t>Wagadu: A Journal of Transnational Women's and Gender Studies</t>
  </si>
  <si>
    <t>Women &amp; Criminal Justice</t>
  </si>
  <si>
    <t>Women &amp; Language</t>
  </si>
  <si>
    <t>Women &amp; Performance</t>
  </si>
  <si>
    <t>Women in French Studies</t>
  </si>
  <si>
    <t>Women in Judaism</t>
  </si>
  <si>
    <t>Women: a cultural review</t>
  </si>
  <si>
    <t>Women's Studies</t>
  </si>
  <si>
    <t>Women's Studies in Communication</t>
  </si>
  <si>
    <t>Women's Studies International Forum</t>
  </si>
  <si>
    <t>Women's Studies Quarterly</t>
  </si>
  <si>
    <t>Women's Writing</t>
  </si>
  <si>
    <t>Yale Journal of Law and Feminism</t>
  </si>
  <si>
    <t>Zeitschrift fuer Sexualforschung</t>
  </si>
  <si>
    <t>Arkitektur, design, produktudvikling, byplanlægning</t>
  </si>
  <si>
    <t>ACM Conference on Designing Interactive Systems</t>
  </si>
  <si>
    <t>Architectural Science Review</t>
  </si>
  <si>
    <t>ARQ : Architectural Research Quarterly</t>
  </si>
  <si>
    <t>Buildings &amp; Landscapes: Journal of the Vernacular Architecture Forum</t>
  </si>
  <si>
    <t>Cities</t>
  </si>
  <si>
    <t>City</t>
  </si>
  <si>
    <t>CoDesign: International Journal of CoCreation in Design and the Arts</t>
  </si>
  <si>
    <t>Design and Culture</t>
  </si>
  <si>
    <t>Design and Technology Education: An international journal</t>
  </si>
  <si>
    <t>Design Issues</t>
  </si>
  <si>
    <t>Design Research Society</t>
  </si>
  <si>
    <t>Design Studies</t>
  </si>
  <si>
    <t>Environment and Planning B: Urban Analytics and City Science</t>
  </si>
  <si>
    <t>International Journal of Architectural Computing</t>
  </si>
  <si>
    <t>International Journal of Design</t>
  </si>
  <si>
    <t>International Planning Studies</t>
  </si>
  <si>
    <t>Journal of Architectural and Planning Research</t>
  </si>
  <si>
    <t>Journal of Architectural Education</t>
  </si>
  <si>
    <t>Journal of Architectural Engineering</t>
  </si>
  <si>
    <t>Journal of Design History</t>
  </si>
  <si>
    <t>Journal of Design Research</t>
  </si>
  <si>
    <t>Journal of Housing and the Built Environment</t>
  </si>
  <si>
    <t>Journal of Landscape Architecture</t>
  </si>
  <si>
    <t>Journal of Planning Education and Research</t>
  </si>
  <si>
    <t>Journal of the Society of Architectural Historians</t>
  </si>
  <si>
    <t>Journal of Urban Design</t>
  </si>
  <si>
    <t>Journal of Urban Technology</t>
  </si>
  <si>
    <t>Journal of Urbanism: International Research on Placemaking and Urban Sustainability</t>
  </si>
  <si>
    <t>Landscape and Urban Planning</t>
  </si>
  <si>
    <t>Landscape Research</t>
  </si>
  <si>
    <t>Nordic Design Research Conference</t>
  </si>
  <si>
    <t>Nordic Journal of Architectural Research</t>
  </si>
  <si>
    <t>Oase: tijdschrift voor architectuur</t>
  </si>
  <si>
    <t>Planning Practice and Research</t>
  </si>
  <si>
    <t>Planning Theory</t>
  </si>
  <si>
    <t>Planning Theory &amp; Practice</t>
  </si>
  <si>
    <t>Software Studies</t>
  </si>
  <si>
    <t>Space &amp; Culture</t>
  </si>
  <si>
    <t>The Design Journal</t>
  </si>
  <si>
    <t>The Journal of Architecture</t>
  </si>
  <si>
    <t>Town Planning Review</t>
  </si>
  <si>
    <t>Urban Affairs Review</t>
  </si>
  <si>
    <t>URBAN DESIGN International</t>
  </si>
  <si>
    <t>Urban Forestry &amp; Urban Greening</t>
  </si>
  <si>
    <t>Academy for Design Innovation Management</t>
  </si>
  <si>
    <t>ACM Interaction Design and Children Conference</t>
  </si>
  <si>
    <t>Acta Jutlandica. Humanistisk Serie</t>
  </si>
  <si>
    <t>AIS/Design. Storia e ricerche</t>
  </si>
  <si>
    <t>Ambiances</t>
  </si>
  <si>
    <t>Annual Conference of the Society of Architectural Historians Australia &amp; New Zealand</t>
  </si>
  <si>
    <t>Apuntes</t>
  </si>
  <si>
    <t>ARCC/EAAE International Conference on Architectural Research</t>
  </si>
  <si>
    <t>Architectural History</t>
  </si>
  <si>
    <t>Architectural Intelligences</t>
  </si>
  <si>
    <t>Architectural Research in Finland</t>
  </si>
  <si>
    <t>Architectural Theory Review</t>
  </si>
  <si>
    <t>Architecture and Culture</t>
  </si>
  <si>
    <t>Architecture, City and Environment</t>
  </si>
  <si>
    <t>Architecture_MPS</t>
  </si>
  <si>
    <t>Archnet-IJAR : International Journal of Architectural Research</t>
  </si>
  <si>
    <t>ARENA Journal of Architectural Research</t>
  </si>
  <si>
    <t>Arkitektur N</t>
  </si>
  <si>
    <t>Art and Urbanism Series</t>
  </si>
  <si>
    <t>Artifact: Journal of Design Practice</t>
  </si>
  <si>
    <t>Built Environment</t>
  </si>
  <si>
    <t>Candide: Journal for Architectural Knowledge</t>
  </si>
  <si>
    <t>Changing Mobilities</t>
  </si>
  <si>
    <t>CHORA: Intervals in the Philosophy of Architecture</t>
  </si>
  <si>
    <t>Cities &amp; Health</t>
  </si>
  <si>
    <t>Computational Culture</t>
  </si>
  <si>
    <t>Computer-Aided Architectural Design Futures</t>
  </si>
  <si>
    <t>Computer-Aided Design</t>
  </si>
  <si>
    <t>Conservation Science in Cultural Heritage</t>
  </si>
  <si>
    <t>CRIOS - Critica degli ordinamenti spaziali</t>
  </si>
  <si>
    <t>Critical Climate Change</t>
  </si>
  <si>
    <t>Cuadernos de Proyectos Arquitectonicos</t>
  </si>
  <si>
    <t>Culture Machine</t>
  </si>
  <si>
    <t>Cumulus Conferences</t>
  </si>
  <si>
    <t>Cumulus Working Papers, Publication Series G</t>
  </si>
  <si>
    <t>Dearquitectura</t>
  </si>
  <si>
    <t>Design And The Built Environment</t>
  </si>
  <si>
    <t>Design Ecologies</t>
  </si>
  <si>
    <t>Design Management Journal</t>
  </si>
  <si>
    <t>Design Principles and Practices</t>
  </si>
  <si>
    <t>Design Thinking Research Symposium</t>
  </si>
  <si>
    <t>Design Thinking, Design Theory</t>
  </si>
  <si>
    <t>Disegnarecon</t>
  </si>
  <si>
    <t>disP - The Planning Review</t>
  </si>
  <si>
    <t>DMI Academic Design Management Conference</t>
  </si>
  <si>
    <t>Education and Urban Society</t>
  </si>
  <si>
    <t>Ergonomics in Design</t>
  </si>
  <si>
    <t>Ethnographic Praxis in Industry Conference</t>
  </si>
  <si>
    <t>Facilities</t>
  </si>
  <si>
    <t>Fashion Practice: The Journal of Design, Creative Process &amp; the Fashion Industry</t>
  </si>
  <si>
    <t>Fashion Theory</t>
  </si>
  <si>
    <t>Footprint</t>
  </si>
  <si>
    <t>Frontiers of Architectural Research</t>
  </si>
  <si>
    <t>Furniture History</t>
  </si>
  <si>
    <t>Garden History</t>
  </si>
  <si>
    <t>Global Built Environment Review</t>
  </si>
  <si>
    <t>Housing Policy Debate</t>
  </si>
  <si>
    <t>Housing, Theory and Society</t>
  </si>
  <si>
    <t>Ikaros Academic Press</t>
  </si>
  <si>
    <t>Interiors</t>
  </si>
  <si>
    <t>International Comparative Social Studies</t>
  </si>
  <si>
    <t>International Conference on Architecture, Research, Care and Health</t>
  </si>
  <si>
    <t>International Conference on Design Computing and cognition</t>
  </si>
  <si>
    <t>International Conference on Design Creativity</t>
  </si>
  <si>
    <t>International Conference on Interaction Design and Children</t>
  </si>
  <si>
    <t>International Conference on Parallelism in Architecture, Engineering &amp; Computing Techniques</t>
  </si>
  <si>
    <t>International Conference on Research into Design</t>
  </si>
  <si>
    <t>International Journal of Culture, Tourism and Hospitality Research</t>
  </si>
  <si>
    <t>International Journal of Fashion Studies</t>
  </si>
  <si>
    <t>International Journal of Housing Policy</t>
  </si>
  <si>
    <t>International Journal of Islamic Architecture</t>
  </si>
  <si>
    <t>International Journal of Space Structures</t>
  </si>
  <si>
    <t>International Journal of Sustainable Development and Planning</t>
  </si>
  <si>
    <t>Italian Journal of Planning Practice</t>
  </si>
  <si>
    <t>Journal of Artificial Societies and Social Simulation</t>
  </si>
  <si>
    <t>Journal of Civil Engineering and Architecture</t>
  </si>
  <si>
    <t>Journal of Digital Landscape Architecture</t>
  </si>
  <si>
    <t>Journal of Facade Design and Engineering</t>
  </si>
  <si>
    <t>Journal of Green Building</t>
  </si>
  <si>
    <t>Journal of Integrated Design &amp; Process Science</t>
  </si>
  <si>
    <t>Journal of Interior Design</t>
  </si>
  <si>
    <t>Journal of Occupational Science</t>
  </si>
  <si>
    <t>Journal of Place Management and Development</t>
  </si>
  <si>
    <t>Journal of Rural and Community Development</t>
  </si>
  <si>
    <t>Journal of Settlements and Spatial Planning</t>
  </si>
  <si>
    <t>KronoScope. Journal for the Study of Time</t>
  </si>
  <si>
    <t>Landscape Journal</t>
  </si>
  <si>
    <t>Landscapes</t>
  </si>
  <si>
    <t>Lighting Research &amp; Technology</t>
  </si>
  <si>
    <t>Luxury</t>
  </si>
  <si>
    <t>METU Journal of the Faculty of Architecture</t>
  </si>
  <si>
    <t>Mind, Culture, and Activity</t>
  </si>
  <si>
    <t>NAF/NAAR Proceedings Series</t>
  </si>
  <si>
    <t>Networked Urban Mobilities Series</t>
  </si>
  <si>
    <t>NordDesign</t>
  </si>
  <si>
    <t>Participatory Innovation Conference</t>
  </si>
  <si>
    <t>Passive and Low Energy Architecture</t>
  </si>
  <si>
    <t>Place Branding and Public Diplomacy</t>
  </si>
  <si>
    <t>PLAN</t>
  </si>
  <si>
    <t>Planning Perspectives</t>
  </si>
  <si>
    <t>Platform Studies</t>
  </si>
  <si>
    <t>PORTUSplus</t>
  </si>
  <si>
    <t>Proceedings Of The International Conference On Engineering And Product Design Education</t>
  </si>
  <si>
    <t>Proyecto, Progreso, Arquitectura</t>
  </si>
  <si>
    <t>PUBLIC</t>
  </si>
  <si>
    <t>Revista INVI</t>
  </si>
  <si>
    <t>Robotic Fabrication in Architecture, Art and Design</t>
  </si>
  <si>
    <t xml:space="preserve">ServDes - Service Design and Innovation Conference </t>
  </si>
  <si>
    <t>She Ji: The Journal of Design, Economics, and Innovation</t>
  </si>
  <si>
    <t>Space And Place</t>
  </si>
  <si>
    <t>Space, Materiality And The Normative</t>
  </si>
  <si>
    <t>SPOOL</t>
  </si>
  <si>
    <t>Strategic Design Research Journal</t>
  </si>
  <si>
    <t>Streetnotes</t>
  </si>
  <si>
    <t>Studies in Contemporary Phenomenology</t>
  </si>
  <si>
    <t>Studies in the History of Gardens &amp; Designed Landscapes</t>
  </si>
  <si>
    <t>TECHNE - Journal of Technology for Architecture and Environment</t>
  </si>
  <si>
    <t>Technology | Architecture + Design</t>
  </si>
  <si>
    <t>The Bulletin of the Polytechnic Institute  of Jassy, Construction. Architecture Section</t>
  </si>
  <si>
    <t>The Fibreculture Journal</t>
  </si>
  <si>
    <t>The Journal of Modern Craft</t>
  </si>
  <si>
    <t>The Journal of Public Space</t>
  </si>
  <si>
    <t>The Urban Review</t>
  </si>
  <si>
    <t>Traditional Dwellings and Settlements Review</t>
  </si>
  <si>
    <t>Transactions of Aesop</t>
  </si>
  <si>
    <t>Transfers: Interdisciplinary Journal of Mobility Studies</t>
  </si>
  <si>
    <t>Urban Ecosystems</t>
  </si>
  <si>
    <t>Urban Education</t>
  </si>
  <si>
    <t>Urban Forum</t>
  </si>
  <si>
    <t>Urban History</t>
  </si>
  <si>
    <t>Urban Morphology</t>
  </si>
  <si>
    <t>Urban Planning</t>
  </si>
  <si>
    <t>Urban Planning And Environment</t>
  </si>
  <si>
    <t>Urban Policy and Research</t>
  </si>
  <si>
    <t>Urban Research &amp; Practice</t>
  </si>
  <si>
    <t>Urbani Izziv</t>
  </si>
  <si>
    <t>Vernacular Architecture</t>
  </si>
  <si>
    <t>World Futures: The Journal of New Paradigm Research</t>
  </si>
  <si>
    <t>Idrætsforskning</t>
  </si>
  <si>
    <t>Applied Ergonomics</t>
  </si>
  <si>
    <t>BMC Musculoskeletal Disorders</t>
  </si>
  <si>
    <t>Body &amp; Society</t>
  </si>
  <si>
    <t>British Journal of Sports Medicine</t>
  </si>
  <si>
    <t>Clinical Biomechanics</t>
  </si>
  <si>
    <t>European Journal of Applied Physiology</t>
  </si>
  <si>
    <t>European Physical Education Review</t>
  </si>
  <si>
    <t>Exercise and Sport Sciences Reviews</t>
  </si>
  <si>
    <t>Human Movement Science</t>
  </si>
  <si>
    <t>International Review of Sport and Exercise Psychology</t>
  </si>
  <si>
    <t>Journal of Applied Physiology</t>
  </si>
  <si>
    <t>Journal of Biomechanics</t>
  </si>
  <si>
    <t>Journal of Electromyography &amp; Kinesiology</t>
  </si>
  <si>
    <t>Journal of Physical Activity &amp; Health</t>
  </si>
  <si>
    <t>Journal of Physiotherapy</t>
  </si>
  <si>
    <t>Journal of Science and Medicine in Sport</t>
  </si>
  <si>
    <t>Journal of Sport and Exercise Psychology</t>
  </si>
  <si>
    <t>Medicine and Science in Sports and Exercise</t>
  </si>
  <si>
    <t>Muscle &amp; Nerve</t>
  </si>
  <si>
    <t>Psychology of Sport and Exercise</t>
  </si>
  <si>
    <t>Scandinavian Journal of Medicine &amp; Science in Sports</t>
  </si>
  <si>
    <t>Sports Medicine</t>
  </si>
  <si>
    <t>The American Journal of Sports Medicine</t>
  </si>
  <si>
    <t>ACSM's Health and Fitness Journal</t>
  </si>
  <si>
    <t>Adapted Physical Activity Quarterly</t>
  </si>
  <si>
    <t>Advances in Nutrition</t>
  </si>
  <si>
    <t>Advances in Physical Education</t>
  </si>
  <si>
    <t>American Journal of Physical Medicine and Rehabilitation</t>
  </si>
  <si>
    <t>American Journal of Translational Research</t>
  </si>
  <si>
    <t>Angiogenesis</t>
  </si>
  <si>
    <t>Annals of Leisure Research</t>
  </si>
  <si>
    <t>Applied Physiology, Nutrition and Metabolism</t>
  </si>
  <si>
    <t>Biology of Sport</t>
  </si>
  <si>
    <t>BMC Physiology</t>
  </si>
  <si>
    <t>BMC Sports Science, Medicine and Rehabilitation</t>
  </si>
  <si>
    <t>BMJ Open</t>
  </si>
  <si>
    <t>BMJ Open Sport &amp; Exercise Medicine</t>
  </si>
  <si>
    <t>British Journal of Health Psychology</t>
  </si>
  <si>
    <t>Chiropractic &amp; Manual Therapies</t>
  </si>
  <si>
    <t>Clinical Journal of Sport Medicine</t>
  </si>
  <si>
    <t>Clinical Kinesiology</t>
  </si>
  <si>
    <t>Clinical Nutrition ESPEN</t>
  </si>
  <si>
    <t>Clinical Obesity</t>
  </si>
  <si>
    <t>Clinics in Sports Medicine</t>
  </si>
  <si>
    <t>Coaching Psykologi - The Danish Journal of Coaching Psychology</t>
  </si>
  <si>
    <t>Coaching: An International Journal of Theory, Research and Practice</t>
  </si>
  <si>
    <t>Communication and Sport</t>
  </si>
  <si>
    <t>Communications Biology</t>
  </si>
  <si>
    <t>Current Nutrition Reports</t>
  </si>
  <si>
    <t>Current Sports Medicine Reports</t>
  </si>
  <si>
    <t>Dansk Sportsmedicin</t>
  </si>
  <si>
    <t>Deutsche Zeitschrift für Sportmedizin</t>
  </si>
  <si>
    <t>Drug Testing and Analysis</t>
  </si>
  <si>
    <t>Ergonomics</t>
  </si>
  <si>
    <t>Erwaegen, Wissen, Ethik</t>
  </si>
  <si>
    <t>Ethics And Sport</t>
  </si>
  <si>
    <t>European Journal for Sport and Society</t>
  </si>
  <si>
    <t>European Journal of Sport Science</t>
  </si>
  <si>
    <t>European Review of Aging and Physical Activity</t>
  </si>
  <si>
    <t>European Sport Management Quarterly</t>
  </si>
  <si>
    <t>Exercise Immunology Review</t>
  </si>
  <si>
    <t>Experimental Physiology</t>
  </si>
  <si>
    <t>FairPlay: Revista de Filosofia, Ética y Derecho del Deporte</t>
  </si>
  <si>
    <t>Foot &amp; Ankle International</t>
  </si>
  <si>
    <t>Football Science</t>
  </si>
  <si>
    <t>Footwear Science</t>
  </si>
  <si>
    <t>Forum for Idraet</t>
  </si>
  <si>
    <t>Free Radical Biology &amp; Medicine</t>
  </si>
  <si>
    <t>Gait &amp; Posture</t>
  </si>
  <si>
    <t>Games for Health</t>
  </si>
  <si>
    <t>Global Culture And Sport</t>
  </si>
  <si>
    <t>High Altitude Medicine and Biology</t>
  </si>
  <si>
    <t>Ido Movement for Culture</t>
  </si>
  <si>
    <t>idrottsforum.org</t>
  </si>
  <si>
    <t>Interdisciplinary Journal of Teaching and Learning</t>
  </si>
  <si>
    <t>International Biomechanics</t>
  </si>
  <si>
    <t>International Coaching Psychology Review</t>
  </si>
  <si>
    <t>International Journal of Athletic Therapy &amp; Training</t>
  </si>
  <si>
    <t>International Journal of Behavioral Nutrition and Physical Activity</t>
  </si>
  <si>
    <t>International Journal of Exercise Science</t>
  </si>
  <si>
    <t>International Journal of Human Factors and Ergonomics</t>
  </si>
  <si>
    <t>International Journal of Industrial Ergonomics</t>
  </si>
  <si>
    <t>International Journal of Obesity</t>
  </si>
  <si>
    <t>International Journal of Performance Analysis in Sport</t>
  </si>
  <si>
    <t>International Journal of Physical Education</t>
  </si>
  <si>
    <t>International Journal of Probiotics &amp; Prebiotics</t>
  </si>
  <si>
    <t>International Journal of Rehabilitation Research</t>
  </si>
  <si>
    <t>International Journal of Sport and Exercise Psychology</t>
  </si>
  <si>
    <t>International Journal of Sport Communication</t>
  </si>
  <si>
    <t>International Journal of Sport Finance</t>
  </si>
  <si>
    <t>International Journal of Sport Management</t>
  </si>
  <si>
    <t>International Journal of Sport Management and Marketing</t>
  </si>
  <si>
    <t>International Journal of Sport Nutrition &amp; Exercise Metabolism</t>
  </si>
  <si>
    <t>International Journal of Sport Policy and Politics</t>
  </si>
  <si>
    <t>International Journal of Sport Psychology</t>
  </si>
  <si>
    <t>International Journal of Sports Marketing &amp; Sponsorship</t>
  </si>
  <si>
    <t>International Journal of Sports Medicine</t>
  </si>
  <si>
    <t>International Journal of Sports Physical Therapy</t>
  </si>
  <si>
    <t>International Journal of Sports Physiology and Performance</t>
  </si>
  <si>
    <t>International Journal of Sports Science &amp; Coaching</t>
  </si>
  <si>
    <t>International Journal of Transpersonal Studies</t>
  </si>
  <si>
    <t>International Review for the Sociology of Sport</t>
  </si>
  <si>
    <t>International Sport Coaching Journal</t>
  </si>
  <si>
    <t>International Sports Studies</t>
  </si>
  <si>
    <t>Isokinetics and Exercise Science</t>
  </si>
  <si>
    <t>Journal de Traumatologie du Sport</t>
  </si>
  <si>
    <t>Journal for Research in Arts and Sports Education</t>
  </si>
  <si>
    <t>Journal for the Measurement of Physical Behaviour</t>
  </si>
  <si>
    <t xml:space="preserve">Journal for the Measurement of Physical Behaviour </t>
  </si>
  <si>
    <t>Journal of Aging and Physical Activity</t>
  </si>
  <si>
    <t>Journal of Applied Biomechanics</t>
  </si>
  <si>
    <t>Journal of Applied Sport Psychology</t>
  </si>
  <si>
    <t>Journal of Athletic Training</t>
  </si>
  <si>
    <t>Journal of Biomechanical Engineering</t>
  </si>
  <si>
    <t>Journal of Cachexia, Sarcopenia and Muscle</t>
  </si>
  <si>
    <t>Journal of Clinical Sport Psychology</t>
  </si>
  <si>
    <t>Journal of Exercise Science &amp; Fitness</t>
  </si>
  <si>
    <t>Journal of Hospitality, Leisure, Sport &amp; Tourism Education</t>
  </si>
  <si>
    <t>Journal of Human Kinetics</t>
  </si>
  <si>
    <t>Journal of Humanistic Psychology</t>
  </si>
  <si>
    <t>Journal of Hypertension</t>
  </si>
  <si>
    <t>Journal of Imagery Research in Sport and Physical Activity</t>
  </si>
  <si>
    <t>Journal of Leisure Research</t>
  </si>
  <si>
    <t>Journal of Nutrition and Metabolism</t>
  </si>
  <si>
    <t>Journal of Obesity</t>
  </si>
  <si>
    <t>Journal of Orthopaedic and Sports Physical Therapy</t>
  </si>
  <si>
    <t>Journal of Physical Education, Recreation and Dance</t>
  </si>
  <si>
    <t>Journal of Sport and Health Science</t>
  </si>
  <si>
    <t>Journal of Sport and Social Issues</t>
  </si>
  <si>
    <t>Journal of Sport Behavior</t>
  </si>
  <si>
    <t>Journal of Sport History</t>
  </si>
  <si>
    <t>Journal of Sport Management</t>
  </si>
  <si>
    <t>Journal of Sport Psychology in Action</t>
  </si>
  <si>
    <t>Journal of Sport Rehabilitation</t>
  </si>
  <si>
    <t>Journal of Sport Tourism</t>
  </si>
  <si>
    <t>Journal of Sports Economics</t>
  </si>
  <si>
    <t>Journal of Sports Science and Medicine</t>
  </si>
  <si>
    <t>Journal of Sports Sciences</t>
  </si>
  <si>
    <t>Journal of Strength and Conditioning Research</t>
  </si>
  <si>
    <t>Journal of the International Society of Sports Nutrition</t>
  </si>
  <si>
    <t>Journal of the Philosophy of Sport</t>
  </si>
  <si>
    <t>Kinesiology</t>
  </si>
  <si>
    <t>Kiropraktoren</t>
  </si>
  <si>
    <t>Leisure</t>
  </si>
  <si>
    <t>Leisure Sciences</t>
  </si>
  <si>
    <t>Measurement in Physical Education and Exercise Science</t>
  </si>
  <si>
    <t>Medicina dello Sport</t>
  </si>
  <si>
    <t>Movement &amp; Sport Sciences</t>
  </si>
  <si>
    <t>Movimento</t>
  </si>
  <si>
    <t>Nestlé Nutrition Workshop Series</t>
  </si>
  <si>
    <t>Nikephoros: Zeitschrift für Sport und Kultur im Altertum</t>
  </si>
  <si>
    <t>Nutrients</t>
  </si>
  <si>
    <t>Nutrition and Diabetes</t>
  </si>
  <si>
    <t>Obesity</t>
  </si>
  <si>
    <t>Obesity Facts</t>
  </si>
  <si>
    <t>Open Access Journal of Sports Medicine</t>
  </si>
  <si>
    <t>Operative Techniques in Sports Medicine</t>
  </si>
  <si>
    <t>Osteoarthritis and Cartilage Open</t>
  </si>
  <si>
    <t>Patient Preference and Adherence</t>
  </si>
  <si>
    <t>Performance Enhancement &amp; Health</t>
  </si>
  <si>
    <t>Pflügers Archiv - European Journal of Physiology</t>
  </si>
  <si>
    <t>Physical Culture and Sport. Studies and Research</t>
  </si>
  <si>
    <t>Physical Education and Sport Pedagogy</t>
  </si>
  <si>
    <t>Physical Educator</t>
  </si>
  <si>
    <t>Physical Medicine and Rehabilitation Clinics of North America</t>
  </si>
  <si>
    <t>Physical Therapy in Sport</t>
  </si>
  <si>
    <t>Physiological Reports</t>
  </si>
  <si>
    <t>Proceedings of the Institution of Mechanical Engineers, Part P: Journal of Sports Engineering and Technology</t>
  </si>
  <si>
    <t>Prosthetics and Orthotics International</t>
  </si>
  <si>
    <t>Qualitative Research in Sport and Physical Activity</t>
  </si>
  <si>
    <t>Quest</t>
  </si>
  <si>
    <t>Research in Sports Medicine</t>
  </si>
  <si>
    <t>Research Quarterly for Exercise and Sport</t>
  </si>
  <si>
    <t>Routledge Research In Sport, Culture And Society</t>
  </si>
  <si>
    <t>Scandinavian Sport Studies Forum</t>
  </si>
  <si>
    <t>Science &amp; Sports</t>
  </si>
  <si>
    <t xml:space="preserve">Science and Medicine in Football </t>
  </si>
  <si>
    <t>Skeletal Muscle</t>
  </si>
  <si>
    <t>Sleep</t>
  </si>
  <si>
    <t>Soccer and Society</t>
  </si>
  <si>
    <t>Sociology of Sport Journal</t>
  </si>
  <si>
    <t>Sport History Review</t>
  </si>
  <si>
    <t>Sport in History</t>
  </si>
  <si>
    <t>Sport in Society</t>
  </si>
  <si>
    <t>Sport In The Global Society - Contemporary Perspectives</t>
  </si>
  <si>
    <t>Sport Science Review</t>
  </si>
  <si>
    <t>Sport Und Gesellschaft</t>
  </si>
  <si>
    <t>Sport, Education and Society</t>
  </si>
  <si>
    <t>Sport, Exercise, and Performance Psychology</t>
  </si>
  <si>
    <t>Sports Biomechanics</t>
  </si>
  <si>
    <t>Sports Economics, Management and Policy</t>
  </si>
  <si>
    <t>Sports Engineering</t>
  </si>
  <si>
    <t>Sports Medicine and Arthroscopy Review</t>
  </si>
  <si>
    <t>Sportverletzung - Sportschaden</t>
  </si>
  <si>
    <t>Sportwissenschaft</t>
  </si>
  <si>
    <t>Strength and Conditioning Journal</t>
  </si>
  <si>
    <t>Swiss Medical Weekly</t>
  </si>
  <si>
    <t>Tairyoku Kagaku / Japanese Journal of Physical Fitness and Sports Medicine</t>
  </si>
  <si>
    <t>Tanzania Journal of Health Research</t>
  </si>
  <si>
    <t>Temperature</t>
  </si>
  <si>
    <t>The Coaching Psychologist</t>
  </si>
  <si>
    <t>The International Journal of Sport and Society</t>
  </si>
  <si>
    <t>The International Journal of the History of Sport</t>
  </si>
  <si>
    <t>The Journal of Sports Medicine and Physical Fitness</t>
  </si>
  <si>
    <t>The Physician and Sportsmedicine</t>
  </si>
  <si>
    <t>The Sport Psychologist</t>
  </si>
  <si>
    <t>Therapeutic Advances in Gastroenterology</t>
  </si>
  <si>
    <t>Tidsskrift for Den norske legeforening</t>
  </si>
  <si>
    <t>Translational Sports Medicine</t>
  </si>
  <si>
    <t>Women in Sport and Physical Activity Journal</t>
  </si>
  <si>
    <t>World Leisure Journal</t>
  </si>
  <si>
    <t>Zeitschrift fuer Sportpsychologie</t>
  </si>
  <si>
    <t>Digital kommunikation</t>
  </si>
  <si>
    <t>Behaviour and Information Technology</t>
  </si>
  <si>
    <t>Digital Creativity</t>
  </si>
  <si>
    <t>Human Technology</t>
  </si>
  <si>
    <t>Information and Software Technology</t>
  </si>
  <si>
    <t>International Journal of Technology and Human Interaction</t>
  </si>
  <si>
    <t>Internet Research</t>
  </si>
  <si>
    <t>Journal of Computer-Mediated Communication</t>
  </si>
  <si>
    <t>3D Research</t>
  </si>
  <si>
    <t>A Peer-Reviewed Journal About</t>
  </si>
  <si>
    <t>ACM International Conference on the Design of Communication</t>
  </si>
  <si>
    <t>Amodern</t>
  </si>
  <si>
    <t>Audio Mostly</t>
  </si>
  <si>
    <t>Computers and Composition</t>
  </si>
  <si>
    <t>Computers in Entertainment</t>
  </si>
  <si>
    <t>Cybernetics &amp; Human Knowing - A Journal of Second Order Cybernetics, Autopoiesis and Cyber-Semiotics</t>
  </si>
  <si>
    <t>DATA Browser</t>
  </si>
  <si>
    <t>Dichtung-Digital</t>
  </si>
  <si>
    <t>EAI Endorsed Transactions on Pervasive Health and Technology</t>
  </si>
  <si>
    <t>EDMETIC: Revista de Educación Mediática y TIC / Journal of Media Education and ICT</t>
  </si>
  <si>
    <t>Electronic Book Review</t>
  </si>
  <si>
    <t>Hyperrhiz: New Media Cultures</t>
  </si>
  <si>
    <t>IADIS International Journal on WWW/Internet</t>
  </si>
  <si>
    <t>ICGA Journal</t>
  </si>
  <si>
    <t>ID&amp;A Interaction design &amp; architecture(s)</t>
  </si>
  <si>
    <t>IEEE International Conference on Information Visualisation (Year)</t>
  </si>
  <si>
    <t>IEEE International Conference on Performance, Computing, and Communications</t>
  </si>
  <si>
    <t>IEEE International Symposium on Computers and Communications</t>
  </si>
  <si>
    <t>interactions</t>
  </si>
  <si>
    <t>International Conference on Smart Learning Ecosystems and Regional Development</t>
  </si>
  <si>
    <t>International Conference on Social Media &amp; Society</t>
  </si>
  <si>
    <t>International Journal of Child - Computer Interaction</t>
  </si>
  <si>
    <t>International Journal of Design Sciences &amp; Technology</t>
  </si>
  <si>
    <t>International Journal of Networking and Virtual Organisations</t>
  </si>
  <si>
    <t>International Journal of Performance Arts and Digital Media</t>
  </si>
  <si>
    <t>International Journal of Transmedia Literacy</t>
  </si>
  <si>
    <t>International Journal on Semantic Web and Information Systems</t>
  </si>
  <si>
    <t>Journal of Communication, Navigation, Sensing and Services</t>
  </si>
  <si>
    <t>Journal of Digital Social Research</t>
  </si>
  <si>
    <t>Journal of Eye Movement Research</t>
  </si>
  <si>
    <t>Journal of Machine to Machine Communications</t>
  </si>
  <si>
    <t>Leonardo</t>
  </si>
  <si>
    <t>Leonardo Electronic Almanac</t>
  </si>
  <si>
    <t>MATLIT: Materialities of Literature</t>
  </si>
  <si>
    <t>Multidisciplinary International Social Networks Conference</t>
  </si>
  <si>
    <t>New Interfaces for Musical Expression</t>
  </si>
  <si>
    <t>New Review of Hypermedia and Multimedia</t>
  </si>
  <si>
    <t>Obra Digital</t>
  </si>
  <si>
    <t>Platform: Journal of Media and Communication</t>
  </si>
  <si>
    <t>Presence</t>
  </si>
  <si>
    <t>Proceedings of the International Conference on Advanced Information Networking and Applications</t>
  </si>
  <si>
    <t>Proceedings of the International Conference on Computer Communications and Networks</t>
  </si>
  <si>
    <t>Proceedings of the International Multimedia Modelling Conference</t>
  </si>
  <si>
    <t>River Publishers Series in Communications</t>
  </si>
  <si>
    <t>Informationssystemer</t>
  </si>
  <si>
    <t>ACM Computing Surveys</t>
  </si>
  <si>
    <t>ACM Transactions on Database Systems</t>
  </si>
  <si>
    <t>ACM Transactions on Information Systems</t>
  </si>
  <si>
    <t>ACM Transactions on Software Engineering and Methodology</t>
  </si>
  <si>
    <t>Business &amp; Information Systems Engineering</t>
  </si>
  <si>
    <t>Communications of the Association for Information Systems</t>
  </si>
  <si>
    <t>Decision Support Systems</t>
  </si>
  <si>
    <t>Electronic Commerce Research and Applications</t>
  </si>
  <si>
    <t>Empirical Software Engineering</t>
  </si>
  <si>
    <t>Enterprise Information Systems</t>
  </si>
  <si>
    <t>European Journal of Information Systems</t>
  </si>
  <si>
    <t>Government Information Quarterly</t>
  </si>
  <si>
    <t>Health Informatics Journal</t>
  </si>
  <si>
    <t>Information and Organization</t>
  </si>
  <si>
    <t>Information Systems Frontiers</t>
  </si>
  <si>
    <t>Information Systems Journal</t>
  </si>
  <si>
    <t>Information Systems Management</t>
  </si>
  <si>
    <t>Information Systems Research</t>
  </si>
  <si>
    <t>Information Technology and People</t>
  </si>
  <si>
    <t>International Conference on Information Systems</t>
  </si>
  <si>
    <t>International Journal of Human-Computer Interaction</t>
  </si>
  <si>
    <t>International Journal of Medical Informatics</t>
  </si>
  <si>
    <t>Journal of Information Technology</t>
  </si>
  <si>
    <t>Journal of Information Technology &amp; Politics</t>
  </si>
  <si>
    <t>Journal of Management Information Systems</t>
  </si>
  <si>
    <t>Journal of the Association for Information Systems</t>
  </si>
  <si>
    <t>Knowledge-Based Systems</t>
  </si>
  <si>
    <t>Methods of Information in Medicine</t>
  </si>
  <si>
    <t>MIS Quarterly</t>
  </si>
  <si>
    <t>MIS Quarterly Executive</t>
  </si>
  <si>
    <t>Mobile Information Systems</t>
  </si>
  <si>
    <t>Proceedings of the International Conference on Information Systems</t>
  </si>
  <si>
    <t>Scandinavian Journal of Information Systems</t>
  </si>
  <si>
    <t>Software Process Improvement and Practice</t>
  </si>
  <si>
    <t>The Journal of Strategic Information Systems</t>
  </si>
  <si>
    <t>User Modeling and User-Adapted Interaction</t>
  </si>
  <si>
    <t>ACM Journal on Data and Information Quality</t>
  </si>
  <si>
    <t>ACM Transactions on Information and System Security</t>
  </si>
  <si>
    <t>ACM Transactions on Interactive Intelligent Systems</t>
  </si>
  <si>
    <t>ACM/IEEE International Conference on Human-Robot Interaction</t>
  </si>
  <si>
    <t>Advances in Complex Systems</t>
  </si>
  <si>
    <t>Advances in Information Security</t>
  </si>
  <si>
    <t>AIS Transactions on Human-Computer Interaction</t>
  </si>
  <si>
    <t>Applied Clinical Informatics</t>
  </si>
  <si>
    <t>Biennial Participatory Design Conference</t>
  </si>
  <si>
    <t>Chem-Bio Informatics Journal</t>
  </si>
  <si>
    <t>Complex Systems Informatics and Modeling Quarterly</t>
  </si>
  <si>
    <t>Computer Fraud &amp; Security</t>
  </si>
  <si>
    <t>Computer Science - Research and Development</t>
  </si>
  <si>
    <t>Computers &amp; Industrial Engineering</t>
  </si>
  <si>
    <t>Computers &amp; Operations Research</t>
  </si>
  <si>
    <t>Computers &amp; Security</t>
  </si>
  <si>
    <t>Computing</t>
  </si>
  <si>
    <t>Design Science Research in Information Systems and Technology</t>
  </si>
  <si>
    <t>Ecological Informatics</t>
  </si>
  <si>
    <t>Electronic Communications of the EASST</t>
  </si>
  <si>
    <t>Electronic Journal of Information Systems Evaluation</t>
  </si>
  <si>
    <t>Electronic Journal of Knowledge Management</t>
  </si>
  <si>
    <t>European Conference on Information Systems</t>
  </si>
  <si>
    <t>Foundations and Trends in Communications and Information Theory</t>
  </si>
  <si>
    <t>Hawaii International Conference on System Sciences</t>
  </si>
  <si>
    <t>Human-Centered Software Engineering</t>
  </si>
  <si>
    <t>IEEE Pervasive Computing</t>
  </si>
  <si>
    <t>IEEE Transactions on Affective Computing</t>
  </si>
  <si>
    <t>IEICE Transactions on Information and Systems</t>
  </si>
  <si>
    <t>IET Information Security</t>
  </si>
  <si>
    <t>Informatics in Education</t>
  </si>
  <si>
    <t>Information and Computer Security</t>
  </si>
  <si>
    <t>Information Resources Management Journal</t>
  </si>
  <si>
    <t>Information Systems and e-Business Management</t>
  </si>
  <si>
    <t>Information Technology and Management</t>
  </si>
  <si>
    <t>Information Technology for Development</t>
  </si>
  <si>
    <t>Interdisciplinary Journal of Information, Knowledge, and Management</t>
  </si>
  <si>
    <t>International Conference on Agents and Artificial Intelligence</t>
  </si>
  <si>
    <t>International Conference on Information Systems Development</t>
  </si>
  <si>
    <t>International Journal of Accounting Information Systems</t>
  </si>
  <si>
    <t>International Journal of Business Information Systems</t>
  </si>
  <si>
    <t>International Journal of Business Intelligence Research</t>
  </si>
  <si>
    <t>International Journal of e-Business Research</t>
  </si>
  <si>
    <t>International Journal of Electronic Security and Digital Forensics</t>
  </si>
  <si>
    <t>International Journal of Enterprise Information Systems</t>
  </si>
  <si>
    <t>International Journal of e-Services and Mobile Applications</t>
  </si>
  <si>
    <t>International Journal of General Systems</t>
  </si>
  <si>
    <t>International Journal of Human Capital and Information Technology Professionals</t>
  </si>
  <si>
    <t>International Journal of Information and Computer Security</t>
  </si>
  <si>
    <t>International Journal of Information Security</t>
  </si>
  <si>
    <t>International Journal of Information Systems and Change Management</t>
  </si>
  <si>
    <t>International Journal of Information Systems and Project Management</t>
  </si>
  <si>
    <t>International Journal of Information Systems and Supply Chain Management</t>
  </si>
  <si>
    <t>International Journal of Information Technology and Decision Making</t>
  </si>
  <si>
    <t>International Journal of Information Technology and Management</t>
  </si>
  <si>
    <t>International Journal of Integrated Care</t>
  </si>
  <si>
    <t>International Journal of Security and Networks</t>
  </si>
  <si>
    <t>International Journal of Social and Organizational Dynamics in IT</t>
  </si>
  <si>
    <t>International Journal of Software Engineering and Knowledge Engineering</t>
  </si>
  <si>
    <t>IRIS: Selected Papers of the Information Systems Research Seminar in Scandinavia</t>
  </si>
  <si>
    <t>JITTA: Journal of Information Technology Theory &amp; Application</t>
  </si>
  <si>
    <t>Journal of Cases on Information Technology</t>
  </si>
  <si>
    <t>Journal of Computer Information Systems</t>
  </si>
  <si>
    <t>Journal of Decision Systems</t>
  </si>
  <si>
    <t>Journal of Enterprise Information Management</t>
  </si>
  <si>
    <t>Journal of Global Information Management</t>
  </si>
  <si>
    <t>Journal of Global Information Technology Management</t>
  </si>
  <si>
    <t>Journal of Information &amp; Knowledge Management</t>
  </si>
  <si>
    <t>Journal of Information Security and Applications</t>
  </si>
  <si>
    <t>Journal of Information Technology Case and Application Research</t>
  </si>
  <si>
    <t>Journal of Information Technology Management</t>
  </si>
  <si>
    <t>Journal of Innovation in Health Informatics</t>
  </si>
  <si>
    <t>Journal of Intelligence Studies in Business</t>
  </si>
  <si>
    <t>Journal of Intelligent and Robotic Systems</t>
  </si>
  <si>
    <t>Journal of International Technology and Information Management</t>
  </si>
  <si>
    <t>Journal of Network and Systems Management</t>
  </si>
  <si>
    <t>Journal of Organizational and End User Computing</t>
  </si>
  <si>
    <t>Journal of Organizational Computing and Electronic Commerce</t>
  </si>
  <si>
    <t>Journal of Research and Practice in Information Technology</t>
  </si>
  <si>
    <t>Journal of Software: Evolution and Process</t>
  </si>
  <si>
    <t>Journal of Systems and Information Technology</t>
  </si>
  <si>
    <t>Knowledge and Information Systems</t>
  </si>
  <si>
    <t>Lecture Notes in Informatics</t>
  </si>
  <si>
    <t>Proceedings of the Annual Hawaii International Conference on System Sciences</t>
  </si>
  <si>
    <t>Proceedings of the European Conference on Information Systems</t>
  </si>
  <si>
    <t>Proceedings of the IEEE Computer Security Foundations Symposium</t>
  </si>
  <si>
    <t>Proceedings of the International Conference on Design Science Research in Information Systems and Technology</t>
  </si>
  <si>
    <t>Proceedings of the International Conference on Software Engineering</t>
  </si>
  <si>
    <t>Proceedings of the IRIS Conference</t>
  </si>
  <si>
    <t>Systems, Signs &amp; Actions</t>
  </si>
  <si>
    <t>The Data Base for Advances in Information Systems</t>
  </si>
  <si>
    <t>The Electronic Journal of Information Systems in Developing Countries</t>
  </si>
  <si>
    <t>The Journal of Information Systems</t>
  </si>
  <si>
    <t>Videnskabsstudier og forskningsanalyse</t>
  </si>
  <si>
    <t>Annals of Science</t>
  </si>
  <si>
    <t>Big Data &amp; Society</t>
  </si>
  <si>
    <t>Biology and Philosophy</t>
  </si>
  <si>
    <t>BJHS Themes</t>
  </si>
  <si>
    <t>BMC Medical Ethics</t>
  </si>
  <si>
    <t>Boston Studies in the Philosophy and History of Science</t>
  </si>
  <si>
    <t>British Journal for the History of Science</t>
  </si>
  <si>
    <t>Centaurus</t>
  </si>
  <si>
    <t>Configurations</t>
  </si>
  <si>
    <t>Engaging Science, Technology, and Society</t>
  </si>
  <si>
    <t>Historical Studies in the Natural Sciences</t>
  </si>
  <si>
    <t>History and Philosophy of Logic</t>
  </si>
  <si>
    <t>History of Science</t>
  </si>
  <si>
    <t>History of the Human Sciences</t>
  </si>
  <si>
    <t>Isis</t>
  </si>
  <si>
    <t>Minerva</t>
  </si>
  <si>
    <t>New Genetics and Society</t>
  </si>
  <si>
    <t>Osiris</t>
  </si>
  <si>
    <t>Public Understanding of Science</t>
  </si>
  <si>
    <t>Research Evaluation</t>
  </si>
  <si>
    <t>Science &amp; Technology Studies</t>
  </si>
  <si>
    <t>Science and Engineering Ethics</t>
  </si>
  <si>
    <t>Science and Public Policy</t>
  </si>
  <si>
    <t>Science as Culture</t>
  </si>
  <si>
    <t>Science Communication</t>
  </si>
  <si>
    <t>Science in Context</t>
  </si>
  <si>
    <t>Science, Technology &amp; Human Values</t>
  </si>
  <si>
    <t>Social Epistemology</t>
  </si>
  <si>
    <t>Social Studies of Science</t>
  </si>
  <si>
    <t>Stanford Encyclopedia of Philosophy</t>
  </si>
  <si>
    <t>Studies in History and Philosophy of Science Part A</t>
  </si>
  <si>
    <t>Studies in History and Philosophy of Science Part B: Studies in History and Philosophy of Modern Physics</t>
  </si>
  <si>
    <t>Studies in History and Philosophy of Science Part C: Studies in History and Philosophy of Biological and Biomedical Sciences</t>
  </si>
  <si>
    <t>Theoria: An international Journal of Theory, History and Foundations of Science</t>
  </si>
  <si>
    <t>Acta Historiae Rerum Naturalium nec non Technicarum. New Series</t>
  </si>
  <si>
    <t>Acta Historica Astronomiae</t>
  </si>
  <si>
    <t>Ada: Journal of Gender, Media, and New Technology</t>
  </si>
  <si>
    <t>Aestimatio: Critical Reviews in the History of Science</t>
  </si>
  <si>
    <t>Air Power History</t>
  </si>
  <si>
    <t>Aleph: Historical Studies in Science and Judaism</t>
  </si>
  <si>
    <t>Altorientalische Forschungen</t>
  </si>
  <si>
    <t>American Scientist</t>
  </si>
  <si>
    <t>AMITY: The Journal of Friendship Studies</t>
  </si>
  <si>
    <t>Annals of Carnegie Museum</t>
  </si>
  <si>
    <t>Annals of the History and Philosophy of Biology</t>
  </si>
  <si>
    <t>Antike Naturwissenschaft und Ihre Rezeption</t>
  </si>
  <si>
    <t>Apeiron: A Journal for Ancient Philosophy and Science</t>
  </si>
  <si>
    <t>Archimedes: New Studies in the History and Philosophy of Science and Technology</t>
  </si>
  <si>
    <t>Archiv für Geschichte der Philosophie</t>
  </si>
  <si>
    <t>Archive for History of Exact Sciences</t>
  </si>
  <si>
    <t>Archives des Sciences</t>
  </si>
  <si>
    <t>Archives Internationales d'Histoire des Sciences</t>
  </si>
  <si>
    <t>Argumentation</t>
  </si>
  <si>
    <t>Asclepio: Revista de Historia de la Medicina y de la Ciencia</t>
  </si>
  <si>
    <t>Asian Medicine</t>
  </si>
  <si>
    <t>Berichte zur Wissenschaftsgeschichte</t>
  </si>
  <si>
    <t>Berkeley Papers in History of Science</t>
  </si>
  <si>
    <t>BioSocieties</t>
  </si>
  <si>
    <t>Boethius</t>
  </si>
  <si>
    <t>Bulletin for the History of Chemistry</t>
  </si>
  <si>
    <t>Bulletin of Science, Technology &amp; Society</t>
  </si>
  <si>
    <t>Canadian Bulletin of Medical History / Bulletin Canadien d'Histoire de la Médecine</t>
  </si>
  <si>
    <t>Catalyst: Feminism, Theory, Technoscience</t>
  </si>
  <si>
    <t>Chinese Science Bulletin</t>
  </si>
  <si>
    <t>Citizen Science: Theory and Practice</t>
  </si>
  <si>
    <t>Communicating Astronomy with the Public Journal</t>
  </si>
  <si>
    <t>Cuneiform Digital Library Journal</t>
  </si>
  <si>
    <t>Dejiny Ved a Techniky</t>
  </si>
  <si>
    <t>Early Science and Medicine</t>
  </si>
  <si>
    <t>Earth Sciences History</t>
  </si>
  <si>
    <t>East Asian Science, Technology and Society: an international journal</t>
  </si>
  <si>
    <t>East Asian Science, Technology, and Medicine</t>
  </si>
  <si>
    <t>Environmental Sociology</t>
  </si>
  <si>
    <t>Europaeische Studien zur Ideen- und Wissenschaftsgeschichte</t>
  </si>
  <si>
    <t>European Journal of Higher Education</t>
  </si>
  <si>
    <t>European Journal of Risk Regulation</t>
  </si>
  <si>
    <t>Filozofia Nauki</t>
  </si>
  <si>
    <t>Foundations of Science</t>
  </si>
  <si>
    <t>Galilæana: Studies in Renaissance and Early Modern Science</t>
  </si>
  <si>
    <t>Gauss-Gesellschaft E.V. Göttingen - Mitteilungen</t>
  </si>
  <si>
    <t>Geschichte der Chemie: Mitteilungen</t>
  </si>
  <si>
    <t>Geschichte der Pharmazie</t>
  </si>
  <si>
    <t>Hadtudomány</t>
  </si>
  <si>
    <t>Health and History</t>
  </si>
  <si>
    <t>Hippokrates</t>
  </si>
  <si>
    <t>Histoire des Sciences Medicales</t>
  </si>
  <si>
    <t>Historia Scientiarum</t>
  </si>
  <si>
    <t>Historical Records of Australian Science</t>
  </si>
  <si>
    <t>Historiographia Linguistica</t>
  </si>
  <si>
    <t>History and Philosophy of the Life Sciences</t>
  </si>
  <si>
    <t>History of Humanities</t>
  </si>
  <si>
    <t>History of Mathematics</t>
  </si>
  <si>
    <t>History of Medicine</t>
  </si>
  <si>
    <t>History of Psychiatry</t>
  </si>
  <si>
    <t>History of Science and Medicine Library</t>
  </si>
  <si>
    <t>History of Universities</t>
  </si>
  <si>
    <t>Humana.mente</t>
  </si>
  <si>
    <t>Hyle - International Journal for Philosophy of Chemistry</t>
  </si>
  <si>
    <t>ICMI studies</t>
  </si>
  <si>
    <t>Icon. Journal of the International Committee for the History of Technology</t>
  </si>
  <si>
    <t>Indian Journal of History of Science</t>
  </si>
  <si>
    <t>Information Technologies and International Development</t>
  </si>
  <si>
    <t>International Journal of Gender, Science and Technology</t>
  </si>
  <si>
    <t>International Journal of Signs and Semiotic Systems</t>
  </si>
  <si>
    <t>International Journal of Technoethics</t>
  </si>
  <si>
    <t>International Journal of Technology, Knowledge and Society</t>
  </si>
  <si>
    <t>Issues in Integrative Studies</t>
  </si>
  <si>
    <t>Istoriko-Astronomicheskie Issledovaniya</t>
  </si>
  <si>
    <t>Istoriko-Biologicheskie Issledovaniya</t>
  </si>
  <si>
    <t>Istoriko-Matematicheskie Issledovaniya</t>
  </si>
  <si>
    <t>Jahrbuch für Universitätsgeschichte</t>
  </si>
  <si>
    <t>Journal for the History of Astronomy</t>
  </si>
  <si>
    <t>Journal of Academic Writing</t>
  </si>
  <si>
    <t>Journal of Astronomical History and Heritage</t>
  </si>
  <si>
    <t>Journal of Communication in Healthcare</t>
  </si>
  <si>
    <t>Journal of Empirical Research on Human Research Ethics</t>
  </si>
  <si>
    <t>Journal of Ethical and Legal Issues</t>
  </si>
  <si>
    <t>Journal of History of Science and Technology</t>
  </si>
  <si>
    <t>Journal of Information Ethics</t>
  </si>
  <si>
    <t>Journal of Research Practice</t>
  </si>
  <si>
    <t>Journal of Responsible Innovation</t>
  </si>
  <si>
    <t>Journal of Science &amp; Popular Culture</t>
  </si>
  <si>
    <t>Journal of the History of Biology</t>
  </si>
  <si>
    <t>Journal of the History of Medicine and Allied Sciences</t>
  </si>
  <si>
    <t>Journal of the History of the Behavioral Sciences</t>
  </si>
  <si>
    <t>Journal of the History of the Neurosciences</t>
  </si>
  <si>
    <t>KNOW: A Journal on the Formation of Knowledge</t>
  </si>
  <si>
    <t>Korean Journal of Medical History</t>
  </si>
  <si>
    <t>Krisis</t>
  </si>
  <si>
    <t>KronoScope</t>
  </si>
  <si>
    <t>Kwartalnik Historii Nauki i Techniki</t>
  </si>
  <si>
    <t>Libri Historiae Medicae</t>
  </si>
  <si>
    <t>Llull, Revista de la Sociedad Española de Historia de las Ciencias y de las Técnicas</t>
  </si>
  <si>
    <t>Logic and Philosophy of Science</t>
  </si>
  <si>
    <t>Logique et Analyse</t>
  </si>
  <si>
    <t>Lychnos: An annual for history of ideas and science</t>
  </si>
  <si>
    <t>Medical Humanities</t>
  </si>
  <si>
    <t>Medieval and Early Modern Science</t>
  </si>
  <si>
    <t>Medizin, Gesellschaft und Geschichte</t>
  </si>
  <si>
    <t>Medizinhistorisches Journal</t>
  </si>
  <si>
    <t>Medycyna Nowozytna: Studia Nad Kultura Medyczna / Modern medicine. Medical cultural studies</t>
  </si>
  <si>
    <t>Metascience</t>
  </si>
  <si>
    <t>Mind &amp; Society</t>
  </si>
  <si>
    <t>Mitteilungen und Forschungsbeiträge der Cusanus-Gesellschaft</t>
  </si>
  <si>
    <t>Nach Feierabend. Zürcher Jahrbuch für Wissensgeschichte</t>
  </si>
  <si>
    <t>Network Science</t>
  </si>
  <si>
    <t xml:space="preserve">Network Science </t>
  </si>
  <si>
    <t>Neusis: the Greek journal for the history and philosophy of science and technology</t>
  </si>
  <si>
    <t>New Scientist</t>
  </si>
  <si>
    <t>Nordic Studies in Mathematics Education</t>
  </si>
  <si>
    <t>Notre Dame Journal of Formal Logic</t>
  </si>
  <si>
    <t>NTM Zeitschrift für Geschichte der Wissenschaften, Technik und Medizin / NTM Journal of the History of Science, Technology and Medicine</t>
  </si>
  <si>
    <t>Nuncius</t>
  </si>
  <si>
    <t>Organon</t>
  </si>
  <si>
    <t>Osmanli Bilimi Arastirmalari</t>
  </si>
  <si>
    <t>Palgrave Studies in the History of Science and Technology</t>
  </si>
  <si>
    <t>Perspectives in Biology and Medicine</t>
  </si>
  <si>
    <t>Perspectives on Science</t>
  </si>
  <si>
    <t>Philosophia Scientiae</t>
  </si>
  <si>
    <t>Philosophy of the Social Sciences</t>
  </si>
  <si>
    <t>Philosophy, Theology and the Sciences</t>
  </si>
  <si>
    <t>Physis</t>
  </si>
  <si>
    <t>Prometheus</t>
  </si>
  <si>
    <t>Quaderns d'Historia de l'Ingenyeria</t>
  </si>
  <si>
    <t>Quipu, Revista Latinoamericana de Historia de las Ciencias y la Tecnología</t>
  </si>
  <si>
    <t>Regional Science Policy and Practice</t>
  </si>
  <si>
    <t>Research for All</t>
  </si>
  <si>
    <t>Revista Tecnologia e Sociedade</t>
  </si>
  <si>
    <t>Revue d'Histoire de la Pharmacie</t>
  </si>
  <si>
    <t>Revue d'Histoire des Mathematiques</t>
  </si>
  <si>
    <t>Revue d'Histoire des Sciences</t>
  </si>
  <si>
    <t>Revue d'Histoire des Sciences Humaines</t>
  </si>
  <si>
    <t>Rhetorica: A journal of the history of rhetoric</t>
  </si>
  <si>
    <t>Sciamvs: Sources and Commetaries in Exact Sciences</t>
  </si>
  <si>
    <t>Science &amp; Diplomacy</t>
  </si>
  <si>
    <t>Science &amp; Philosophy</t>
  </si>
  <si>
    <t>Science and Culture</t>
  </si>
  <si>
    <t>Science Museum Group Journal</t>
  </si>
  <si>
    <t>Science Networks Historical Studies</t>
  </si>
  <si>
    <t>Scientia Canadensis</t>
  </si>
  <si>
    <t>Skrifter</t>
  </si>
  <si>
    <t>Social Scientist</t>
  </si>
  <si>
    <t>Sociología y tecnociencia</t>
  </si>
  <si>
    <t>Sociology of the Sciences. Yearbook</t>
  </si>
  <si>
    <t>Spontaneous Generations: A Journal for the History and Philosophy of Science</t>
  </si>
  <si>
    <t>STS Encounters - DASTS working paper series</t>
  </si>
  <si>
    <t>Studies in the History of Philosophy of Mind</t>
  </si>
  <si>
    <t>Studies in the History of the Language Sciences</t>
  </si>
  <si>
    <t>Studium: Tijdschrift voor Wetenschaps- en Universiteitsgeschiedenis</t>
  </si>
  <si>
    <t>Svensk Medicinhistorisk Tidskrift</t>
  </si>
  <si>
    <t>Taiwanese Journal for Studies of Science, Technology, and Medicine</t>
  </si>
  <si>
    <t>Techné: Research in Philosophy and Technology</t>
  </si>
  <si>
    <t>Technikdiskurse</t>
  </si>
  <si>
    <t>Technikgeschichte</t>
  </si>
  <si>
    <t>Technological Forecasting and Social Change</t>
  </si>
  <si>
    <t>Technology Analysis &amp; Strategic Management</t>
  </si>
  <si>
    <t>The American Journal of Bioethics</t>
  </si>
  <si>
    <t>The International Journal for the History of Engineering &amp; Technology</t>
  </si>
  <si>
    <t>The Journal of Applied Research in the Community College</t>
  </si>
  <si>
    <t>The Journal of Technology Studies</t>
  </si>
  <si>
    <t>The Linnean</t>
  </si>
  <si>
    <t>The Mathematical Intelligencer</t>
  </si>
  <si>
    <t>The Scientist</t>
  </si>
  <si>
    <t>Theology and Science</t>
  </si>
  <si>
    <t>Theoretical Medicine and Bioethics</t>
  </si>
  <si>
    <t>Theoria et Historia Scientiarum</t>
  </si>
  <si>
    <t>Trends in the History of Science</t>
  </si>
  <si>
    <t>Vienna Circle Institute Yearbook</t>
  </si>
  <si>
    <t>Wissen, Kommunikation und Gesellschaft</t>
  </si>
  <si>
    <t>Workplace</t>
  </si>
  <si>
    <t>Zeitschrift fuer Geschichte der Arabisch-Islamischen Wissenschaften</t>
  </si>
  <si>
    <t>Zygon</t>
  </si>
  <si>
    <t>Dans, Teatervidenskab og Drama, Musikvidenskab</t>
  </si>
  <si>
    <t>19th Century Music</t>
  </si>
  <si>
    <t>Acta Musicologica</t>
  </si>
  <si>
    <t>American Music</t>
  </si>
  <si>
    <t>Archiv für Musikwissenschaft</t>
  </si>
  <si>
    <t>Arts &amp; Health</t>
  </si>
  <si>
    <t>Asian Theatre Journal</t>
  </si>
  <si>
    <t>Assaph. Section C: Studies in the Theatre</t>
  </si>
  <si>
    <t>British Journal of Music Education</t>
  </si>
  <si>
    <t>Cambridge Opera Journal</t>
  </si>
  <si>
    <t>Computer Music Journal</t>
  </si>
  <si>
    <t>Dance Research</t>
  </si>
  <si>
    <t>Early Music</t>
  </si>
  <si>
    <t>Early Music History</t>
  </si>
  <si>
    <t>Eighteenth-Century Music</t>
  </si>
  <si>
    <t>Ethnomusicology</t>
  </si>
  <si>
    <t>Ethnomusicology Forum</t>
  </si>
  <si>
    <t>International Journal of Arts Management</t>
  </si>
  <si>
    <t>International Review of the Aesthetics and Sociology of Music</t>
  </si>
  <si>
    <t>Journal of Music Theory</t>
  </si>
  <si>
    <t>Journal of Music Therapy</t>
  </si>
  <si>
    <t>Journal of Musicological Research</t>
  </si>
  <si>
    <t>Journal of New Music Research</t>
  </si>
  <si>
    <t>Journal of Research in Music Education</t>
  </si>
  <si>
    <t>Journal of Seventeenth-Century Music</t>
  </si>
  <si>
    <t>Journal of the American Musicological Society</t>
  </si>
  <si>
    <t>Journal of the Royal Musical Association</t>
  </si>
  <si>
    <t>Maske und Kothurn</t>
  </si>
  <si>
    <t>Modern Drama</t>
  </si>
  <si>
    <t>Music Analysis</t>
  </si>
  <si>
    <t>Music Education Research</t>
  </si>
  <si>
    <t>Music Perception</t>
  </si>
  <si>
    <t>Music Theory Spectrum</t>
  </si>
  <si>
    <t>Music Therapy Perspectives</t>
  </si>
  <si>
    <t>Musicae Scientiae</t>
  </si>
  <si>
    <t>Musiktherapeutische Umschau</t>
  </si>
  <si>
    <t>New Theatre Quarterly</t>
  </si>
  <si>
    <t>Nordic Journal of Music Therapy</t>
  </si>
  <si>
    <t>Nordic Theatre Studies</t>
  </si>
  <si>
    <t>Organised Sound</t>
  </si>
  <si>
    <t>PAJ: A Journal of Performance and Art</t>
  </si>
  <si>
    <t>Performance Research: a journal of the performing arts</t>
  </si>
  <si>
    <t>Philosophy of Music Education Review</t>
  </si>
  <si>
    <t>Popular Music</t>
  </si>
  <si>
    <t>Popular Music &amp; Society</t>
  </si>
  <si>
    <t>Popular Music History</t>
  </si>
  <si>
    <t>Psychology of Music</t>
  </si>
  <si>
    <t>Research in Dance Education</t>
  </si>
  <si>
    <t>Research in Drama Education</t>
  </si>
  <si>
    <t>Research Studies in Music Education</t>
  </si>
  <si>
    <t>Revue de Musicologie</t>
  </si>
  <si>
    <t>TDR/The Drama Review</t>
  </si>
  <si>
    <t>The Journal of Musicology</t>
  </si>
  <si>
    <t>The Musical Quarterly</t>
  </si>
  <si>
    <t>The Opera Quarterly</t>
  </si>
  <si>
    <t>The World of Music</t>
  </si>
  <si>
    <t>Theatre Journal</t>
  </si>
  <si>
    <t>Theatre Research International</t>
  </si>
  <si>
    <t>Yearbook for Traditional Music</t>
  </si>
  <si>
    <t>Action, Criticism, and Theory for Music Education</t>
  </si>
  <si>
    <t>Advances in cultural psychology</t>
  </si>
  <si>
    <t>African Music: Journal of the African Music Society</t>
  </si>
  <si>
    <t>All That Jazz – bidrag til dansk jazzforskning</t>
  </si>
  <si>
    <t>Anuario Musical</t>
  </si>
  <si>
    <t>Applied Theatre Research</t>
  </si>
  <si>
    <t xml:space="preserve">Approaches : An Interdisciplinary Journal of Music Therapy </t>
  </si>
  <si>
    <t>Arti Musices</t>
  </si>
  <si>
    <t>Ashgate Interdisciplinary Studies in Opera</t>
  </si>
  <si>
    <t>Ashgate Popular And Folk Music Series</t>
  </si>
  <si>
    <t>Asian Music</t>
  </si>
  <si>
    <t>Australian Journal of Music Therapy</t>
  </si>
  <si>
    <t>Bach</t>
  </si>
  <si>
    <t>Bach-Jahrbuch</t>
  </si>
  <si>
    <t>Ballet Review</t>
  </si>
  <si>
    <t>Basler Jahrbuch für historische Musikpraxis</t>
  </si>
  <si>
    <t>Body, Movement and Dance in Psychotherapy: An International Journal for Theory, Research and Practice</t>
  </si>
  <si>
    <t>Brazilian Journal of Music Therapy</t>
  </si>
  <si>
    <t>British Journal of Music Therapy</t>
  </si>
  <si>
    <t>Bulletin of the Comediantes</t>
  </si>
  <si>
    <t>Bulletin of The Council For Research in Music Education</t>
  </si>
  <si>
    <t>Cahiers d'Ethnomusicologie</t>
  </si>
  <si>
    <t>Cambridge Studies in Music Theory and Analysis</t>
  </si>
  <si>
    <t>Canadian Theatre Review</t>
  </si>
  <si>
    <t>Carl Nielsen Studies</t>
  </si>
  <si>
    <t>Choreographic Practices</t>
  </si>
  <si>
    <t>Clavier Companion</t>
  </si>
  <si>
    <t>Comparative Drama</t>
  </si>
  <si>
    <t>Computing in Musicology</t>
  </si>
  <si>
    <t>Contemporary Music Review</t>
  </si>
  <si>
    <t>Contemporary Theatre Review</t>
  </si>
  <si>
    <t>Critical Studies in Improvisation - Etudes Critiques en Improvisation</t>
  </si>
  <si>
    <t>Current Musicology</t>
  </si>
  <si>
    <t>Current Research in Systematic Musicology</t>
  </si>
  <si>
    <t>Dance Chronicle</t>
  </si>
  <si>
    <t>Dance Magazine</t>
  </si>
  <si>
    <t>Dance Research Journal</t>
  </si>
  <si>
    <t>Dancecult: Journal of Electronic Dance Music Culture</t>
  </si>
  <si>
    <t>Dancing Times</t>
  </si>
  <si>
    <t>Danish Yearbook of Musicology</t>
  </si>
  <si>
    <t>Dansk Musikforskning Online</t>
  </si>
  <si>
    <t>Dansk Musikterapi</t>
  </si>
  <si>
    <t>Didaskalia</t>
  </si>
  <si>
    <t>Die Musikforschung</t>
  </si>
  <si>
    <t>Discourses in Dance</t>
  </si>
  <si>
    <t>Drama</t>
  </si>
  <si>
    <t>DRAMA : Nordisk dramapedagogisk tidsskrift</t>
  </si>
  <si>
    <t>EAI Endorsed Transactions on Serious Games</t>
  </si>
  <si>
    <t>EAI Endrosed Trasactions on Creative Technologies</t>
  </si>
  <si>
    <t>ECHO: A Music-Centered Journal</t>
  </si>
  <si>
    <t>Eisler-Mitteilungen</t>
  </si>
  <si>
    <t>Empirical Musicology Review</t>
  </si>
  <si>
    <t>Essays in Theatre</t>
  </si>
  <si>
    <t>Estreno - Cuadernos del Teatro Espanol Contemporaneo</t>
  </si>
  <si>
    <t>Ethnomusicology Online</t>
  </si>
  <si>
    <t xml:space="preserve">Ethnomusicology Review </t>
  </si>
  <si>
    <t>European Journal of Musicology</t>
  </si>
  <si>
    <t>European Medieval Drama</t>
  </si>
  <si>
    <t>European Meetings in Ethnomusicology</t>
  </si>
  <si>
    <t>Folk Music Journal</t>
  </si>
  <si>
    <t>Fontes Artis Musicae</t>
  </si>
  <si>
    <t>Forum Modernes Theater</t>
  </si>
  <si>
    <t>Frontiers in Human Neuroscience</t>
  </si>
  <si>
    <t>Haendel-Jahrbuch</t>
  </si>
  <si>
    <t>Hudebni Veda</t>
  </si>
  <si>
    <t>Hymnologi: Nordisk Tidsskrift</t>
  </si>
  <si>
    <t>IASPM@journal</t>
  </si>
  <si>
    <t>Il Saggiatore Musicale</t>
  </si>
  <si>
    <t>In Between States</t>
  </si>
  <si>
    <t>In Theory Only</t>
  </si>
  <si>
    <t>InCantare</t>
  </si>
  <si>
    <t>Indiana Theory Review</t>
  </si>
  <si>
    <t>Interference: a Journal of Audio Culture</t>
  </si>
  <si>
    <t>International Journal of Community Music</t>
  </si>
  <si>
    <t>International Journal of Music Education</t>
  </si>
  <si>
    <t>Jahrbuch für Liturgik und Hymnologie</t>
  </si>
  <si>
    <t>Jahrbuch Musiktherapie</t>
  </si>
  <si>
    <t>Jazz Perspectives</t>
  </si>
  <si>
    <t>Jazz Research Journal</t>
  </si>
  <si>
    <t>Jazzforschung</t>
  </si>
  <si>
    <t>JMM: The Journal of Music and Meaning</t>
  </si>
  <si>
    <t>Jornal de Pediatria</t>
  </si>
  <si>
    <t>Journal for Drama In Education</t>
  </si>
  <si>
    <t>Journal of Band Research</t>
  </si>
  <si>
    <t>Journal of Country Music</t>
  </si>
  <si>
    <t>Journal of Dance Medicine &amp; Science</t>
  </si>
  <si>
    <t>Journal of Dramatic Theory and Criticism</t>
  </si>
  <si>
    <t>Journal of Interdisciplinary Music Studies</t>
  </si>
  <si>
    <t>Journal of Music Teacher Education</t>
  </si>
  <si>
    <t>Journal of Music Theory Pedagogy</t>
  </si>
  <si>
    <t>Journal of Popular Music Studies</t>
  </si>
  <si>
    <t>Journal of Schenkerian Studies</t>
  </si>
  <si>
    <t>Journal of the Alamire Foundation</t>
  </si>
  <si>
    <t>Journal of the Society for American Music</t>
  </si>
  <si>
    <t>Journal of the Society for Musicology in Ireland</t>
  </si>
  <si>
    <t>Journal on the Art of Record Production</t>
  </si>
  <si>
    <t>Kulturpolitische Mitteilungen</t>
  </si>
  <si>
    <t>Kurt Weill Newsletter</t>
  </si>
  <si>
    <t>Landscapes: the Arts, Aesthetics, and Education</t>
  </si>
  <si>
    <t>Latin American Music Review</t>
  </si>
  <si>
    <t>Latin American Theatre Review</t>
  </si>
  <si>
    <t>L'Avant-Scene. Opera</t>
  </si>
  <si>
    <t>Liminalities</t>
  </si>
  <si>
    <t>Metal Music Studies</t>
  </si>
  <si>
    <t>Metaverse Creativity</t>
  </si>
  <si>
    <t>Mime Journal</t>
  </si>
  <si>
    <t>Monumenta Musicae Byzantinae</t>
  </si>
  <si>
    <t>Music &amp; Anthropology</t>
  </si>
  <si>
    <t>Music &amp; Science</t>
  </si>
  <si>
    <t>Music and Arts in Action</t>
  </si>
  <si>
    <t>Music and Letters</t>
  </si>
  <si>
    <t>Music and Medicine</t>
  </si>
  <si>
    <t>Music and Politics</t>
  </si>
  <si>
    <t>Music and the Moving Image</t>
  </si>
  <si>
    <t>Music Educators Journal</t>
  </si>
  <si>
    <t>Music Reference Services Quarterly</t>
  </si>
  <si>
    <t>Music Theory Online</t>
  </si>
  <si>
    <t>Music, Sound and the Moving Image</t>
  </si>
  <si>
    <t>Musica Disciplina</t>
  </si>
  <si>
    <t>Música Hodie</t>
  </si>
  <si>
    <t>Musical Times</t>
  </si>
  <si>
    <t>Musicologia Austriaca</t>
  </si>
  <si>
    <t>Musicological Annual</t>
  </si>
  <si>
    <t>Musicology</t>
  </si>
  <si>
    <t>Musik und Aesthetik</t>
  </si>
  <si>
    <t>Musik und Kirche</t>
  </si>
  <si>
    <t>Musikkterapi</t>
  </si>
  <si>
    <t>Musikpedagogik</t>
  </si>
  <si>
    <t>Musikpsychologie</t>
  </si>
  <si>
    <t xml:space="preserve">Musikterapi i Psykiatrien </t>
  </si>
  <si>
    <t>Musiktheorie</t>
  </si>
  <si>
    <t>Neue Zeitschrift für Musik</t>
  </si>
  <si>
    <t>Nineteenth-Century Music Review</t>
  </si>
  <si>
    <t>NMH-publikasjoner</t>
  </si>
  <si>
    <t>Nordic Journal of Arts, Culture and Wellbeing</t>
  </si>
  <si>
    <t>Nordic Journal of Dance - practice, education and research</t>
  </si>
  <si>
    <t>Nordisk Musikkpedagogisk Forskning</t>
  </si>
  <si>
    <t>Norsk Shakespeare og Teater-Tidsskrift</t>
  </si>
  <si>
    <t>Notes: Quarterly Journal of the Music Library Association</t>
  </si>
  <si>
    <t>Nutida Musik</t>
  </si>
  <si>
    <t>Opera</t>
  </si>
  <si>
    <t>OPUS - Revista Eletrônica da ANPPOM</t>
  </si>
  <si>
    <t>Parergon</t>
  </si>
  <si>
    <t>PARtake: The Journal of Performance as Research</t>
  </si>
  <si>
    <t>Perfect Beat</t>
  </si>
  <si>
    <t>Performance and Design</t>
  </si>
  <si>
    <t>Peripeti</t>
  </si>
  <si>
    <t>Perspectives of New Music</t>
  </si>
  <si>
    <t>Plainsong &amp; Medieval Music</t>
  </si>
  <si>
    <t>Popular Musicology Online</t>
  </si>
  <si>
    <t>Positionen : Beiträge zur neuen Musik</t>
  </si>
  <si>
    <t>Psychomusicology: Music, Mind, &amp; Brain</t>
  </si>
  <si>
    <t>Qualitative Inquiries in Music Therapy</t>
  </si>
  <si>
    <t>Radical Musicology</t>
  </si>
  <si>
    <t>Recercare: Rivista Per Lo Studio E La Pratica Della Musica Antica</t>
  </si>
  <si>
    <t>Renaissance Drama</t>
  </si>
  <si>
    <t>Revista de Musicologia</t>
  </si>
  <si>
    <t>Revue d'Histoire du Theatre</t>
  </si>
  <si>
    <t>Rivista Italiana di Musicologia</t>
  </si>
  <si>
    <t>Routledge Advances in Theatre &amp; Performance Studies</t>
  </si>
  <si>
    <t>Routledge Music Companions</t>
  </si>
  <si>
    <t>Routledge Research In Music</t>
  </si>
  <si>
    <t>Sacred Music</t>
  </si>
  <si>
    <t>Seismograf/DMT</t>
  </si>
  <si>
    <t>SEMPRE Studies in The Psychology of Music</t>
  </si>
  <si>
    <t>Skriftserie for Senter for forskning i musikk og helse</t>
  </si>
  <si>
    <t>SoundEffects</t>
  </si>
  <si>
    <t>Studi Verdiani</t>
  </si>
  <si>
    <t>Studia Musicologica</t>
  </si>
  <si>
    <t>Studia Musicologica Norvegica</t>
  </si>
  <si>
    <t>Studies in Popular Culture</t>
  </si>
  <si>
    <t>Studies in Theatre and Performance</t>
  </si>
  <si>
    <t>Svensk Tidskrift för Musikforskning</t>
  </si>
  <si>
    <t>Tanz</t>
  </si>
  <si>
    <t>Tempo</t>
  </si>
  <si>
    <t>The Journal of Film Music</t>
  </si>
  <si>
    <t>Theatre and Performance Design</t>
  </si>
  <si>
    <t>Theatre History Studies</t>
  </si>
  <si>
    <t>Theatre Notebook</t>
  </si>
  <si>
    <t>Theatre Research in Canada</t>
  </si>
  <si>
    <t>Theatre Survey</t>
  </si>
  <si>
    <t>Theatre Topics</t>
  </si>
  <si>
    <t>Theory and Practice</t>
  </si>
  <si>
    <t>Tijdschrift van de Koninklijke Vereniging voor Nederlandse Muziekgeschiedenis</t>
  </si>
  <si>
    <t>Tracking Pop</t>
  </si>
  <si>
    <t>Voices: a world forum for music therapy</t>
  </si>
  <si>
    <t>Women and Music</t>
  </si>
  <si>
    <t>Youth Theatre Journal</t>
  </si>
  <si>
    <t>Kunsthistorie og Billedkunst</t>
  </si>
  <si>
    <t>Art Criticism</t>
  </si>
  <si>
    <t>Art History</t>
  </si>
  <si>
    <t>Art Journal</t>
  </si>
  <si>
    <t>Art, Design &amp; Communication in Higher Education</t>
  </si>
  <si>
    <t>Avant Garde Critical Studies</t>
  </si>
  <si>
    <t>Costume</t>
  </si>
  <si>
    <t>Dumbarton Oaks Papers</t>
  </si>
  <si>
    <t>History of Photography</t>
  </si>
  <si>
    <t>Jahrbuch der Berliner Museen</t>
  </si>
  <si>
    <t>Journal of the Warburg and Courtauld Institutes</t>
  </si>
  <si>
    <t>Konsthistorisk Tidskrift</t>
  </si>
  <si>
    <t>Kritische Berichte</t>
  </si>
  <si>
    <t>Kunst og Kultur</t>
  </si>
  <si>
    <t>Marburger Jahrbuch für Kunstwissenschaft</t>
  </si>
  <si>
    <t>Master Drawings</t>
  </si>
  <si>
    <t>Metropolitan Museum Journal</t>
  </si>
  <si>
    <t>Mitteilungen des Kunsthistorischen Institutes in Florenz</t>
  </si>
  <si>
    <t>Monumenta Graeca et Romana</t>
  </si>
  <si>
    <t>Nordic Journal of Aesthetics</t>
  </si>
  <si>
    <t>Nordisk Museologi</t>
  </si>
  <si>
    <t>October</t>
  </si>
  <si>
    <t>OCULI: Studies in the Arts of the Low Countries</t>
  </si>
  <si>
    <t>Oxford Art Journal</t>
  </si>
  <si>
    <t>Perspective</t>
  </si>
  <si>
    <t>Print Quarterly</t>
  </si>
  <si>
    <t>Revue de l'Art</t>
  </si>
  <si>
    <t>RIHA Journal</t>
  </si>
  <si>
    <t>Simiolus: Netherlands quarterly for the history of art</t>
  </si>
  <si>
    <t>Source: Notes in the History of Art</t>
  </si>
  <si>
    <t>The Art Bulletin</t>
  </si>
  <si>
    <t>The Journal of Aesthetics and Art Criticism</t>
  </si>
  <si>
    <t>The Journal of Arts Management, Law, and Society</t>
  </si>
  <si>
    <t>West 86th: A Journal of Decorative Arts, Design History, and Material Culture</t>
  </si>
  <si>
    <t>Winterthur Portfolio</t>
  </si>
  <si>
    <t>Zeitschrift für Kunstgeschichte</t>
  </si>
  <si>
    <t>Zeitschrift für Ästhetik und allgemeine Kunstwissenschaft</t>
  </si>
  <si>
    <t>Acta Historiae Artium Academie Scientiarium Hungaricae</t>
  </si>
  <si>
    <t>African Arts</t>
  </si>
  <si>
    <t>Afterall</t>
  </si>
  <si>
    <t>American Art</t>
  </si>
  <si>
    <t>Analecta Romana Instituti Danici</t>
  </si>
  <si>
    <t>Anistoriton</t>
  </si>
  <si>
    <t>Aperture</t>
  </si>
  <si>
    <t>Apollo</t>
  </si>
  <si>
    <t>Archives of American Art Journal</t>
  </si>
  <si>
    <t>Archives of Asian Art</t>
  </si>
  <si>
    <t>Archivo Español de Arte</t>
  </si>
  <si>
    <t>ARKEN Bulletin</t>
  </si>
  <si>
    <t>Ars Decorativa</t>
  </si>
  <si>
    <t>Art &amp; Research: A Journal of Ideas, Contexts and Methods</t>
  </si>
  <si>
    <t>Art &amp; the Public Sphere</t>
  </si>
  <si>
    <t>Art Bulletin of Nationalmuseum Stockholm</t>
  </si>
  <si>
    <t>Art Documentation</t>
  </si>
  <si>
    <t>Art in America</t>
  </si>
  <si>
    <t>Art Therapy</t>
  </si>
  <si>
    <t>Arte Cristiana</t>
  </si>
  <si>
    <t>Arte Documento</t>
  </si>
  <si>
    <t>Arte Medievale</t>
  </si>
  <si>
    <t>Artforum International</t>
  </si>
  <si>
    <t>Artibus Asiae</t>
  </si>
  <si>
    <t>Artnews</t>
  </si>
  <si>
    <t>Artnodes</t>
  </si>
  <si>
    <t>Atti / Accademia nazionale di scienze lettere ed arti di Modena</t>
  </si>
  <si>
    <t>Bollettino d'Arte</t>
  </si>
  <si>
    <t>Burlington Magazine</t>
  </si>
  <si>
    <t>Classical Presences</t>
  </si>
  <si>
    <t>Codices Manuscripti &amp; Impressi</t>
  </si>
  <si>
    <t xml:space="preserve">Comptes rendus des séances de l'Académie des Inscriptions et Belles-Lettres </t>
  </si>
  <si>
    <t>Cronache Ercolanesi</t>
  </si>
  <si>
    <t>Crossings - Electronic Journal of Art and Technology</t>
  </si>
  <si>
    <t>Cultural Interactions: Studies In The Relationship Between The Arts</t>
  </si>
  <si>
    <t>Early Modern and Modern Studies</t>
  </si>
  <si>
    <t>Eikon</t>
  </si>
  <si>
    <t>Empirical Studies of the Arts</t>
  </si>
  <si>
    <t>Études photographiques</t>
  </si>
  <si>
    <t>European Avant-Garde and Modernism Studies</t>
  </si>
  <si>
    <t>Field - A Journal of Socially-Engaged Art Criticism</t>
  </si>
  <si>
    <t>Form: the making of design</t>
  </si>
  <si>
    <t>Fotogeschichte</t>
  </si>
  <si>
    <t>Gesta</t>
  </si>
  <si>
    <t>Goya</t>
  </si>
  <si>
    <t>Graphis Advertising Annual</t>
  </si>
  <si>
    <t>Histoire de l'Art</t>
  </si>
  <si>
    <t>I Tatti Studies</t>
  </si>
  <si>
    <t>Iconographisk Post. Nordisk tidskrift för bildtolkning - Nordic Review of Iconography</t>
  </si>
  <si>
    <t>International Review of African American Art</t>
  </si>
  <si>
    <t>Journal of Aesthetics and Phenomenology</t>
  </si>
  <si>
    <t>Journal of Pre-Raphaelite Studies</t>
  </si>
  <si>
    <t>Journal of Visual Art Practice</t>
  </si>
  <si>
    <t>Journal18 - A Journal of Eighteenth-Century Art and Culture</t>
  </si>
  <si>
    <t>Kunstchronik. Monatsschrift für Kunstwissenschaft, Museumswesen und Denkmalpflege</t>
  </si>
  <si>
    <t>Kunsthaandverk</t>
  </si>
  <si>
    <t>Kunstkritikk.no</t>
  </si>
  <si>
    <t>L'Oeil</t>
  </si>
  <si>
    <t>Louisiana Revy</t>
  </si>
  <si>
    <t>Metropolitan Museum of Art Bulletin</t>
  </si>
  <si>
    <t>Nineteenth-Century Art Worldwide</t>
  </si>
  <si>
    <t>Oesterreichische Musikzeitschrift</t>
  </si>
  <si>
    <t>Oud - Holland</t>
  </si>
  <si>
    <t>Passepartout</t>
  </si>
  <si>
    <t>Periskop</t>
  </si>
  <si>
    <t>Philadelphia Museum of Art Bulletin</t>
  </si>
  <si>
    <t>Photographies</t>
  </si>
  <si>
    <t>Prospettiva: rivista di storia dell'arte antica e moderna</t>
  </si>
  <si>
    <t>PsyArt</t>
  </si>
  <si>
    <t>Revue des Musees de France</t>
  </si>
  <si>
    <t>Ricerche di Storia dell'Arte</t>
  </si>
  <si>
    <t>Riggisberger Berichte</t>
  </si>
  <si>
    <t>Routledge Advances In Art And Visual Studies</t>
  </si>
  <si>
    <t>Scan: Journal of Media Arts Culture</t>
  </si>
  <si>
    <t>Science And The Arts Since 1750</t>
  </si>
  <si>
    <t>Sculpture Journal</t>
  </si>
  <si>
    <t>Sculpture Review</t>
  </si>
  <si>
    <t>Sfinx</t>
  </si>
  <si>
    <t>Studies in Iconography</t>
  </si>
  <si>
    <t>Studies in Textile and Costume History</t>
  </si>
  <si>
    <t>Studies in the History of Art</t>
  </si>
  <si>
    <t>Texte zur Kunst</t>
  </si>
  <si>
    <t>TEXTILE: Cloth and Culture</t>
  </si>
  <si>
    <t>The Canadian Art Therapy Association Journal</t>
  </si>
  <si>
    <t>The Teaching Artist Journal</t>
  </si>
  <si>
    <t>Transfiguration: Nordic Journal of Religion and the Arts</t>
  </si>
  <si>
    <t>Visible Language</t>
  </si>
  <si>
    <t>Woman's Art Journal</t>
  </si>
  <si>
    <t>Zeitschrift des Deutschen Vereins für Kunstwissenschaft</t>
  </si>
  <si>
    <t>Kulturvidenskab/Kulturhistorie/Kulturformidling</t>
  </si>
  <si>
    <t>Annals of Tourism Research</t>
  </si>
  <si>
    <t>Critical Inquiry</t>
  </si>
  <si>
    <t>Cultural Studies</t>
  </si>
  <si>
    <t>Culture, Theory and Critique</t>
  </si>
  <si>
    <t>Ethnologia Europaea</t>
  </si>
  <si>
    <t>Ethnologia Scandinavica</t>
  </si>
  <si>
    <t>European Journal of Cultural Studies</t>
  </si>
  <si>
    <t>Fabula</t>
  </si>
  <si>
    <t>International Journal of Cultural Studies</t>
  </si>
  <si>
    <t>Journal of Consumer Culture</t>
  </si>
  <si>
    <t>Journal of Intercultural Studies</t>
  </si>
  <si>
    <t>Journal of Popular Culture</t>
  </si>
  <si>
    <t>Journal of Visual Culture</t>
  </si>
  <si>
    <t>Memory Studies</t>
  </si>
  <si>
    <t>The International Journal of Cultural Policy</t>
  </si>
  <si>
    <t>Tourist Studies</t>
  </si>
  <si>
    <t>Visual Studies</t>
  </si>
  <si>
    <t>ab-Original: Journal of Indigenous Studies and First Nations' and First Peoples' Cultures</t>
  </si>
  <si>
    <t>Across the Disciplines</t>
  </si>
  <si>
    <t>Aesthetik und Kommunikation</t>
  </si>
  <si>
    <t>Akademisk Kvarter</t>
  </si>
  <si>
    <t>Angelaki</t>
  </si>
  <si>
    <t>Arv: Nordic yearbook of folklore</t>
  </si>
  <si>
    <t>Capacious: Journal for Emerging Affect Inquiry</t>
  </si>
  <si>
    <t>Catalan Journal of Communication &amp; Cultural Studies</t>
  </si>
  <si>
    <t>Clothing Cultures</t>
  </si>
  <si>
    <t>Conjunctions : transdisciplinary journal of cultural participation</t>
  </si>
  <si>
    <t>continent.</t>
  </si>
  <si>
    <t>Creativity Research Journal</t>
  </si>
  <si>
    <t>CRESC - Culture, Economy And The Social</t>
  </si>
  <si>
    <t>Critical Studies</t>
  </si>
  <si>
    <t>Critical Studies In Heritage, Emotion And Affect</t>
  </si>
  <si>
    <t>Cross-Cultural Research</t>
  </si>
  <si>
    <t>CTheory</t>
  </si>
  <si>
    <t>Cultural Critique</t>
  </si>
  <si>
    <t>Cultural Studies - Critical Methodologies</t>
  </si>
  <si>
    <t>Cultural Studies Review</t>
  </si>
  <si>
    <t>Cultural Trends</t>
  </si>
  <si>
    <t>Culture &amp; Musées</t>
  </si>
  <si>
    <t>Culture and Organization</t>
  </si>
  <si>
    <t>Culture Unbound: Journal of Current Cultural Research</t>
  </si>
  <si>
    <t>Danish Humanist Texts and Studies</t>
  </si>
  <si>
    <t>Divan: Tidskrift för Psykoanalys och Kultur</t>
  </si>
  <si>
    <t>Early Popular Visual Culture</t>
  </si>
  <si>
    <t>Ekfrase: Nordisk Tidsskrift for Visuell Kultur</t>
  </si>
  <si>
    <t>Elore</t>
  </si>
  <si>
    <t>Emotion, Space and Society</t>
  </si>
  <si>
    <t>ExCITe-serien</t>
  </si>
  <si>
    <t>Fashion, Style &amp; Popular Culture</t>
  </si>
  <si>
    <t>Folk og Kultur</t>
  </si>
  <si>
    <t>French Cultural Studies</t>
  </si>
  <si>
    <t>Home Cultures</t>
  </si>
  <si>
    <t>Imaginations: Journal of Cross-Cultural Media Studies</t>
  </si>
  <si>
    <t>Interdisciplinære kulturstudier</t>
  </si>
  <si>
    <t>Journal for Cultural Research</t>
  </si>
  <si>
    <t>Journal of Aesthetics &amp; Culture</t>
  </si>
  <si>
    <t>Journal of American Folklore</t>
  </si>
  <si>
    <t>Journal of Applied Arts &amp; Health</t>
  </si>
  <si>
    <t>Journal of Black Studies</t>
  </si>
  <si>
    <t>Journal of European Popular Culture</t>
  </si>
  <si>
    <t>Journal of Folklore Research</t>
  </si>
  <si>
    <t>Journal of Heritage Tourism</t>
  </si>
  <si>
    <t>Journal of Intercultural Communication</t>
  </si>
  <si>
    <t>Journal of Latin American Cultural Studies</t>
  </si>
  <si>
    <t>Journal of Multicultural Discourses</t>
  </si>
  <si>
    <t>Journal of Tourism and Cultural Change</t>
  </si>
  <si>
    <t>Journal of War and Culture Studies</t>
  </si>
  <si>
    <t>Kieler Bletter zur Volkskunde</t>
  </si>
  <si>
    <t>Kritiker</t>
  </si>
  <si>
    <t>Kulturella Perspektiv: Svensk etnologisk tidskrift</t>
  </si>
  <si>
    <t>Kulturstudier</t>
  </si>
  <si>
    <t>Marvels &amp; Tales: Journal of Fairy-Tale Studies</t>
  </si>
  <si>
    <t>Merkur: Deutsche Zeitschrift für europäisches Denken</t>
  </si>
  <si>
    <t>Munkiana</t>
  </si>
  <si>
    <t>Museum International</t>
  </si>
  <si>
    <t>Museums &amp; Social Issues</t>
  </si>
  <si>
    <t>Nordic Journal of Science and Technology Studies</t>
  </si>
  <si>
    <t>Nordisk Kulturpolitisk Tidskrift</t>
  </si>
  <si>
    <t>Oral Tradition</t>
  </si>
  <si>
    <t>Palgrave Studies In Creativity And Culture</t>
  </si>
  <si>
    <t>Photography and Culture</t>
  </si>
  <si>
    <t>Popular Culture And World Politics</t>
  </si>
  <si>
    <t>Postcolonial Studies</t>
  </si>
  <si>
    <t>Postmodern Culture</t>
  </si>
  <si>
    <t>Rig: foereningens foer svensk kulturhistoria tidskrift</t>
  </si>
  <si>
    <t>Routledge Studies In Cultural History</t>
  </si>
  <si>
    <t>Scandinavian Journal of Hospitality and Tourism</t>
  </si>
  <si>
    <t>Studies in Childhood and Youth</t>
  </si>
  <si>
    <t>Studies in Family and Intimate Life</t>
  </si>
  <si>
    <t>Text and Performance Quarterly</t>
  </si>
  <si>
    <t>The Senses and Society</t>
  </si>
  <si>
    <t>Tidsskrift for Kulturforskning</t>
  </si>
  <si>
    <t>TOPIA: Canadian Journal of Cultural Studies</t>
  </si>
  <si>
    <t>Tourism And Cultural Change</t>
  </si>
  <si>
    <t>Visitor Studies</t>
  </si>
  <si>
    <t>Volkskunde</t>
  </si>
  <si>
    <t>Western Folklore</t>
  </si>
  <si>
    <t>Zeitschrift für Ethnologie</t>
  </si>
  <si>
    <t>Zeitschrift für Fantastikforschung</t>
  </si>
  <si>
    <t>Österreichische Zeitschrift für Volkskunde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</si>
</sst>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62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>
        <v>7659</v>
      </c>
      <c r="D2" t="str">
        <f>"0003-0678"</f>
        <v>0003-0678</v>
      </c>
      <c r="E2" t="s">
        <v>8</v>
      </c>
      <c r="F2" t="s">
        <v>9</v>
      </c>
      <c r="G2">
        <v>2</v>
      </c>
    </row>
    <row r="3" spans="1:7" x14ac:dyDescent="0.25">
      <c r="A3">
        <v>1</v>
      </c>
      <c r="B3" t="s">
        <v>7</v>
      </c>
      <c r="C3">
        <v>82971</v>
      </c>
      <c r="D3" t="str">
        <f>"1433-5239"</f>
        <v>1433-5239</v>
      </c>
      <c r="E3" t="s">
        <v>8</v>
      </c>
      <c r="F3" t="s">
        <v>10</v>
      </c>
      <c r="G3">
        <v>2</v>
      </c>
    </row>
    <row r="4" spans="1:7" x14ac:dyDescent="0.25">
      <c r="A4">
        <v>1</v>
      </c>
      <c r="B4" t="s">
        <v>7</v>
      </c>
      <c r="C4">
        <v>4878</v>
      </c>
      <c r="D4" t="str">
        <f>"1478-8810"</f>
        <v>1478-8810</v>
      </c>
      <c r="E4" t="s">
        <v>8</v>
      </c>
      <c r="F4" t="s">
        <v>11</v>
      </c>
      <c r="G4">
        <v>2</v>
      </c>
    </row>
    <row r="5" spans="1:7" x14ac:dyDescent="0.25">
      <c r="A5">
        <v>1</v>
      </c>
      <c r="B5" t="s">
        <v>7</v>
      </c>
      <c r="C5">
        <v>4703</v>
      </c>
      <c r="D5" t="str">
        <f>"0067-2378"</f>
        <v>0067-2378</v>
      </c>
      <c r="E5" t="s">
        <v>8</v>
      </c>
      <c r="F5" t="s">
        <v>12</v>
      </c>
      <c r="G5">
        <v>2</v>
      </c>
    </row>
    <row r="6" spans="1:7" x14ac:dyDescent="0.25">
      <c r="A6">
        <v>1</v>
      </c>
      <c r="B6" t="s">
        <v>7</v>
      </c>
      <c r="C6">
        <v>12997</v>
      </c>
      <c r="D6" t="str">
        <f>"0261-3050"</f>
        <v>0261-3050</v>
      </c>
      <c r="E6" t="s">
        <v>8</v>
      </c>
      <c r="F6" t="s">
        <v>13</v>
      </c>
      <c r="G6">
        <v>2</v>
      </c>
    </row>
    <row r="7" spans="1:7" x14ac:dyDescent="0.25">
      <c r="A7">
        <v>1</v>
      </c>
      <c r="B7" t="s">
        <v>7</v>
      </c>
      <c r="C7">
        <v>14142</v>
      </c>
      <c r="D7" t="str">
        <f>"1537-7873"</f>
        <v>1537-7873</v>
      </c>
      <c r="E7" t="s">
        <v>8</v>
      </c>
      <c r="F7" t="s">
        <v>14</v>
      </c>
      <c r="G7">
        <v>2</v>
      </c>
    </row>
    <row r="8" spans="1:7" x14ac:dyDescent="0.25">
      <c r="A8">
        <v>1</v>
      </c>
      <c r="B8" t="s">
        <v>7</v>
      </c>
      <c r="C8">
        <v>7506</v>
      </c>
      <c r="D8" t="str">
        <f>"0902-7521"</f>
        <v>0902-7521</v>
      </c>
      <c r="E8" t="s">
        <v>15</v>
      </c>
      <c r="F8" t="s">
        <v>16</v>
      </c>
      <c r="G8">
        <v>2</v>
      </c>
    </row>
    <row r="9" spans="1:7" x14ac:dyDescent="0.25">
      <c r="A9">
        <v>1</v>
      </c>
      <c r="B9" t="s">
        <v>7</v>
      </c>
      <c r="C9">
        <v>10708</v>
      </c>
      <c r="D9" t="str">
        <f>"0011-5266"</f>
        <v>0011-5266</v>
      </c>
      <c r="E9" t="s">
        <v>8</v>
      </c>
      <c r="F9" t="s">
        <v>17</v>
      </c>
      <c r="G9">
        <v>2</v>
      </c>
    </row>
    <row r="10" spans="1:7" x14ac:dyDescent="0.25">
      <c r="A10">
        <v>1</v>
      </c>
      <c r="B10" t="s">
        <v>7</v>
      </c>
      <c r="C10">
        <v>10159</v>
      </c>
      <c r="D10" t="str">
        <f>"0013-2586"</f>
        <v>0013-2586</v>
      </c>
      <c r="E10" t="s">
        <v>8</v>
      </c>
      <c r="F10" t="s">
        <v>18</v>
      </c>
      <c r="G10">
        <v>2</v>
      </c>
    </row>
    <row r="11" spans="1:7" x14ac:dyDescent="0.25">
      <c r="A11">
        <v>1</v>
      </c>
      <c r="B11" t="s">
        <v>7</v>
      </c>
      <c r="C11">
        <v>14731</v>
      </c>
      <c r="D11" t="str">
        <f>"0101-4064"</f>
        <v>0101-4064</v>
      </c>
      <c r="E11" t="s">
        <v>8</v>
      </c>
      <c r="F11" t="s">
        <v>19</v>
      </c>
      <c r="G11">
        <v>2</v>
      </c>
    </row>
    <row r="12" spans="1:7" x14ac:dyDescent="0.25">
      <c r="A12">
        <v>1</v>
      </c>
      <c r="B12" t="s">
        <v>7</v>
      </c>
      <c r="C12">
        <v>4363</v>
      </c>
      <c r="D12" t="str">
        <f>"1350-7486"</f>
        <v>1350-7486</v>
      </c>
      <c r="E12" t="s">
        <v>8</v>
      </c>
      <c r="F12" t="s">
        <v>20</v>
      </c>
      <c r="G12">
        <v>2</v>
      </c>
    </row>
    <row r="13" spans="1:7" x14ac:dyDescent="0.25">
      <c r="A13">
        <v>1</v>
      </c>
      <c r="B13" t="s">
        <v>7</v>
      </c>
      <c r="C13">
        <v>6636</v>
      </c>
      <c r="D13" t="str">
        <f>"0924-0608"</f>
        <v>0924-0608</v>
      </c>
      <c r="E13" t="s">
        <v>8</v>
      </c>
      <c r="F13" t="s">
        <v>21</v>
      </c>
      <c r="G13">
        <v>2</v>
      </c>
    </row>
    <row r="14" spans="1:7" x14ac:dyDescent="0.25">
      <c r="A14">
        <v>1</v>
      </c>
      <c r="B14" t="s">
        <v>7</v>
      </c>
      <c r="C14">
        <v>6999</v>
      </c>
      <c r="D14" t="str">
        <f>"1568-5926"</f>
        <v>1568-5926</v>
      </c>
      <c r="E14" t="s">
        <v>15</v>
      </c>
      <c r="F14" t="s">
        <v>22</v>
      </c>
      <c r="G14">
        <v>2</v>
      </c>
    </row>
    <row r="15" spans="1:7" x14ac:dyDescent="0.25">
      <c r="A15">
        <v>1</v>
      </c>
      <c r="B15" t="s">
        <v>7</v>
      </c>
      <c r="C15">
        <v>9030</v>
      </c>
      <c r="D15" t="str">
        <f>"0966-8136"</f>
        <v>0966-8136</v>
      </c>
      <c r="E15" t="s">
        <v>8</v>
      </c>
      <c r="F15" t="s">
        <v>23</v>
      </c>
      <c r="G15">
        <v>2</v>
      </c>
    </row>
    <row r="16" spans="1:7" x14ac:dyDescent="0.25">
      <c r="A16">
        <v>1</v>
      </c>
      <c r="B16" t="s">
        <v>7</v>
      </c>
      <c r="C16">
        <v>13366</v>
      </c>
      <c r="D16" t="str">
        <f>"0739-1854"</f>
        <v>0739-1854</v>
      </c>
      <c r="E16" t="s">
        <v>8</v>
      </c>
      <c r="F16" t="s">
        <v>24</v>
      </c>
      <c r="G16">
        <v>2</v>
      </c>
    </row>
    <row r="17" spans="1:7" x14ac:dyDescent="0.25">
      <c r="A17">
        <v>1</v>
      </c>
      <c r="B17" t="s">
        <v>7</v>
      </c>
      <c r="C17">
        <v>15403</v>
      </c>
      <c r="D17" t="str">
        <f>"0018-2168"</f>
        <v>0018-2168</v>
      </c>
      <c r="E17" t="s">
        <v>8</v>
      </c>
      <c r="F17" t="s">
        <v>25</v>
      </c>
      <c r="G17">
        <v>2</v>
      </c>
    </row>
    <row r="18" spans="1:7" x14ac:dyDescent="0.25">
      <c r="A18">
        <v>1</v>
      </c>
      <c r="B18" t="s">
        <v>7</v>
      </c>
      <c r="C18">
        <v>3878</v>
      </c>
      <c r="D18" t="str">
        <f>"0018-2176"</f>
        <v>0018-2176</v>
      </c>
      <c r="E18" t="s">
        <v>8</v>
      </c>
      <c r="F18" t="s">
        <v>26</v>
      </c>
      <c r="G18">
        <v>2</v>
      </c>
    </row>
    <row r="19" spans="1:7" x14ac:dyDescent="0.25">
      <c r="A19">
        <v>1</v>
      </c>
      <c r="B19" t="s">
        <v>7</v>
      </c>
      <c r="C19">
        <v>313</v>
      </c>
      <c r="E19" t="s">
        <v>8</v>
      </c>
      <c r="F19" t="s">
        <v>27</v>
      </c>
      <c r="G19">
        <v>2</v>
      </c>
    </row>
    <row r="20" spans="1:7" x14ac:dyDescent="0.25">
      <c r="A20">
        <v>1</v>
      </c>
      <c r="B20" t="s">
        <v>7</v>
      </c>
      <c r="C20">
        <v>3221</v>
      </c>
      <c r="D20" t="str">
        <f>"0891-4486"</f>
        <v>0891-4486</v>
      </c>
      <c r="E20" t="s">
        <v>8</v>
      </c>
      <c r="F20" t="s">
        <v>28</v>
      </c>
      <c r="G20">
        <v>2</v>
      </c>
    </row>
    <row r="21" spans="1:7" x14ac:dyDescent="0.25">
      <c r="A21">
        <v>1</v>
      </c>
      <c r="B21" t="s">
        <v>7</v>
      </c>
      <c r="C21">
        <v>3476</v>
      </c>
      <c r="D21" t="str">
        <f>"1369-801X"</f>
        <v>1369-801X</v>
      </c>
      <c r="E21" t="s">
        <v>8</v>
      </c>
      <c r="F21" t="s">
        <v>29</v>
      </c>
      <c r="G21">
        <v>2</v>
      </c>
    </row>
    <row r="22" spans="1:7" x14ac:dyDescent="0.25">
      <c r="A22">
        <v>1</v>
      </c>
      <c r="B22" t="s">
        <v>7</v>
      </c>
      <c r="C22">
        <v>6214</v>
      </c>
      <c r="D22" t="str">
        <f>"0075-1634"</f>
        <v>0075-1634</v>
      </c>
      <c r="E22" t="s">
        <v>8</v>
      </c>
      <c r="F22" t="s">
        <v>30</v>
      </c>
      <c r="G22">
        <v>2</v>
      </c>
    </row>
    <row r="23" spans="1:7" x14ac:dyDescent="0.25">
      <c r="A23">
        <v>1</v>
      </c>
      <c r="B23" t="s">
        <v>7</v>
      </c>
      <c r="C23">
        <v>3721</v>
      </c>
      <c r="D23" t="str">
        <f>"1616-6485"</f>
        <v>1616-6485</v>
      </c>
      <c r="E23" t="s">
        <v>8</v>
      </c>
      <c r="F23" t="s">
        <v>31</v>
      </c>
      <c r="G23">
        <v>2</v>
      </c>
    </row>
    <row r="24" spans="1:7" x14ac:dyDescent="0.25">
      <c r="A24">
        <v>1</v>
      </c>
      <c r="B24" t="s">
        <v>7</v>
      </c>
      <c r="C24">
        <v>13765</v>
      </c>
      <c r="D24" t="str">
        <f>"0278-5927"</f>
        <v>0278-5927</v>
      </c>
      <c r="E24" t="s">
        <v>8</v>
      </c>
      <c r="F24" t="s">
        <v>32</v>
      </c>
      <c r="G24">
        <v>2</v>
      </c>
    </row>
    <row r="25" spans="1:7" x14ac:dyDescent="0.25">
      <c r="A25">
        <v>1</v>
      </c>
      <c r="B25" t="s">
        <v>7</v>
      </c>
      <c r="C25">
        <v>5247</v>
      </c>
      <c r="D25" t="str">
        <f>"0021-9371"</f>
        <v>0021-9371</v>
      </c>
      <c r="E25" t="s">
        <v>8</v>
      </c>
      <c r="F25" t="s">
        <v>33</v>
      </c>
      <c r="G25">
        <v>2</v>
      </c>
    </row>
    <row r="26" spans="1:7" x14ac:dyDescent="0.25">
      <c r="A26">
        <v>1</v>
      </c>
      <c r="B26" t="s">
        <v>7</v>
      </c>
      <c r="C26">
        <v>5138</v>
      </c>
      <c r="D26" t="str">
        <f>"0021-9495"</f>
        <v>0021-9495</v>
      </c>
      <c r="E26" t="s">
        <v>8</v>
      </c>
      <c r="F26" t="s">
        <v>34</v>
      </c>
      <c r="G26">
        <v>2</v>
      </c>
    </row>
    <row r="27" spans="1:7" x14ac:dyDescent="0.25">
      <c r="A27">
        <v>1</v>
      </c>
      <c r="B27" t="s">
        <v>7</v>
      </c>
      <c r="C27">
        <v>4759</v>
      </c>
      <c r="D27" t="str">
        <f>"1478-2804"</f>
        <v>1478-2804</v>
      </c>
      <c r="E27" t="s">
        <v>8</v>
      </c>
      <c r="F27" t="s">
        <v>35</v>
      </c>
      <c r="G27">
        <v>2</v>
      </c>
    </row>
    <row r="28" spans="1:7" x14ac:dyDescent="0.25">
      <c r="A28">
        <v>1</v>
      </c>
      <c r="B28" t="s">
        <v>7</v>
      </c>
      <c r="C28">
        <v>16533</v>
      </c>
      <c r="D28" t="str">
        <f>"1569-2159"</f>
        <v>1569-2159</v>
      </c>
      <c r="E28" t="s">
        <v>8</v>
      </c>
      <c r="F28" t="s">
        <v>36</v>
      </c>
      <c r="G28">
        <v>2</v>
      </c>
    </row>
    <row r="29" spans="1:7" x14ac:dyDescent="0.25">
      <c r="A29">
        <v>1</v>
      </c>
      <c r="B29" t="s">
        <v>7</v>
      </c>
      <c r="C29">
        <v>10619</v>
      </c>
      <c r="D29" t="str">
        <f>"0022-216X"</f>
        <v>0022-216X</v>
      </c>
      <c r="E29" t="s">
        <v>8</v>
      </c>
      <c r="F29" t="s">
        <v>37</v>
      </c>
      <c r="G29">
        <v>2</v>
      </c>
    </row>
    <row r="30" spans="1:7" x14ac:dyDescent="0.25">
      <c r="A30">
        <v>1</v>
      </c>
      <c r="B30" t="s">
        <v>7</v>
      </c>
      <c r="C30">
        <v>9398</v>
      </c>
      <c r="D30" t="str">
        <f>"1611-8944"</f>
        <v>1611-8944</v>
      </c>
      <c r="E30" t="s">
        <v>8</v>
      </c>
      <c r="F30" t="s">
        <v>38</v>
      </c>
      <c r="G30">
        <v>2</v>
      </c>
    </row>
    <row r="31" spans="1:7" x14ac:dyDescent="0.25">
      <c r="A31">
        <v>1</v>
      </c>
      <c r="B31" t="s">
        <v>7</v>
      </c>
      <c r="C31">
        <v>1685</v>
      </c>
      <c r="D31" t="str">
        <f>"1354-571X"</f>
        <v>1354-571X</v>
      </c>
      <c r="E31" t="s">
        <v>8</v>
      </c>
      <c r="F31" t="s">
        <v>39</v>
      </c>
      <c r="G31">
        <v>2</v>
      </c>
    </row>
    <row r="32" spans="1:7" x14ac:dyDescent="0.25">
      <c r="A32">
        <v>1</v>
      </c>
      <c r="B32" t="s">
        <v>7</v>
      </c>
      <c r="C32">
        <v>13135</v>
      </c>
      <c r="D32" t="str">
        <f>"1744-9855"</f>
        <v>1744-9855</v>
      </c>
      <c r="E32" t="s">
        <v>8</v>
      </c>
      <c r="F32" t="s">
        <v>40</v>
      </c>
      <c r="G32">
        <v>2</v>
      </c>
    </row>
    <row r="33" spans="1:7" x14ac:dyDescent="0.25">
      <c r="A33">
        <v>1</v>
      </c>
      <c r="B33" t="s">
        <v>7</v>
      </c>
      <c r="C33">
        <v>27476</v>
      </c>
      <c r="D33" t="str">
        <f>"1537-7814"</f>
        <v>1537-7814</v>
      </c>
      <c r="E33" t="s">
        <v>8</v>
      </c>
      <c r="F33" t="s">
        <v>41</v>
      </c>
      <c r="G33">
        <v>2</v>
      </c>
    </row>
    <row r="34" spans="1:7" x14ac:dyDescent="0.25">
      <c r="A34">
        <v>1</v>
      </c>
      <c r="B34" t="s">
        <v>7</v>
      </c>
      <c r="C34">
        <v>24245</v>
      </c>
      <c r="D34" t="str">
        <f>"1479-4012"</f>
        <v>1479-4012</v>
      </c>
      <c r="E34" t="s">
        <v>8</v>
      </c>
      <c r="F34" t="s">
        <v>42</v>
      </c>
      <c r="G34">
        <v>2</v>
      </c>
    </row>
    <row r="35" spans="1:7" x14ac:dyDescent="0.25">
      <c r="A35">
        <v>1</v>
      </c>
      <c r="B35" t="s">
        <v>7</v>
      </c>
      <c r="C35">
        <v>7723</v>
      </c>
      <c r="D35" t="str">
        <f>"0031-4773"</f>
        <v>0031-4773</v>
      </c>
      <c r="E35" t="s">
        <v>8</v>
      </c>
      <c r="F35" t="s">
        <v>43</v>
      </c>
      <c r="G35">
        <v>2</v>
      </c>
    </row>
    <row r="36" spans="1:7" x14ac:dyDescent="0.25">
      <c r="A36">
        <v>1</v>
      </c>
      <c r="B36" t="s">
        <v>7</v>
      </c>
      <c r="C36">
        <v>9252</v>
      </c>
      <c r="D36" t="str">
        <f>"1531-426X"</f>
        <v>1531-426X</v>
      </c>
      <c r="E36" t="s">
        <v>8</v>
      </c>
      <c r="F36" t="s">
        <v>44</v>
      </c>
      <c r="G36">
        <v>2</v>
      </c>
    </row>
    <row r="37" spans="1:7" x14ac:dyDescent="0.25">
      <c r="A37">
        <v>1</v>
      </c>
      <c r="B37" t="s">
        <v>7</v>
      </c>
      <c r="C37">
        <v>24515</v>
      </c>
      <c r="D37" t="str">
        <f>"0246-2346"</f>
        <v>0246-2346</v>
      </c>
      <c r="E37" t="s">
        <v>8</v>
      </c>
      <c r="F37" t="s">
        <v>45</v>
      </c>
      <c r="G37">
        <v>2</v>
      </c>
    </row>
    <row r="38" spans="1:7" x14ac:dyDescent="0.25">
      <c r="A38">
        <v>1</v>
      </c>
      <c r="B38" t="s">
        <v>7</v>
      </c>
      <c r="C38">
        <v>15926</v>
      </c>
      <c r="D38" t="str">
        <f>"0963-9489"</f>
        <v>0963-9489</v>
      </c>
      <c r="E38" t="s">
        <v>8</v>
      </c>
      <c r="F38" t="s">
        <v>46</v>
      </c>
      <c r="G38">
        <v>2</v>
      </c>
    </row>
    <row r="39" spans="1:7" x14ac:dyDescent="0.25">
      <c r="A39">
        <v>1</v>
      </c>
      <c r="B39" t="s">
        <v>7</v>
      </c>
      <c r="C39">
        <v>25171</v>
      </c>
      <c r="D39" t="str">
        <f>"0251-3552"</f>
        <v>0251-3552</v>
      </c>
      <c r="E39" t="s">
        <v>8</v>
      </c>
      <c r="F39" t="s">
        <v>47</v>
      </c>
      <c r="G39">
        <v>2</v>
      </c>
    </row>
    <row r="40" spans="1:7" x14ac:dyDescent="0.25">
      <c r="A40">
        <v>1</v>
      </c>
      <c r="B40" t="s">
        <v>7</v>
      </c>
      <c r="C40">
        <v>2653</v>
      </c>
      <c r="D40" t="str">
        <f>"0102-0188"</f>
        <v>0102-0188</v>
      </c>
      <c r="E40" t="s">
        <v>8</v>
      </c>
      <c r="F40" t="s">
        <v>48</v>
      </c>
      <c r="G40">
        <v>2</v>
      </c>
    </row>
    <row r="41" spans="1:7" x14ac:dyDescent="0.25">
      <c r="A41">
        <v>1</v>
      </c>
      <c r="B41" t="s">
        <v>7</v>
      </c>
      <c r="C41">
        <v>6574</v>
      </c>
      <c r="D41" t="str">
        <f>"0034-818X"</f>
        <v>0034-818X</v>
      </c>
      <c r="E41" t="s">
        <v>8</v>
      </c>
      <c r="F41" t="s">
        <v>49</v>
      </c>
      <c r="G41">
        <v>2</v>
      </c>
    </row>
    <row r="42" spans="1:7" x14ac:dyDescent="0.25">
      <c r="A42">
        <v>1</v>
      </c>
      <c r="B42" t="s">
        <v>7</v>
      </c>
      <c r="C42">
        <v>5508</v>
      </c>
      <c r="D42" t="str">
        <f>"0210-9174"</f>
        <v>0210-9174</v>
      </c>
      <c r="E42" t="s">
        <v>8</v>
      </c>
      <c r="F42" t="s">
        <v>50</v>
      </c>
      <c r="G42">
        <v>2</v>
      </c>
    </row>
    <row r="43" spans="1:7" x14ac:dyDescent="0.25">
      <c r="A43">
        <v>1</v>
      </c>
      <c r="B43" t="s">
        <v>7</v>
      </c>
      <c r="C43">
        <v>5044</v>
      </c>
      <c r="D43" t="str">
        <f>"0034-8635"</f>
        <v>0034-8635</v>
      </c>
      <c r="E43" t="s">
        <v>8</v>
      </c>
      <c r="F43" t="s">
        <v>51</v>
      </c>
      <c r="G43">
        <v>2</v>
      </c>
    </row>
    <row r="44" spans="1:7" x14ac:dyDescent="0.25">
      <c r="A44">
        <v>1</v>
      </c>
      <c r="B44" t="s">
        <v>7</v>
      </c>
      <c r="C44">
        <v>7337</v>
      </c>
      <c r="D44" t="str">
        <f>"1350-4630"</f>
        <v>1350-4630</v>
      </c>
      <c r="E44" t="s">
        <v>8</v>
      </c>
      <c r="F44" t="s">
        <v>52</v>
      </c>
      <c r="G44">
        <v>2</v>
      </c>
    </row>
    <row r="45" spans="1:7" x14ac:dyDescent="0.25">
      <c r="A45">
        <v>1</v>
      </c>
      <c r="B45" t="s">
        <v>7</v>
      </c>
      <c r="C45">
        <v>8385</v>
      </c>
      <c r="D45" t="str">
        <f>"0038-2876"</f>
        <v>0038-2876</v>
      </c>
      <c r="E45" t="s">
        <v>8</v>
      </c>
      <c r="F45" t="s">
        <v>53</v>
      </c>
      <c r="G45">
        <v>2</v>
      </c>
    </row>
    <row r="46" spans="1:7" x14ac:dyDescent="0.25">
      <c r="A46">
        <v>1</v>
      </c>
      <c r="B46" t="s">
        <v>7</v>
      </c>
      <c r="C46">
        <v>4316</v>
      </c>
      <c r="D46" t="str">
        <f>"1547-1217"</f>
        <v>1547-1217</v>
      </c>
      <c r="E46" t="s">
        <v>15</v>
      </c>
      <c r="F46" t="s">
        <v>54</v>
      </c>
      <c r="G46">
        <v>2</v>
      </c>
    </row>
    <row r="47" spans="1:7" x14ac:dyDescent="0.25">
      <c r="A47">
        <v>1</v>
      </c>
      <c r="B47" t="s">
        <v>7</v>
      </c>
      <c r="C47">
        <v>5839</v>
      </c>
      <c r="D47" t="str">
        <f>"1570-0542"</f>
        <v>1570-0542</v>
      </c>
      <c r="E47" t="s">
        <v>15</v>
      </c>
      <c r="F47" t="s">
        <v>55</v>
      </c>
      <c r="G47">
        <v>2</v>
      </c>
    </row>
    <row r="48" spans="1:7" x14ac:dyDescent="0.25">
      <c r="A48">
        <v>1</v>
      </c>
      <c r="B48" t="s">
        <v>7</v>
      </c>
      <c r="C48">
        <v>16806</v>
      </c>
      <c r="D48" t="str">
        <f>"0022-3344"</f>
        <v>0022-3344</v>
      </c>
      <c r="E48" t="s">
        <v>8</v>
      </c>
      <c r="F48" t="s">
        <v>56</v>
      </c>
      <c r="G48">
        <v>2</v>
      </c>
    </row>
    <row r="49" spans="1:7" x14ac:dyDescent="0.25">
      <c r="A49">
        <v>1</v>
      </c>
      <c r="B49" t="s">
        <v>7</v>
      </c>
      <c r="C49">
        <v>17878</v>
      </c>
      <c r="D49" t="str">
        <f>"0044-0124"</f>
        <v>0044-0124</v>
      </c>
      <c r="E49" t="s">
        <v>8</v>
      </c>
      <c r="F49" t="s">
        <v>57</v>
      </c>
      <c r="G49">
        <v>2</v>
      </c>
    </row>
    <row r="50" spans="1:7" x14ac:dyDescent="0.25">
      <c r="A50">
        <v>1</v>
      </c>
      <c r="B50" t="s">
        <v>7</v>
      </c>
      <c r="C50">
        <v>5695</v>
      </c>
      <c r="D50" t="str">
        <f>"2572-6633"</f>
        <v>2572-6633</v>
      </c>
      <c r="E50" t="s">
        <v>8</v>
      </c>
      <c r="F50" t="s">
        <v>58</v>
      </c>
      <c r="G50">
        <v>2</v>
      </c>
    </row>
    <row r="51" spans="1:7" x14ac:dyDescent="0.25">
      <c r="A51">
        <v>1</v>
      </c>
      <c r="B51" t="s">
        <v>7</v>
      </c>
      <c r="C51">
        <v>40</v>
      </c>
      <c r="D51" t="str">
        <f>"1468-3849"</f>
        <v>1468-3849</v>
      </c>
      <c r="E51" t="s">
        <v>8</v>
      </c>
      <c r="F51" t="s">
        <v>59</v>
      </c>
      <c r="G51">
        <v>2</v>
      </c>
    </row>
    <row r="52" spans="1:7" x14ac:dyDescent="0.25">
      <c r="A52">
        <v>1</v>
      </c>
      <c r="B52" t="s">
        <v>7</v>
      </c>
      <c r="C52">
        <v>7255</v>
      </c>
      <c r="D52" t="str">
        <f>"0043-5597"</f>
        <v>0043-5597</v>
      </c>
      <c r="E52" t="s">
        <v>8</v>
      </c>
      <c r="F52" t="s">
        <v>60</v>
      </c>
      <c r="G52">
        <v>2</v>
      </c>
    </row>
    <row r="53" spans="1:7" x14ac:dyDescent="0.25">
      <c r="A53">
        <v>1</v>
      </c>
      <c r="B53" t="s">
        <v>7</v>
      </c>
      <c r="C53">
        <v>154</v>
      </c>
      <c r="D53" t="str">
        <f>"1062-4783"</f>
        <v>1062-4783</v>
      </c>
      <c r="E53" t="s">
        <v>8</v>
      </c>
      <c r="F53" t="s">
        <v>61</v>
      </c>
      <c r="G53">
        <v>1</v>
      </c>
    </row>
    <row r="54" spans="1:7" x14ac:dyDescent="0.25">
      <c r="A54">
        <v>1</v>
      </c>
      <c r="B54" t="s">
        <v>7</v>
      </c>
      <c r="C54">
        <v>7369</v>
      </c>
      <c r="D54" t="str">
        <f>"0185-1179"</f>
        <v>0185-1179</v>
      </c>
      <c r="E54" t="s">
        <v>8</v>
      </c>
      <c r="F54" t="s">
        <v>62</v>
      </c>
      <c r="G54">
        <v>1</v>
      </c>
    </row>
    <row r="55" spans="1:7" x14ac:dyDescent="0.25">
      <c r="A55">
        <v>1</v>
      </c>
      <c r="B55" t="s">
        <v>7</v>
      </c>
      <c r="C55">
        <v>10791</v>
      </c>
      <c r="D55" t="str">
        <f>"1130-2887"</f>
        <v>1130-2887</v>
      </c>
      <c r="E55" t="s">
        <v>8</v>
      </c>
      <c r="F55" t="s">
        <v>63</v>
      </c>
      <c r="G55">
        <v>1</v>
      </c>
    </row>
    <row r="56" spans="1:7" x14ac:dyDescent="0.25">
      <c r="A56">
        <v>1</v>
      </c>
      <c r="B56" t="s">
        <v>7</v>
      </c>
      <c r="C56">
        <v>7182</v>
      </c>
      <c r="D56" t="str">
        <f>"0161-6463"</f>
        <v>0161-6463</v>
      </c>
      <c r="E56" t="s">
        <v>8</v>
      </c>
      <c r="F56" t="s">
        <v>64</v>
      </c>
      <c r="G56">
        <v>1</v>
      </c>
    </row>
    <row r="57" spans="1:7" x14ac:dyDescent="0.25">
      <c r="A57">
        <v>1</v>
      </c>
      <c r="B57" t="s">
        <v>7</v>
      </c>
      <c r="C57">
        <v>11632</v>
      </c>
      <c r="D57" t="str">
        <f>"0272-2011"</f>
        <v>0272-2011</v>
      </c>
      <c r="E57" t="s">
        <v>8</v>
      </c>
      <c r="F57" t="s">
        <v>65</v>
      </c>
      <c r="G57">
        <v>1</v>
      </c>
    </row>
    <row r="58" spans="1:7" x14ac:dyDescent="0.25">
      <c r="A58">
        <v>1</v>
      </c>
      <c r="B58" t="s">
        <v>7</v>
      </c>
      <c r="C58">
        <v>22458</v>
      </c>
      <c r="D58" t="str">
        <f>"0026-3079"</f>
        <v>0026-3079</v>
      </c>
      <c r="E58" t="s">
        <v>8</v>
      </c>
      <c r="F58" t="s">
        <v>66</v>
      </c>
      <c r="G58">
        <v>1</v>
      </c>
    </row>
    <row r="59" spans="1:7" x14ac:dyDescent="0.25">
      <c r="A59">
        <v>1</v>
      </c>
      <c r="B59" t="s">
        <v>7</v>
      </c>
      <c r="C59">
        <v>2540</v>
      </c>
      <c r="D59" t="str">
        <f>"0044-8060"</f>
        <v>0044-8060</v>
      </c>
      <c r="E59" t="s">
        <v>8</v>
      </c>
      <c r="F59" t="s">
        <v>67</v>
      </c>
      <c r="G59">
        <v>1</v>
      </c>
    </row>
    <row r="60" spans="1:7" x14ac:dyDescent="0.25">
      <c r="A60">
        <v>1</v>
      </c>
      <c r="B60" t="s">
        <v>7</v>
      </c>
      <c r="C60">
        <v>11476</v>
      </c>
      <c r="D60" t="str">
        <f>"0340-2827"</f>
        <v>0340-2827</v>
      </c>
      <c r="E60" t="s">
        <v>8</v>
      </c>
      <c r="F60" t="s">
        <v>68</v>
      </c>
      <c r="G60">
        <v>1</v>
      </c>
    </row>
    <row r="61" spans="1:7" x14ac:dyDescent="0.25">
      <c r="A61">
        <v>1</v>
      </c>
      <c r="B61" t="s">
        <v>7</v>
      </c>
      <c r="C61">
        <v>5315</v>
      </c>
      <c r="D61" t="str">
        <f>"0903-1723"</f>
        <v>0903-1723</v>
      </c>
      <c r="E61" t="s">
        <v>15</v>
      </c>
      <c r="F61" t="s">
        <v>69</v>
      </c>
      <c r="G61">
        <v>1</v>
      </c>
    </row>
    <row r="62" spans="1:7" x14ac:dyDescent="0.25">
      <c r="A62">
        <v>1</v>
      </c>
      <c r="B62" t="s">
        <v>7</v>
      </c>
      <c r="C62">
        <v>11187</v>
      </c>
      <c r="D62" t="str">
        <f>"0741-7527"</f>
        <v>0741-7527</v>
      </c>
      <c r="E62" t="s">
        <v>15</v>
      </c>
      <c r="F62" t="s">
        <v>70</v>
      </c>
      <c r="G62">
        <v>1</v>
      </c>
    </row>
    <row r="63" spans="1:7" x14ac:dyDescent="0.25">
      <c r="A63">
        <v>1</v>
      </c>
      <c r="B63" t="s">
        <v>7</v>
      </c>
      <c r="C63">
        <v>19060</v>
      </c>
      <c r="D63" t="str">
        <f>"2153-957X"</f>
        <v>2153-957X</v>
      </c>
      <c r="E63" t="s">
        <v>15</v>
      </c>
      <c r="F63" t="s">
        <v>71</v>
      </c>
      <c r="G63">
        <v>1</v>
      </c>
    </row>
    <row r="64" spans="1:7" x14ac:dyDescent="0.25">
      <c r="A64">
        <v>1</v>
      </c>
      <c r="B64" t="s">
        <v>7</v>
      </c>
      <c r="C64">
        <v>3613</v>
      </c>
      <c r="D64" t="str">
        <f>"0069-5580"</f>
        <v>0069-5580</v>
      </c>
      <c r="E64" t="s">
        <v>8</v>
      </c>
      <c r="F64" t="s">
        <v>72</v>
      </c>
      <c r="G64">
        <v>1</v>
      </c>
    </row>
    <row r="65" spans="1:7" x14ac:dyDescent="0.25">
      <c r="A65">
        <v>1</v>
      </c>
      <c r="B65" t="s">
        <v>7</v>
      </c>
      <c r="C65">
        <v>6754</v>
      </c>
      <c r="D65" t="str">
        <f>"0210-5810"</f>
        <v>0210-5810</v>
      </c>
      <c r="E65" t="s">
        <v>8</v>
      </c>
      <c r="F65" t="s">
        <v>73</v>
      </c>
      <c r="G65">
        <v>1</v>
      </c>
    </row>
    <row r="66" spans="1:7" x14ac:dyDescent="0.25">
      <c r="A66">
        <v>1</v>
      </c>
      <c r="B66" t="s">
        <v>7</v>
      </c>
      <c r="C66">
        <v>5704</v>
      </c>
      <c r="D66" t="str">
        <f>"0090-3779"</f>
        <v>0090-3779</v>
      </c>
      <c r="E66" t="s">
        <v>8</v>
      </c>
      <c r="F66" t="s">
        <v>74</v>
      </c>
      <c r="G66">
        <v>1</v>
      </c>
    </row>
    <row r="67" spans="1:7" x14ac:dyDescent="0.25">
      <c r="A67">
        <v>1</v>
      </c>
      <c r="B67" t="s">
        <v>7</v>
      </c>
      <c r="C67">
        <v>9367</v>
      </c>
      <c r="D67" t="str">
        <f>"0004-1610"</f>
        <v>0004-1610</v>
      </c>
      <c r="E67" t="s">
        <v>8</v>
      </c>
      <c r="F67" t="s">
        <v>75</v>
      </c>
      <c r="G67">
        <v>1</v>
      </c>
    </row>
    <row r="68" spans="1:7" x14ac:dyDescent="0.25">
      <c r="A68">
        <v>1</v>
      </c>
      <c r="B68" t="s">
        <v>7</v>
      </c>
      <c r="C68">
        <v>1035</v>
      </c>
      <c r="D68" t="str">
        <f>"0022-8745"</f>
        <v>0022-8745</v>
      </c>
      <c r="E68" t="s">
        <v>8</v>
      </c>
      <c r="F68" t="s">
        <v>76</v>
      </c>
      <c r="G68">
        <v>1</v>
      </c>
    </row>
    <row r="69" spans="1:7" x14ac:dyDescent="0.25">
      <c r="A69">
        <v>1</v>
      </c>
      <c r="B69" t="s">
        <v>7</v>
      </c>
      <c r="C69">
        <v>8750</v>
      </c>
      <c r="D69" t="str">
        <f>"1167-8437"</f>
        <v>1167-8437</v>
      </c>
      <c r="E69" t="s">
        <v>8</v>
      </c>
      <c r="F69" t="s">
        <v>77</v>
      </c>
      <c r="G69">
        <v>1</v>
      </c>
    </row>
    <row r="70" spans="1:7" x14ac:dyDescent="0.25">
      <c r="A70">
        <v>1</v>
      </c>
      <c r="B70" t="s">
        <v>7</v>
      </c>
      <c r="C70">
        <v>27349</v>
      </c>
      <c r="D70" t="str">
        <f>"0210-6124"</f>
        <v>0210-6124</v>
      </c>
      <c r="E70" t="s">
        <v>8</v>
      </c>
      <c r="F70" t="s">
        <v>78</v>
      </c>
      <c r="G70">
        <v>1</v>
      </c>
    </row>
    <row r="71" spans="1:7" x14ac:dyDescent="0.25">
      <c r="A71">
        <v>1</v>
      </c>
      <c r="B71" t="s">
        <v>7</v>
      </c>
      <c r="C71">
        <v>11239</v>
      </c>
      <c r="D71" t="str">
        <f>"1350-7532"</f>
        <v>1350-7532</v>
      </c>
      <c r="E71" t="s">
        <v>15</v>
      </c>
      <c r="F71" t="s">
        <v>79</v>
      </c>
      <c r="G71">
        <v>1</v>
      </c>
    </row>
    <row r="72" spans="1:7" x14ac:dyDescent="0.25">
      <c r="A72">
        <v>1</v>
      </c>
      <c r="B72" t="s">
        <v>7</v>
      </c>
      <c r="C72">
        <v>12782</v>
      </c>
      <c r="D72" t="str">
        <f>"1874-0081"</f>
        <v>1874-0081</v>
      </c>
      <c r="E72" t="s">
        <v>15</v>
      </c>
      <c r="F72" t="s">
        <v>80</v>
      </c>
      <c r="G72">
        <v>1</v>
      </c>
    </row>
    <row r="73" spans="1:7" x14ac:dyDescent="0.25">
      <c r="A73">
        <v>1</v>
      </c>
      <c r="B73" t="s">
        <v>7</v>
      </c>
      <c r="C73">
        <v>12304</v>
      </c>
      <c r="D73" t="str">
        <f>"1447-0810"</f>
        <v>1447-0810</v>
      </c>
      <c r="E73" t="s">
        <v>8</v>
      </c>
      <c r="F73" t="s">
        <v>81</v>
      </c>
      <c r="G73">
        <v>1</v>
      </c>
    </row>
    <row r="74" spans="1:7" x14ac:dyDescent="0.25">
      <c r="A74">
        <v>1</v>
      </c>
      <c r="B74" t="s">
        <v>7</v>
      </c>
      <c r="C74">
        <v>7711200</v>
      </c>
      <c r="D74" t="str">
        <f>"2257-0543"</f>
        <v>2257-0543</v>
      </c>
      <c r="E74" t="s">
        <v>8</v>
      </c>
      <c r="F74" t="s">
        <v>82</v>
      </c>
      <c r="G74">
        <v>1</v>
      </c>
    </row>
    <row r="75" spans="1:7" x14ac:dyDescent="0.25">
      <c r="A75">
        <v>1</v>
      </c>
      <c r="B75" t="s">
        <v>7</v>
      </c>
      <c r="C75">
        <v>23265</v>
      </c>
      <c r="D75" t="str">
        <f>"1474-8932"</f>
        <v>1474-8932</v>
      </c>
      <c r="E75" t="s">
        <v>8</v>
      </c>
      <c r="F75" t="s">
        <v>83</v>
      </c>
      <c r="G75">
        <v>1</v>
      </c>
    </row>
    <row r="76" spans="1:7" x14ac:dyDescent="0.25">
      <c r="A76">
        <v>1</v>
      </c>
      <c r="B76" t="s">
        <v>7</v>
      </c>
      <c r="C76">
        <v>11164</v>
      </c>
      <c r="D76" t="str">
        <f>"0007-4640"</f>
        <v>0007-4640</v>
      </c>
      <c r="E76" t="s">
        <v>8</v>
      </c>
      <c r="F76" t="s">
        <v>84</v>
      </c>
      <c r="G76">
        <v>1</v>
      </c>
    </row>
    <row r="77" spans="1:7" x14ac:dyDescent="0.25">
      <c r="A77">
        <v>1</v>
      </c>
      <c r="B77" t="s">
        <v>7</v>
      </c>
      <c r="C77">
        <v>8017</v>
      </c>
      <c r="D77" t="str">
        <f>"1475-3839"</f>
        <v>1475-3839</v>
      </c>
      <c r="E77" t="s">
        <v>8</v>
      </c>
      <c r="F77" t="s">
        <v>85</v>
      </c>
      <c r="G77">
        <v>1</v>
      </c>
    </row>
    <row r="78" spans="1:7" x14ac:dyDescent="0.25">
      <c r="A78">
        <v>1</v>
      </c>
      <c r="B78" t="s">
        <v>7</v>
      </c>
      <c r="C78">
        <v>7116</v>
      </c>
      <c r="D78" t="str">
        <f>"1475-3820"</f>
        <v>1475-3820</v>
      </c>
      <c r="E78" t="s">
        <v>8</v>
      </c>
      <c r="F78" t="s">
        <v>86</v>
      </c>
      <c r="G78">
        <v>1</v>
      </c>
    </row>
    <row r="79" spans="1:7" x14ac:dyDescent="0.25">
      <c r="A79">
        <v>1</v>
      </c>
      <c r="B79" t="s">
        <v>7</v>
      </c>
      <c r="C79">
        <v>18455</v>
      </c>
      <c r="D79" t="str">
        <f>"1141-7161"</f>
        <v>1141-7161</v>
      </c>
      <c r="E79" t="s">
        <v>15</v>
      </c>
      <c r="F79" t="s">
        <v>87</v>
      </c>
      <c r="G79">
        <v>1</v>
      </c>
    </row>
    <row r="80" spans="1:7" x14ac:dyDescent="0.25">
      <c r="A80">
        <v>1</v>
      </c>
      <c r="B80" t="s">
        <v>7</v>
      </c>
      <c r="C80">
        <v>122961</v>
      </c>
      <c r="D80" t="str">
        <f>"1531-6661"</f>
        <v>1531-6661</v>
      </c>
      <c r="E80" t="s">
        <v>8</v>
      </c>
      <c r="F80" t="s">
        <v>88</v>
      </c>
      <c r="G80">
        <v>1</v>
      </c>
    </row>
    <row r="81" spans="1:7" x14ac:dyDescent="0.25">
      <c r="A81">
        <v>1</v>
      </c>
      <c r="B81" t="s">
        <v>7</v>
      </c>
      <c r="C81">
        <v>13018</v>
      </c>
      <c r="D81" t="str">
        <f>"0161-2492"</f>
        <v>0161-2492</v>
      </c>
      <c r="E81" t="s">
        <v>8</v>
      </c>
      <c r="F81" t="s">
        <v>89</v>
      </c>
      <c r="G81">
        <v>1</v>
      </c>
    </row>
    <row r="82" spans="1:7" x14ac:dyDescent="0.25">
      <c r="A82">
        <v>1</v>
      </c>
      <c r="B82" t="s">
        <v>7</v>
      </c>
      <c r="C82">
        <v>27597</v>
      </c>
      <c r="D82" t="str">
        <f>"0826-3663"</f>
        <v>0826-3663</v>
      </c>
      <c r="E82" t="s">
        <v>8</v>
      </c>
      <c r="F82" t="s">
        <v>90</v>
      </c>
      <c r="G82">
        <v>1</v>
      </c>
    </row>
    <row r="83" spans="1:7" x14ac:dyDescent="0.25">
      <c r="A83">
        <v>1</v>
      </c>
      <c r="B83" t="s">
        <v>7</v>
      </c>
      <c r="C83">
        <v>16017</v>
      </c>
      <c r="D83" t="str">
        <f>"0007-7720"</f>
        <v>0007-7720</v>
      </c>
      <c r="E83" t="s">
        <v>8</v>
      </c>
      <c r="F83" t="s">
        <v>91</v>
      </c>
      <c r="G83">
        <v>1</v>
      </c>
    </row>
    <row r="84" spans="1:7" x14ac:dyDescent="0.25">
      <c r="A84">
        <v>1</v>
      </c>
      <c r="B84" t="s">
        <v>7</v>
      </c>
      <c r="C84">
        <v>24969</v>
      </c>
      <c r="D84" t="str">
        <f>"0008-6495"</f>
        <v>0008-6495</v>
      </c>
      <c r="E84" t="s">
        <v>15</v>
      </c>
      <c r="F84" t="s">
        <v>92</v>
      </c>
      <c r="G84">
        <v>1</v>
      </c>
    </row>
    <row r="85" spans="1:7" x14ac:dyDescent="0.25">
      <c r="A85">
        <v>1</v>
      </c>
      <c r="B85" t="s">
        <v>7</v>
      </c>
      <c r="C85">
        <v>23243</v>
      </c>
      <c r="D85" t="str">
        <f>"0008-6533"</f>
        <v>0008-6533</v>
      </c>
      <c r="E85" t="s">
        <v>8</v>
      </c>
      <c r="F85" t="s">
        <v>93</v>
      </c>
      <c r="G85">
        <v>1</v>
      </c>
    </row>
    <row r="86" spans="1:7" x14ac:dyDescent="0.25">
      <c r="A86">
        <v>1</v>
      </c>
      <c r="B86" t="s">
        <v>7</v>
      </c>
      <c r="C86">
        <v>11763</v>
      </c>
      <c r="D86" t="str">
        <f>"1572-6401"</f>
        <v>1572-6401</v>
      </c>
      <c r="E86" t="s">
        <v>15</v>
      </c>
      <c r="F86" t="s">
        <v>94</v>
      </c>
      <c r="G86">
        <v>1</v>
      </c>
    </row>
    <row r="87" spans="1:7" x14ac:dyDescent="0.25">
      <c r="A87">
        <v>1</v>
      </c>
      <c r="B87" t="s">
        <v>7</v>
      </c>
      <c r="C87">
        <v>96933</v>
      </c>
      <c r="D87" t="str">
        <f>"0009-6849"</f>
        <v>0009-6849</v>
      </c>
      <c r="E87" t="s">
        <v>8</v>
      </c>
      <c r="F87" t="s">
        <v>95</v>
      </c>
      <c r="G87">
        <v>1</v>
      </c>
    </row>
    <row r="88" spans="1:7" x14ac:dyDescent="0.25">
      <c r="A88">
        <v>1</v>
      </c>
      <c r="B88" t="s">
        <v>7</v>
      </c>
      <c r="C88">
        <v>5489</v>
      </c>
      <c r="D88" t="str">
        <f>"1060-9164"</f>
        <v>1060-9164</v>
      </c>
      <c r="E88" t="s">
        <v>8</v>
      </c>
      <c r="F88" t="s">
        <v>96</v>
      </c>
      <c r="G88">
        <v>1</v>
      </c>
    </row>
    <row r="89" spans="1:7" x14ac:dyDescent="0.25">
      <c r="A89">
        <v>1</v>
      </c>
      <c r="B89" t="s">
        <v>7</v>
      </c>
      <c r="C89">
        <v>6832</v>
      </c>
      <c r="D89" t="str">
        <f>"1477-5700"</f>
        <v>1477-5700</v>
      </c>
      <c r="E89" t="s">
        <v>8</v>
      </c>
      <c r="F89" t="s">
        <v>97</v>
      </c>
      <c r="G89">
        <v>1</v>
      </c>
    </row>
    <row r="90" spans="1:7" x14ac:dyDescent="0.25">
      <c r="A90">
        <v>1</v>
      </c>
      <c r="B90" t="s">
        <v>7</v>
      </c>
      <c r="C90">
        <v>117632</v>
      </c>
      <c r="D90" t="str">
        <f>"1729-6897"</f>
        <v>1729-6897</v>
      </c>
      <c r="E90" t="s">
        <v>8</v>
      </c>
      <c r="F90" t="s">
        <v>98</v>
      </c>
      <c r="G90">
        <v>1</v>
      </c>
    </row>
    <row r="91" spans="1:7" x14ac:dyDescent="0.25">
      <c r="A91">
        <v>1</v>
      </c>
      <c r="B91" t="s">
        <v>7</v>
      </c>
      <c r="C91">
        <v>17812</v>
      </c>
      <c r="D91" t="str">
        <f>"1740-9292"</f>
        <v>1740-9292</v>
      </c>
      <c r="E91" t="s">
        <v>8</v>
      </c>
      <c r="F91" t="s">
        <v>99</v>
      </c>
      <c r="G91">
        <v>1</v>
      </c>
    </row>
    <row r="92" spans="1:7" x14ac:dyDescent="0.25">
      <c r="A92">
        <v>1</v>
      </c>
      <c r="B92" t="s">
        <v>7</v>
      </c>
      <c r="C92">
        <v>7717296</v>
      </c>
      <c r="D92" t="str">
        <f>"2324-8823"</f>
        <v>2324-8823</v>
      </c>
      <c r="E92" t="s">
        <v>8</v>
      </c>
      <c r="F92" t="s">
        <v>100</v>
      </c>
      <c r="G92">
        <v>1</v>
      </c>
    </row>
    <row r="93" spans="1:7" x14ac:dyDescent="0.25">
      <c r="A93">
        <v>1</v>
      </c>
      <c r="B93" t="s">
        <v>7</v>
      </c>
      <c r="C93">
        <v>72617</v>
      </c>
      <c r="D93" t="str">
        <f>"1575-023X"</f>
        <v>1575-023X</v>
      </c>
      <c r="E93" t="s">
        <v>8</v>
      </c>
      <c r="F93" t="s">
        <v>101</v>
      </c>
      <c r="G93">
        <v>1</v>
      </c>
    </row>
    <row r="94" spans="1:7" x14ac:dyDescent="0.25">
      <c r="A94">
        <v>1</v>
      </c>
      <c r="B94" t="s">
        <v>7</v>
      </c>
      <c r="C94">
        <v>8316</v>
      </c>
      <c r="D94" t="str">
        <f>"1440-9917"</f>
        <v>1440-9917</v>
      </c>
      <c r="E94" t="s">
        <v>8</v>
      </c>
      <c r="F94" t="s">
        <v>102</v>
      </c>
      <c r="G94">
        <v>1</v>
      </c>
    </row>
    <row r="95" spans="1:7" x14ac:dyDescent="0.25">
      <c r="A95">
        <v>1</v>
      </c>
      <c r="B95" t="s">
        <v>7</v>
      </c>
      <c r="C95">
        <v>10123</v>
      </c>
      <c r="D95" t="str">
        <f>"0029-6775"</f>
        <v>0029-6775</v>
      </c>
      <c r="E95" t="s">
        <v>8</v>
      </c>
      <c r="F95" t="s">
        <v>103</v>
      </c>
      <c r="G95">
        <v>1</v>
      </c>
    </row>
    <row r="96" spans="1:7" x14ac:dyDescent="0.25">
      <c r="A96">
        <v>1</v>
      </c>
      <c r="B96" t="s">
        <v>7</v>
      </c>
      <c r="C96">
        <v>27197</v>
      </c>
      <c r="D96" t="str">
        <f>"1754-8500"</f>
        <v>1754-8500</v>
      </c>
      <c r="E96" t="s">
        <v>8</v>
      </c>
      <c r="F96" t="s">
        <v>104</v>
      </c>
      <c r="G96">
        <v>1</v>
      </c>
    </row>
    <row r="97" spans="1:7" x14ac:dyDescent="0.25">
      <c r="A97">
        <v>1</v>
      </c>
      <c r="B97" t="s">
        <v>7</v>
      </c>
      <c r="C97">
        <v>6331</v>
      </c>
      <c r="D97" t="str">
        <f>"0046-001X"</f>
        <v>0046-001X</v>
      </c>
      <c r="E97" t="s">
        <v>8</v>
      </c>
      <c r="F97" t="s">
        <v>105</v>
      </c>
      <c r="G97">
        <v>1</v>
      </c>
    </row>
    <row r="98" spans="1:7" x14ac:dyDescent="0.25">
      <c r="A98">
        <v>1</v>
      </c>
      <c r="B98" t="s">
        <v>7</v>
      </c>
      <c r="C98">
        <v>52331</v>
      </c>
      <c r="D98" t="str">
        <f>"1600-0110"</f>
        <v>1600-0110</v>
      </c>
      <c r="E98" t="s">
        <v>8</v>
      </c>
      <c r="F98" t="s">
        <v>106</v>
      </c>
      <c r="G98">
        <v>1</v>
      </c>
    </row>
    <row r="99" spans="1:7" x14ac:dyDescent="0.25">
      <c r="A99">
        <v>1</v>
      </c>
      <c r="B99" t="s">
        <v>7</v>
      </c>
      <c r="C99">
        <v>12476</v>
      </c>
      <c r="D99" t="str">
        <f>"1872-8863"</f>
        <v>1872-8863</v>
      </c>
      <c r="E99" t="s">
        <v>15</v>
      </c>
      <c r="F99" t="s">
        <v>107</v>
      </c>
      <c r="G99">
        <v>1</v>
      </c>
    </row>
    <row r="100" spans="1:7" x14ac:dyDescent="0.25">
      <c r="A100">
        <v>1</v>
      </c>
      <c r="B100" t="s">
        <v>7</v>
      </c>
      <c r="C100">
        <v>1673</v>
      </c>
      <c r="D100" t="str">
        <f>"1742-058X"</f>
        <v>1742-058X</v>
      </c>
      <c r="E100" t="s">
        <v>8</v>
      </c>
      <c r="F100" t="s">
        <v>108</v>
      </c>
      <c r="G100">
        <v>1</v>
      </c>
    </row>
    <row r="101" spans="1:7" x14ac:dyDescent="0.25">
      <c r="A101">
        <v>1</v>
      </c>
      <c r="B101" t="s">
        <v>7</v>
      </c>
      <c r="C101">
        <v>3478</v>
      </c>
      <c r="D101" t="str">
        <f>"1543-4273"</f>
        <v>1543-4273</v>
      </c>
      <c r="E101" t="s">
        <v>8</v>
      </c>
      <c r="F101" t="s">
        <v>109</v>
      </c>
      <c r="G101">
        <v>1</v>
      </c>
    </row>
    <row r="102" spans="1:7" x14ac:dyDescent="0.25">
      <c r="A102">
        <v>1</v>
      </c>
      <c r="B102" t="s">
        <v>7</v>
      </c>
      <c r="C102">
        <v>1186</v>
      </c>
      <c r="D102" t="str">
        <f>"2159-9165"</f>
        <v>2159-9165</v>
      </c>
      <c r="E102" t="s">
        <v>8</v>
      </c>
      <c r="F102" t="s">
        <v>110</v>
      </c>
      <c r="G102">
        <v>1</v>
      </c>
    </row>
    <row r="103" spans="1:7" x14ac:dyDescent="0.25">
      <c r="A103">
        <v>1</v>
      </c>
      <c r="B103" t="s">
        <v>7</v>
      </c>
      <c r="C103">
        <v>13760</v>
      </c>
      <c r="D103" t="str">
        <f>"0013-2608"</f>
        <v>0013-2608</v>
      </c>
      <c r="E103" t="s">
        <v>8</v>
      </c>
      <c r="F103" t="s">
        <v>111</v>
      </c>
      <c r="G103">
        <v>1</v>
      </c>
    </row>
    <row r="104" spans="1:7" x14ac:dyDescent="0.25">
      <c r="A104">
        <v>1</v>
      </c>
      <c r="B104" t="s">
        <v>7</v>
      </c>
      <c r="C104">
        <v>52388</v>
      </c>
      <c r="E104" t="s">
        <v>8</v>
      </c>
      <c r="F104" t="s">
        <v>112</v>
      </c>
      <c r="G104">
        <v>1</v>
      </c>
    </row>
    <row r="105" spans="1:7" x14ac:dyDescent="0.25">
      <c r="A105">
        <v>1</v>
      </c>
      <c r="B105" t="s">
        <v>7</v>
      </c>
      <c r="C105">
        <v>31846</v>
      </c>
      <c r="E105" t="s">
        <v>8</v>
      </c>
      <c r="F105" t="s">
        <v>113</v>
      </c>
      <c r="G105">
        <v>1</v>
      </c>
    </row>
    <row r="106" spans="1:7" x14ac:dyDescent="0.25">
      <c r="A106">
        <v>1</v>
      </c>
      <c r="B106" t="s">
        <v>7</v>
      </c>
      <c r="C106">
        <v>4212</v>
      </c>
      <c r="D106" t="str">
        <f>"0185-2574"</f>
        <v>0185-2574</v>
      </c>
      <c r="E106" t="s">
        <v>8</v>
      </c>
      <c r="F106" t="s">
        <v>114</v>
      </c>
      <c r="G106">
        <v>1</v>
      </c>
    </row>
    <row r="107" spans="1:7" x14ac:dyDescent="0.25">
      <c r="A107">
        <v>1</v>
      </c>
      <c r="B107" t="s">
        <v>7</v>
      </c>
      <c r="C107">
        <v>16059</v>
      </c>
      <c r="D107" t="str">
        <f>"0071-1675"</f>
        <v>0071-1675</v>
      </c>
      <c r="E107" t="s">
        <v>8</v>
      </c>
      <c r="F107" t="s">
        <v>115</v>
      </c>
      <c r="G107">
        <v>1</v>
      </c>
    </row>
    <row r="108" spans="1:7" x14ac:dyDescent="0.25">
      <c r="A108">
        <v>1</v>
      </c>
      <c r="B108" t="s">
        <v>7</v>
      </c>
      <c r="C108">
        <v>89760</v>
      </c>
      <c r="D108" t="str">
        <f>"0185-2620"</f>
        <v>0185-2620</v>
      </c>
      <c r="E108" t="s">
        <v>8</v>
      </c>
      <c r="F108" t="s">
        <v>116</v>
      </c>
      <c r="G108">
        <v>1</v>
      </c>
    </row>
    <row r="109" spans="1:7" x14ac:dyDescent="0.25">
      <c r="A109">
        <v>1</v>
      </c>
      <c r="B109" t="s">
        <v>7</v>
      </c>
      <c r="C109">
        <v>27255</v>
      </c>
      <c r="D109" t="str">
        <f>"0792-7061"</f>
        <v>0792-7061</v>
      </c>
      <c r="E109" t="s">
        <v>8</v>
      </c>
      <c r="F109" t="s">
        <v>117</v>
      </c>
      <c r="G109">
        <v>1</v>
      </c>
    </row>
    <row r="110" spans="1:7" x14ac:dyDescent="0.25">
      <c r="A110">
        <v>1</v>
      </c>
      <c r="B110" t="s">
        <v>7</v>
      </c>
      <c r="C110">
        <v>11306</v>
      </c>
      <c r="D110" t="str">
        <f>"0373-1928"</f>
        <v>0373-1928</v>
      </c>
      <c r="E110" t="s">
        <v>15</v>
      </c>
      <c r="F110" t="s">
        <v>118</v>
      </c>
      <c r="G110">
        <v>1</v>
      </c>
    </row>
    <row r="111" spans="1:7" x14ac:dyDescent="0.25">
      <c r="A111">
        <v>1</v>
      </c>
      <c r="B111" t="s">
        <v>7</v>
      </c>
      <c r="C111">
        <v>4993</v>
      </c>
      <c r="D111" t="str">
        <f>"0014-2085"</f>
        <v>0014-2085</v>
      </c>
      <c r="E111" t="s">
        <v>8</v>
      </c>
      <c r="F111" t="s">
        <v>119</v>
      </c>
      <c r="G111">
        <v>1</v>
      </c>
    </row>
    <row r="112" spans="1:7" x14ac:dyDescent="0.25">
      <c r="A112">
        <v>1</v>
      </c>
      <c r="B112" t="s">
        <v>7</v>
      </c>
      <c r="C112">
        <v>23196</v>
      </c>
      <c r="D112" t="str">
        <f>"1466-0407"</f>
        <v>1466-0407</v>
      </c>
      <c r="E112" t="s">
        <v>8</v>
      </c>
      <c r="F112" t="s">
        <v>120</v>
      </c>
      <c r="G112">
        <v>1</v>
      </c>
    </row>
    <row r="113" spans="1:7" x14ac:dyDescent="0.25">
      <c r="A113">
        <v>1</v>
      </c>
      <c r="B113" t="s">
        <v>7</v>
      </c>
      <c r="C113">
        <v>14780</v>
      </c>
      <c r="E113" t="s">
        <v>8</v>
      </c>
      <c r="F113" t="s">
        <v>121</v>
      </c>
      <c r="G113">
        <v>1</v>
      </c>
    </row>
    <row r="114" spans="1:7" x14ac:dyDescent="0.25">
      <c r="A114">
        <v>1</v>
      </c>
      <c r="B114" t="s">
        <v>7</v>
      </c>
      <c r="C114">
        <v>8781961</v>
      </c>
      <c r="D114" t="str">
        <f>"2374-5118"</f>
        <v>2374-5118</v>
      </c>
      <c r="E114" t="s">
        <v>8</v>
      </c>
      <c r="F114" t="s">
        <v>122</v>
      </c>
      <c r="G114">
        <v>1</v>
      </c>
    </row>
    <row r="115" spans="1:7" x14ac:dyDescent="0.25">
      <c r="A115">
        <v>1</v>
      </c>
      <c r="B115" t="s">
        <v>7</v>
      </c>
      <c r="C115">
        <v>13633</v>
      </c>
      <c r="D115" t="str">
        <f>"1568-1858"</f>
        <v>1568-1858</v>
      </c>
      <c r="E115" t="s">
        <v>15</v>
      </c>
      <c r="F115" t="s">
        <v>123</v>
      </c>
      <c r="G115">
        <v>1</v>
      </c>
    </row>
    <row r="116" spans="1:7" x14ac:dyDescent="0.25">
      <c r="A116">
        <v>1</v>
      </c>
      <c r="B116" t="s">
        <v>7</v>
      </c>
      <c r="C116">
        <v>11651</v>
      </c>
      <c r="D116" t="str">
        <f>"0142-7237"</f>
        <v>0142-7237</v>
      </c>
      <c r="E116" t="s">
        <v>8</v>
      </c>
      <c r="F116" t="s">
        <v>124</v>
      </c>
      <c r="G116">
        <v>1</v>
      </c>
    </row>
    <row r="117" spans="1:7" x14ac:dyDescent="0.25">
      <c r="A117">
        <v>1</v>
      </c>
      <c r="B117" t="s">
        <v>7</v>
      </c>
      <c r="C117">
        <v>4266</v>
      </c>
      <c r="D117" t="str">
        <f>"0925-8620"</f>
        <v>0925-8620</v>
      </c>
      <c r="E117" t="s">
        <v>15</v>
      </c>
      <c r="F117" t="s">
        <v>125</v>
      </c>
      <c r="G117">
        <v>1</v>
      </c>
    </row>
    <row r="118" spans="1:7" x14ac:dyDescent="0.25">
      <c r="A118">
        <v>1</v>
      </c>
      <c r="B118" t="s">
        <v>7</v>
      </c>
      <c r="C118">
        <v>14045</v>
      </c>
      <c r="D118" t="str">
        <f>"0014-5858"</f>
        <v>0014-5858</v>
      </c>
      <c r="E118" t="s">
        <v>8</v>
      </c>
      <c r="F118" t="s">
        <v>126</v>
      </c>
      <c r="G118">
        <v>1</v>
      </c>
    </row>
    <row r="119" spans="1:7" x14ac:dyDescent="0.25">
      <c r="A119">
        <v>1</v>
      </c>
      <c r="B119" t="s">
        <v>7</v>
      </c>
      <c r="C119">
        <v>15979</v>
      </c>
      <c r="D119" t="str">
        <f>"0098-9355"</f>
        <v>0098-9355</v>
      </c>
      <c r="E119" t="s">
        <v>8</v>
      </c>
      <c r="F119" t="s">
        <v>127</v>
      </c>
      <c r="G119">
        <v>1</v>
      </c>
    </row>
    <row r="120" spans="1:7" x14ac:dyDescent="0.25">
      <c r="A120">
        <v>1</v>
      </c>
      <c r="B120" t="s">
        <v>7</v>
      </c>
      <c r="C120">
        <v>16732</v>
      </c>
      <c r="D120" t="str">
        <f>"0149-7952"</f>
        <v>0149-7952</v>
      </c>
      <c r="E120" t="s">
        <v>8</v>
      </c>
      <c r="F120" t="s">
        <v>128</v>
      </c>
      <c r="G120">
        <v>1</v>
      </c>
    </row>
    <row r="121" spans="1:7" x14ac:dyDescent="0.25">
      <c r="A121">
        <v>1</v>
      </c>
      <c r="B121" t="s">
        <v>7</v>
      </c>
      <c r="C121">
        <v>3288</v>
      </c>
      <c r="D121" t="str">
        <f>"0016-9056"</f>
        <v>0016-9056</v>
      </c>
      <c r="E121" t="s">
        <v>8</v>
      </c>
      <c r="F121" t="s">
        <v>129</v>
      </c>
      <c r="G121">
        <v>1</v>
      </c>
    </row>
    <row r="122" spans="1:7" x14ac:dyDescent="0.25">
      <c r="A122">
        <v>1</v>
      </c>
      <c r="B122" t="s">
        <v>7</v>
      </c>
      <c r="C122">
        <v>10309</v>
      </c>
      <c r="D122" t="str">
        <f>"0363-0471"</f>
        <v>0363-0471</v>
      </c>
      <c r="E122" t="s">
        <v>8</v>
      </c>
      <c r="F122" t="s">
        <v>130</v>
      </c>
      <c r="G122">
        <v>1</v>
      </c>
    </row>
    <row r="123" spans="1:7" x14ac:dyDescent="0.25">
      <c r="A123">
        <v>1</v>
      </c>
      <c r="B123" t="s">
        <v>7</v>
      </c>
      <c r="C123">
        <v>6093</v>
      </c>
      <c r="D123" t="str">
        <f>"0018-2141"</f>
        <v>0018-2141</v>
      </c>
      <c r="E123" t="s">
        <v>8</v>
      </c>
      <c r="F123" t="s">
        <v>131</v>
      </c>
      <c r="G123">
        <v>1</v>
      </c>
    </row>
    <row r="124" spans="1:7" x14ac:dyDescent="0.25">
      <c r="A124">
        <v>1</v>
      </c>
      <c r="B124" t="s">
        <v>7</v>
      </c>
      <c r="C124">
        <v>8343</v>
      </c>
      <c r="D124" t="str">
        <f>"0018-2133"</f>
        <v>0018-2133</v>
      </c>
      <c r="E124" t="s">
        <v>8</v>
      </c>
      <c r="F124" t="s">
        <v>131</v>
      </c>
      <c r="G124">
        <v>1</v>
      </c>
    </row>
    <row r="125" spans="1:7" x14ac:dyDescent="0.25">
      <c r="A125">
        <v>1</v>
      </c>
      <c r="B125" t="s">
        <v>7</v>
      </c>
      <c r="C125">
        <v>5429</v>
      </c>
      <c r="D125" t="str">
        <f>"0018-2206"</f>
        <v>0018-2206</v>
      </c>
      <c r="E125" t="s">
        <v>8</v>
      </c>
      <c r="F125" t="s">
        <v>132</v>
      </c>
      <c r="G125">
        <v>1</v>
      </c>
    </row>
    <row r="126" spans="1:7" x14ac:dyDescent="0.25">
      <c r="A126">
        <v>1</v>
      </c>
      <c r="B126" t="s">
        <v>7</v>
      </c>
      <c r="C126">
        <v>27424</v>
      </c>
      <c r="D126" t="str">
        <f>"0073-2435"</f>
        <v>0073-2435</v>
      </c>
      <c r="E126" t="s">
        <v>8</v>
      </c>
      <c r="F126" t="s">
        <v>133</v>
      </c>
      <c r="G126">
        <v>1</v>
      </c>
    </row>
    <row r="127" spans="1:7" x14ac:dyDescent="0.25">
      <c r="A127">
        <v>1</v>
      </c>
      <c r="B127" t="s">
        <v>7</v>
      </c>
      <c r="C127">
        <v>27057</v>
      </c>
      <c r="D127" t="str">
        <f>"0121-1617"</f>
        <v>0121-1617</v>
      </c>
      <c r="E127" t="s">
        <v>8</v>
      </c>
      <c r="F127" t="s">
        <v>134</v>
      </c>
      <c r="G127">
        <v>1</v>
      </c>
    </row>
    <row r="128" spans="1:7" x14ac:dyDescent="0.25">
      <c r="A128">
        <v>1</v>
      </c>
      <c r="B128" t="s">
        <v>7</v>
      </c>
      <c r="C128">
        <v>9383</v>
      </c>
      <c r="D128" t="str">
        <f>"0185-0172"</f>
        <v>0185-0172</v>
      </c>
      <c r="E128" t="s">
        <v>8</v>
      </c>
      <c r="F128" t="s">
        <v>135</v>
      </c>
      <c r="G128">
        <v>1</v>
      </c>
    </row>
    <row r="129" spans="1:7" x14ac:dyDescent="0.25">
      <c r="A129">
        <v>1</v>
      </c>
      <c r="B129" t="s">
        <v>7</v>
      </c>
      <c r="C129">
        <v>5449</v>
      </c>
      <c r="D129" t="str">
        <f>"1577-3388"</f>
        <v>1577-3388</v>
      </c>
      <c r="E129" t="s">
        <v>8</v>
      </c>
      <c r="F129" t="s">
        <v>136</v>
      </c>
      <c r="G129">
        <v>1</v>
      </c>
    </row>
    <row r="130" spans="1:7" x14ac:dyDescent="0.25">
      <c r="A130">
        <v>1</v>
      </c>
      <c r="B130" t="s">
        <v>7</v>
      </c>
      <c r="C130">
        <v>156493</v>
      </c>
      <c r="E130" t="s">
        <v>8</v>
      </c>
      <c r="F130" t="s">
        <v>137</v>
      </c>
      <c r="G130">
        <v>1</v>
      </c>
    </row>
    <row r="131" spans="1:7" x14ac:dyDescent="0.25">
      <c r="A131">
        <v>1</v>
      </c>
      <c r="B131" t="s">
        <v>7</v>
      </c>
      <c r="C131">
        <v>27166</v>
      </c>
      <c r="D131" t="str">
        <f>"1390-1249"</f>
        <v>1390-1249</v>
      </c>
      <c r="E131" t="s">
        <v>8</v>
      </c>
      <c r="F131" t="s">
        <v>138</v>
      </c>
      <c r="G131">
        <v>1</v>
      </c>
    </row>
    <row r="132" spans="1:7" x14ac:dyDescent="0.25">
      <c r="A132">
        <v>1</v>
      </c>
      <c r="B132" t="s">
        <v>7</v>
      </c>
      <c r="C132">
        <v>93031</v>
      </c>
      <c r="D132" t="str">
        <f>"0738-386X"</f>
        <v>0738-386X</v>
      </c>
      <c r="E132" t="s">
        <v>8</v>
      </c>
      <c r="F132" t="s">
        <v>139</v>
      </c>
      <c r="G132">
        <v>1</v>
      </c>
    </row>
    <row r="133" spans="1:7" x14ac:dyDescent="0.25">
      <c r="A133">
        <v>1</v>
      </c>
      <c r="B133" t="s">
        <v>7</v>
      </c>
      <c r="C133">
        <v>8776</v>
      </c>
      <c r="D133" t="str">
        <f>"0020-4536"</f>
        <v>0020-4536</v>
      </c>
      <c r="E133" t="s">
        <v>8</v>
      </c>
      <c r="F133" t="s">
        <v>140</v>
      </c>
      <c r="G133">
        <v>1</v>
      </c>
    </row>
    <row r="134" spans="1:7" x14ac:dyDescent="0.25">
      <c r="A134">
        <v>1</v>
      </c>
      <c r="B134" t="s">
        <v>7</v>
      </c>
      <c r="C134">
        <v>7159</v>
      </c>
      <c r="D134" t="str">
        <f>"0378-1844"</f>
        <v>0378-1844</v>
      </c>
      <c r="E134" t="s">
        <v>8</v>
      </c>
      <c r="F134" t="s">
        <v>141</v>
      </c>
      <c r="G134">
        <v>1</v>
      </c>
    </row>
    <row r="135" spans="1:7" x14ac:dyDescent="0.25">
      <c r="A135">
        <v>1</v>
      </c>
      <c r="B135" t="s">
        <v>7</v>
      </c>
      <c r="C135">
        <v>9633</v>
      </c>
      <c r="D135" t="str">
        <f>"1164-6225"</f>
        <v>1164-6225</v>
      </c>
      <c r="E135" t="s">
        <v>8</v>
      </c>
      <c r="F135" t="s">
        <v>142</v>
      </c>
      <c r="G135">
        <v>1</v>
      </c>
    </row>
    <row r="136" spans="1:7" x14ac:dyDescent="0.25">
      <c r="A136">
        <v>1</v>
      </c>
      <c r="B136" t="s">
        <v>7</v>
      </c>
      <c r="C136">
        <v>27619</v>
      </c>
      <c r="D136" t="str">
        <f>"1756-3461"</f>
        <v>1756-3461</v>
      </c>
      <c r="E136" t="s">
        <v>8</v>
      </c>
      <c r="F136" t="s">
        <v>143</v>
      </c>
      <c r="G136">
        <v>1</v>
      </c>
    </row>
    <row r="137" spans="1:7" x14ac:dyDescent="0.25">
      <c r="A137">
        <v>1</v>
      </c>
      <c r="B137" t="s">
        <v>7</v>
      </c>
      <c r="C137">
        <v>1849</v>
      </c>
      <c r="D137" t="str">
        <f>"0021-1214"</f>
        <v>0021-1214</v>
      </c>
      <c r="E137" t="s">
        <v>8</v>
      </c>
      <c r="F137" t="s">
        <v>144</v>
      </c>
      <c r="G137">
        <v>1</v>
      </c>
    </row>
    <row r="138" spans="1:7" x14ac:dyDescent="0.25">
      <c r="A138">
        <v>1</v>
      </c>
      <c r="B138" t="s">
        <v>7</v>
      </c>
      <c r="C138">
        <v>132650</v>
      </c>
      <c r="D138" t="str">
        <f>"1351-3818"</f>
        <v>1351-3818</v>
      </c>
      <c r="E138" t="s">
        <v>8</v>
      </c>
      <c r="F138" t="s">
        <v>145</v>
      </c>
      <c r="G138">
        <v>1</v>
      </c>
    </row>
    <row r="139" spans="1:7" x14ac:dyDescent="0.25">
      <c r="A139">
        <v>1</v>
      </c>
      <c r="B139" t="s">
        <v>7</v>
      </c>
      <c r="C139">
        <v>8783791</v>
      </c>
      <c r="E139" t="s">
        <v>15</v>
      </c>
      <c r="F139" t="s">
        <v>146</v>
      </c>
      <c r="G139">
        <v>1</v>
      </c>
    </row>
    <row r="140" spans="1:7" x14ac:dyDescent="0.25">
      <c r="A140">
        <v>1</v>
      </c>
      <c r="B140" t="s">
        <v>7</v>
      </c>
      <c r="C140">
        <v>22747</v>
      </c>
      <c r="D140" t="str">
        <f>"0037-9174"</f>
        <v>0037-9174</v>
      </c>
      <c r="E140" t="s">
        <v>8</v>
      </c>
      <c r="F140" t="s">
        <v>147</v>
      </c>
      <c r="G140">
        <v>1</v>
      </c>
    </row>
    <row r="141" spans="1:7" x14ac:dyDescent="0.25">
      <c r="A141">
        <v>1</v>
      </c>
      <c r="B141" t="s">
        <v>7</v>
      </c>
      <c r="C141">
        <v>27605</v>
      </c>
      <c r="D141" t="str">
        <f>"1754-0194"</f>
        <v>1754-0194</v>
      </c>
      <c r="E141" t="s">
        <v>8</v>
      </c>
      <c r="F141" t="s">
        <v>148</v>
      </c>
      <c r="G141">
        <v>1</v>
      </c>
    </row>
    <row r="142" spans="1:7" x14ac:dyDescent="0.25">
      <c r="A142">
        <v>1</v>
      </c>
      <c r="B142" t="s">
        <v>7</v>
      </c>
      <c r="C142">
        <v>9879</v>
      </c>
      <c r="D142" t="str">
        <f>"0944-9094"</f>
        <v>0944-9094</v>
      </c>
      <c r="E142" t="s">
        <v>8</v>
      </c>
      <c r="F142" t="s">
        <v>149</v>
      </c>
      <c r="G142">
        <v>1</v>
      </c>
    </row>
    <row r="143" spans="1:7" x14ac:dyDescent="0.25">
      <c r="A143">
        <v>1</v>
      </c>
      <c r="B143" t="s">
        <v>7</v>
      </c>
      <c r="C143">
        <v>27470</v>
      </c>
      <c r="D143" t="str">
        <f>"1548-1867"</f>
        <v>1548-1867</v>
      </c>
      <c r="E143" t="s">
        <v>8</v>
      </c>
      <c r="F143" t="s">
        <v>150</v>
      </c>
      <c r="G143">
        <v>1</v>
      </c>
    </row>
    <row r="144" spans="1:7" x14ac:dyDescent="0.25">
      <c r="A144">
        <v>1</v>
      </c>
      <c r="B144" t="s">
        <v>7</v>
      </c>
      <c r="C144">
        <v>27886</v>
      </c>
      <c r="D144" t="str">
        <f>"1559-1646"</f>
        <v>1559-1646</v>
      </c>
      <c r="E144" t="s">
        <v>8</v>
      </c>
      <c r="F144" t="s">
        <v>151</v>
      </c>
      <c r="G144">
        <v>1</v>
      </c>
    </row>
    <row r="145" spans="1:7" x14ac:dyDescent="0.25">
      <c r="A145">
        <v>1</v>
      </c>
      <c r="B145" t="s">
        <v>7</v>
      </c>
      <c r="C145">
        <v>12799</v>
      </c>
      <c r="D145" t="str">
        <f>"1542-7331"</f>
        <v>1542-7331</v>
      </c>
      <c r="E145" t="s">
        <v>8</v>
      </c>
      <c r="F145" t="s">
        <v>152</v>
      </c>
      <c r="G145">
        <v>1</v>
      </c>
    </row>
    <row r="146" spans="1:7" x14ac:dyDescent="0.25">
      <c r="A146">
        <v>1</v>
      </c>
      <c r="B146" t="s">
        <v>7</v>
      </c>
      <c r="C146">
        <v>539</v>
      </c>
      <c r="D146" t="str">
        <f>"0021-8758"</f>
        <v>0021-8758</v>
      </c>
      <c r="E146" t="s">
        <v>8</v>
      </c>
      <c r="F146" t="s">
        <v>153</v>
      </c>
      <c r="G146">
        <v>1</v>
      </c>
    </row>
    <row r="147" spans="1:7" x14ac:dyDescent="0.25">
      <c r="A147">
        <v>1</v>
      </c>
      <c r="B147" t="s">
        <v>7</v>
      </c>
      <c r="C147">
        <v>13120</v>
      </c>
      <c r="D147" t="str">
        <f>"1300-6606"</f>
        <v>1300-6606</v>
      </c>
      <c r="E147" t="s">
        <v>8</v>
      </c>
      <c r="F147" t="s">
        <v>154</v>
      </c>
      <c r="G147">
        <v>1</v>
      </c>
    </row>
    <row r="148" spans="1:7" x14ac:dyDescent="0.25">
      <c r="A148">
        <v>1</v>
      </c>
      <c r="B148" t="s">
        <v>7</v>
      </c>
      <c r="C148">
        <v>3968</v>
      </c>
      <c r="D148" t="str">
        <f>"1097-2129"</f>
        <v>1097-2129</v>
      </c>
      <c r="E148" t="s">
        <v>8</v>
      </c>
      <c r="F148" t="s">
        <v>155</v>
      </c>
      <c r="G148">
        <v>1</v>
      </c>
    </row>
    <row r="149" spans="1:7" x14ac:dyDescent="0.25">
      <c r="A149">
        <v>1</v>
      </c>
      <c r="B149" t="s">
        <v>7</v>
      </c>
      <c r="C149">
        <v>7265</v>
      </c>
      <c r="D149" t="str">
        <f>"0047-2441"</f>
        <v>0047-2441</v>
      </c>
      <c r="E149" t="s">
        <v>8</v>
      </c>
      <c r="F149" t="s">
        <v>156</v>
      </c>
      <c r="G149">
        <v>1</v>
      </c>
    </row>
    <row r="150" spans="1:7" x14ac:dyDescent="0.25">
      <c r="A150">
        <v>1</v>
      </c>
      <c r="B150" t="s">
        <v>7</v>
      </c>
      <c r="C150">
        <v>11017</v>
      </c>
      <c r="D150" t="str">
        <f>"1470-1847"</f>
        <v>1470-1847</v>
      </c>
      <c r="E150" t="s">
        <v>8</v>
      </c>
      <c r="F150" t="s">
        <v>157</v>
      </c>
      <c r="G150">
        <v>1</v>
      </c>
    </row>
    <row r="151" spans="1:7" x14ac:dyDescent="0.25">
      <c r="A151">
        <v>1</v>
      </c>
      <c r="B151" t="s">
        <v>7</v>
      </c>
      <c r="C151">
        <v>21956</v>
      </c>
      <c r="D151" t="str">
        <f>"0256-4718"</f>
        <v>0256-4718</v>
      </c>
      <c r="E151" t="s">
        <v>8</v>
      </c>
      <c r="F151" t="s">
        <v>158</v>
      </c>
      <c r="G151">
        <v>1</v>
      </c>
    </row>
    <row r="152" spans="1:7" x14ac:dyDescent="0.25">
      <c r="A152">
        <v>1</v>
      </c>
      <c r="B152" t="s">
        <v>7</v>
      </c>
      <c r="C152">
        <v>27579</v>
      </c>
      <c r="D152" t="str">
        <f>"1754-6559"</f>
        <v>1754-6559</v>
      </c>
      <c r="E152" t="s">
        <v>8</v>
      </c>
      <c r="F152" t="s">
        <v>159</v>
      </c>
      <c r="G152">
        <v>1</v>
      </c>
    </row>
    <row r="153" spans="1:7" x14ac:dyDescent="0.25">
      <c r="A153">
        <v>1</v>
      </c>
      <c r="B153" t="s">
        <v>7</v>
      </c>
      <c r="C153">
        <v>152945</v>
      </c>
      <c r="D153" t="str">
        <f>"1866-802X"</f>
        <v>1866-802X</v>
      </c>
      <c r="E153" t="s">
        <v>8</v>
      </c>
      <c r="F153" t="s">
        <v>160</v>
      </c>
      <c r="G153">
        <v>1</v>
      </c>
    </row>
    <row r="154" spans="1:7" x14ac:dyDescent="0.25">
      <c r="A154">
        <v>1</v>
      </c>
      <c r="B154" t="s">
        <v>7</v>
      </c>
      <c r="C154">
        <v>35</v>
      </c>
      <c r="D154" t="str">
        <f>"0022-4642"</f>
        <v>0022-4642</v>
      </c>
      <c r="E154" t="s">
        <v>8</v>
      </c>
      <c r="F154" t="s">
        <v>161</v>
      </c>
      <c r="G154">
        <v>1</v>
      </c>
    </row>
    <row r="155" spans="1:7" x14ac:dyDescent="0.25">
      <c r="A155">
        <v>1</v>
      </c>
      <c r="B155" t="s">
        <v>7</v>
      </c>
      <c r="C155">
        <v>160020</v>
      </c>
      <c r="D155" t="str">
        <f>"2013-6897"</f>
        <v>2013-6897</v>
      </c>
      <c r="E155" t="s">
        <v>8</v>
      </c>
      <c r="F155" t="s">
        <v>162</v>
      </c>
      <c r="G155">
        <v>1</v>
      </c>
    </row>
    <row r="156" spans="1:7" x14ac:dyDescent="0.25">
      <c r="A156">
        <v>1</v>
      </c>
      <c r="B156" t="s">
        <v>7</v>
      </c>
      <c r="C156">
        <v>593</v>
      </c>
      <c r="D156" t="str">
        <f>"0303-6758"</f>
        <v>0303-6758</v>
      </c>
      <c r="E156" t="s">
        <v>8</v>
      </c>
      <c r="F156" t="s">
        <v>163</v>
      </c>
      <c r="G156">
        <v>1</v>
      </c>
    </row>
    <row r="157" spans="1:7" x14ac:dyDescent="0.25">
      <c r="A157">
        <v>1</v>
      </c>
      <c r="B157" t="s">
        <v>7</v>
      </c>
      <c r="C157">
        <v>6172698</v>
      </c>
      <c r="E157" t="s">
        <v>8</v>
      </c>
      <c r="F157" t="s">
        <v>164</v>
      </c>
      <c r="G157">
        <v>1</v>
      </c>
    </row>
    <row r="158" spans="1:7" x14ac:dyDescent="0.25">
      <c r="A158">
        <v>1</v>
      </c>
      <c r="B158" t="s">
        <v>7</v>
      </c>
      <c r="C158">
        <v>25391</v>
      </c>
      <c r="D158" t="str">
        <f>"1355-5502"</f>
        <v>1355-5502</v>
      </c>
      <c r="E158" t="s">
        <v>8</v>
      </c>
      <c r="F158" t="s">
        <v>165</v>
      </c>
      <c r="G158">
        <v>1</v>
      </c>
    </row>
    <row r="159" spans="1:7" x14ac:dyDescent="0.25">
      <c r="A159">
        <v>1</v>
      </c>
      <c r="B159" t="s">
        <v>7</v>
      </c>
      <c r="C159">
        <v>27453</v>
      </c>
      <c r="E159" t="s">
        <v>8</v>
      </c>
      <c r="F159" t="s">
        <v>166</v>
      </c>
      <c r="G159">
        <v>1</v>
      </c>
    </row>
    <row r="160" spans="1:7" x14ac:dyDescent="0.25">
      <c r="A160">
        <v>1</v>
      </c>
      <c r="B160" t="s">
        <v>7</v>
      </c>
      <c r="C160">
        <v>15171</v>
      </c>
      <c r="D160" t="str">
        <f>"0029-4802"</f>
        <v>0029-4802</v>
      </c>
      <c r="E160" t="s">
        <v>8</v>
      </c>
      <c r="F160" t="s">
        <v>167</v>
      </c>
      <c r="G160">
        <v>1</v>
      </c>
    </row>
    <row r="161" spans="1:7" x14ac:dyDescent="0.25">
      <c r="A161">
        <v>1</v>
      </c>
      <c r="B161" t="s">
        <v>7</v>
      </c>
      <c r="C161">
        <v>4740</v>
      </c>
      <c r="D161" t="str">
        <f>"1744-2222"</f>
        <v>1744-2222</v>
      </c>
      <c r="E161" t="s">
        <v>8</v>
      </c>
      <c r="F161" t="s">
        <v>168</v>
      </c>
      <c r="G161">
        <v>1</v>
      </c>
    </row>
    <row r="162" spans="1:7" x14ac:dyDescent="0.25">
      <c r="A162">
        <v>1</v>
      </c>
      <c r="B162" t="s">
        <v>7</v>
      </c>
      <c r="C162">
        <v>8951</v>
      </c>
      <c r="D162" t="str">
        <f>"0094-582X"</f>
        <v>0094-582X</v>
      </c>
      <c r="E162" t="s">
        <v>8</v>
      </c>
      <c r="F162" t="s">
        <v>169</v>
      </c>
      <c r="G162">
        <v>1</v>
      </c>
    </row>
    <row r="163" spans="1:7" x14ac:dyDescent="0.25">
      <c r="A163">
        <v>1</v>
      </c>
      <c r="B163" t="s">
        <v>7</v>
      </c>
      <c r="C163">
        <v>12938</v>
      </c>
      <c r="D163" t="str">
        <f>"0023-8791"</f>
        <v>0023-8791</v>
      </c>
      <c r="E163" t="s">
        <v>8</v>
      </c>
      <c r="F163" t="s">
        <v>170</v>
      </c>
      <c r="G163">
        <v>1</v>
      </c>
    </row>
    <row r="164" spans="1:7" x14ac:dyDescent="0.25">
      <c r="A164">
        <v>1</v>
      </c>
      <c r="B164" t="s">
        <v>7</v>
      </c>
      <c r="C164">
        <v>1130</v>
      </c>
      <c r="D164" t="str">
        <f>"1665-8574"</f>
        <v>1665-8574</v>
      </c>
      <c r="E164" t="s">
        <v>8</v>
      </c>
      <c r="F164" t="s">
        <v>171</v>
      </c>
      <c r="G164">
        <v>1</v>
      </c>
    </row>
    <row r="165" spans="1:7" x14ac:dyDescent="0.25">
      <c r="A165">
        <v>1</v>
      </c>
      <c r="B165" t="s">
        <v>7</v>
      </c>
      <c r="C165">
        <v>6068</v>
      </c>
      <c r="D165" t="str">
        <f>"0024-1334"</f>
        <v>0024-1334</v>
      </c>
      <c r="E165" t="s">
        <v>8</v>
      </c>
      <c r="F165" t="s">
        <v>172</v>
      </c>
      <c r="G165">
        <v>1</v>
      </c>
    </row>
    <row r="166" spans="1:7" x14ac:dyDescent="0.25">
      <c r="A166">
        <v>1</v>
      </c>
      <c r="B166" t="s">
        <v>7</v>
      </c>
      <c r="C166">
        <v>2995</v>
      </c>
      <c r="D166" t="str">
        <f>"0024-2020"</f>
        <v>0024-2020</v>
      </c>
      <c r="E166" t="s">
        <v>15</v>
      </c>
      <c r="F166" t="s">
        <v>173</v>
      </c>
      <c r="G166">
        <v>1</v>
      </c>
    </row>
    <row r="167" spans="1:7" x14ac:dyDescent="0.25">
      <c r="A167">
        <v>1</v>
      </c>
      <c r="B167" t="s">
        <v>7</v>
      </c>
      <c r="C167">
        <v>14530</v>
      </c>
      <c r="D167" t="str">
        <f>"0024-3868"</f>
        <v>0024-3868</v>
      </c>
      <c r="E167" t="s">
        <v>8</v>
      </c>
      <c r="F167" t="s">
        <v>174</v>
      </c>
      <c r="G167">
        <v>1</v>
      </c>
    </row>
    <row r="168" spans="1:7" x14ac:dyDescent="0.25">
      <c r="A168">
        <v>1</v>
      </c>
      <c r="B168" t="s">
        <v>7</v>
      </c>
      <c r="C168">
        <v>26966</v>
      </c>
      <c r="D168" t="str">
        <f>"1741-4113"</f>
        <v>1741-4113</v>
      </c>
      <c r="E168" t="s">
        <v>8</v>
      </c>
      <c r="F168" t="s">
        <v>175</v>
      </c>
      <c r="G168">
        <v>1</v>
      </c>
    </row>
    <row r="169" spans="1:7" x14ac:dyDescent="0.25">
      <c r="A169">
        <v>1</v>
      </c>
      <c r="B169" t="s">
        <v>7</v>
      </c>
      <c r="C169">
        <v>16258</v>
      </c>
      <c r="D169" t="str">
        <f>"0024-7413"</f>
        <v>0024-7413</v>
      </c>
      <c r="E169" t="s">
        <v>8</v>
      </c>
      <c r="F169" t="s">
        <v>176</v>
      </c>
      <c r="G169">
        <v>1</v>
      </c>
    </row>
    <row r="170" spans="1:7" x14ac:dyDescent="0.25">
      <c r="A170">
        <v>1</v>
      </c>
      <c r="B170" t="s">
        <v>7</v>
      </c>
      <c r="C170">
        <v>17015</v>
      </c>
      <c r="D170" t="str">
        <f>"0163-755X"</f>
        <v>0163-755X</v>
      </c>
      <c r="E170" t="s">
        <v>8</v>
      </c>
      <c r="F170" t="s">
        <v>177</v>
      </c>
      <c r="G170">
        <v>1</v>
      </c>
    </row>
    <row r="171" spans="1:7" x14ac:dyDescent="0.25">
      <c r="A171">
        <v>1</v>
      </c>
      <c r="B171" t="s">
        <v>7</v>
      </c>
      <c r="C171">
        <v>16028</v>
      </c>
      <c r="D171" t="str">
        <f>"0742-9797"</f>
        <v>0742-9797</v>
      </c>
      <c r="E171" t="s">
        <v>8</v>
      </c>
      <c r="F171" t="s">
        <v>178</v>
      </c>
      <c r="G171">
        <v>1</v>
      </c>
    </row>
    <row r="172" spans="1:7" x14ac:dyDescent="0.25">
      <c r="A172">
        <v>1</v>
      </c>
      <c r="B172" t="s">
        <v>7</v>
      </c>
      <c r="C172">
        <v>1602</v>
      </c>
      <c r="D172" t="str">
        <f>"0026-2420"</f>
        <v>0026-2420</v>
      </c>
      <c r="E172" t="s">
        <v>8</v>
      </c>
      <c r="F172" t="s">
        <v>179</v>
      </c>
      <c r="G172">
        <v>1</v>
      </c>
    </row>
    <row r="173" spans="1:7" x14ac:dyDescent="0.25">
      <c r="A173">
        <v>1</v>
      </c>
      <c r="B173" t="s">
        <v>7</v>
      </c>
      <c r="C173">
        <v>8256</v>
      </c>
      <c r="D173" t="str">
        <f>"1353-2944"</f>
        <v>1353-2944</v>
      </c>
      <c r="E173" t="s">
        <v>8</v>
      </c>
      <c r="F173" t="s">
        <v>180</v>
      </c>
      <c r="G173">
        <v>1</v>
      </c>
    </row>
    <row r="174" spans="1:7" x14ac:dyDescent="0.25">
      <c r="A174">
        <v>1</v>
      </c>
      <c r="B174" t="s">
        <v>7</v>
      </c>
      <c r="C174">
        <v>118747</v>
      </c>
      <c r="D174" t="str">
        <f>"1382-2373"</f>
        <v>1382-2373</v>
      </c>
      <c r="E174" t="s">
        <v>8</v>
      </c>
      <c r="F174" t="s">
        <v>181</v>
      </c>
      <c r="G174">
        <v>1</v>
      </c>
    </row>
    <row r="175" spans="1:7" x14ac:dyDescent="0.25">
      <c r="A175">
        <v>1</v>
      </c>
      <c r="B175" t="s">
        <v>7</v>
      </c>
      <c r="C175">
        <v>5225</v>
      </c>
      <c r="D175" t="str">
        <f>"0890-5495"</f>
        <v>0890-5495</v>
      </c>
      <c r="E175" t="s">
        <v>8</v>
      </c>
      <c r="F175" t="s">
        <v>182</v>
      </c>
      <c r="G175">
        <v>1</v>
      </c>
    </row>
    <row r="176" spans="1:7" x14ac:dyDescent="0.25">
      <c r="A176">
        <v>1</v>
      </c>
      <c r="B176" t="s">
        <v>7</v>
      </c>
      <c r="C176">
        <v>4251</v>
      </c>
      <c r="D176" t="str">
        <f>"0146-7891"</f>
        <v>0146-7891</v>
      </c>
      <c r="E176" t="s">
        <v>8</v>
      </c>
      <c r="F176" t="s">
        <v>183</v>
      </c>
      <c r="G176">
        <v>1</v>
      </c>
    </row>
    <row r="177" spans="1:7" x14ac:dyDescent="0.25">
      <c r="A177">
        <v>1</v>
      </c>
      <c r="B177" t="s">
        <v>7</v>
      </c>
      <c r="C177">
        <v>919</v>
      </c>
      <c r="D177" t="str">
        <f>"1863-639X"</f>
        <v>1863-639X</v>
      </c>
      <c r="E177" t="s">
        <v>8</v>
      </c>
      <c r="F177" t="s">
        <v>184</v>
      </c>
      <c r="G177">
        <v>1</v>
      </c>
    </row>
    <row r="178" spans="1:7" x14ac:dyDescent="0.25">
      <c r="A178">
        <v>1</v>
      </c>
      <c r="B178" t="s">
        <v>7</v>
      </c>
      <c r="C178">
        <v>40806</v>
      </c>
      <c r="D178" t="str">
        <f>"0835-3433"</f>
        <v>0835-3433</v>
      </c>
      <c r="E178" t="s">
        <v>8</v>
      </c>
      <c r="F178" t="s">
        <v>185</v>
      </c>
      <c r="G178">
        <v>1</v>
      </c>
    </row>
    <row r="179" spans="1:7" x14ac:dyDescent="0.25">
      <c r="A179">
        <v>1</v>
      </c>
      <c r="B179" t="s">
        <v>7</v>
      </c>
      <c r="C179">
        <v>27293</v>
      </c>
      <c r="D179" t="str">
        <f>"0078-1983"</f>
        <v>0078-1983</v>
      </c>
      <c r="E179" t="s">
        <v>15</v>
      </c>
      <c r="F179" t="s">
        <v>186</v>
      </c>
      <c r="G179">
        <v>1</v>
      </c>
    </row>
    <row r="180" spans="1:7" x14ac:dyDescent="0.25">
      <c r="A180">
        <v>1</v>
      </c>
      <c r="B180" t="s">
        <v>7</v>
      </c>
      <c r="C180">
        <v>4735</v>
      </c>
      <c r="D180" t="str">
        <f>"0029-4586"</f>
        <v>0029-4586</v>
      </c>
      <c r="E180" t="s">
        <v>8</v>
      </c>
      <c r="F180" t="s">
        <v>187</v>
      </c>
      <c r="G180">
        <v>1</v>
      </c>
    </row>
    <row r="181" spans="1:7" x14ac:dyDescent="0.25">
      <c r="A181">
        <v>1</v>
      </c>
      <c r="B181" t="s">
        <v>7</v>
      </c>
      <c r="C181">
        <v>1938</v>
      </c>
      <c r="D181" t="str">
        <f>"0029-8077"</f>
        <v>0029-8077</v>
      </c>
      <c r="E181" t="s">
        <v>8</v>
      </c>
      <c r="F181" t="s">
        <v>188</v>
      </c>
      <c r="G181">
        <v>1</v>
      </c>
    </row>
    <row r="182" spans="1:7" x14ac:dyDescent="0.25">
      <c r="A182">
        <v>1</v>
      </c>
      <c r="B182" t="s">
        <v>7</v>
      </c>
      <c r="C182">
        <v>12074</v>
      </c>
      <c r="D182" t="str">
        <f>"0030-7416"</f>
        <v>0030-7416</v>
      </c>
      <c r="E182" t="s">
        <v>8</v>
      </c>
      <c r="F182" t="s">
        <v>189</v>
      </c>
      <c r="G182">
        <v>1</v>
      </c>
    </row>
    <row r="183" spans="1:7" x14ac:dyDescent="0.25">
      <c r="A183">
        <v>1</v>
      </c>
      <c r="B183" t="s">
        <v>7</v>
      </c>
      <c r="C183">
        <v>8783792</v>
      </c>
      <c r="E183" t="s">
        <v>15</v>
      </c>
      <c r="F183" t="s">
        <v>190</v>
      </c>
      <c r="G183">
        <v>1</v>
      </c>
    </row>
    <row r="184" spans="1:7" x14ac:dyDescent="0.25">
      <c r="A184">
        <v>1</v>
      </c>
      <c r="B184" t="s">
        <v>7</v>
      </c>
      <c r="C184">
        <v>27814</v>
      </c>
      <c r="E184" t="s">
        <v>8</v>
      </c>
      <c r="F184" t="s">
        <v>191</v>
      </c>
      <c r="G184">
        <v>1</v>
      </c>
    </row>
    <row r="185" spans="1:7" x14ac:dyDescent="0.25">
      <c r="A185">
        <v>1</v>
      </c>
      <c r="B185" t="s">
        <v>7</v>
      </c>
      <c r="C185">
        <v>968</v>
      </c>
      <c r="D185" t="str">
        <f>"0267-5315"</f>
        <v>0267-5315</v>
      </c>
      <c r="E185" t="s">
        <v>8</v>
      </c>
      <c r="F185" t="s">
        <v>192</v>
      </c>
      <c r="G185">
        <v>1</v>
      </c>
    </row>
    <row r="186" spans="1:7" x14ac:dyDescent="0.25">
      <c r="A186">
        <v>1</v>
      </c>
      <c r="B186" t="s">
        <v>7</v>
      </c>
      <c r="C186">
        <v>27607</v>
      </c>
      <c r="E186" t="s">
        <v>8</v>
      </c>
      <c r="F186" t="s">
        <v>193</v>
      </c>
      <c r="G186">
        <v>1</v>
      </c>
    </row>
    <row r="187" spans="1:7" x14ac:dyDescent="0.25">
      <c r="A187">
        <v>1</v>
      </c>
      <c r="B187" t="s">
        <v>7</v>
      </c>
      <c r="C187">
        <v>626</v>
      </c>
      <c r="D187" t="str">
        <f>"0360-4918"</f>
        <v>0360-4918</v>
      </c>
      <c r="E187" t="s">
        <v>8</v>
      </c>
      <c r="F187" t="s">
        <v>194</v>
      </c>
      <c r="G187">
        <v>1</v>
      </c>
    </row>
    <row r="188" spans="1:7" x14ac:dyDescent="0.25">
      <c r="A188">
        <v>1</v>
      </c>
      <c r="B188" t="s">
        <v>7</v>
      </c>
      <c r="C188">
        <v>149376</v>
      </c>
      <c r="D188" t="str">
        <f>"1514-0032"</f>
        <v>1514-0032</v>
      </c>
      <c r="E188" t="s">
        <v>8</v>
      </c>
      <c r="F188" t="s">
        <v>195</v>
      </c>
      <c r="G188">
        <v>1</v>
      </c>
    </row>
    <row r="189" spans="1:7" x14ac:dyDescent="0.25">
      <c r="A189">
        <v>1</v>
      </c>
      <c r="B189" t="s">
        <v>7</v>
      </c>
      <c r="C189">
        <v>5476</v>
      </c>
      <c r="D189" t="str">
        <f>"0226-8043"</f>
        <v>0226-8043</v>
      </c>
      <c r="E189" t="s">
        <v>8</v>
      </c>
      <c r="F189" t="s">
        <v>196</v>
      </c>
      <c r="G189">
        <v>1</v>
      </c>
    </row>
    <row r="190" spans="1:7" x14ac:dyDescent="0.25">
      <c r="A190">
        <v>1</v>
      </c>
      <c r="B190" t="s">
        <v>7</v>
      </c>
      <c r="C190">
        <v>10506</v>
      </c>
      <c r="D190" t="str">
        <f>"1321-8166"</f>
        <v>1321-8166</v>
      </c>
      <c r="E190" t="s">
        <v>8</v>
      </c>
      <c r="F190" t="s">
        <v>197</v>
      </c>
      <c r="G190">
        <v>1</v>
      </c>
    </row>
    <row r="191" spans="1:7" x14ac:dyDescent="0.25">
      <c r="A191">
        <v>1</v>
      </c>
      <c r="B191" t="s">
        <v>7</v>
      </c>
      <c r="C191">
        <v>11504</v>
      </c>
      <c r="D191" t="str">
        <f>"0275-1607"</f>
        <v>0275-1607</v>
      </c>
      <c r="E191" t="s">
        <v>8</v>
      </c>
      <c r="F191" t="s">
        <v>198</v>
      </c>
      <c r="G191">
        <v>1</v>
      </c>
    </row>
    <row r="192" spans="1:7" x14ac:dyDescent="0.25">
      <c r="A192">
        <v>1</v>
      </c>
      <c r="B192" t="s">
        <v>7</v>
      </c>
      <c r="C192">
        <v>115698</v>
      </c>
      <c r="D192" t="str">
        <f>"1131-9674"</f>
        <v>1131-9674</v>
      </c>
      <c r="E192" t="s">
        <v>8</v>
      </c>
      <c r="F192" t="s">
        <v>199</v>
      </c>
      <c r="G192">
        <v>1</v>
      </c>
    </row>
    <row r="193" spans="1:7" x14ac:dyDescent="0.25">
      <c r="A193">
        <v>1</v>
      </c>
      <c r="B193" t="s">
        <v>7</v>
      </c>
      <c r="C193">
        <v>27448</v>
      </c>
      <c r="D193" t="str">
        <f>"0267-6834"</f>
        <v>0267-6834</v>
      </c>
      <c r="E193" t="s">
        <v>8</v>
      </c>
      <c r="F193" t="s">
        <v>200</v>
      </c>
      <c r="G193">
        <v>1</v>
      </c>
    </row>
    <row r="194" spans="1:7" x14ac:dyDescent="0.25">
      <c r="A194">
        <v>1</v>
      </c>
      <c r="B194" t="s">
        <v>7</v>
      </c>
      <c r="C194">
        <v>3828</v>
      </c>
      <c r="D194" t="str">
        <f>"0259-9600"</f>
        <v>0259-9600</v>
      </c>
      <c r="E194" t="s">
        <v>8</v>
      </c>
      <c r="F194" t="s">
        <v>201</v>
      </c>
      <c r="G194">
        <v>1</v>
      </c>
    </row>
    <row r="195" spans="1:7" x14ac:dyDescent="0.25">
      <c r="A195">
        <v>1</v>
      </c>
      <c r="B195" t="s">
        <v>7</v>
      </c>
      <c r="C195">
        <v>27091</v>
      </c>
      <c r="D195" t="str">
        <f>"0717-3202"</f>
        <v>0717-3202</v>
      </c>
      <c r="E195" t="s">
        <v>15</v>
      </c>
      <c r="F195" t="s">
        <v>202</v>
      </c>
      <c r="G195">
        <v>1</v>
      </c>
    </row>
    <row r="196" spans="1:7" x14ac:dyDescent="0.25">
      <c r="A196">
        <v>1</v>
      </c>
      <c r="B196" t="s">
        <v>7</v>
      </c>
      <c r="C196">
        <v>27380</v>
      </c>
      <c r="D196" t="str">
        <f>"0102-6909"</f>
        <v>0102-6909</v>
      </c>
      <c r="E196" t="s">
        <v>8</v>
      </c>
      <c r="F196" t="s">
        <v>203</v>
      </c>
      <c r="G196">
        <v>1</v>
      </c>
    </row>
    <row r="197" spans="1:7" x14ac:dyDescent="0.25">
      <c r="A197">
        <v>1</v>
      </c>
      <c r="B197" t="s">
        <v>7</v>
      </c>
      <c r="C197">
        <v>14144</v>
      </c>
      <c r="D197" t="str">
        <f>"0384-8167"</f>
        <v>0384-8167</v>
      </c>
      <c r="E197" t="s">
        <v>8</v>
      </c>
      <c r="F197" t="s">
        <v>204</v>
      </c>
      <c r="G197">
        <v>1</v>
      </c>
    </row>
    <row r="198" spans="1:7" x14ac:dyDescent="0.25">
      <c r="A198">
        <v>1</v>
      </c>
      <c r="B198" t="s">
        <v>7</v>
      </c>
      <c r="C198">
        <v>27630</v>
      </c>
      <c r="D198" t="str">
        <f>"1133-309X"</f>
        <v>1133-309X</v>
      </c>
      <c r="E198" t="s">
        <v>8</v>
      </c>
      <c r="F198" t="s">
        <v>205</v>
      </c>
      <c r="G198">
        <v>1</v>
      </c>
    </row>
    <row r="199" spans="1:7" x14ac:dyDescent="0.25">
      <c r="A199">
        <v>1</v>
      </c>
      <c r="B199" t="s">
        <v>7</v>
      </c>
      <c r="C199">
        <v>4816</v>
      </c>
      <c r="D199" t="str">
        <f>"0034-9631"</f>
        <v>0034-9631</v>
      </c>
      <c r="E199" t="s">
        <v>8</v>
      </c>
      <c r="F199" t="s">
        <v>206</v>
      </c>
      <c r="G199">
        <v>1</v>
      </c>
    </row>
    <row r="200" spans="1:7" x14ac:dyDescent="0.25">
      <c r="A200">
        <v>1</v>
      </c>
      <c r="B200" t="s">
        <v>7</v>
      </c>
      <c r="C200">
        <v>116258</v>
      </c>
      <c r="D200" t="str">
        <f>"0718-0527"</f>
        <v>0718-0527</v>
      </c>
      <c r="E200" t="s">
        <v>8</v>
      </c>
      <c r="F200" t="s">
        <v>207</v>
      </c>
      <c r="G200">
        <v>1</v>
      </c>
    </row>
    <row r="201" spans="1:7" x14ac:dyDescent="0.25">
      <c r="A201">
        <v>1</v>
      </c>
      <c r="B201" t="s">
        <v>7</v>
      </c>
      <c r="C201">
        <v>18386</v>
      </c>
      <c r="D201" t="str">
        <f>"0338-4551"</f>
        <v>0338-4551</v>
      </c>
      <c r="E201" t="s">
        <v>8</v>
      </c>
      <c r="F201" t="s">
        <v>208</v>
      </c>
      <c r="G201">
        <v>1</v>
      </c>
    </row>
    <row r="202" spans="1:7" x14ac:dyDescent="0.25">
      <c r="A202">
        <v>1</v>
      </c>
      <c r="B202" t="s">
        <v>7</v>
      </c>
      <c r="C202">
        <v>96</v>
      </c>
      <c r="D202" t="str">
        <f>"0397-7870"</f>
        <v>0397-7870</v>
      </c>
      <c r="E202" t="s">
        <v>8</v>
      </c>
      <c r="F202" t="s">
        <v>209</v>
      </c>
      <c r="G202">
        <v>1</v>
      </c>
    </row>
    <row r="203" spans="1:7" x14ac:dyDescent="0.25">
      <c r="A203">
        <v>1</v>
      </c>
      <c r="B203" t="s">
        <v>7</v>
      </c>
      <c r="C203">
        <v>2569</v>
      </c>
      <c r="D203" t="str">
        <f>"0821-3216"</f>
        <v>0821-3216</v>
      </c>
      <c r="E203" t="s">
        <v>8</v>
      </c>
      <c r="F203" t="s">
        <v>210</v>
      </c>
      <c r="G203">
        <v>1</v>
      </c>
    </row>
    <row r="204" spans="1:7" x14ac:dyDescent="0.25">
      <c r="A204">
        <v>1</v>
      </c>
      <c r="B204" t="s">
        <v>7</v>
      </c>
      <c r="C204">
        <v>24974</v>
      </c>
      <c r="D204" t="str">
        <f>"1354-991X"</f>
        <v>1354-991X</v>
      </c>
      <c r="E204" t="s">
        <v>8</v>
      </c>
      <c r="F204" t="s">
        <v>211</v>
      </c>
      <c r="G204">
        <v>1</v>
      </c>
    </row>
    <row r="205" spans="1:7" x14ac:dyDescent="0.25">
      <c r="A205">
        <v>1</v>
      </c>
      <c r="B205" t="s">
        <v>7</v>
      </c>
      <c r="C205">
        <v>8783793</v>
      </c>
      <c r="E205" t="s">
        <v>15</v>
      </c>
      <c r="F205" t="s">
        <v>212</v>
      </c>
      <c r="G205">
        <v>1</v>
      </c>
    </row>
    <row r="206" spans="1:7" x14ac:dyDescent="0.25">
      <c r="A206">
        <v>1</v>
      </c>
      <c r="B206" t="s">
        <v>7</v>
      </c>
      <c r="C206">
        <v>59372</v>
      </c>
      <c r="E206" t="s">
        <v>8</v>
      </c>
      <c r="F206" t="s">
        <v>213</v>
      </c>
      <c r="G206">
        <v>1</v>
      </c>
    </row>
    <row r="207" spans="1:7" x14ac:dyDescent="0.25">
      <c r="A207">
        <v>1</v>
      </c>
      <c r="B207" t="s">
        <v>7</v>
      </c>
      <c r="C207">
        <v>4488</v>
      </c>
      <c r="D207" t="str">
        <f>"0036-3529"</f>
        <v>0036-3529</v>
      </c>
      <c r="E207" t="s">
        <v>8</v>
      </c>
      <c r="F207" t="s">
        <v>214</v>
      </c>
      <c r="G207">
        <v>1</v>
      </c>
    </row>
    <row r="208" spans="1:7" x14ac:dyDescent="0.25">
      <c r="A208">
        <v>1</v>
      </c>
      <c r="B208" t="s">
        <v>7</v>
      </c>
      <c r="C208">
        <v>8415</v>
      </c>
      <c r="D208" t="str">
        <f>"0265-1068"</f>
        <v>0265-1068</v>
      </c>
      <c r="E208" t="s">
        <v>8</v>
      </c>
      <c r="F208" t="s">
        <v>215</v>
      </c>
      <c r="G208">
        <v>1</v>
      </c>
    </row>
    <row r="209" spans="1:7" x14ac:dyDescent="0.25">
      <c r="A209">
        <v>1</v>
      </c>
      <c r="B209" t="s">
        <v>7</v>
      </c>
      <c r="C209">
        <v>127</v>
      </c>
      <c r="D209" t="str">
        <f>"0037-7333"</f>
        <v>0037-7333</v>
      </c>
      <c r="E209" t="s">
        <v>8</v>
      </c>
      <c r="F209" t="s">
        <v>216</v>
      </c>
      <c r="G209">
        <v>1</v>
      </c>
    </row>
    <row r="210" spans="1:7" x14ac:dyDescent="0.25">
      <c r="A210">
        <v>1</v>
      </c>
      <c r="B210" t="s">
        <v>7</v>
      </c>
      <c r="C210">
        <v>156005</v>
      </c>
      <c r="D210" t="str">
        <f>"1601-1686"</f>
        <v>1601-1686</v>
      </c>
      <c r="E210" t="s">
        <v>8</v>
      </c>
      <c r="F210" t="s">
        <v>217</v>
      </c>
      <c r="G210">
        <v>1</v>
      </c>
    </row>
    <row r="211" spans="1:7" x14ac:dyDescent="0.25">
      <c r="A211">
        <v>1</v>
      </c>
      <c r="B211" t="s">
        <v>7</v>
      </c>
      <c r="C211">
        <v>27873</v>
      </c>
      <c r="D211" t="str">
        <f>"0277-335X"</f>
        <v>0277-335X</v>
      </c>
      <c r="E211" t="s">
        <v>8</v>
      </c>
      <c r="F211" t="s">
        <v>218</v>
      </c>
      <c r="G211">
        <v>1</v>
      </c>
    </row>
    <row r="212" spans="1:7" x14ac:dyDescent="0.25">
      <c r="A212">
        <v>1</v>
      </c>
      <c r="B212" t="s">
        <v>7</v>
      </c>
      <c r="C212">
        <v>9801</v>
      </c>
      <c r="D212" t="str">
        <f>"1068-8218"</f>
        <v>1068-8218</v>
      </c>
      <c r="E212" t="s">
        <v>8</v>
      </c>
      <c r="F212" t="s">
        <v>219</v>
      </c>
      <c r="G212">
        <v>1</v>
      </c>
    </row>
    <row r="213" spans="1:7" x14ac:dyDescent="0.25">
      <c r="A213">
        <v>1</v>
      </c>
      <c r="B213" t="s">
        <v>7</v>
      </c>
      <c r="C213">
        <v>27339</v>
      </c>
      <c r="D213" t="str">
        <f>"0735-8342"</f>
        <v>0735-8342</v>
      </c>
      <c r="E213" t="s">
        <v>8</v>
      </c>
      <c r="F213" t="s">
        <v>220</v>
      </c>
      <c r="G213">
        <v>1</v>
      </c>
    </row>
    <row r="214" spans="1:7" x14ac:dyDescent="0.25">
      <c r="A214">
        <v>1</v>
      </c>
      <c r="B214" t="s">
        <v>7</v>
      </c>
      <c r="C214">
        <v>13322</v>
      </c>
      <c r="D214" t="str">
        <f>"0039-2944"</f>
        <v>0039-2944</v>
      </c>
      <c r="E214" t="s">
        <v>8</v>
      </c>
      <c r="F214" t="s">
        <v>221</v>
      </c>
      <c r="G214">
        <v>1</v>
      </c>
    </row>
    <row r="215" spans="1:7" x14ac:dyDescent="0.25">
      <c r="A215">
        <v>1</v>
      </c>
      <c r="B215" t="s">
        <v>7</v>
      </c>
      <c r="C215">
        <v>4232</v>
      </c>
      <c r="D215" t="str">
        <f>"0081-6353"</f>
        <v>0081-6353</v>
      </c>
      <c r="E215" t="s">
        <v>8</v>
      </c>
      <c r="F215" t="s">
        <v>222</v>
      </c>
      <c r="G215">
        <v>1</v>
      </c>
    </row>
    <row r="216" spans="1:7" x14ac:dyDescent="0.25">
      <c r="A216">
        <v>1</v>
      </c>
      <c r="B216" t="s">
        <v>7</v>
      </c>
      <c r="C216">
        <v>101113</v>
      </c>
      <c r="D216" t="str">
        <f>"0095-280X"</f>
        <v>0095-280X</v>
      </c>
      <c r="E216" t="s">
        <v>8</v>
      </c>
      <c r="F216" t="s">
        <v>223</v>
      </c>
      <c r="G216">
        <v>1</v>
      </c>
    </row>
    <row r="217" spans="1:7" x14ac:dyDescent="0.25">
      <c r="A217">
        <v>1</v>
      </c>
      <c r="B217" t="s">
        <v>7</v>
      </c>
      <c r="C217">
        <v>3642</v>
      </c>
      <c r="D217" t="str">
        <f>"0730-9139"</f>
        <v>0730-9139</v>
      </c>
      <c r="E217" t="s">
        <v>8</v>
      </c>
      <c r="F217" t="s">
        <v>224</v>
      </c>
      <c r="G217">
        <v>1</v>
      </c>
    </row>
    <row r="218" spans="1:7" x14ac:dyDescent="0.25">
      <c r="A218">
        <v>1</v>
      </c>
      <c r="B218" t="s">
        <v>7</v>
      </c>
      <c r="C218">
        <v>27794</v>
      </c>
      <c r="D218" t="str">
        <f>"1362-7902"</f>
        <v>1362-7902</v>
      </c>
      <c r="E218" t="s">
        <v>8</v>
      </c>
      <c r="F218" t="s">
        <v>225</v>
      </c>
      <c r="G218">
        <v>1</v>
      </c>
    </row>
    <row r="219" spans="1:7" x14ac:dyDescent="0.25">
      <c r="A219">
        <v>1</v>
      </c>
      <c r="B219" t="s">
        <v>7</v>
      </c>
      <c r="C219">
        <v>10795</v>
      </c>
      <c r="D219" t="str">
        <f>"0003-0937"</f>
        <v>0003-0937</v>
      </c>
      <c r="E219" t="s">
        <v>8</v>
      </c>
      <c r="F219" t="s">
        <v>226</v>
      </c>
      <c r="G219">
        <v>1</v>
      </c>
    </row>
    <row r="220" spans="1:7" x14ac:dyDescent="0.25">
      <c r="A220">
        <v>1</v>
      </c>
      <c r="B220" t="s">
        <v>7</v>
      </c>
      <c r="C220">
        <v>11247</v>
      </c>
      <c r="D220" t="str">
        <f>"0009-5982"</f>
        <v>0009-5982</v>
      </c>
      <c r="E220" t="s">
        <v>8</v>
      </c>
      <c r="F220" t="s">
        <v>227</v>
      </c>
      <c r="G220">
        <v>1</v>
      </c>
    </row>
    <row r="221" spans="1:7" x14ac:dyDescent="0.25">
      <c r="A221">
        <v>1</v>
      </c>
      <c r="B221" t="s">
        <v>7</v>
      </c>
      <c r="C221">
        <v>10758</v>
      </c>
      <c r="D221" t="str">
        <f>"0016-8386"</f>
        <v>0016-8386</v>
      </c>
      <c r="E221" t="s">
        <v>8</v>
      </c>
      <c r="F221" t="s">
        <v>228</v>
      </c>
      <c r="G221">
        <v>1</v>
      </c>
    </row>
    <row r="222" spans="1:7" x14ac:dyDescent="0.25">
      <c r="A222">
        <v>1</v>
      </c>
      <c r="B222" t="s">
        <v>7</v>
      </c>
      <c r="C222">
        <v>42331</v>
      </c>
      <c r="D222" t="str">
        <f>"0898-4557"</f>
        <v>0898-4557</v>
      </c>
      <c r="E222" t="s">
        <v>8</v>
      </c>
      <c r="F222" t="s">
        <v>229</v>
      </c>
      <c r="G222">
        <v>1</v>
      </c>
    </row>
    <row r="223" spans="1:7" x14ac:dyDescent="0.25">
      <c r="A223">
        <v>1</v>
      </c>
      <c r="B223" t="s">
        <v>7</v>
      </c>
      <c r="C223">
        <v>26900</v>
      </c>
      <c r="D223" t="str">
        <f>"1089-0017"</f>
        <v>1089-0017</v>
      </c>
      <c r="E223" t="s">
        <v>8</v>
      </c>
      <c r="F223" t="s">
        <v>230</v>
      </c>
      <c r="G223">
        <v>1</v>
      </c>
    </row>
    <row r="224" spans="1:7" x14ac:dyDescent="0.25">
      <c r="A224">
        <v>1</v>
      </c>
      <c r="B224" t="s">
        <v>7</v>
      </c>
      <c r="C224">
        <v>16123</v>
      </c>
      <c r="D224" t="str">
        <f>"1935-4932"</f>
        <v>1935-4932</v>
      </c>
      <c r="E224" t="s">
        <v>8</v>
      </c>
      <c r="F224" t="s">
        <v>231</v>
      </c>
      <c r="G224">
        <v>1</v>
      </c>
    </row>
    <row r="225" spans="1:7" x14ac:dyDescent="0.25">
      <c r="A225">
        <v>1</v>
      </c>
      <c r="B225" t="s">
        <v>7</v>
      </c>
      <c r="C225">
        <v>12904</v>
      </c>
      <c r="D225" t="str">
        <f>"1362-9387"</f>
        <v>1362-9387</v>
      </c>
      <c r="E225" t="s">
        <v>8</v>
      </c>
      <c r="F225" t="s">
        <v>232</v>
      </c>
      <c r="G225">
        <v>1</v>
      </c>
    </row>
    <row r="226" spans="1:7" x14ac:dyDescent="0.25">
      <c r="A226">
        <v>1</v>
      </c>
      <c r="B226" t="s">
        <v>7</v>
      </c>
      <c r="C226">
        <v>24313</v>
      </c>
      <c r="D226" t="str">
        <f>"0305-8034"</f>
        <v>0305-8034</v>
      </c>
      <c r="E226" t="s">
        <v>8</v>
      </c>
      <c r="F226" t="s">
        <v>233</v>
      </c>
      <c r="G226">
        <v>1</v>
      </c>
    </row>
    <row r="227" spans="1:7" x14ac:dyDescent="0.25">
      <c r="A227">
        <v>1</v>
      </c>
      <c r="B227" t="s">
        <v>7</v>
      </c>
      <c r="C227">
        <v>8659</v>
      </c>
      <c r="D227" t="str">
        <f>"0026-637X"</f>
        <v>0026-637X</v>
      </c>
      <c r="E227" t="s">
        <v>8</v>
      </c>
      <c r="F227" t="s">
        <v>234</v>
      </c>
      <c r="G227">
        <v>1</v>
      </c>
    </row>
    <row r="228" spans="1:7" x14ac:dyDescent="0.25">
      <c r="A228">
        <v>1</v>
      </c>
      <c r="B228" t="s">
        <v>7</v>
      </c>
      <c r="C228">
        <v>8913</v>
      </c>
      <c r="D228" t="str">
        <f>"0028-4866"</f>
        <v>0028-4866</v>
      </c>
      <c r="E228" t="s">
        <v>8</v>
      </c>
      <c r="F228" t="s">
        <v>235</v>
      </c>
      <c r="G228">
        <v>1</v>
      </c>
    </row>
    <row r="229" spans="1:7" x14ac:dyDescent="0.25">
      <c r="A229">
        <v>1</v>
      </c>
      <c r="B229" t="s">
        <v>7</v>
      </c>
      <c r="C229">
        <v>16927</v>
      </c>
      <c r="D229" t="str">
        <f>"0029-2397"</f>
        <v>0029-2397</v>
      </c>
      <c r="E229" t="s">
        <v>8</v>
      </c>
      <c r="F229" t="s">
        <v>236</v>
      </c>
      <c r="G229">
        <v>1</v>
      </c>
    </row>
    <row r="230" spans="1:7" x14ac:dyDescent="0.25">
      <c r="A230">
        <v>1</v>
      </c>
      <c r="B230" t="s">
        <v>7</v>
      </c>
      <c r="C230">
        <v>21</v>
      </c>
      <c r="D230" t="str">
        <f>"1380-6076"</f>
        <v>1380-6076</v>
      </c>
      <c r="E230" t="s">
        <v>15</v>
      </c>
      <c r="F230" t="s">
        <v>237</v>
      </c>
      <c r="G230">
        <v>1</v>
      </c>
    </row>
    <row r="231" spans="1:7" x14ac:dyDescent="0.25">
      <c r="A231">
        <v>1</v>
      </c>
      <c r="B231" t="s">
        <v>7</v>
      </c>
      <c r="C231">
        <v>105101</v>
      </c>
      <c r="D231" t="str">
        <f>"0730-479X"</f>
        <v>0730-479X</v>
      </c>
      <c r="E231" t="s">
        <v>8</v>
      </c>
      <c r="F231" t="s">
        <v>238</v>
      </c>
      <c r="G231">
        <v>1</v>
      </c>
    </row>
    <row r="232" spans="1:7" x14ac:dyDescent="0.25">
      <c r="A232">
        <v>1</v>
      </c>
      <c r="B232" t="s">
        <v>7</v>
      </c>
      <c r="C232">
        <v>6731</v>
      </c>
      <c r="D232" t="str">
        <f>"0163-660X"</f>
        <v>0163-660X</v>
      </c>
      <c r="E232" t="s">
        <v>8</v>
      </c>
      <c r="F232" t="s">
        <v>239</v>
      </c>
      <c r="G232">
        <v>1</v>
      </c>
    </row>
    <row r="233" spans="1:7" x14ac:dyDescent="0.25">
      <c r="A233">
        <v>1</v>
      </c>
      <c r="B233" t="s">
        <v>7</v>
      </c>
      <c r="C233">
        <v>24226</v>
      </c>
      <c r="D233" t="str">
        <f>"1077-4254"</f>
        <v>1077-4254</v>
      </c>
      <c r="E233" t="s">
        <v>8</v>
      </c>
      <c r="F233" t="s">
        <v>240</v>
      </c>
      <c r="G233">
        <v>1</v>
      </c>
    </row>
    <row r="234" spans="1:7" x14ac:dyDescent="0.25">
      <c r="A234">
        <v>1</v>
      </c>
      <c r="B234" t="s">
        <v>7</v>
      </c>
      <c r="C234">
        <v>27018</v>
      </c>
      <c r="E234" t="s">
        <v>8</v>
      </c>
      <c r="F234" t="s">
        <v>241</v>
      </c>
      <c r="G234">
        <v>1</v>
      </c>
    </row>
    <row r="235" spans="1:7" x14ac:dyDescent="0.25">
      <c r="A235">
        <v>1</v>
      </c>
      <c r="B235" t="s">
        <v>7</v>
      </c>
      <c r="C235">
        <v>6586</v>
      </c>
      <c r="D235" t="str">
        <f>"0281-448X"</f>
        <v>0281-448X</v>
      </c>
      <c r="E235" t="s">
        <v>15</v>
      </c>
      <c r="F235" t="s">
        <v>242</v>
      </c>
      <c r="G235">
        <v>1</v>
      </c>
    </row>
    <row r="236" spans="1:7" x14ac:dyDescent="0.25">
      <c r="A236">
        <v>1</v>
      </c>
      <c r="B236" t="s">
        <v>7</v>
      </c>
      <c r="C236">
        <v>6927</v>
      </c>
      <c r="D236" t="str">
        <f>"0709-4698"</f>
        <v>0709-4698</v>
      </c>
      <c r="E236" t="s">
        <v>8</v>
      </c>
      <c r="F236" t="s">
        <v>243</v>
      </c>
      <c r="G236">
        <v>1</v>
      </c>
    </row>
    <row r="237" spans="1:7" x14ac:dyDescent="0.25">
      <c r="A237">
        <v>1</v>
      </c>
      <c r="B237" t="s">
        <v>7</v>
      </c>
      <c r="C237">
        <v>11986</v>
      </c>
      <c r="D237" t="str">
        <f>"0042-675X"</f>
        <v>0042-675X</v>
      </c>
      <c r="E237" t="s">
        <v>8</v>
      </c>
      <c r="F237" t="s">
        <v>244</v>
      </c>
      <c r="G237">
        <v>1</v>
      </c>
    </row>
    <row r="238" spans="1:7" x14ac:dyDescent="0.25">
      <c r="A238">
        <v>1</v>
      </c>
      <c r="B238" t="s">
        <v>7</v>
      </c>
      <c r="C238">
        <v>778</v>
      </c>
      <c r="D238" t="str">
        <f>"0172-5300"</f>
        <v>0172-5300</v>
      </c>
      <c r="E238" t="s">
        <v>8</v>
      </c>
      <c r="F238" t="s">
        <v>245</v>
      </c>
      <c r="G238">
        <v>1</v>
      </c>
    </row>
    <row r="239" spans="1:7" x14ac:dyDescent="0.25">
      <c r="A239">
        <v>1</v>
      </c>
      <c r="B239" t="s">
        <v>7</v>
      </c>
      <c r="C239">
        <v>25893</v>
      </c>
      <c r="D239" t="str">
        <f>"0269-0055"</f>
        <v>0269-0055</v>
      </c>
      <c r="E239" t="s">
        <v>8</v>
      </c>
      <c r="F239" t="s">
        <v>246</v>
      </c>
      <c r="G239">
        <v>1</v>
      </c>
    </row>
    <row r="240" spans="1:7" x14ac:dyDescent="0.25">
      <c r="A240">
        <v>1</v>
      </c>
      <c r="B240" t="s">
        <v>7</v>
      </c>
      <c r="C240">
        <v>17453</v>
      </c>
      <c r="D240" t="str">
        <f>"0196-6286"</f>
        <v>0196-6286</v>
      </c>
      <c r="E240" t="s">
        <v>8</v>
      </c>
      <c r="F240" t="s">
        <v>247</v>
      </c>
      <c r="G240">
        <v>1</v>
      </c>
    </row>
    <row r="241" spans="1:7" x14ac:dyDescent="0.25">
      <c r="A241">
        <v>1</v>
      </c>
      <c r="B241" t="s">
        <v>7</v>
      </c>
      <c r="C241">
        <v>26964</v>
      </c>
      <c r="D241" t="str">
        <f>"0043-6534"</f>
        <v>0043-6534</v>
      </c>
      <c r="E241" t="s">
        <v>8</v>
      </c>
      <c r="F241" t="s">
        <v>248</v>
      </c>
      <c r="G241">
        <v>1</v>
      </c>
    </row>
    <row r="242" spans="1:7" x14ac:dyDescent="0.25">
      <c r="A242">
        <v>1</v>
      </c>
      <c r="B242" t="s">
        <v>7</v>
      </c>
      <c r="C242">
        <v>18258</v>
      </c>
      <c r="D242" t="str">
        <f>"1089-7011"</f>
        <v>1089-7011</v>
      </c>
      <c r="E242" t="s">
        <v>8</v>
      </c>
      <c r="F242" t="s">
        <v>249</v>
      </c>
      <c r="G242">
        <v>1</v>
      </c>
    </row>
    <row r="243" spans="1:7" x14ac:dyDescent="0.25">
      <c r="A243">
        <v>1</v>
      </c>
      <c r="B243" t="s">
        <v>7</v>
      </c>
      <c r="C243">
        <v>7304</v>
      </c>
      <c r="D243" t="str">
        <f>"0084-5302"</f>
        <v>0084-5302</v>
      </c>
      <c r="E243" t="s">
        <v>8</v>
      </c>
      <c r="F243" t="s">
        <v>250</v>
      </c>
      <c r="G243">
        <v>1</v>
      </c>
    </row>
    <row r="244" spans="1:7" x14ac:dyDescent="0.25">
      <c r="A244">
        <v>10</v>
      </c>
      <c r="B244" t="s">
        <v>251</v>
      </c>
      <c r="C244">
        <v>6058636</v>
      </c>
      <c r="D244" t="str">
        <f>"1939-2397"</f>
        <v>1939-2397</v>
      </c>
      <c r="E244" t="s">
        <v>8</v>
      </c>
      <c r="F244" t="s">
        <v>252</v>
      </c>
      <c r="G244">
        <v>2</v>
      </c>
    </row>
    <row r="245" spans="1:7" x14ac:dyDescent="0.25">
      <c r="A245">
        <v>10</v>
      </c>
      <c r="B245" t="s">
        <v>251</v>
      </c>
      <c r="C245">
        <v>1619</v>
      </c>
      <c r="D245" t="str">
        <f>"0009-7101"</f>
        <v>0009-7101</v>
      </c>
      <c r="E245" t="s">
        <v>8</v>
      </c>
      <c r="F245" t="s">
        <v>253</v>
      </c>
      <c r="G245">
        <v>2</v>
      </c>
    </row>
    <row r="246" spans="1:7" x14ac:dyDescent="0.25">
      <c r="A246">
        <v>10</v>
      </c>
      <c r="B246" t="s">
        <v>251</v>
      </c>
      <c r="C246">
        <v>21766</v>
      </c>
      <c r="D246" t="str">
        <f>"1931-2458"</f>
        <v>1931-2458</v>
      </c>
      <c r="E246" t="s">
        <v>8</v>
      </c>
      <c r="F246" t="s">
        <v>254</v>
      </c>
      <c r="G246">
        <v>2</v>
      </c>
    </row>
    <row r="247" spans="1:7" x14ac:dyDescent="0.25">
      <c r="A247">
        <v>10</v>
      </c>
      <c r="B247" t="s">
        <v>251</v>
      </c>
      <c r="C247">
        <v>3574</v>
      </c>
      <c r="D247" t="str">
        <f>"0363-7751"</f>
        <v>0363-7751</v>
      </c>
      <c r="E247" t="s">
        <v>15</v>
      </c>
      <c r="F247" t="s">
        <v>255</v>
      </c>
      <c r="G247">
        <v>2</v>
      </c>
    </row>
    <row r="248" spans="1:7" x14ac:dyDescent="0.25">
      <c r="A248">
        <v>10</v>
      </c>
      <c r="B248" t="s">
        <v>251</v>
      </c>
      <c r="C248">
        <v>1647</v>
      </c>
      <c r="D248" t="str">
        <f>"0093-6502"</f>
        <v>0093-6502</v>
      </c>
      <c r="E248" t="s">
        <v>8</v>
      </c>
      <c r="F248" t="s">
        <v>256</v>
      </c>
      <c r="G248">
        <v>2</v>
      </c>
    </row>
    <row r="249" spans="1:7" x14ac:dyDescent="0.25">
      <c r="A249">
        <v>10</v>
      </c>
      <c r="B249" t="s">
        <v>251</v>
      </c>
      <c r="C249">
        <v>9478</v>
      </c>
      <c r="D249" t="str">
        <f>"1050-3293"</f>
        <v>1050-3293</v>
      </c>
      <c r="E249" t="s">
        <v>8</v>
      </c>
      <c r="F249" t="s">
        <v>257</v>
      </c>
      <c r="G249">
        <v>2</v>
      </c>
    </row>
    <row r="250" spans="1:7" x14ac:dyDescent="0.25">
      <c r="A250">
        <v>10</v>
      </c>
      <c r="B250" t="s">
        <v>251</v>
      </c>
      <c r="C250">
        <v>24479</v>
      </c>
      <c r="D250" t="str">
        <f>"1753-9129"</f>
        <v>1753-9129</v>
      </c>
      <c r="E250" t="s">
        <v>8</v>
      </c>
      <c r="F250" t="s">
        <v>258</v>
      </c>
      <c r="G250">
        <v>2</v>
      </c>
    </row>
    <row r="251" spans="1:7" x14ac:dyDescent="0.25">
      <c r="A251">
        <v>10</v>
      </c>
      <c r="B251" t="s">
        <v>251</v>
      </c>
      <c r="C251">
        <v>170425</v>
      </c>
      <c r="E251" t="s">
        <v>15</v>
      </c>
      <c r="F251" t="s">
        <v>259</v>
      </c>
      <c r="G251">
        <v>2</v>
      </c>
    </row>
    <row r="252" spans="1:7" x14ac:dyDescent="0.25">
      <c r="A252">
        <v>10</v>
      </c>
      <c r="B252" t="s">
        <v>251</v>
      </c>
      <c r="C252">
        <v>110309</v>
      </c>
      <c r="D252" t="str">
        <f>"1134-3478"</f>
        <v>1134-3478</v>
      </c>
      <c r="E252" t="s">
        <v>8</v>
      </c>
      <c r="F252" t="s">
        <v>260</v>
      </c>
      <c r="G252">
        <v>2</v>
      </c>
    </row>
    <row r="253" spans="1:7" x14ac:dyDescent="0.25">
      <c r="A253">
        <v>10</v>
      </c>
      <c r="B253" t="s">
        <v>251</v>
      </c>
      <c r="C253">
        <v>9238</v>
      </c>
      <c r="D253" t="str">
        <f>"1354-8565"</f>
        <v>1354-8565</v>
      </c>
      <c r="E253" t="s">
        <v>8</v>
      </c>
      <c r="F253" t="s">
        <v>261</v>
      </c>
      <c r="G253">
        <v>2</v>
      </c>
    </row>
    <row r="254" spans="1:7" x14ac:dyDescent="0.25">
      <c r="A254">
        <v>10</v>
      </c>
      <c r="B254" t="s">
        <v>251</v>
      </c>
      <c r="C254">
        <v>6290</v>
      </c>
      <c r="D254" t="str">
        <f>"1356-3289"</f>
        <v>1356-3289</v>
      </c>
      <c r="E254" t="s">
        <v>8</v>
      </c>
      <c r="F254" t="s">
        <v>262</v>
      </c>
      <c r="G254">
        <v>2</v>
      </c>
    </row>
    <row r="255" spans="1:7" x14ac:dyDescent="0.25">
      <c r="A255">
        <v>10</v>
      </c>
      <c r="B255" t="s">
        <v>251</v>
      </c>
      <c r="C255">
        <v>3205</v>
      </c>
      <c r="D255" t="str">
        <f>"1740-5904"</f>
        <v>1740-5904</v>
      </c>
      <c r="E255" t="s">
        <v>8</v>
      </c>
      <c r="F255" t="s">
        <v>263</v>
      </c>
      <c r="G255">
        <v>2</v>
      </c>
    </row>
    <row r="256" spans="1:7" x14ac:dyDescent="0.25">
      <c r="A256">
        <v>10</v>
      </c>
      <c r="B256" t="s">
        <v>251</v>
      </c>
      <c r="C256">
        <v>7744820</v>
      </c>
      <c r="D256" t="str">
        <f>"2167-0811"</f>
        <v>2167-0811</v>
      </c>
      <c r="E256" t="s">
        <v>8</v>
      </c>
      <c r="F256" t="s">
        <v>264</v>
      </c>
      <c r="G256">
        <v>2</v>
      </c>
    </row>
    <row r="257" spans="1:7" x14ac:dyDescent="0.25">
      <c r="A257">
        <v>10</v>
      </c>
      <c r="B257" t="s">
        <v>251</v>
      </c>
      <c r="C257">
        <v>21220</v>
      </c>
      <c r="D257" t="str">
        <f>"1750-4813"</f>
        <v>1750-4813</v>
      </c>
      <c r="E257" t="s">
        <v>8</v>
      </c>
      <c r="F257" t="s">
        <v>265</v>
      </c>
      <c r="G257">
        <v>2</v>
      </c>
    </row>
    <row r="258" spans="1:7" x14ac:dyDescent="0.25">
      <c r="A258">
        <v>10</v>
      </c>
      <c r="B258" t="s">
        <v>251</v>
      </c>
      <c r="C258">
        <v>4901</v>
      </c>
      <c r="D258" t="str">
        <f>"0957-9265"</f>
        <v>0957-9265</v>
      </c>
      <c r="E258" t="s">
        <v>8</v>
      </c>
      <c r="F258" t="s">
        <v>266</v>
      </c>
      <c r="G258">
        <v>2</v>
      </c>
    </row>
    <row r="259" spans="1:7" x14ac:dyDescent="0.25">
      <c r="A259">
        <v>10</v>
      </c>
      <c r="B259" t="s">
        <v>251</v>
      </c>
      <c r="C259">
        <v>18340</v>
      </c>
      <c r="D259" t="str">
        <f>"1752-4032"</f>
        <v>1752-4032</v>
      </c>
      <c r="E259" t="s">
        <v>8</v>
      </c>
      <c r="F259" t="s">
        <v>267</v>
      </c>
      <c r="G259">
        <v>2</v>
      </c>
    </row>
    <row r="260" spans="1:7" x14ac:dyDescent="0.25">
      <c r="A260">
        <v>10</v>
      </c>
      <c r="B260" t="s">
        <v>251</v>
      </c>
      <c r="C260">
        <v>12739</v>
      </c>
      <c r="D260" t="str">
        <f>"0267-3231"</f>
        <v>0267-3231</v>
      </c>
      <c r="E260" t="s">
        <v>8</v>
      </c>
      <c r="F260" t="s">
        <v>268</v>
      </c>
      <c r="G260">
        <v>2</v>
      </c>
    </row>
    <row r="261" spans="1:7" x14ac:dyDescent="0.25">
      <c r="A261">
        <v>10</v>
      </c>
      <c r="B261" t="s">
        <v>251</v>
      </c>
      <c r="C261">
        <v>2868</v>
      </c>
      <c r="D261" t="str">
        <f>"1468-0777"</f>
        <v>1468-0777</v>
      </c>
      <c r="E261" t="s">
        <v>8</v>
      </c>
      <c r="F261" t="s">
        <v>269</v>
      </c>
      <c r="G261">
        <v>2</v>
      </c>
    </row>
    <row r="262" spans="1:7" x14ac:dyDescent="0.25">
      <c r="A262">
        <v>10</v>
      </c>
      <c r="B262" t="s">
        <v>251</v>
      </c>
      <c r="C262">
        <v>16430</v>
      </c>
      <c r="D262" t="str">
        <f>"0892-2160"</f>
        <v>0892-2160</v>
      </c>
      <c r="E262" t="s">
        <v>8</v>
      </c>
      <c r="F262" t="s">
        <v>270</v>
      </c>
      <c r="G262">
        <v>2</v>
      </c>
    </row>
    <row r="263" spans="1:7" x14ac:dyDescent="0.25">
      <c r="A263">
        <v>10</v>
      </c>
      <c r="B263" t="s">
        <v>251</v>
      </c>
      <c r="C263">
        <v>14280</v>
      </c>
      <c r="D263" t="str">
        <f>"0015-1386"</f>
        <v>0015-1386</v>
      </c>
      <c r="E263" t="s">
        <v>8</v>
      </c>
      <c r="F263" t="s">
        <v>271</v>
      </c>
      <c r="G263">
        <v>2</v>
      </c>
    </row>
    <row r="264" spans="1:7" x14ac:dyDescent="0.25">
      <c r="A264">
        <v>10</v>
      </c>
      <c r="B264" t="s">
        <v>251</v>
      </c>
      <c r="C264">
        <v>5050</v>
      </c>
      <c r="D264" t="str">
        <f>"1396-0466"</f>
        <v>1396-0466</v>
      </c>
      <c r="E264" t="s">
        <v>8</v>
      </c>
      <c r="F264" t="s">
        <v>272</v>
      </c>
      <c r="G264">
        <v>2</v>
      </c>
    </row>
    <row r="265" spans="1:7" x14ac:dyDescent="0.25">
      <c r="A265">
        <v>10</v>
      </c>
      <c r="B265" t="s">
        <v>251</v>
      </c>
      <c r="C265">
        <v>16961</v>
      </c>
      <c r="D265" t="str">
        <f>"1604-7982"</f>
        <v>1604-7982</v>
      </c>
      <c r="E265" t="s">
        <v>8</v>
      </c>
      <c r="F265" t="s">
        <v>273</v>
      </c>
      <c r="G265">
        <v>2</v>
      </c>
    </row>
    <row r="266" spans="1:7" x14ac:dyDescent="0.25">
      <c r="A266">
        <v>10</v>
      </c>
      <c r="B266" t="s">
        <v>251</v>
      </c>
      <c r="C266">
        <v>11976</v>
      </c>
      <c r="D266" t="str">
        <f>"1555-4120"</f>
        <v>1555-4120</v>
      </c>
      <c r="E266" t="s">
        <v>8</v>
      </c>
      <c r="F266" t="s">
        <v>274</v>
      </c>
      <c r="G266">
        <v>2</v>
      </c>
    </row>
    <row r="267" spans="1:7" x14ac:dyDescent="0.25">
      <c r="A267">
        <v>10</v>
      </c>
      <c r="B267" t="s">
        <v>251</v>
      </c>
      <c r="C267">
        <v>2836</v>
      </c>
      <c r="D267" t="str">
        <f>"1742-7665"</f>
        <v>1742-7665</v>
      </c>
      <c r="E267" t="s">
        <v>8</v>
      </c>
      <c r="F267" t="s">
        <v>275</v>
      </c>
      <c r="G267">
        <v>2</v>
      </c>
    </row>
    <row r="268" spans="1:7" x14ac:dyDescent="0.25">
      <c r="A268">
        <v>10</v>
      </c>
      <c r="B268" t="s">
        <v>251</v>
      </c>
      <c r="C268">
        <v>14886</v>
      </c>
      <c r="D268" t="str">
        <f>"0143-9685"</f>
        <v>0143-9685</v>
      </c>
      <c r="E268" t="s">
        <v>8</v>
      </c>
      <c r="F268" t="s">
        <v>276</v>
      </c>
      <c r="G268">
        <v>2</v>
      </c>
    </row>
    <row r="269" spans="1:7" x14ac:dyDescent="0.25">
      <c r="A269">
        <v>10</v>
      </c>
      <c r="B269" t="s">
        <v>251</v>
      </c>
      <c r="C269">
        <v>15187</v>
      </c>
      <c r="D269" t="str">
        <f>"0360-3989"</f>
        <v>0360-3989</v>
      </c>
      <c r="E269" t="s">
        <v>8</v>
      </c>
      <c r="F269" t="s">
        <v>277</v>
      </c>
      <c r="G269">
        <v>2</v>
      </c>
    </row>
    <row r="270" spans="1:7" x14ac:dyDescent="0.25">
      <c r="A270">
        <v>10</v>
      </c>
      <c r="B270" t="s">
        <v>251</v>
      </c>
      <c r="C270">
        <v>1895</v>
      </c>
      <c r="D270" t="str">
        <f>"1369-118X"</f>
        <v>1369-118X</v>
      </c>
      <c r="E270" t="s">
        <v>8</v>
      </c>
      <c r="F270" t="s">
        <v>278</v>
      </c>
      <c r="G270">
        <v>2</v>
      </c>
    </row>
    <row r="271" spans="1:7" x14ac:dyDescent="0.25">
      <c r="A271">
        <v>10</v>
      </c>
      <c r="B271" t="s">
        <v>251</v>
      </c>
      <c r="C271">
        <v>14906</v>
      </c>
      <c r="D271" t="str">
        <f>"1748-0485"</f>
        <v>1748-0485</v>
      </c>
      <c r="E271" t="s">
        <v>8</v>
      </c>
      <c r="F271" t="s">
        <v>279</v>
      </c>
      <c r="G271">
        <v>2</v>
      </c>
    </row>
    <row r="272" spans="1:7" x14ac:dyDescent="0.25">
      <c r="A272">
        <v>10</v>
      </c>
      <c r="B272" t="s">
        <v>251</v>
      </c>
      <c r="C272">
        <v>6613</v>
      </c>
      <c r="D272" t="str">
        <f>"0265-0487"</f>
        <v>0265-0487</v>
      </c>
      <c r="E272" t="s">
        <v>8</v>
      </c>
      <c r="F272" t="s">
        <v>280</v>
      </c>
      <c r="G272">
        <v>2</v>
      </c>
    </row>
    <row r="273" spans="1:7" x14ac:dyDescent="0.25">
      <c r="A273">
        <v>10</v>
      </c>
      <c r="B273" t="s">
        <v>251</v>
      </c>
      <c r="C273">
        <v>10392</v>
      </c>
      <c r="E273" t="s">
        <v>8</v>
      </c>
      <c r="F273" t="s">
        <v>281</v>
      </c>
      <c r="G273">
        <v>2</v>
      </c>
    </row>
    <row r="274" spans="1:7" x14ac:dyDescent="0.25">
      <c r="A274">
        <v>10</v>
      </c>
      <c r="B274" t="s">
        <v>251</v>
      </c>
      <c r="C274">
        <v>9352</v>
      </c>
      <c r="D274" t="str">
        <f>"0883-8151"</f>
        <v>0883-8151</v>
      </c>
      <c r="E274" t="s">
        <v>8</v>
      </c>
      <c r="F274" t="s">
        <v>282</v>
      </c>
      <c r="G274">
        <v>2</v>
      </c>
    </row>
    <row r="275" spans="1:7" x14ac:dyDescent="0.25">
      <c r="A275">
        <v>10</v>
      </c>
      <c r="B275" t="s">
        <v>251</v>
      </c>
      <c r="C275">
        <v>5466</v>
      </c>
      <c r="D275" t="str">
        <f>"1748-2798"</f>
        <v>1748-2798</v>
      </c>
      <c r="E275" t="s">
        <v>8</v>
      </c>
      <c r="F275" t="s">
        <v>283</v>
      </c>
      <c r="G275">
        <v>2</v>
      </c>
    </row>
    <row r="276" spans="1:7" x14ac:dyDescent="0.25">
      <c r="A276">
        <v>10</v>
      </c>
      <c r="B276" t="s">
        <v>251</v>
      </c>
      <c r="C276">
        <v>14390</v>
      </c>
      <c r="D276" t="str">
        <f>"0021-9916"</f>
        <v>0021-9916</v>
      </c>
      <c r="E276" t="s">
        <v>8</v>
      </c>
      <c r="F276" t="s">
        <v>284</v>
      </c>
      <c r="G276">
        <v>2</v>
      </c>
    </row>
    <row r="277" spans="1:7" x14ac:dyDescent="0.25">
      <c r="A277">
        <v>10</v>
      </c>
      <c r="B277" t="s">
        <v>251</v>
      </c>
      <c r="C277">
        <v>9119</v>
      </c>
      <c r="D277" t="str">
        <f>"1464-8849"</f>
        <v>1464-8849</v>
      </c>
      <c r="E277" t="s">
        <v>8</v>
      </c>
      <c r="F277" t="s">
        <v>285</v>
      </c>
      <c r="G277">
        <v>2</v>
      </c>
    </row>
    <row r="278" spans="1:7" x14ac:dyDescent="0.25">
      <c r="A278">
        <v>10</v>
      </c>
      <c r="B278" t="s">
        <v>251</v>
      </c>
      <c r="C278">
        <v>1574</v>
      </c>
      <c r="D278" t="str">
        <f>"1077-6990"</f>
        <v>1077-6990</v>
      </c>
      <c r="E278" t="s">
        <v>8</v>
      </c>
      <c r="F278" t="s">
        <v>286</v>
      </c>
      <c r="G278">
        <v>2</v>
      </c>
    </row>
    <row r="279" spans="1:7" x14ac:dyDescent="0.25">
      <c r="A279">
        <v>10</v>
      </c>
      <c r="B279" t="s">
        <v>251</v>
      </c>
      <c r="C279">
        <v>6553</v>
      </c>
      <c r="D279" t="str">
        <f>"1751-2786"</f>
        <v>1751-2786</v>
      </c>
      <c r="E279" t="s">
        <v>8</v>
      </c>
      <c r="F279" t="s">
        <v>287</v>
      </c>
      <c r="G279">
        <v>2</v>
      </c>
    </row>
    <row r="280" spans="1:7" x14ac:dyDescent="0.25">
      <c r="A280">
        <v>10</v>
      </c>
      <c r="B280" t="s">
        <v>251</v>
      </c>
      <c r="C280">
        <v>3511</v>
      </c>
      <c r="D280" t="str">
        <f>"1461-670X"</f>
        <v>1461-670X</v>
      </c>
      <c r="E280" t="s">
        <v>8</v>
      </c>
      <c r="F280" t="s">
        <v>288</v>
      </c>
      <c r="G280">
        <v>2</v>
      </c>
    </row>
    <row r="281" spans="1:7" x14ac:dyDescent="0.25">
      <c r="A281">
        <v>10</v>
      </c>
      <c r="B281" t="s">
        <v>251</v>
      </c>
      <c r="C281">
        <v>12823</v>
      </c>
      <c r="D281" t="str">
        <f>"0893-3189"</f>
        <v>0893-3189</v>
      </c>
      <c r="E281" t="s">
        <v>8</v>
      </c>
      <c r="F281" t="s">
        <v>289</v>
      </c>
      <c r="G281">
        <v>2</v>
      </c>
    </row>
    <row r="282" spans="1:7" x14ac:dyDescent="0.25">
      <c r="A282">
        <v>10</v>
      </c>
      <c r="B282" t="s">
        <v>251</v>
      </c>
      <c r="C282">
        <v>10887</v>
      </c>
      <c r="D282" t="str">
        <f>"1520-5436"</f>
        <v>1520-5436</v>
      </c>
      <c r="E282" t="s">
        <v>8</v>
      </c>
      <c r="F282" t="s">
        <v>290</v>
      </c>
      <c r="G282">
        <v>2</v>
      </c>
    </row>
    <row r="283" spans="1:7" x14ac:dyDescent="0.25">
      <c r="A283">
        <v>10</v>
      </c>
      <c r="B283" t="s">
        <v>251</v>
      </c>
      <c r="C283">
        <v>10740</v>
      </c>
      <c r="D283" t="str">
        <f>"1368-8804"</f>
        <v>1368-8804</v>
      </c>
      <c r="E283" t="s">
        <v>8</v>
      </c>
      <c r="F283" t="s">
        <v>291</v>
      </c>
      <c r="G283">
        <v>2</v>
      </c>
    </row>
    <row r="284" spans="1:7" x14ac:dyDescent="0.25">
      <c r="A284">
        <v>10</v>
      </c>
      <c r="B284" t="s">
        <v>251</v>
      </c>
      <c r="C284">
        <v>12795</v>
      </c>
      <c r="D284" t="str">
        <f>"1521-3269"</f>
        <v>1521-3269</v>
      </c>
      <c r="E284" t="s">
        <v>8</v>
      </c>
      <c r="F284" t="s">
        <v>292</v>
      </c>
      <c r="G284">
        <v>2</v>
      </c>
    </row>
    <row r="285" spans="1:7" x14ac:dyDescent="0.25">
      <c r="A285">
        <v>10</v>
      </c>
      <c r="B285" t="s">
        <v>251</v>
      </c>
      <c r="C285">
        <v>14683</v>
      </c>
      <c r="D285" t="str">
        <f>"0163-4437"</f>
        <v>0163-4437</v>
      </c>
      <c r="E285" t="s">
        <v>8</v>
      </c>
      <c r="F285" t="s">
        <v>293</v>
      </c>
      <c r="G285">
        <v>2</v>
      </c>
    </row>
    <row r="286" spans="1:7" x14ac:dyDescent="0.25">
      <c r="A286">
        <v>10</v>
      </c>
      <c r="B286" t="s">
        <v>251</v>
      </c>
      <c r="C286">
        <v>8828</v>
      </c>
      <c r="D286" t="str">
        <f>"1901-9726"</f>
        <v>1901-9726</v>
      </c>
      <c r="E286" t="s">
        <v>8</v>
      </c>
      <c r="F286" t="s">
        <v>294</v>
      </c>
      <c r="G286">
        <v>2</v>
      </c>
    </row>
    <row r="287" spans="1:7" x14ac:dyDescent="0.25">
      <c r="A287">
        <v>10</v>
      </c>
      <c r="B287" t="s">
        <v>251</v>
      </c>
      <c r="C287">
        <v>12747</v>
      </c>
      <c r="D287" t="str">
        <f>"1745-0101"</f>
        <v>1745-0101</v>
      </c>
      <c r="E287" t="s">
        <v>8</v>
      </c>
      <c r="F287" t="s">
        <v>295</v>
      </c>
      <c r="G287">
        <v>2</v>
      </c>
    </row>
    <row r="288" spans="1:7" x14ac:dyDescent="0.25">
      <c r="A288">
        <v>10</v>
      </c>
      <c r="B288" t="s">
        <v>251</v>
      </c>
      <c r="C288">
        <v>10726</v>
      </c>
      <c r="D288" t="str">
        <f>"1461-4448"</f>
        <v>1461-4448</v>
      </c>
      <c r="E288" t="s">
        <v>8</v>
      </c>
      <c r="F288" t="s">
        <v>296</v>
      </c>
      <c r="G288">
        <v>2</v>
      </c>
    </row>
    <row r="289" spans="1:7" x14ac:dyDescent="0.25">
      <c r="A289">
        <v>10</v>
      </c>
      <c r="B289" t="s">
        <v>251</v>
      </c>
      <c r="C289">
        <v>14989</v>
      </c>
      <c r="D289" t="str">
        <f>"1601-829X"</f>
        <v>1601-829X</v>
      </c>
      <c r="E289" t="s">
        <v>8</v>
      </c>
      <c r="F289" t="s">
        <v>297</v>
      </c>
      <c r="G289">
        <v>2</v>
      </c>
    </row>
    <row r="290" spans="1:7" x14ac:dyDescent="0.25">
      <c r="A290">
        <v>10</v>
      </c>
      <c r="B290" t="s">
        <v>251</v>
      </c>
      <c r="C290">
        <v>8869</v>
      </c>
      <c r="D290" t="str">
        <f>"1403-1108"</f>
        <v>1403-1108</v>
      </c>
      <c r="E290" t="s">
        <v>8</v>
      </c>
      <c r="F290" t="s">
        <v>298</v>
      </c>
      <c r="G290">
        <v>2</v>
      </c>
    </row>
    <row r="291" spans="1:7" x14ac:dyDescent="0.25">
      <c r="A291">
        <v>10</v>
      </c>
      <c r="B291" t="s">
        <v>251</v>
      </c>
      <c r="C291">
        <v>8758242</v>
      </c>
      <c r="E291" t="s">
        <v>15</v>
      </c>
      <c r="F291" t="s">
        <v>299</v>
      </c>
      <c r="G291">
        <v>2</v>
      </c>
    </row>
    <row r="292" spans="1:7" x14ac:dyDescent="0.25">
      <c r="A292">
        <v>10</v>
      </c>
      <c r="B292" t="s">
        <v>251</v>
      </c>
      <c r="C292">
        <v>9481</v>
      </c>
      <c r="D292" t="str">
        <f>"1058-4609"</f>
        <v>1058-4609</v>
      </c>
      <c r="E292" t="s">
        <v>8</v>
      </c>
      <c r="F292" t="s">
        <v>300</v>
      </c>
      <c r="G292">
        <v>2</v>
      </c>
    </row>
    <row r="293" spans="1:7" x14ac:dyDescent="0.25">
      <c r="A293">
        <v>10</v>
      </c>
      <c r="B293" t="s">
        <v>251</v>
      </c>
      <c r="C293">
        <v>111036</v>
      </c>
      <c r="D293" t="str">
        <f>"1934-9688"</f>
        <v>1934-9688</v>
      </c>
      <c r="E293" t="s">
        <v>8</v>
      </c>
      <c r="F293" t="s">
        <v>301</v>
      </c>
      <c r="G293">
        <v>2</v>
      </c>
    </row>
    <row r="294" spans="1:7" x14ac:dyDescent="0.25">
      <c r="A294">
        <v>10</v>
      </c>
      <c r="B294" t="s">
        <v>251</v>
      </c>
      <c r="C294">
        <v>6448</v>
      </c>
      <c r="D294" t="str">
        <f>"0033-5630"</f>
        <v>0033-5630</v>
      </c>
      <c r="E294" t="s">
        <v>8</v>
      </c>
      <c r="F294" t="s">
        <v>302</v>
      </c>
      <c r="G294">
        <v>2</v>
      </c>
    </row>
    <row r="295" spans="1:7" x14ac:dyDescent="0.25">
      <c r="A295">
        <v>10</v>
      </c>
      <c r="B295" t="s">
        <v>251</v>
      </c>
      <c r="C295">
        <v>13789</v>
      </c>
      <c r="D295" t="str">
        <f>"0036-9543"</f>
        <v>0036-9543</v>
      </c>
      <c r="E295" t="s">
        <v>8</v>
      </c>
      <c r="F295" t="s">
        <v>303</v>
      </c>
      <c r="G295">
        <v>2</v>
      </c>
    </row>
    <row r="296" spans="1:7" x14ac:dyDescent="0.25">
      <c r="A296">
        <v>10</v>
      </c>
      <c r="B296" t="s">
        <v>251</v>
      </c>
      <c r="C296">
        <v>170055</v>
      </c>
      <c r="E296" t="s">
        <v>15</v>
      </c>
      <c r="F296" t="s">
        <v>304</v>
      </c>
      <c r="G296">
        <v>2</v>
      </c>
    </row>
    <row r="297" spans="1:7" x14ac:dyDescent="0.25">
      <c r="A297">
        <v>10</v>
      </c>
      <c r="B297" t="s">
        <v>251</v>
      </c>
      <c r="C297">
        <v>8766666</v>
      </c>
      <c r="E297" t="s">
        <v>8</v>
      </c>
      <c r="F297" t="s">
        <v>305</v>
      </c>
      <c r="G297">
        <v>2</v>
      </c>
    </row>
    <row r="298" spans="1:7" x14ac:dyDescent="0.25">
      <c r="A298">
        <v>10</v>
      </c>
      <c r="B298" t="s">
        <v>251</v>
      </c>
      <c r="C298">
        <v>24228</v>
      </c>
      <c r="D298" t="str">
        <f>"1750-3280"</f>
        <v>1750-3280</v>
      </c>
      <c r="E298" t="s">
        <v>8</v>
      </c>
      <c r="F298" t="s">
        <v>306</v>
      </c>
      <c r="G298">
        <v>2</v>
      </c>
    </row>
    <row r="299" spans="1:7" x14ac:dyDescent="0.25">
      <c r="A299">
        <v>10</v>
      </c>
      <c r="B299" t="s">
        <v>251</v>
      </c>
      <c r="C299">
        <v>12004</v>
      </c>
      <c r="D299" t="str">
        <f>"1741-1548"</f>
        <v>1741-1548</v>
      </c>
      <c r="E299" t="s">
        <v>8</v>
      </c>
      <c r="F299" t="s">
        <v>307</v>
      </c>
      <c r="G299">
        <v>2</v>
      </c>
    </row>
    <row r="300" spans="1:7" x14ac:dyDescent="0.25">
      <c r="A300">
        <v>10</v>
      </c>
      <c r="B300" t="s">
        <v>251</v>
      </c>
      <c r="C300">
        <v>468</v>
      </c>
      <c r="D300" t="str">
        <f>"1527-4764"</f>
        <v>1527-4764</v>
      </c>
      <c r="E300" t="s">
        <v>8</v>
      </c>
      <c r="F300" t="s">
        <v>308</v>
      </c>
      <c r="G300">
        <v>2</v>
      </c>
    </row>
    <row r="301" spans="1:7" x14ac:dyDescent="0.25">
      <c r="A301">
        <v>10</v>
      </c>
      <c r="B301" t="s">
        <v>251</v>
      </c>
      <c r="C301">
        <v>9332</v>
      </c>
      <c r="D301" t="str">
        <f>"1071-4421"</f>
        <v>1071-4421</v>
      </c>
      <c r="E301" t="s">
        <v>8</v>
      </c>
      <c r="F301" t="s">
        <v>309</v>
      </c>
      <c r="G301">
        <v>2</v>
      </c>
    </row>
    <row r="302" spans="1:7" x14ac:dyDescent="0.25">
      <c r="A302">
        <v>10</v>
      </c>
      <c r="B302" t="s">
        <v>251</v>
      </c>
      <c r="C302">
        <v>2861</v>
      </c>
      <c r="D302" t="str">
        <f>"0197-2243"</f>
        <v>0197-2243</v>
      </c>
      <c r="E302" t="s">
        <v>8</v>
      </c>
      <c r="F302" t="s">
        <v>310</v>
      </c>
      <c r="G302">
        <v>2</v>
      </c>
    </row>
    <row r="303" spans="1:7" x14ac:dyDescent="0.25">
      <c r="A303">
        <v>10</v>
      </c>
      <c r="B303" t="s">
        <v>251</v>
      </c>
      <c r="C303">
        <v>27687</v>
      </c>
      <c r="D303" t="str">
        <f>"1940-1612"</f>
        <v>1940-1612</v>
      </c>
      <c r="E303" t="s">
        <v>8</v>
      </c>
      <c r="F303" t="s">
        <v>311</v>
      </c>
      <c r="G303">
        <v>2</v>
      </c>
    </row>
    <row r="304" spans="1:7" x14ac:dyDescent="0.25">
      <c r="A304">
        <v>10</v>
      </c>
      <c r="B304" t="s">
        <v>251</v>
      </c>
      <c r="C304">
        <v>15068</v>
      </c>
      <c r="D304" t="str">
        <f>"1470-3572"</f>
        <v>1470-3572</v>
      </c>
      <c r="E304" t="s">
        <v>8</v>
      </c>
      <c r="F304" t="s">
        <v>312</v>
      </c>
      <c r="G304">
        <v>2</v>
      </c>
    </row>
    <row r="305" spans="1:7" x14ac:dyDescent="0.25">
      <c r="A305">
        <v>10</v>
      </c>
      <c r="B305" t="s">
        <v>251</v>
      </c>
      <c r="C305">
        <v>8547</v>
      </c>
      <c r="D305" t="str">
        <f>"0741-0883"</f>
        <v>0741-0883</v>
      </c>
      <c r="E305" t="s">
        <v>8</v>
      </c>
      <c r="F305" t="s">
        <v>313</v>
      </c>
      <c r="G305">
        <v>2</v>
      </c>
    </row>
    <row r="306" spans="1:7" x14ac:dyDescent="0.25">
      <c r="A306">
        <v>10</v>
      </c>
      <c r="B306" t="s">
        <v>251</v>
      </c>
      <c r="C306">
        <v>8783194</v>
      </c>
      <c r="D306" t="str">
        <f>"2380-8985"</f>
        <v>2380-8985</v>
      </c>
      <c r="E306" t="s">
        <v>8</v>
      </c>
      <c r="F306" t="s">
        <v>314</v>
      </c>
      <c r="G306">
        <v>1</v>
      </c>
    </row>
    <row r="307" spans="1:7" x14ac:dyDescent="0.25">
      <c r="A307">
        <v>10</v>
      </c>
      <c r="B307" t="s">
        <v>251</v>
      </c>
      <c r="C307">
        <v>8782628</v>
      </c>
      <c r="D307" t="str">
        <f>"2469-4312"</f>
        <v>2469-4312</v>
      </c>
      <c r="E307" t="s">
        <v>8</v>
      </c>
      <c r="F307" t="s">
        <v>315</v>
      </c>
      <c r="G307">
        <v>1</v>
      </c>
    </row>
    <row r="308" spans="1:7" x14ac:dyDescent="0.25">
      <c r="A308">
        <v>10</v>
      </c>
      <c r="B308" t="s">
        <v>251</v>
      </c>
      <c r="C308">
        <v>56806</v>
      </c>
      <c r="D308" t="str">
        <f>"1603-5194"</f>
        <v>1603-5194</v>
      </c>
      <c r="E308" t="s">
        <v>8</v>
      </c>
      <c r="F308" s="1">
        <v>0.67291666666666661</v>
      </c>
      <c r="G308">
        <v>1</v>
      </c>
    </row>
    <row r="309" spans="1:7" x14ac:dyDescent="0.25">
      <c r="A309">
        <v>10</v>
      </c>
      <c r="B309" t="s">
        <v>251</v>
      </c>
      <c r="C309">
        <v>180012</v>
      </c>
      <c r="D309" t="str">
        <f>"2328-4927"</f>
        <v>2328-4927</v>
      </c>
      <c r="E309" t="s">
        <v>8</v>
      </c>
      <c r="F309" t="s">
        <v>316</v>
      </c>
      <c r="G309">
        <v>1</v>
      </c>
    </row>
    <row r="310" spans="1:7" x14ac:dyDescent="0.25">
      <c r="A310">
        <v>10</v>
      </c>
      <c r="B310" t="s">
        <v>251</v>
      </c>
      <c r="C310">
        <v>119046</v>
      </c>
      <c r="D310" t="str">
        <f>"1536-2426"</f>
        <v>1536-2426</v>
      </c>
      <c r="E310" t="s">
        <v>8</v>
      </c>
      <c r="F310" t="s">
        <v>317</v>
      </c>
      <c r="G310">
        <v>1</v>
      </c>
    </row>
    <row r="311" spans="1:7" x14ac:dyDescent="0.25">
      <c r="A311">
        <v>10</v>
      </c>
      <c r="B311" t="s">
        <v>251</v>
      </c>
      <c r="C311">
        <v>5758</v>
      </c>
      <c r="E311" t="s">
        <v>8</v>
      </c>
      <c r="F311" t="s">
        <v>318</v>
      </c>
      <c r="G311">
        <v>1</v>
      </c>
    </row>
    <row r="312" spans="1:7" x14ac:dyDescent="0.25">
      <c r="A312">
        <v>10</v>
      </c>
      <c r="B312" t="s">
        <v>251</v>
      </c>
      <c r="C312">
        <v>8783696</v>
      </c>
      <c r="E312" t="s">
        <v>15</v>
      </c>
      <c r="F312" t="s">
        <v>319</v>
      </c>
      <c r="G312">
        <v>1</v>
      </c>
    </row>
    <row r="313" spans="1:7" x14ac:dyDescent="0.25">
      <c r="A313">
        <v>10</v>
      </c>
      <c r="B313" t="s">
        <v>251</v>
      </c>
      <c r="C313">
        <v>16014</v>
      </c>
      <c r="E313" t="s">
        <v>8</v>
      </c>
      <c r="F313" t="s">
        <v>320</v>
      </c>
      <c r="G313">
        <v>1</v>
      </c>
    </row>
    <row r="314" spans="1:7" x14ac:dyDescent="0.25">
      <c r="A314">
        <v>10</v>
      </c>
      <c r="B314" t="s">
        <v>251</v>
      </c>
      <c r="C314">
        <v>7661634</v>
      </c>
      <c r="D314" t="str">
        <f>"1938-0402"</f>
        <v>1938-0402</v>
      </c>
      <c r="E314" t="s">
        <v>8</v>
      </c>
      <c r="F314" t="s">
        <v>321</v>
      </c>
      <c r="G314">
        <v>1</v>
      </c>
    </row>
    <row r="315" spans="1:7" x14ac:dyDescent="0.25">
      <c r="A315">
        <v>10</v>
      </c>
      <c r="B315" t="s">
        <v>251</v>
      </c>
      <c r="C315">
        <v>21616</v>
      </c>
      <c r="D315" t="str">
        <f>"0882-1127"</f>
        <v>0882-1127</v>
      </c>
      <c r="E315" t="s">
        <v>8</v>
      </c>
      <c r="F315" t="s">
        <v>322</v>
      </c>
      <c r="G315">
        <v>1</v>
      </c>
    </row>
    <row r="316" spans="1:7" x14ac:dyDescent="0.25">
      <c r="A316">
        <v>10</v>
      </c>
      <c r="B316" t="s">
        <v>251</v>
      </c>
      <c r="C316">
        <v>4217</v>
      </c>
      <c r="D316" t="str">
        <f>"1054-7479"</f>
        <v>1054-7479</v>
      </c>
      <c r="E316" t="s">
        <v>8</v>
      </c>
      <c r="F316" t="s">
        <v>323</v>
      </c>
      <c r="G316">
        <v>1</v>
      </c>
    </row>
    <row r="317" spans="1:7" x14ac:dyDescent="0.25">
      <c r="A317">
        <v>10</v>
      </c>
      <c r="B317" t="s">
        <v>251</v>
      </c>
      <c r="C317">
        <v>13942</v>
      </c>
      <c r="D317" t="str">
        <f>"0211-2175"</f>
        <v>0211-2175</v>
      </c>
      <c r="E317" t="s">
        <v>8</v>
      </c>
      <c r="F317" t="s">
        <v>324</v>
      </c>
      <c r="G317">
        <v>1</v>
      </c>
    </row>
    <row r="318" spans="1:7" x14ac:dyDescent="0.25">
      <c r="A318">
        <v>10</v>
      </c>
      <c r="B318" t="s">
        <v>251</v>
      </c>
      <c r="C318">
        <v>19562</v>
      </c>
      <c r="D318" t="str">
        <f>"1746-8477"</f>
        <v>1746-8477</v>
      </c>
      <c r="E318" t="s">
        <v>8</v>
      </c>
      <c r="F318" t="s">
        <v>325</v>
      </c>
      <c r="G318">
        <v>1</v>
      </c>
    </row>
    <row r="319" spans="1:7" x14ac:dyDescent="0.25">
      <c r="A319">
        <v>10</v>
      </c>
      <c r="B319" t="s">
        <v>251</v>
      </c>
      <c r="C319">
        <v>579</v>
      </c>
      <c r="D319" t="str">
        <f>"1326-365X"</f>
        <v>1326-365X</v>
      </c>
      <c r="E319" t="s">
        <v>8</v>
      </c>
      <c r="F319" t="s">
        <v>326</v>
      </c>
      <c r="G319">
        <v>1</v>
      </c>
    </row>
    <row r="320" spans="1:7" x14ac:dyDescent="0.25">
      <c r="A320">
        <v>10</v>
      </c>
      <c r="B320" t="s">
        <v>251</v>
      </c>
      <c r="C320">
        <v>472</v>
      </c>
      <c r="D320" t="str">
        <f>"0129-2986"</f>
        <v>0129-2986</v>
      </c>
      <c r="E320" t="s">
        <v>8</v>
      </c>
      <c r="F320" t="s">
        <v>327</v>
      </c>
      <c r="G320">
        <v>1</v>
      </c>
    </row>
    <row r="321" spans="1:7" x14ac:dyDescent="0.25">
      <c r="A321">
        <v>10</v>
      </c>
      <c r="B321" t="s">
        <v>251</v>
      </c>
      <c r="C321">
        <v>2190</v>
      </c>
      <c r="D321" t="str">
        <f>"1545-6870"</f>
        <v>1545-6870</v>
      </c>
      <c r="E321" t="s">
        <v>8</v>
      </c>
      <c r="F321" t="s">
        <v>328</v>
      </c>
      <c r="G321">
        <v>1</v>
      </c>
    </row>
    <row r="322" spans="1:7" x14ac:dyDescent="0.25">
      <c r="A322">
        <v>10</v>
      </c>
      <c r="B322" t="s">
        <v>251</v>
      </c>
      <c r="C322">
        <v>19668</v>
      </c>
      <c r="D322" t="str">
        <f>"0810-2686"</f>
        <v>0810-2686</v>
      </c>
      <c r="E322" t="s">
        <v>8</v>
      </c>
      <c r="F322" t="s">
        <v>329</v>
      </c>
      <c r="G322">
        <v>1</v>
      </c>
    </row>
    <row r="323" spans="1:7" x14ac:dyDescent="0.25">
      <c r="A323">
        <v>10</v>
      </c>
      <c r="B323" t="s">
        <v>251</v>
      </c>
      <c r="C323">
        <v>8783389</v>
      </c>
      <c r="E323" t="s">
        <v>8</v>
      </c>
      <c r="F323" t="s">
        <v>330</v>
      </c>
      <c r="G323">
        <v>1</v>
      </c>
    </row>
    <row r="324" spans="1:7" x14ac:dyDescent="0.25">
      <c r="A324">
        <v>10</v>
      </c>
      <c r="B324" t="s">
        <v>251</v>
      </c>
      <c r="C324">
        <v>795</v>
      </c>
      <c r="D324" t="str">
        <f>"1499-7185"</f>
        <v>1499-7185</v>
      </c>
      <c r="E324" t="s">
        <v>8</v>
      </c>
      <c r="F324" t="s">
        <v>331</v>
      </c>
      <c r="G324">
        <v>1</v>
      </c>
    </row>
    <row r="325" spans="1:7" x14ac:dyDescent="0.25">
      <c r="A325">
        <v>10</v>
      </c>
      <c r="B325" t="s">
        <v>251</v>
      </c>
      <c r="C325">
        <v>7704713</v>
      </c>
      <c r="D325" t="str">
        <f>"2042-8022"</f>
        <v>2042-8022</v>
      </c>
      <c r="E325" t="s">
        <v>8</v>
      </c>
      <c r="F325" t="s">
        <v>332</v>
      </c>
      <c r="G325">
        <v>1</v>
      </c>
    </row>
    <row r="326" spans="1:7" x14ac:dyDescent="0.25">
      <c r="A326">
        <v>10</v>
      </c>
      <c r="B326" t="s">
        <v>251</v>
      </c>
      <c r="C326">
        <v>8782446</v>
      </c>
      <c r="D326" t="str">
        <f>"2329-4906"</f>
        <v>2329-4906</v>
      </c>
      <c r="E326" t="s">
        <v>8</v>
      </c>
      <c r="F326" t="s">
        <v>333</v>
      </c>
      <c r="G326">
        <v>1</v>
      </c>
    </row>
    <row r="327" spans="1:7" x14ac:dyDescent="0.25">
      <c r="A327">
        <v>10</v>
      </c>
      <c r="B327" t="s">
        <v>251</v>
      </c>
      <c r="C327">
        <v>5631</v>
      </c>
      <c r="D327" t="str">
        <f>"0270-5346"</f>
        <v>0270-5346</v>
      </c>
      <c r="E327" t="s">
        <v>8</v>
      </c>
      <c r="F327" t="s">
        <v>334</v>
      </c>
      <c r="G327">
        <v>1</v>
      </c>
    </row>
    <row r="328" spans="1:7" x14ac:dyDescent="0.25">
      <c r="A328">
        <v>10</v>
      </c>
      <c r="B328" t="s">
        <v>251</v>
      </c>
      <c r="C328">
        <v>8513</v>
      </c>
      <c r="D328" t="str">
        <f>"0705-3657"</f>
        <v>0705-3657</v>
      </c>
      <c r="E328" t="s">
        <v>8</v>
      </c>
      <c r="F328" t="s">
        <v>335</v>
      </c>
      <c r="G328">
        <v>1</v>
      </c>
    </row>
    <row r="329" spans="1:7" x14ac:dyDescent="0.25">
      <c r="A329">
        <v>10</v>
      </c>
      <c r="B329" t="s">
        <v>251</v>
      </c>
      <c r="C329">
        <v>24453</v>
      </c>
      <c r="D329" t="str">
        <f>"0847-5911"</f>
        <v>0847-5911</v>
      </c>
      <c r="E329" t="s">
        <v>8</v>
      </c>
      <c r="F329" t="s">
        <v>336</v>
      </c>
      <c r="G329">
        <v>1</v>
      </c>
    </row>
    <row r="330" spans="1:7" x14ac:dyDescent="0.25">
      <c r="A330">
        <v>10</v>
      </c>
      <c r="B330" t="s">
        <v>251</v>
      </c>
      <c r="C330">
        <v>156013</v>
      </c>
      <c r="D330" t="str">
        <f>"1899-5101"</f>
        <v>1899-5101</v>
      </c>
      <c r="E330" t="s">
        <v>8</v>
      </c>
      <c r="F330" t="s">
        <v>337</v>
      </c>
      <c r="G330">
        <v>1</v>
      </c>
    </row>
    <row r="331" spans="1:7" x14ac:dyDescent="0.25">
      <c r="A331">
        <v>10</v>
      </c>
      <c r="B331" t="s">
        <v>251</v>
      </c>
      <c r="C331">
        <v>23186</v>
      </c>
      <c r="D331" t="str">
        <f>"1754-4750"</f>
        <v>1754-4750</v>
      </c>
      <c r="E331" t="s">
        <v>8</v>
      </c>
      <c r="F331" t="s">
        <v>338</v>
      </c>
      <c r="G331">
        <v>1</v>
      </c>
    </row>
    <row r="332" spans="1:7" x14ac:dyDescent="0.25">
      <c r="A332">
        <v>10</v>
      </c>
      <c r="B332" t="s">
        <v>251</v>
      </c>
      <c r="C332">
        <v>8758238</v>
      </c>
      <c r="E332" t="s">
        <v>8</v>
      </c>
      <c r="F332" t="s">
        <v>339</v>
      </c>
      <c r="G332">
        <v>1</v>
      </c>
    </row>
    <row r="333" spans="1:7" x14ac:dyDescent="0.25">
      <c r="A333">
        <v>10</v>
      </c>
      <c r="B333" t="s">
        <v>251</v>
      </c>
      <c r="C333">
        <v>1792</v>
      </c>
      <c r="D333" t="str">
        <f>"0009-7039"</f>
        <v>0009-7039</v>
      </c>
      <c r="E333" t="s">
        <v>8</v>
      </c>
      <c r="F333" t="s">
        <v>340</v>
      </c>
      <c r="G333">
        <v>1</v>
      </c>
    </row>
    <row r="334" spans="1:7" x14ac:dyDescent="0.25">
      <c r="A334">
        <v>10</v>
      </c>
      <c r="B334" t="s">
        <v>251</v>
      </c>
      <c r="C334">
        <v>7690117</v>
      </c>
      <c r="D334" t="str">
        <f>"2035-5270"</f>
        <v>2035-5270</v>
      </c>
      <c r="E334" t="s">
        <v>8</v>
      </c>
      <c r="F334" t="s">
        <v>341</v>
      </c>
      <c r="G334">
        <v>1</v>
      </c>
    </row>
    <row r="335" spans="1:7" x14ac:dyDescent="0.25">
      <c r="A335">
        <v>10</v>
      </c>
      <c r="B335" t="s">
        <v>251</v>
      </c>
      <c r="C335">
        <v>5300</v>
      </c>
      <c r="D335" t="str">
        <f>"1181-6945"</f>
        <v>1181-6945</v>
      </c>
      <c r="E335" t="s">
        <v>8</v>
      </c>
      <c r="F335" t="s">
        <v>342</v>
      </c>
      <c r="G335">
        <v>1</v>
      </c>
    </row>
    <row r="336" spans="1:7" x14ac:dyDescent="0.25">
      <c r="A336">
        <v>10</v>
      </c>
      <c r="B336" t="s">
        <v>251</v>
      </c>
      <c r="C336">
        <v>180009</v>
      </c>
      <c r="D336" t="str">
        <f>"0718-8285"</f>
        <v>0718-8285</v>
      </c>
      <c r="E336" t="s">
        <v>8</v>
      </c>
      <c r="F336" t="s">
        <v>343</v>
      </c>
      <c r="G336">
        <v>1</v>
      </c>
    </row>
    <row r="337" spans="1:7" x14ac:dyDescent="0.25">
      <c r="A337">
        <v>10</v>
      </c>
      <c r="B337" t="s">
        <v>251</v>
      </c>
      <c r="C337">
        <v>18515</v>
      </c>
      <c r="D337" t="str">
        <f>"0010-194X"</f>
        <v>0010-194X</v>
      </c>
      <c r="E337" t="s">
        <v>8</v>
      </c>
      <c r="F337" t="s">
        <v>344</v>
      </c>
      <c r="G337">
        <v>1</v>
      </c>
    </row>
    <row r="338" spans="1:7" x14ac:dyDescent="0.25">
      <c r="A338">
        <v>10</v>
      </c>
      <c r="B338" t="s">
        <v>251</v>
      </c>
      <c r="C338">
        <v>8783835</v>
      </c>
      <c r="E338" t="s">
        <v>15</v>
      </c>
      <c r="F338" t="s">
        <v>345</v>
      </c>
      <c r="G338">
        <v>1</v>
      </c>
    </row>
    <row r="339" spans="1:7" x14ac:dyDescent="0.25">
      <c r="A339">
        <v>10</v>
      </c>
      <c r="B339" t="s">
        <v>251</v>
      </c>
      <c r="C339">
        <v>24786</v>
      </c>
      <c r="D339" t="str">
        <f>"0250-0167"</f>
        <v>0250-0167</v>
      </c>
      <c r="E339" t="s">
        <v>8</v>
      </c>
      <c r="F339" t="s">
        <v>346</v>
      </c>
      <c r="G339">
        <v>1</v>
      </c>
    </row>
    <row r="340" spans="1:7" x14ac:dyDescent="0.25">
      <c r="A340">
        <v>10</v>
      </c>
      <c r="B340" t="s">
        <v>251</v>
      </c>
      <c r="C340">
        <v>21251</v>
      </c>
      <c r="D340" t="str">
        <f>"1612-1783"</f>
        <v>1612-1783</v>
      </c>
      <c r="E340" t="s">
        <v>8</v>
      </c>
      <c r="F340" t="s">
        <v>347</v>
      </c>
      <c r="G340">
        <v>1</v>
      </c>
    </row>
    <row r="341" spans="1:7" x14ac:dyDescent="0.25">
      <c r="A341">
        <v>10</v>
      </c>
      <c r="B341" t="s">
        <v>251</v>
      </c>
      <c r="C341">
        <v>10462</v>
      </c>
      <c r="D341" t="str">
        <f>"1479-1420"</f>
        <v>1479-1420</v>
      </c>
      <c r="E341" t="s">
        <v>8</v>
      </c>
      <c r="F341" t="s">
        <v>348</v>
      </c>
      <c r="G341">
        <v>1</v>
      </c>
    </row>
    <row r="342" spans="1:7" x14ac:dyDescent="0.25">
      <c r="A342">
        <v>10</v>
      </c>
      <c r="B342" t="s">
        <v>251</v>
      </c>
      <c r="C342">
        <v>8783836</v>
      </c>
      <c r="E342" t="s">
        <v>15</v>
      </c>
      <c r="F342" t="s">
        <v>349</v>
      </c>
      <c r="G342">
        <v>1</v>
      </c>
    </row>
    <row r="343" spans="1:7" x14ac:dyDescent="0.25">
      <c r="A343">
        <v>10</v>
      </c>
      <c r="B343" t="s">
        <v>251</v>
      </c>
      <c r="C343">
        <v>8776082</v>
      </c>
      <c r="D343" t="str">
        <f>"2057-0473"</f>
        <v>2057-0473</v>
      </c>
      <c r="E343" t="s">
        <v>8</v>
      </c>
      <c r="F343" t="s">
        <v>350</v>
      </c>
      <c r="G343">
        <v>1</v>
      </c>
    </row>
    <row r="344" spans="1:7" x14ac:dyDescent="0.25">
      <c r="A344">
        <v>10</v>
      </c>
      <c r="B344" t="s">
        <v>251</v>
      </c>
      <c r="C344">
        <v>23449</v>
      </c>
      <c r="D344" t="str">
        <f>"1094-8007"</f>
        <v>1094-8007</v>
      </c>
      <c r="E344" t="s">
        <v>8</v>
      </c>
      <c r="F344" t="s">
        <v>351</v>
      </c>
      <c r="G344">
        <v>1</v>
      </c>
    </row>
    <row r="345" spans="1:7" x14ac:dyDescent="0.25">
      <c r="A345">
        <v>10</v>
      </c>
      <c r="B345" t="s">
        <v>251</v>
      </c>
      <c r="C345">
        <v>7097</v>
      </c>
      <c r="D345" t="str">
        <f>"0363-4523"</f>
        <v>0363-4523</v>
      </c>
      <c r="E345" t="s">
        <v>8</v>
      </c>
      <c r="F345" t="s">
        <v>352</v>
      </c>
      <c r="G345">
        <v>1</v>
      </c>
    </row>
    <row r="346" spans="1:7" x14ac:dyDescent="0.25">
      <c r="A346">
        <v>10</v>
      </c>
      <c r="B346" t="s">
        <v>251</v>
      </c>
      <c r="C346">
        <v>16893</v>
      </c>
      <c r="D346" t="str">
        <f>"0146-3373"</f>
        <v>0146-3373</v>
      </c>
      <c r="E346" t="s">
        <v>8</v>
      </c>
      <c r="F346" t="s">
        <v>353</v>
      </c>
      <c r="G346">
        <v>1</v>
      </c>
    </row>
    <row r="347" spans="1:7" x14ac:dyDescent="0.25">
      <c r="A347">
        <v>10</v>
      </c>
      <c r="B347" t="s">
        <v>251</v>
      </c>
      <c r="C347">
        <v>12032</v>
      </c>
      <c r="D347" t="str">
        <f>"0893-4215"</f>
        <v>0893-4215</v>
      </c>
      <c r="E347" t="s">
        <v>8</v>
      </c>
      <c r="F347" t="s">
        <v>354</v>
      </c>
      <c r="G347">
        <v>1</v>
      </c>
    </row>
    <row r="348" spans="1:7" x14ac:dyDescent="0.25">
      <c r="A348">
        <v>10</v>
      </c>
      <c r="B348" t="s">
        <v>251</v>
      </c>
      <c r="C348">
        <v>8758237</v>
      </c>
      <c r="D348" t="str">
        <f>"2204-1451"</f>
        <v>2204-1451</v>
      </c>
      <c r="E348" t="s">
        <v>8</v>
      </c>
      <c r="F348" t="s">
        <v>355</v>
      </c>
      <c r="G348">
        <v>1</v>
      </c>
    </row>
    <row r="349" spans="1:7" x14ac:dyDescent="0.25">
      <c r="A349">
        <v>10</v>
      </c>
      <c r="B349" t="s">
        <v>251</v>
      </c>
      <c r="C349">
        <v>25130</v>
      </c>
      <c r="D349" t="str">
        <f>"0882-4096"</f>
        <v>0882-4096</v>
      </c>
      <c r="E349" t="s">
        <v>8</v>
      </c>
      <c r="F349" t="s">
        <v>356</v>
      </c>
      <c r="G349">
        <v>1</v>
      </c>
    </row>
    <row r="350" spans="1:7" x14ac:dyDescent="0.25">
      <c r="A350">
        <v>10</v>
      </c>
      <c r="B350" t="s">
        <v>251</v>
      </c>
      <c r="C350">
        <v>1404</v>
      </c>
      <c r="D350" t="str">
        <f>"1051-0974"</f>
        <v>1051-0974</v>
      </c>
      <c r="E350" t="s">
        <v>8</v>
      </c>
      <c r="F350" t="s">
        <v>357</v>
      </c>
      <c r="G350">
        <v>1</v>
      </c>
    </row>
    <row r="351" spans="1:7" x14ac:dyDescent="0.25">
      <c r="A351">
        <v>10</v>
      </c>
      <c r="B351" t="s">
        <v>251</v>
      </c>
      <c r="C351">
        <v>6195</v>
      </c>
      <c r="D351" t="str">
        <f>"1740-4622"</f>
        <v>1740-4622</v>
      </c>
      <c r="E351" t="s">
        <v>8</v>
      </c>
      <c r="F351" t="s">
        <v>358</v>
      </c>
      <c r="G351">
        <v>1</v>
      </c>
    </row>
    <row r="352" spans="1:7" x14ac:dyDescent="0.25">
      <c r="A352">
        <v>10</v>
      </c>
      <c r="B352" t="s">
        <v>251</v>
      </c>
      <c r="C352">
        <v>19428</v>
      </c>
      <c r="D352" t="str">
        <f>"0341-2059"</f>
        <v>0341-2059</v>
      </c>
      <c r="E352" t="s">
        <v>8</v>
      </c>
      <c r="F352" t="s">
        <v>359</v>
      </c>
      <c r="G352">
        <v>1</v>
      </c>
    </row>
    <row r="353" spans="1:7" x14ac:dyDescent="0.25">
      <c r="A353">
        <v>10</v>
      </c>
      <c r="B353" t="s">
        <v>251</v>
      </c>
      <c r="C353">
        <v>6679</v>
      </c>
      <c r="D353" t="str">
        <f>"1157-8637"</f>
        <v>1157-8637</v>
      </c>
      <c r="E353" t="s">
        <v>8</v>
      </c>
      <c r="F353" t="s">
        <v>360</v>
      </c>
      <c r="G353">
        <v>1</v>
      </c>
    </row>
    <row r="354" spans="1:7" x14ac:dyDescent="0.25">
      <c r="A354">
        <v>10</v>
      </c>
      <c r="B354" t="s">
        <v>251</v>
      </c>
      <c r="C354">
        <v>82948</v>
      </c>
      <c r="D354" t="str">
        <f>"1645-2089"</f>
        <v>1645-2089</v>
      </c>
      <c r="E354" t="s">
        <v>8</v>
      </c>
      <c r="F354" t="s">
        <v>361</v>
      </c>
      <c r="G354">
        <v>1</v>
      </c>
    </row>
    <row r="355" spans="1:7" x14ac:dyDescent="0.25">
      <c r="A355">
        <v>10</v>
      </c>
      <c r="B355" t="s">
        <v>251</v>
      </c>
      <c r="C355">
        <v>68652</v>
      </c>
      <c r="D355" t="str">
        <f>"0188-252X"</f>
        <v>0188-252X</v>
      </c>
      <c r="E355" t="s">
        <v>8</v>
      </c>
      <c r="F355" t="s">
        <v>362</v>
      </c>
      <c r="G355">
        <v>1</v>
      </c>
    </row>
    <row r="356" spans="1:7" x14ac:dyDescent="0.25">
      <c r="A356">
        <v>10</v>
      </c>
      <c r="B356" t="s">
        <v>251</v>
      </c>
      <c r="C356">
        <v>3173</v>
      </c>
      <c r="E356" t="s">
        <v>8</v>
      </c>
      <c r="F356" t="s">
        <v>363</v>
      </c>
      <c r="G356">
        <v>1</v>
      </c>
    </row>
    <row r="357" spans="1:7" x14ac:dyDescent="0.25">
      <c r="A357">
        <v>10</v>
      </c>
      <c r="B357" t="s">
        <v>251</v>
      </c>
      <c r="C357">
        <v>8782467</v>
      </c>
      <c r="D357" t="str">
        <f>"1002-4646"</f>
        <v>1002-4646</v>
      </c>
      <c r="E357" t="s">
        <v>8</v>
      </c>
      <c r="F357" t="s">
        <v>364</v>
      </c>
      <c r="G357">
        <v>1</v>
      </c>
    </row>
    <row r="358" spans="1:7" x14ac:dyDescent="0.25">
      <c r="A358">
        <v>10</v>
      </c>
      <c r="B358" t="s">
        <v>251</v>
      </c>
      <c r="C358">
        <v>12841</v>
      </c>
      <c r="D358" t="str">
        <f>"1030-4312"</f>
        <v>1030-4312</v>
      </c>
      <c r="E358" t="s">
        <v>8</v>
      </c>
      <c r="F358" t="s">
        <v>365</v>
      </c>
      <c r="G358">
        <v>1</v>
      </c>
    </row>
    <row r="359" spans="1:7" x14ac:dyDescent="0.25">
      <c r="A359">
        <v>10</v>
      </c>
      <c r="B359" t="s">
        <v>251</v>
      </c>
      <c r="C359">
        <v>16224</v>
      </c>
      <c r="D359" t="str">
        <f>"1363-3589"</f>
        <v>1363-3589</v>
      </c>
      <c r="E359" t="s">
        <v>8</v>
      </c>
      <c r="F359" t="s">
        <v>366</v>
      </c>
      <c r="G359">
        <v>1</v>
      </c>
    </row>
    <row r="360" spans="1:7" x14ac:dyDescent="0.25">
      <c r="A360">
        <v>10</v>
      </c>
      <c r="B360" t="s">
        <v>251</v>
      </c>
      <c r="C360">
        <v>22484</v>
      </c>
      <c r="D360" t="str">
        <f>"1751-0694"</f>
        <v>1751-0694</v>
      </c>
      <c r="E360" t="s">
        <v>8</v>
      </c>
      <c r="F360" t="s">
        <v>367</v>
      </c>
      <c r="G360">
        <v>1</v>
      </c>
    </row>
    <row r="361" spans="1:7" x14ac:dyDescent="0.25">
      <c r="A361">
        <v>10</v>
      </c>
      <c r="B361" t="s">
        <v>251</v>
      </c>
      <c r="C361">
        <v>8758236</v>
      </c>
      <c r="E361" t="s">
        <v>15</v>
      </c>
      <c r="F361" t="s">
        <v>368</v>
      </c>
      <c r="G361">
        <v>1</v>
      </c>
    </row>
    <row r="362" spans="1:7" x14ac:dyDescent="0.25">
      <c r="A362">
        <v>10</v>
      </c>
      <c r="B362" t="s">
        <v>251</v>
      </c>
      <c r="C362">
        <v>13373</v>
      </c>
      <c r="D362" t="str">
        <f>"1741-6590"</f>
        <v>1741-6590</v>
      </c>
      <c r="E362" t="s">
        <v>8</v>
      </c>
      <c r="F362" t="s">
        <v>369</v>
      </c>
      <c r="G362">
        <v>1</v>
      </c>
    </row>
    <row r="363" spans="1:7" x14ac:dyDescent="0.25">
      <c r="A363">
        <v>10</v>
      </c>
      <c r="B363" t="s">
        <v>251</v>
      </c>
      <c r="C363">
        <v>180002</v>
      </c>
      <c r="E363" t="s">
        <v>15</v>
      </c>
      <c r="F363" t="s">
        <v>370</v>
      </c>
      <c r="G363">
        <v>1</v>
      </c>
    </row>
    <row r="364" spans="1:7" x14ac:dyDescent="0.25">
      <c r="A364">
        <v>10</v>
      </c>
      <c r="B364" t="s">
        <v>251</v>
      </c>
      <c r="C364">
        <v>8783837</v>
      </c>
      <c r="E364" t="s">
        <v>15</v>
      </c>
      <c r="F364" t="s">
        <v>371</v>
      </c>
      <c r="G364">
        <v>1</v>
      </c>
    </row>
    <row r="365" spans="1:7" x14ac:dyDescent="0.25">
      <c r="A365">
        <v>10</v>
      </c>
      <c r="B365" t="s">
        <v>251</v>
      </c>
      <c r="C365">
        <v>1048</v>
      </c>
      <c r="D365" t="str">
        <f>"1529-5036"</f>
        <v>1529-5036</v>
      </c>
      <c r="E365" t="s">
        <v>8</v>
      </c>
      <c r="F365" t="s">
        <v>372</v>
      </c>
      <c r="G365">
        <v>1</v>
      </c>
    </row>
    <row r="366" spans="1:7" x14ac:dyDescent="0.25">
      <c r="A366">
        <v>10</v>
      </c>
      <c r="B366" t="s">
        <v>251</v>
      </c>
      <c r="C366">
        <v>18837</v>
      </c>
      <c r="D366" t="str">
        <f>"1749-6020"</f>
        <v>1749-6020</v>
      </c>
      <c r="E366" t="s">
        <v>8</v>
      </c>
      <c r="F366" t="s">
        <v>373</v>
      </c>
      <c r="G366">
        <v>1</v>
      </c>
    </row>
    <row r="367" spans="1:7" x14ac:dyDescent="0.25">
      <c r="A367">
        <v>10</v>
      </c>
      <c r="B367" t="s">
        <v>251</v>
      </c>
      <c r="C367">
        <v>8783697</v>
      </c>
      <c r="E367" t="s">
        <v>15</v>
      </c>
      <c r="F367" t="s">
        <v>374</v>
      </c>
      <c r="G367">
        <v>1</v>
      </c>
    </row>
    <row r="368" spans="1:7" x14ac:dyDescent="0.25">
      <c r="A368">
        <v>10</v>
      </c>
      <c r="B368" t="s">
        <v>251</v>
      </c>
      <c r="C368">
        <v>1362</v>
      </c>
      <c r="D368" t="str">
        <f>"1522-5321"</f>
        <v>1522-5321</v>
      </c>
      <c r="E368" t="s">
        <v>8</v>
      </c>
      <c r="F368" t="s">
        <v>375</v>
      </c>
      <c r="G368">
        <v>1</v>
      </c>
    </row>
    <row r="369" spans="1:7" x14ac:dyDescent="0.25">
      <c r="A369">
        <v>10</v>
      </c>
      <c r="B369" t="s">
        <v>251</v>
      </c>
      <c r="C369">
        <v>45779</v>
      </c>
      <c r="D369" t="str">
        <f>"1008-1569"</f>
        <v>1008-1569</v>
      </c>
      <c r="E369" t="s">
        <v>8</v>
      </c>
      <c r="F369" t="s">
        <v>376</v>
      </c>
      <c r="G369">
        <v>1</v>
      </c>
    </row>
    <row r="370" spans="1:7" x14ac:dyDescent="0.25">
      <c r="A370">
        <v>10</v>
      </c>
      <c r="B370" t="s">
        <v>251</v>
      </c>
      <c r="C370">
        <v>1288</v>
      </c>
      <c r="D370" t="str">
        <f>"0256-0054"</f>
        <v>0256-0054</v>
      </c>
      <c r="E370" t="s">
        <v>8</v>
      </c>
      <c r="F370" t="s">
        <v>377</v>
      </c>
      <c r="G370">
        <v>1</v>
      </c>
    </row>
    <row r="371" spans="1:7" x14ac:dyDescent="0.25">
      <c r="A371">
        <v>10</v>
      </c>
      <c r="B371" t="s">
        <v>251</v>
      </c>
      <c r="C371">
        <v>8127</v>
      </c>
      <c r="D371" t="str">
        <f>"0931-3079"</f>
        <v>0931-3079</v>
      </c>
      <c r="E371" t="s">
        <v>8</v>
      </c>
      <c r="F371" t="s">
        <v>378</v>
      </c>
      <c r="G371">
        <v>1</v>
      </c>
    </row>
    <row r="372" spans="1:7" x14ac:dyDescent="0.25">
      <c r="A372">
        <v>10</v>
      </c>
      <c r="B372" t="s">
        <v>251</v>
      </c>
      <c r="C372">
        <v>8783838</v>
      </c>
      <c r="E372" t="s">
        <v>15</v>
      </c>
      <c r="F372" t="s">
        <v>379</v>
      </c>
      <c r="G372">
        <v>1</v>
      </c>
    </row>
    <row r="373" spans="1:7" x14ac:dyDescent="0.25">
      <c r="A373">
        <v>10</v>
      </c>
      <c r="B373" t="s">
        <v>251</v>
      </c>
      <c r="C373">
        <v>8075</v>
      </c>
      <c r="D373" t="str">
        <f>"0952-3987"</f>
        <v>0952-3987</v>
      </c>
      <c r="E373" t="s">
        <v>8</v>
      </c>
      <c r="F373" t="s">
        <v>380</v>
      </c>
      <c r="G373">
        <v>1</v>
      </c>
    </row>
    <row r="374" spans="1:7" x14ac:dyDescent="0.25">
      <c r="A374">
        <v>10</v>
      </c>
      <c r="B374" t="s">
        <v>251</v>
      </c>
      <c r="C374">
        <v>14298</v>
      </c>
      <c r="D374" t="str">
        <f>"1183-5656"</f>
        <v>1183-5656</v>
      </c>
      <c r="E374" t="s">
        <v>8</v>
      </c>
      <c r="F374" t="s">
        <v>381</v>
      </c>
      <c r="G374">
        <v>1</v>
      </c>
    </row>
    <row r="375" spans="1:7" x14ac:dyDescent="0.25">
      <c r="A375">
        <v>10</v>
      </c>
      <c r="B375" t="s">
        <v>251</v>
      </c>
      <c r="C375">
        <v>15385</v>
      </c>
      <c r="D375" t="str">
        <f>"1019-6781"</f>
        <v>1019-6781</v>
      </c>
      <c r="E375" t="s">
        <v>8</v>
      </c>
      <c r="F375" t="s">
        <v>382</v>
      </c>
      <c r="G375">
        <v>1</v>
      </c>
    </row>
    <row r="376" spans="1:7" x14ac:dyDescent="0.25">
      <c r="A376">
        <v>10</v>
      </c>
      <c r="B376" t="s">
        <v>251</v>
      </c>
      <c r="C376">
        <v>27811</v>
      </c>
      <c r="D376" t="str">
        <f>"1866-6124"</f>
        <v>1866-6124</v>
      </c>
      <c r="E376" t="s">
        <v>8</v>
      </c>
      <c r="F376" t="s">
        <v>383</v>
      </c>
      <c r="G376">
        <v>1</v>
      </c>
    </row>
    <row r="377" spans="1:7" x14ac:dyDescent="0.25">
      <c r="A377">
        <v>10</v>
      </c>
      <c r="B377" t="s">
        <v>251</v>
      </c>
      <c r="C377">
        <v>18827</v>
      </c>
      <c r="D377" t="str">
        <f>"1742-0105"</f>
        <v>1742-0105</v>
      </c>
      <c r="E377" t="s">
        <v>8</v>
      </c>
      <c r="F377" t="s">
        <v>384</v>
      </c>
      <c r="G377">
        <v>1</v>
      </c>
    </row>
    <row r="378" spans="1:7" x14ac:dyDescent="0.25">
      <c r="A378">
        <v>10</v>
      </c>
      <c r="B378" t="s">
        <v>251</v>
      </c>
      <c r="C378">
        <v>91938</v>
      </c>
      <c r="D378" t="str">
        <f>"1754-3797"</f>
        <v>1754-3797</v>
      </c>
      <c r="E378" t="s">
        <v>8</v>
      </c>
      <c r="F378" t="s">
        <v>385</v>
      </c>
      <c r="G378">
        <v>1</v>
      </c>
    </row>
    <row r="379" spans="1:7" x14ac:dyDescent="0.25">
      <c r="A379">
        <v>10</v>
      </c>
      <c r="B379" t="s">
        <v>251</v>
      </c>
      <c r="C379">
        <v>5596</v>
      </c>
      <c r="D379" t="str">
        <f>"1539-7785"</f>
        <v>1539-7785</v>
      </c>
      <c r="E379" t="s">
        <v>8</v>
      </c>
      <c r="F379" t="s">
        <v>386</v>
      </c>
      <c r="G379">
        <v>1</v>
      </c>
    </row>
    <row r="380" spans="1:7" x14ac:dyDescent="0.25">
      <c r="A380">
        <v>10</v>
      </c>
      <c r="B380" t="s">
        <v>251</v>
      </c>
      <c r="C380">
        <v>7269</v>
      </c>
      <c r="D380" t="str">
        <f>"0360-3695"</f>
        <v>0360-3695</v>
      </c>
      <c r="E380" t="s">
        <v>8</v>
      </c>
      <c r="F380" t="s">
        <v>387</v>
      </c>
      <c r="G380">
        <v>1</v>
      </c>
    </row>
    <row r="381" spans="1:7" x14ac:dyDescent="0.25">
      <c r="A381">
        <v>10</v>
      </c>
      <c r="B381" t="s">
        <v>251</v>
      </c>
      <c r="C381">
        <v>1263</v>
      </c>
      <c r="D381" t="str">
        <f>"0163-5069"</f>
        <v>0163-5069</v>
      </c>
      <c r="E381" t="s">
        <v>8</v>
      </c>
      <c r="F381" t="s">
        <v>388</v>
      </c>
      <c r="G381">
        <v>1</v>
      </c>
    </row>
    <row r="382" spans="1:7" x14ac:dyDescent="0.25">
      <c r="A382">
        <v>10</v>
      </c>
      <c r="B382" t="s">
        <v>251</v>
      </c>
      <c r="C382">
        <v>8783840</v>
      </c>
      <c r="D382" t="str">
        <f>"2524-3047"</f>
        <v>2524-3047</v>
      </c>
      <c r="E382" t="s">
        <v>15</v>
      </c>
      <c r="F382" t="s">
        <v>389</v>
      </c>
      <c r="G382">
        <v>1</v>
      </c>
    </row>
    <row r="383" spans="1:7" x14ac:dyDescent="0.25">
      <c r="A383">
        <v>10</v>
      </c>
      <c r="B383" t="s">
        <v>251</v>
      </c>
      <c r="C383">
        <v>156495</v>
      </c>
      <c r="E383" t="s">
        <v>8</v>
      </c>
      <c r="F383" t="s">
        <v>390</v>
      </c>
      <c r="G383">
        <v>1</v>
      </c>
    </row>
    <row r="384" spans="1:7" x14ac:dyDescent="0.25">
      <c r="A384">
        <v>10</v>
      </c>
      <c r="B384" t="s">
        <v>251</v>
      </c>
      <c r="C384">
        <v>3722</v>
      </c>
      <c r="D384" t="str">
        <f>"0306-7661"</f>
        <v>0306-7661</v>
      </c>
      <c r="E384" t="s">
        <v>8</v>
      </c>
      <c r="F384" t="s">
        <v>391</v>
      </c>
      <c r="G384">
        <v>1</v>
      </c>
    </row>
    <row r="385" spans="1:7" x14ac:dyDescent="0.25">
      <c r="A385">
        <v>10</v>
      </c>
      <c r="B385" t="s">
        <v>251</v>
      </c>
      <c r="C385">
        <v>8776766</v>
      </c>
      <c r="D385" t="str">
        <f>"2059-4364"</f>
        <v>2059-4364</v>
      </c>
      <c r="E385" t="s">
        <v>8</v>
      </c>
      <c r="F385" t="s">
        <v>392</v>
      </c>
      <c r="G385">
        <v>1</v>
      </c>
    </row>
    <row r="386" spans="1:7" x14ac:dyDescent="0.25">
      <c r="A386">
        <v>10</v>
      </c>
      <c r="B386" t="s">
        <v>251</v>
      </c>
      <c r="C386">
        <v>154092</v>
      </c>
      <c r="D386" t="str">
        <f>"1918-5901"</f>
        <v>1918-5901</v>
      </c>
      <c r="E386" t="s">
        <v>8</v>
      </c>
      <c r="F386" t="s">
        <v>393</v>
      </c>
      <c r="G386">
        <v>1</v>
      </c>
    </row>
    <row r="387" spans="1:7" x14ac:dyDescent="0.25">
      <c r="A387">
        <v>10</v>
      </c>
      <c r="B387" t="s">
        <v>251</v>
      </c>
      <c r="C387">
        <v>8783842</v>
      </c>
      <c r="E387" t="s">
        <v>15</v>
      </c>
      <c r="F387" t="s">
        <v>394</v>
      </c>
      <c r="G387">
        <v>1</v>
      </c>
    </row>
    <row r="388" spans="1:7" x14ac:dyDescent="0.25">
      <c r="A388">
        <v>10</v>
      </c>
      <c r="B388" t="s">
        <v>251</v>
      </c>
      <c r="C388">
        <v>3255</v>
      </c>
      <c r="D388" t="str">
        <f>"1526-3819"</f>
        <v>1526-3819</v>
      </c>
      <c r="E388" t="s">
        <v>8</v>
      </c>
      <c r="F388" t="s">
        <v>395</v>
      </c>
      <c r="G388">
        <v>1</v>
      </c>
    </row>
    <row r="389" spans="1:7" x14ac:dyDescent="0.25">
      <c r="A389">
        <v>10</v>
      </c>
      <c r="B389" t="s">
        <v>251</v>
      </c>
      <c r="C389">
        <v>7749607</v>
      </c>
      <c r="D389" t="str">
        <f>"2335-6618"</f>
        <v>2335-6618</v>
      </c>
      <c r="E389" t="s">
        <v>8</v>
      </c>
      <c r="F389" t="s">
        <v>396</v>
      </c>
      <c r="G389">
        <v>1</v>
      </c>
    </row>
    <row r="390" spans="1:7" x14ac:dyDescent="0.25">
      <c r="A390">
        <v>10</v>
      </c>
      <c r="B390" t="s">
        <v>251</v>
      </c>
      <c r="C390">
        <v>6133799</v>
      </c>
      <c r="E390" t="s">
        <v>15</v>
      </c>
      <c r="F390" t="s">
        <v>397</v>
      </c>
      <c r="G390">
        <v>1</v>
      </c>
    </row>
    <row r="391" spans="1:7" x14ac:dyDescent="0.25">
      <c r="A391">
        <v>10</v>
      </c>
      <c r="B391" t="s">
        <v>251</v>
      </c>
      <c r="C391">
        <v>8782853</v>
      </c>
      <c r="D391" t="str">
        <f>"2199-6288"</f>
        <v>2199-6288</v>
      </c>
      <c r="E391" t="s">
        <v>15</v>
      </c>
      <c r="F391" t="s">
        <v>398</v>
      </c>
      <c r="G391">
        <v>1</v>
      </c>
    </row>
    <row r="392" spans="1:7" x14ac:dyDescent="0.25">
      <c r="A392">
        <v>10</v>
      </c>
      <c r="B392" t="s">
        <v>251</v>
      </c>
      <c r="C392">
        <v>65504</v>
      </c>
      <c r="D392" t="str">
        <f>"1861-5090"</f>
        <v>1861-5090</v>
      </c>
      <c r="E392" t="s">
        <v>15</v>
      </c>
      <c r="F392" t="s">
        <v>399</v>
      </c>
      <c r="G392">
        <v>1</v>
      </c>
    </row>
    <row r="393" spans="1:7" x14ac:dyDescent="0.25">
      <c r="A393">
        <v>10</v>
      </c>
      <c r="B393" t="s">
        <v>251</v>
      </c>
      <c r="C393">
        <v>6140770</v>
      </c>
      <c r="D393" t="str">
        <f>"2040-3275"</f>
        <v>2040-3275</v>
      </c>
      <c r="E393" t="s">
        <v>8</v>
      </c>
      <c r="F393" t="s">
        <v>400</v>
      </c>
      <c r="G393">
        <v>1</v>
      </c>
    </row>
    <row r="394" spans="1:7" x14ac:dyDescent="0.25">
      <c r="A394">
        <v>10</v>
      </c>
      <c r="B394" t="s">
        <v>251</v>
      </c>
      <c r="C394">
        <v>5074</v>
      </c>
      <c r="D394" t="str">
        <f>"1064-6175"</f>
        <v>1064-6175</v>
      </c>
      <c r="E394" t="s">
        <v>8</v>
      </c>
      <c r="F394" t="s">
        <v>401</v>
      </c>
      <c r="G394">
        <v>1</v>
      </c>
    </row>
    <row r="395" spans="1:7" x14ac:dyDescent="0.25">
      <c r="A395">
        <v>10</v>
      </c>
      <c r="B395" t="s">
        <v>251</v>
      </c>
      <c r="C395">
        <v>8758241</v>
      </c>
      <c r="E395" t="s">
        <v>8</v>
      </c>
      <c r="F395" t="s">
        <v>402</v>
      </c>
      <c r="G395">
        <v>1</v>
      </c>
    </row>
    <row r="396" spans="1:7" x14ac:dyDescent="0.25">
      <c r="A396">
        <v>10</v>
      </c>
      <c r="B396" t="s">
        <v>251</v>
      </c>
      <c r="C396">
        <v>8781951</v>
      </c>
      <c r="D396" t="str">
        <f>"2187-0667"</f>
        <v>2187-0667</v>
      </c>
      <c r="E396" t="s">
        <v>8</v>
      </c>
      <c r="F396" t="s">
        <v>403</v>
      </c>
      <c r="G396">
        <v>1</v>
      </c>
    </row>
    <row r="397" spans="1:7" x14ac:dyDescent="0.25">
      <c r="A397">
        <v>10</v>
      </c>
      <c r="B397" t="s">
        <v>251</v>
      </c>
      <c r="C397">
        <v>180014</v>
      </c>
      <c r="E397" t="s">
        <v>15</v>
      </c>
      <c r="F397" t="s">
        <v>404</v>
      </c>
      <c r="G397">
        <v>1</v>
      </c>
    </row>
    <row r="398" spans="1:7" x14ac:dyDescent="0.25">
      <c r="A398">
        <v>10</v>
      </c>
      <c r="B398" t="s">
        <v>251</v>
      </c>
      <c r="C398">
        <v>180013</v>
      </c>
      <c r="E398" t="s">
        <v>15</v>
      </c>
      <c r="F398" t="s">
        <v>405</v>
      </c>
      <c r="G398">
        <v>1</v>
      </c>
    </row>
    <row r="399" spans="1:7" x14ac:dyDescent="0.25">
      <c r="A399">
        <v>10</v>
      </c>
      <c r="B399" t="s">
        <v>251</v>
      </c>
      <c r="C399">
        <v>146296</v>
      </c>
      <c r="E399" t="s">
        <v>8</v>
      </c>
      <c r="F399" t="s">
        <v>406</v>
      </c>
      <c r="G399">
        <v>1</v>
      </c>
    </row>
    <row r="400" spans="1:7" x14ac:dyDescent="0.25">
      <c r="A400">
        <v>10</v>
      </c>
      <c r="B400" t="s">
        <v>251</v>
      </c>
      <c r="C400">
        <v>97177</v>
      </c>
      <c r="D400" t="str">
        <f>"1549-6732"</f>
        <v>1549-6732</v>
      </c>
      <c r="E400" t="s">
        <v>8</v>
      </c>
      <c r="F400" t="s">
        <v>407</v>
      </c>
      <c r="G400">
        <v>1</v>
      </c>
    </row>
    <row r="401" spans="1:7" x14ac:dyDescent="0.25">
      <c r="A401">
        <v>10</v>
      </c>
      <c r="B401" t="s">
        <v>251</v>
      </c>
      <c r="C401">
        <v>12292</v>
      </c>
      <c r="D401" t="str">
        <f>"0306-4220"</f>
        <v>0306-4220</v>
      </c>
      <c r="E401" t="s">
        <v>8</v>
      </c>
      <c r="F401" t="s">
        <v>408</v>
      </c>
      <c r="G401">
        <v>1</v>
      </c>
    </row>
    <row r="402" spans="1:7" x14ac:dyDescent="0.25">
      <c r="A402">
        <v>10</v>
      </c>
      <c r="B402" t="s">
        <v>251</v>
      </c>
      <c r="C402">
        <v>1483</v>
      </c>
      <c r="D402" t="str">
        <f>"1570-1255"</f>
        <v>1570-1255</v>
      </c>
      <c r="E402" t="s">
        <v>8</v>
      </c>
      <c r="F402" t="s">
        <v>409</v>
      </c>
      <c r="G402">
        <v>1</v>
      </c>
    </row>
    <row r="403" spans="1:7" x14ac:dyDescent="0.25">
      <c r="A403">
        <v>10</v>
      </c>
      <c r="B403" t="s">
        <v>251</v>
      </c>
      <c r="C403">
        <v>11309</v>
      </c>
      <c r="D403" t="str">
        <f>"1098-3058"</f>
        <v>1098-3058</v>
      </c>
      <c r="E403" t="s">
        <v>8</v>
      </c>
      <c r="F403" t="s">
        <v>410</v>
      </c>
      <c r="G403">
        <v>1</v>
      </c>
    </row>
    <row r="404" spans="1:7" x14ac:dyDescent="0.25">
      <c r="A404">
        <v>10</v>
      </c>
      <c r="B404" t="s">
        <v>251</v>
      </c>
      <c r="C404">
        <v>14019</v>
      </c>
      <c r="D404" t="str">
        <f>"1037-616X"</f>
        <v>1037-616X</v>
      </c>
      <c r="E404" t="s">
        <v>8</v>
      </c>
      <c r="F404" t="s">
        <v>411</v>
      </c>
      <c r="G404">
        <v>1</v>
      </c>
    </row>
    <row r="405" spans="1:7" x14ac:dyDescent="0.25">
      <c r="A405">
        <v>10</v>
      </c>
      <c r="B405" t="s">
        <v>251</v>
      </c>
      <c r="C405">
        <v>11672</v>
      </c>
      <c r="D405" t="str">
        <f>"1471-5031"</f>
        <v>1471-5031</v>
      </c>
      <c r="E405" t="s">
        <v>8</v>
      </c>
      <c r="F405" t="s">
        <v>412</v>
      </c>
      <c r="G405">
        <v>1</v>
      </c>
    </row>
    <row r="406" spans="1:7" x14ac:dyDescent="0.25">
      <c r="A406">
        <v>10</v>
      </c>
      <c r="B406" t="s">
        <v>251</v>
      </c>
      <c r="C406">
        <v>5532</v>
      </c>
      <c r="D406" t="str">
        <f>"1548-0631"</f>
        <v>1548-0631</v>
      </c>
      <c r="E406" t="s">
        <v>8</v>
      </c>
      <c r="F406" t="s">
        <v>413</v>
      </c>
      <c r="G406">
        <v>1</v>
      </c>
    </row>
    <row r="407" spans="1:7" x14ac:dyDescent="0.25">
      <c r="A407">
        <v>10</v>
      </c>
      <c r="B407" t="s">
        <v>251</v>
      </c>
      <c r="C407">
        <v>129254</v>
      </c>
      <c r="D407" t="str">
        <f>"1687-7047"</f>
        <v>1687-7047</v>
      </c>
      <c r="E407" t="s">
        <v>8</v>
      </c>
      <c r="F407" t="s">
        <v>414</v>
      </c>
      <c r="G407">
        <v>1</v>
      </c>
    </row>
    <row r="408" spans="1:7" x14ac:dyDescent="0.25">
      <c r="A408">
        <v>10</v>
      </c>
      <c r="B408" t="s">
        <v>251</v>
      </c>
      <c r="C408">
        <v>12847</v>
      </c>
      <c r="D408" t="str">
        <f>"1548-3673"</f>
        <v>1548-3673</v>
      </c>
      <c r="E408" t="s">
        <v>8</v>
      </c>
      <c r="F408" t="s">
        <v>415</v>
      </c>
      <c r="G408">
        <v>1</v>
      </c>
    </row>
    <row r="409" spans="1:7" x14ac:dyDescent="0.25">
      <c r="A409">
        <v>10</v>
      </c>
      <c r="B409" t="s">
        <v>251</v>
      </c>
      <c r="C409">
        <v>156027</v>
      </c>
      <c r="D409" t="str">
        <f>"1947-9131"</f>
        <v>1947-9131</v>
      </c>
      <c r="E409" t="s">
        <v>8</v>
      </c>
      <c r="F409" t="s">
        <v>416</v>
      </c>
      <c r="G409">
        <v>1</v>
      </c>
    </row>
    <row r="410" spans="1:7" x14ac:dyDescent="0.25">
      <c r="A410">
        <v>10</v>
      </c>
      <c r="B410" t="s">
        <v>251</v>
      </c>
      <c r="C410">
        <v>39617</v>
      </c>
      <c r="D410" t="str">
        <f>"1662-5544"</f>
        <v>1662-5544</v>
      </c>
      <c r="E410" t="s">
        <v>8</v>
      </c>
      <c r="F410" t="s">
        <v>417</v>
      </c>
      <c r="G410">
        <v>1</v>
      </c>
    </row>
    <row r="411" spans="1:7" x14ac:dyDescent="0.25">
      <c r="A411">
        <v>10</v>
      </c>
      <c r="B411" t="s">
        <v>251</v>
      </c>
      <c r="C411">
        <v>15578</v>
      </c>
      <c r="D411" t="str">
        <f>"1740-8296"</f>
        <v>1740-8296</v>
      </c>
      <c r="E411" t="s">
        <v>8</v>
      </c>
      <c r="F411" t="s">
        <v>418</v>
      </c>
      <c r="G411">
        <v>1</v>
      </c>
    </row>
    <row r="412" spans="1:7" x14ac:dyDescent="0.25">
      <c r="A412">
        <v>10</v>
      </c>
      <c r="B412" t="s">
        <v>251</v>
      </c>
      <c r="C412">
        <v>6612</v>
      </c>
      <c r="D412" t="str">
        <f>"1553-118X"</f>
        <v>1553-118X</v>
      </c>
      <c r="E412" t="s">
        <v>8</v>
      </c>
      <c r="F412" t="s">
        <v>419</v>
      </c>
      <c r="G412">
        <v>1</v>
      </c>
    </row>
    <row r="413" spans="1:7" x14ac:dyDescent="0.25">
      <c r="A413">
        <v>10</v>
      </c>
      <c r="B413" t="s">
        <v>251</v>
      </c>
      <c r="C413">
        <v>12428</v>
      </c>
      <c r="D413" t="str">
        <f>"1477-8394"</f>
        <v>1477-8394</v>
      </c>
      <c r="E413" t="s">
        <v>8</v>
      </c>
      <c r="F413" t="s">
        <v>420</v>
      </c>
      <c r="G413">
        <v>1</v>
      </c>
    </row>
    <row r="414" spans="1:7" x14ac:dyDescent="0.25">
      <c r="A414">
        <v>10</v>
      </c>
      <c r="B414" t="s">
        <v>251</v>
      </c>
      <c r="C414">
        <v>8244</v>
      </c>
      <c r="D414" t="str">
        <f>"1548-1093"</f>
        <v>1548-1093</v>
      </c>
      <c r="E414" t="s">
        <v>8</v>
      </c>
      <c r="F414" t="s">
        <v>421</v>
      </c>
      <c r="G414">
        <v>1</v>
      </c>
    </row>
    <row r="415" spans="1:7" x14ac:dyDescent="0.25">
      <c r="A415">
        <v>10</v>
      </c>
      <c r="B415" t="s">
        <v>251</v>
      </c>
      <c r="C415">
        <v>7700229</v>
      </c>
      <c r="D415" t="str">
        <f>"1875-1148"</f>
        <v>1875-1148</v>
      </c>
      <c r="E415" t="s">
        <v>15</v>
      </c>
      <c r="F415" t="s">
        <v>422</v>
      </c>
      <c r="G415">
        <v>1</v>
      </c>
    </row>
    <row r="416" spans="1:7" x14ac:dyDescent="0.25">
      <c r="A416">
        <v>10</v>
      </c>
      <c r="B416" t="s">
        <v>251</v>
      </c>
      <c r="C416">
        <v>8782711</v>
      </c>
      <c r="D416" t="str">
        <f>"2470-1475"</f>
        <v>2470-1475</v>
      </c>
      <c r="E416" t="s">
        <v>8</v>
      </c>
      <c r="F416" t="s">
        <v>423</v>
      </c>
      <c r="G416">
        <v>1</v>
      </c>
    </row>
    <row r="417" spans="1:7" x14ac:dyDescent="0.25">
      <c r="A417">
        <v>10</v>
      </c>
      <c r="B417" t="s">
        <v>251</v>
      </c>
      <c r="C417">
        <v>180000</v>
      </c>
      <c r="E417" t="s">
        <v>15</v>
      </c>
      <c r="F417" t="s">
        <v>424</v>
      </c>
      <c r="G417">
        <v>1</v>
      </c>
    </row>
    <row r="418" spans="1:7" x14ac:dyDescent="0.25">
      <c r="A418">
        <v>10</v>
      </c>
      <c r="B418" t="s">
        <v>251</v>
      </c>
      <c r="C418">
        <v>13700</v>
      </c>
      <c r="D418" t="str">
        <f>"1318-3222"</f>
        <v>1318-3222</v>
      </c>
      <c r="E418" t="s">
        <v>8</v>
      </c>
      <c r="F418" t="s">
        <v>425</v>
      </c>
      <c r="G418">
        <v>1</v>
      </c>
    </row>
    <row r="419" spans="1:7" x14ac:dyDescent="0.25">
      <c r="A419">
        <v>10</v>
      </c>
      <c r="B419" t="s">
        <v>251</v>
      </c>
      <c r="C419">
        <v>114865</v>
      </c>
      <c r="D419" t="str">
        <f>"1754-9221"</f>
        <v>1754-9221</v>
      </c>
      <c r="E419" t="s">
        <v>8</v>
      </c>
      <c r="F419" t="s">
        <v>426</v>
      </c>
      <c r="G419">
        <v>1</v>
      </c>
    </row>
    <row r="420" spans="1:7" x14ac:dyDescent="0.25">
      <c r="A420">
        <v>10</v>
      </c>
      <c r="B420" t="s">
        <v>251</v>
      </c>
      <c r="C420">
        <v>15566</v>
      </c>
      <c r="D420" t="str">
        <f>"2040-199X"</f>
        <v>2040-199X</v>
      </c>
      <c r="E420" t="s">
        <v>8</v>
      </c>
      <c r="F420" t="s">
        <v>427</v>
      </c>
      <c r="G420">
        <v>1</v>
      </c>
    </row>
    <row r="421" spans="1:7" x14ac:dyDescent="0.25">
      <c r="A421">
        <v>10</v>
      </c>
      <c r="B421" t="s">
        <v>251</v>
      </c>
      <c r="C421">
        <v>9501</v>
      </c>
      <c r="D421" t="str">
        <f>"0090-9882"</f>
        <v>0090-9882</v>
      </c>
      <c r="E421" t="s">
        <v>8</v>
      </c>
      <c r="F421" t="s">
        <v>428</v>
      </c>
      <c r="G421">
        <v>1</v>
      </c>
    </row>
    <row r="422" spans="1:7" x14ac:dyDescent="0.25">
      <c r="A422">
        <v>10</v>
      </c>
      <c r="B422" t="s">
        <v>251</v>
      </c>
      <c r="C422">
        <v>7735706</v>
      </c>
      <c r="D422" t="str">
        <f>"2001-0818"</f>
        <v>2001-0818</v>
      </c>
      <c r="E422" t="s">
        <v>8</v>
      </c>
      <c r="F422" t="s">
        <v>429</v>
      </c>
      <c r="G422">
        <v>1</v>
      </c>
    </row>
    <row r="423" spans="1:7" x14ac:dyDescent="0.25">
      <c r="A423">
        <v>10</v>
      </c>
      <c r="B423" t="s">
        <v>251</v>
      </c>
      <c r="C423">
        <v>27583</v>
      </c>
      <c r="D423" t="str">
        <f>"1751-9411"</f>
        <v>1751-9411</v>
      </c>
      <c r="E423" t="s">
        <v>8</v>
      </c>
      <c r="F423" t="s">
        <v>430</v>
      </c>
      <c r="G423">
        <v>1</v>
      </c>
    </row>
    <row r="424" spans="1:7" x14ac:dyDescent="0.25">
      <c r="A424">
        <v>10</v>
      </c>
      <c r="B424" t="s">
        <v>251</v>
      </c>
      <c r="C424">
        <v>25372</v>
      </c>
      <c r="D424" t="str">
        <f>"1743-4521"</f>
        <v>1743-4521</v>
      </c>
      <c r="E424" t="s">
        <v>8</v>
      </c>
      <c r="F424" t="s">
        <v>431</v>
      </c>
      <c r="G424">
        <v>1</v>
      </c>
    </row>
    <row r="425" spans="1:7" x14ac:dyDescent="0.25">
      <c r="A425">
        <v>10</v>
      </c>
      <c r="B425" t="s">
        <v>251</v>
      </c>
      <c r="C425">
        <v>11529</v>
      </c>
      <c r="D425" t="str">
        <f>"1050-6519"</f>
        <v>1050-6519</v>
      </c>
      <c r="E425" t="s">
        <v>8</v>
      </c>
      <c r="F425" t="s">
        <v>432</v>
      </c>
      <c r="G425">
        <v>1</v>
      </c>
    </row>
    <row r="426" spans="1:7" x14ac:dyDescent="0.25">
      <c r="A426">
        <v>10</v>
      </c>
      <c r="B426" t="s">
        <v>251</v>
      </c>
      <c r="C426">
        <v>6366</v>
      </c>
      <c r="D426" t="str">
        <f>"0021-9436"</f>
        <v>0021-9436</v>
      </c>
      <c r="E426" t="s">
        <v>8</v>
      </c>
      <c r="F426" t="s">
        <v>433</v>
      </c>
      <c r="G426">
        <v>1</v>
      </c>
    </row>
    <row r="427" spans="1:7" x14ac:dyDescent="0.25">
      <c r="A427">
        <v>10</v>
      </c>
      <c r="B427" t="s">
        <v>251</v>
      </c>
      <c r="C427">
        <v>21471</v>
      </c>
      <c r="D427" t="str">
        <f>"1750-8061"</f>
        <v>1750-8061</v>
      </c>
      <c r="E427" t="s">
        <v>8</v>
      </c>
      <c r="F427" t="s">
        <v>434</v>
      </c>
      <c r="G427">
        <v>1</v>
      </c>
    </row>
    <row r="428" spans="1:7" x14ac:dyDescent="0.25">
      <c r="A428">
        <v>10</v>
      </c>
      <c r="B428" t="s">
        <v>251</v>
      </c>
      <c r="C428">
        <v>4098</v>
      </c>
      <c r="D428" t="str">
        <f>"0196-8599"</f>
        <v>0196-8599</v>
      </c>
      <c r="E428" t="s">
        <v>8</v>
      </c>
      <c r="F428" t="s">
        <v>435</v>
      </c>
      <c r="G428">
        <v>1</v>
      </c>
    </row>
    <row r="429" spans="1:7" x14ac:dyDescent="0.25">
      <c r="A429">
        <v>10</v>
      </c>
      <c r="B429" t="s">
        <v>251</v>
      </c>
      <c r="C429">
        <v>4792</v>
      </c>
      <c r="D429" t="str">
        <f>"2374-4367"</f>
        <v>2374-4367</v>
      </c>
      <c r="E429" t="s">
        <v>8</v>
      </c>
      <c r="F429" t="s">
        <v>436</v>
      </c>
      <c r="G429">
        <v>1</v>
      </c>
    </row>
    <row r="430" spans="1:7" x14ac:dyDescent="0.25">
      <c r="A430">
        <v>10</v>
      </c>
      <c r="B430" t="s">
        <v>251</v>
      </c>
      <c r="C430">
        <v>7393</v>
      </c>
      <c r="E430" t="s">
        <v>8</v>
      </c>
      <c r="F430" t="s">
        <v>437</v>
      </c>
      <c r="G430">
        <v>1</v>
      </c>
    </row>
    <row r="431" spans="1:7" x14ac:dyDescent="0.25">
      <c r="A431">
        <v>10</v>
      </c>
      <c r="B431" t="s">
        <v>251</v>
      </c>
      <c r="C431">
        <v>180007</v>
      </c>
      <c r="D431" t="str">
        <f>"2161-539X"</f>
        <v>2161-539X</v>
      </c>
      <c r="E431" t="s">
        <v>8</v>
      </c>
      <c r="F431" t="s">
        <v>438</v>
      </c>
      <c r="G431">
        <v>1</v>
      </c>
    </row>
    <row r="432" spans="1:7" x14ac:dyDescent="0.25">
      <c r="A432">
        <v>10</v>
      </c>
      <c r="B432" t="s">
        <v>251</v>
      </c>
      <c r="C432">
        <v>7720037</v>
      </c>
      <c r="D432" t="str">
        <f>"2045-5836"</f>
        <v>2045-5836</v>
      </c>
      <c r="E432" t="s">
        <v>8</v>
      </c>
      <c r="F432" t="s">
        <v>439</v>
      </c>
      <c r="G432">
        <v>1</v>
      </c>
    </row>
    <row r="433" spans="1:7" x14ac:dyDescent="0.25">
      <c r="A433">
        <v>10</v>
      </c>
      <c r="B433" t="s">
        <v>251</v>
      </c>
      <c r="C433">
        <v>5310</v>
      </c>
      <c r="D433" t="str">
        <f>"0735-6331"</f>
        <v>0735-6331</v>
      </c>
      <c r="E433" t="s">
        <v>8</v>
      </c>
      <c r="F433" t="s">
        <v>440</v>
      </c>
      <c r="G433">
        <v>1</v>
      </c>
    </row>
    <row r="434" spans="1:7" x14ac:dyDescent="0.25">
      <c r="A434">
        <v>10</v>
      </c>
      <c r="B434" t="s">
        <v>251</v>
      </c>
      <c r="C434">
        <v>11699</v>
      </c>
      <c r="D434" t="str">
        <f>"1055-8896"</f>
        <v>1055-8896</v>
      </c>
      <c r="E434" t="s">
        <v>8</v>
      </c>
      <c r="F434" t="s">
        <v>441</v>
      </c>
      <c r="G434">
        <v>1</v>
      </c>
    </row>
    <row r="435" spans="1:7" x14ac:dyDescent="0.25">
      <c r="A435">
        <v>10</v>
      </c>
      <c r="B435" t="s">
        <v>251</v>
      </c>
      <c r="C435">
        <v>7731906</v>
      </c>
      <c r="E435" t="s">
        <v>8</v>
      </c>
      <c r="F435" t="s">
        <v>442</v>
      </c>
      <c r="G435">
        <v>1</v>
      </c>
    </row>
    <row r="436" spans="1:7" x14ac:dyDescent="0.25">
      <c r="A436">
        <v>10</v>
      </c>
      <c r="B436" t="s">
        <v>251</v>
      </c>
      <c r="C436">
        <v>7739136</v>
      </c>
      <c r="D436" t="str">
        <f>"2046-6692"</f>
        <v>2046-6692</v>
      </c>
      <c r="E436" t="s">
        <v>8</v>
      </c>
      <c r="F436" t="s">
        <v>443</v>
      </c>
      <c r="G436">
        <v>1</v>
      </c>
    </row>
    <row r="437" spans="1:7" x14ac:dyDescent="0.25">
      <c r="A437">
        <v>10</v>
      </c>
      <c r="B437" t="s">
        <v>251</v>
      </c>
      <c r="C437">
        <v>12794</v>
      </c>
      <c r="D437" t="str">
        <f>"0742-4671"</f>
        <v>0742-4671</v>
      </c>
      <c r="E437" t="s">
        <v>8</v>
      </c>
      <c r="F437" t="s">
        <v>444</v>
      </c>
      <c r="G437">
        <v>1</v>
      </c>
    </row>
    <row r="438" spans="1:7" x14ac:dyDescent="0.25">
      <c r="A438">
        <v>10</v>
      </c>
      <c r="B438" t="s">
        <v>251</v>
      </c>
      <c r="C438">
        <v>6169657</v>
      </c>
      <c r="D438" t="str">
        <f>"1757-191X"</f>
        <v>1757-191X</v>
      </c>
      <c r="E438" t="s">
        <v>8</v>
      </c>
      <c r="F438" t="s">
        <v>445</v>
      </c>
      <c r="G438">
        <v>1</v>
      </c>
    </row>
    <row r="439" spans="1:7" x14ac:dyDescent="0.25">
      <c r="A439">
        <v>10</v>
      </c>
      <c r="B439" t="s">
        <v>251</v>
      </c>
      <c r="C439">
        <v>7709963</v>
      </c>
      <c r="D439" t="str">
        <f>"2381-5892"</f>
        <v>2381-5892</v>
      </c>
      <c r="E439" t="s">
        <v>8</v>
      </c>
      <c r="F439" t="s">
        <v>446</v>
      </c>
      <c r="G439">
        <v>1</v>
      </c>
    </row>
    <row r="440" spans="1:7" x14ac:dyDescent="0.25">
      <c r="A440">
        <v>10</v>
      </c>
      <c r="B440" t="s">
        <v>251</v>
      </c>
      <c r="C440">
        <v>11081</v>
      </c>
      <c r="D440" t="str">
        <f>"1477-996X"</f>
        <v>1477-996X</v>
      </c>
      <c r="E440" t="s">
        <v>8</v>
      </c>
      <c r="F440" t="s">
        <v>447</v>
      </c>
      <c r="G440">
        <v>1</v>
      </c>
    </row>
    <row r="441" spans="1:7" x14ac:dyDescent="0.25">
      <c r="A441">
        <v>10</v>
      </c>
      <c r="B441" t="s">
        <v>251</v>
      </c>
      <c r="C441">
        <v>141839</v>
      </c>
      <c r="D441" t="str">
        <f>"1525-2019"</f>
        <v>1525-2019</v>
      </c>
      <c r="E441" t="s">
        <v>8</v>
      </c>
      <c r="F441" t="s">
        <v>448</v>
      </c>
      <c r="G441">
        <v>1</v>
      </c>
    </row>
    <row r="442" spans="1:7" x14ac:dyDescent="0.25">
      <c r="A442">
        <v>10</v>
      </c>
      <c r="B442" t="s">
        <v>251</v>
      </c>
      <c r="C442">
        <v>10742</v>
      </c>
      <c r="E442" t="s">
        <v>8</v>
      </c>
      <c r="F442" t="s">
        <v>449</v>
      </c>
      <c r="G442">
        <v>1</v>
      </c>
    </row>
    <row r="443" spans="1:7" x14ac:dyDescent="0.25">
      <c r="A443">
        <v>10</v>
      </c>
      <c r="B443" t="s">
        <v>251</v>
      </c>
      <c r="C443">
        <v>7866</v>
      </c>
      <c r="E443" t="s">
        <v>8</v>
      </c>
      <c r="F443" t="s">
        <v>450</v>
      </c>
      <c r="G443">
        <v>1</v>
      </c>
    </row>
    <row r="444" spans="1:7" x14ac:dyDescent="0.25">
      <c r="A444">
        <v>10</v>
      </c>
      <c r="B444" t="s">
        <v>251</v>
      </c>
      <c r="C444">
        <v>18998</v>
      </c>
      <c r="D444" t="str">
        <f>"1747-5759"</f>
        <v>1747-5759</v>
      </c>
      <c r="E444" t="s">
        <v>8</v>
      </c>
      <c r="F444" t="s">
        <v>451</v>
      </c>
      <c r="G444">
        <v>1</v>
      </c>
    </row>
    <row r="445" spans="1:7" x14ac:dyDescent="0.25">
      <c r="A445">
        <v>10</v>
      </c>
      <c r="B445" t="s">
        <v>251</v>
      </c>
      <c r="C445">
        <v>25289</v>
      </c>
      <c r="D445" t="str">
        <f>"1751-3057"</f>
        <v>1751-3057</v>
      </c>
      <c r="E445" t="s">
        <v>8</v>
      </c>
      <c r="F445" t="s">
        <v>452</v>
      </c>
      <c r="G445">
        <v>1</v>
      </c>
    </row>
    <row r="446" spans="1:7" x14ac:dyDescent="0.25">
      <c r="A446">
        <v>10</v>
      </c>
      <c r="B446" t="s">
        <v>251</v>
      </c>
      <c r="C446">
        <v>302</v>
      </c>
      <c r="D446" t="str">
        <f>"1321-6597"</f>
        <v>1321-6597</v>
      </c>
      <c r="E446" t="s">
        <v>8</v>
      </c>
      <c r="F446" t="s">
        <v>453</v>
      </c>
      <c r="G446">
        <v>1</v>
      </c>
    </row>
    <row r="447" spans="1:7" x14ac:dyDescent="0.25">
      <c r="A447">
        <v>10</v>
      </c>
      <c r="B447" t="s">
        <v>251</v>
      </c>
      <c r="C447">
        <v>27368</v>
      </c>
      <c r="D447" t="str">
        <f>"1756-4905"</f>
        <v>1756-4905</v>
      </c>
      <c r="E447" t="s">
        <v>8</v>
      </c>
      <c r="F447" t="s">
        <v>454</v>
      </c>
      <c r="G447">
        <v>1</v>
      </c>
    </row>
    <row r="448" spans="1:7" x14ac:dyDescent="0.25">
      <c r="A448">
        <v>10</v>
      </c>
      <c r="B448" t="s">
        <v>251</v>
      </c>
      <c r="C448">
        <v>5969</v>
      </c>
      <c r="D448" t="str">
        <f>"1352-7266"</f>
        <v>1352-7266</v>
      </c>
      <c r="E448" t="s">
        <v>8</v>
      </c>
      <c r="F448" t="s">
        <v>455</v>
      </c>
      <c r="G448">
        <v>1</v>
      </c>
    </row>
    <row r="449" spans="1:7" x14ac:dyDescent="0.25">
      <c r="A449">
        <v>10</v>
      </c>
      <c r="B449" t="s">
        <v>251</v>
      </c>
      <c r="C449">
        <v>16510</v>
      </c>
      <c r="D449" t="str">
        <f>"0890-0523"</f>
        <v>0890-0523</v>
      </c>
      <c r="E449" t="s">
        <v>8</v>
      </c>
      <c r="F449" t="s">
        <v>456</v>
      </c>
      <c r="G449">
        <v>1</v>
      </c>
    </row>
    <row r="450" spans="1:7" x14ac:dyDescent="0.25">
      <c r="A450">
        <v>10</v>
      </c>
      <c r="B450" t="s">
        <v>251</v>
      </c>
      <c r="C450">
        <v>1450</v>
      </c>
      <c r="D450" t="str">
        <f>"1534-8423"</f>
        <v>1534-8423</v>
      </c>
      <c r="E450" t="s">
        <v>8</v>
      </c>
      <c r="F450" t="s">
        <v>457</v>
      </c>
      <c r="G450">
        <v>1</v>
      </c>
    </row>
    <row r="451" spans="1:7" x14ac:dyDescent="0.25">
      <c r="A451">
        <v>10</v>
      </c>
      <c r="B451" t="s">
        <v>251</v>
      </c>
      <c r="C451">
        <v>7978</v>
      </c>
      <c r="D451" t="str">
        <f>"1652-2354"</f>
        <v>1652-2354</v>
      </c>
      <c r="E451" t="s">
        <v>8</v>
      </c>
      <c r="F451" t="s">
        <v>458</v>
      </c>
      <c r="G451">
        <v>1</v>
      </c>
    </row>
    <row r="452" spans="1:7" x14ac:dyDescent="0.25">
      <c r="A452">
        <v>10</v>
      </c>
      <c r="B452" t="s">
        <v>251</v>
      </c>
      <c r="C452">
        <v>331</v>
      </c>
      <c r="D452" t="str">
        <f>"0899-7764"</f>
        <v>0899-7764</v>
      </c>
      <c r="E452" t="s">
        <v>8</v>
      </c>
      <c r="F452" t="s">
        <v>459</v>
      </c>
      <c r="G452">
        <v>1</v>
      </c>
    </row>
    <row r="453" spans="1:7" x14ac:dyDescent="0.25">
      <c r="A453">
        <v>10</v>
      </c>
      <c r="B453" t="s">
        <v>251</v>
      </c>
      <c r="C453">
        <v>180178</v>
      </c>
      <c r="E453" t="s">
        <v>8</v>
      </c>
      <c r="F453" t="s">
        <v>460</v>
      </c>
      <c r="G453">
        <v>1</v>
      </c>
    </row>
    <row r="454" spans="1:7" x14ac:dyDescent="0.25">
      <c r="A454">
        <v>10</v>
      </c>
      <c r="B454" t="s">
        <v>251</v>
      </c>
      <c r="C454">
        <v>9369</v>
      </c>
      <c r="D454" t="str">
        <f>"1468-2753"</f>
        <v>1468-2753</v>
      </c>
      <c r="E454" t="s">
        <v>8</v>
      </c>
      <c r="F454" t="s">
        <v>461</v>
      </c>
      <c r="G454">
        <v>1</v>
      </c>
    </row>
    <row r="455" spans="1:7" x14ac:dyDescent="0.25">
      <c r="A455">
        <v>10</v>
      </c>
      <c r="B455" t="s">
        <v>251</v>
      </c>
      <c r="C455">
        <v>27267</v>
      </c>
      <c r="D455" t="str">
        <f>"1864-1105"</f>
        <v>1864-1105</v>
      </c>
      <c r="E455" t="s">
        <v>8</v>
      </c>
      <c r="F455" t="s">
        <v>462</v>
      </c>
      <c r="G455">
        <v>1</v>
      </c>
    </row>
    <row r="456" spans="1:7" x14ac:dyDescent="0.25">
      <c r="A456">
        <v>10</v>
      </c>
      <c r="B456" t="s">
        <v>251</v>
      </c>
      <c r="C456">
        <v>451</v>
      </c>
      <c r="D456" t="str">
        <f>"0195-6051"</f>
        <v>0195-6051</v>
      </c>
      <c r="E456" t="s">
        <v>8</v>
      </c>
      <c r="F456" t="s">
        <v>463</v>
      </c>
      <c r="G456">
        <v>1</v>
      </c>
    </row>
    <row r="457" spans="1:7" x14ac:dyDescent="0.25">
      <c r="A457">
        <v>10</v>
      </c>
      <c r="B457" t="s">
        <v>251</v>
      </c>
      <c r="C457">
        <v>8782792</v>
      </c>
      <c r="E457" t="s">
        <v>8</v>
      </c>
      <c r="F457" t="s">
        <v>464</v>
      </c>
      <c r="G457">
        <v>1</v>
      </c>
    </row>
    <row r="458" spans="1:7" x14ac:dyDescent="0.25">
      <c r="A458">
        <v>10</v>
      </c>
      <c r="B458" t="s">
        <v>251</v>
      </c>
      <c r="C458">
        <v>8782627</v>
      </c>
      <c r="E458" t="s">
        <v>8</v>
      </c>
      <c r="F458" t="s">
        <v>465</v>
      </c>
      <c r="G458">
        <v>1</v>
      </c>
    </row>
    <row r="459" spans="1:7" x14ac:dyDescent="0.25">
      <c r="A459">
        <v>10</v>
      </c>
      <c r="B459" t="s">
        <v>251</v>
      </c>
      <c r="C459">
        <v>6715</v>
      </c>
      <c r="D459" t="str">
        <f>"1062-726X"</f>
        <v>1062-726X</v>
      </c>
      <c r="E459" t="s">
        <v>8</v>
      </c>
      <c r="F459" t="s">
        <v>466</v>
      </c>
      <c r="G459">
        <v>1</v>
      </c>
    </row>
    <row r="460" spans="1:7" x14ac:dyDescent="0.25">
      <c r="A460">
        <v>10</v>
      </c>
      <c r="B460" t="s">
        <v>251</v>
      </c>
      <c r="C460">
        <v>27025</v>
      </c>
      <c r="D460" t="str">
        <f>"1937-6529"</f>
        <v>1937-6529</v>
      </c>
      <c r="E460" t="s">
        <v>8</v>
      </c>
      <c r="F460" t="s">
        <v>467</v>
      </c>
      <c r="G460">
        <v>1</v>
      </c>
    </row>
    <row r="461" spans="1:7" x14ac:dyDescent="0.25">
      <c r="A461">
        <v>10</v>
      </c>
      <c r="B461" t="s">
        <v>251</v>
      </c>
      <c r="C461">
        <v>7704709</v>
      </c>
      <c r="D461" t="str">
        <f>"2042-7891"</f>
        <v>2042-7891</v>
      </c>
      <c r="E461" t="s">
        <v>8</v>
      </c>
      <c r="F461" t="s">
        <v>468</v>
      </c>
      <c r="G461">
        <v>1</v>
      </c>
    </row>
    <row r="462" spans="1:7" x14ac:dyDescent="0.25">
      <c r="A462">
        <v>10</v>
      </c>
      <c r="B462" t="s">
        <v>251</v>
      </c>
      <c r="C462">
        <v>2521</v>
      </c>
      <c r="E462" t="s">
        <v>8</v>
      </c>
      <c r="F462" t="s">
        <v>469</v>
      </c>
      <c r="G462">
        <v>1</v>
      </c>
    </row>
    <row r="463" spans="1:7" x14ac:dyDescent="0.25">
      <c r="A463">
        <v>10</v>
      </c>
      <c r="B463" t="s">
        <v>251</v>
      </c>
      <c r="C463">
        <v>6172101</v>
      </c>
      <c r="D463" t="str">
        <f>"1759-7137"</f>
        <v>1759-7137</v>
      </c>
      <c r="E463" t="s">
        <v>8</v>
      </c>
      <c r="F463" t="s">
        <v>470</v>
      </c>
      <c r="G463">
        <v>1</v>
      </c>
    </row>
    <row r="464" spans="1:7" x14ac:dyDescent="0.25">
      <c r="A464">
        <v>10</v>
      </c>
      <c r="B464" t="s">
        <v>251</v>
      </c>
      <c r="C464">
        <v>73787</v>
      </c>
      <c r="D464" t="str">
        <f>"1000-5935"</f>
        <v>1000-5935</v>
      </c>
      <c r="E464" t="s">
        <v>8</v>
      </c>
      <c r="F464" t="s">
        <v>471</v>
      </c>
      <c r="G464">
        <v>1</v>
      </c>
    </row>
    <row r="465" spans="1:7" x14ac:dyDescent="0.25">
      <c r="A465">
        <v>10</v>
      </c>
      <c r="B465" t="s">
        <v>251</v>
      </c>
      <c r="C465">
        <v>27594</v>
      </c>
      <c r="D465" t="str">
        <f>"1860-2037"</f>
        <v>1860-2037</v>
      </c>
      <c r="E465" t="s">
        <v>8</v>
      </c>
      <c r="F465" t="s">
        <v>472</v>
      </c>
      <c r="G465">
        <v>1</v>
      </c>
    </row>
    <row r="466" spans="1:7" x14ac:dyDescent="0.25">
      <c r="A466">
        <v>10</v>
      </c>
      <c r="B466" t="s">
        <v>251</v>
      </c>
      <c r="C466">
        <v>154216</v>
      </c>
      <c r="D466" t="str">
        <f>"1941-8477"</f>
        <v>1941-8477</v>
      </c>
      <c r="E466" t="s">
        <v>8</v>
      </c>
      <c r="F466" t="s">
        <v>473</v>
      </c>
      <c r="G466">
        <v>1</v>
      </c>
    </row>
    <row r="467" spans="1:7" x14ac:dyDescent="0.25">
      <c r="A467">
        <v>10</v>
      </c>
      <c r="B467" t="s">
        <v>251</v>
      </c>
      <c r="C467">
        <v>4631</v>
      </c>
      <c r="D467" t="str">
        <f>"1522-6379"</f>
        <v>1522-6379</v>
      </c>
      <c r="E467" t="s">
        <v>8</v>
      </c>
      <c r="F467" t="s">
        <v>474</v>
      </c>
      <c r="G467">
        <v>1</v>
      </c>
    </row>
    <row r="468" spans="1:7" x14ac:dyDescent="0.25">
      <c r="A468">
        <v>10</v>
      </c>
      <c r="B468" t="s">
        <v>251</v>
      </c>
      <c r="C468">
        <v>10162</v>
      </c>
      <c r="D468" t="str">
        <f>"1077-6958"</f>
        <v>1077-6958</v>
      </c>
      <c r="E468" t="s">
        <v>8</v>
      </c>
      <c r="F468" t="s">
        <v>475</v>
      </c>
      <c r="G468">
        <v>1</v>
      </c>
    </row>
    <row r="469" spans="1:7" x14ac:dyDescent="0.25">
      <c r="A469">
        <v>10</v>
      </c>
      <c r="B469" t="s">
        <v>251</v>
      </c>
      <c r="C469">
        <v>11085</v>
      </c>
      <c r="D469" t="str">
        <f>"0094-7679"</f>
        <v>0094-7679</v>
      </c>
      <c r="E469" t="s">
        <v>8</v>
      </c>
      <c r="F469" t="s">
        <v>476</v>
      </c>
      <c r="G469">
        <v>1</v>
      </c>
    </row>
    <row r="470" spans="1:7" x14ac:dyDescent="0.25">
      <c r="A470">
        <v>10</v>
      </c>
      <c r="B470" t="s">
        <v>251</v>
      </c>
      <c r="C470">
        <v>8783843</v>
      </c>
      <c r="E470" t="s">
        <v>15</v>
      </c>
      <c r="F470" t="s">
        <v>477</v>
      </c>
      <c r="G470">
        <v>1</v>
      </c>
    </row>
    <row r="471" spans="1:7" x14ac:dyDescent="0.25">
      <c r="A471">
        <v>10</v>
      </c>
      <c r="B471" t="s">
        <v>251</v>
      </c>
      <c r="C471">
        <v>27479</v>
      </c>
      <c r="D471" t="str">
        <f>"1901-6220"</f>
        <v>1901-6220</v>
      </c>
      <c r="E471" t="s">
        <v>8</v>
      </c>
      <c r="F471" t="s">
        <v>478</v>
      </c>
      <c r="G471">
        <v>1</v>
      </c>
    </row>
    <row r="472" spans="1:7" x14ac:dyDescent="0.25">
      <c r="A472">
        <v>10</v>
      </c>
      <c r="B472" t="s">
        <v>251</v>
      </c>
      <c r="C472">
        <v>170057</v>
      </c>
      <c r="E472" t="s">
        <v>15</v>
      </c>
      <c r="F472" t="s">
        <v>479</v>
      </c>
      <c r="G472">
        <v>1</v>
      </c>
    </row>
    <row r="473" spans="1:7" x14ac:dyDescent="0.25">
      <c r="A473">
        <v>10</v>
      </c>
      <c r="B473" t="s">
        <v>251</v>
      </c>
      <c r="C473">
        <v>1228</v>
      </c>
      <c r="D473" t="str">
        <f>"0146-5546"</f>
        <v>0146-5546</v>
      </c>
      <c r="E473" t="s">
        <v>8</v>
      </c>
      <c r="F473" t="s">
        <v>480</v>
      </c>
      <c r="G473">
        <v>1</v>
      </c>
    </row>
    <row r="474" spans="1:7" x14ac:dyDescent="0.25">
      <c r="A474">
        <v>10</v>
      </c>
      <c r="B474" t="s">
        <v>251</v>
      </c>
      <c r="C474">
        <v>14904</v>
      </c>
      <c r="D474" t="str">
        <f>"1192-6252"</f>
        <v>1192-6252</v>
      </c>
      <c r="E474" t="s">
        <v>8</v>
      </c>
      <c r="F474" t="s">
        <v>481</v>
      </c>
      <c r="G474">
        <v>1</v>
      </c>
    </row>
    <row r="475" spans="1:7" x14ac:dyDescent="0.25">
      <c r="A475">
        <v>10</v>
      </c>
      <c r="B475" t="s">
        <v>251</v>
      </c>
      <c r="C475">
        <v>8783844</v>
      </c>
      <c r="E475" t="s">
        <v>15</v>
      </c>
      <c r="F475" t="s">
        <v>482</v>
      </c>
      <c r="G475">
        <v>1</v>
      </c>
    </row>
    <row r="476" spans="1:7" x14ac:dyDescent="0.25">
      <c r="A476">
        <v>10</v>
      </c>
      <c r="B476" t="s">
        <v>251</v>
      </c>
      <c r="C476">
        <v>2206</v>
      </c>
      <c r="D476" t="str">
        <f>"0023-4222"</f>
        <v>0023-4222</v>
      </c>
      <c r="E476" t="s">
        <v>8</v>
      </c>
      <c r="F476" t="s">
        <v>483</v>
      </c>
      <c r="G476">
        <v>1</v>
      </c>
    </row>
    <row r="477" spans="1:7" x14ac:dyDescent="0.25">
      <c r="A477">
        <v>10</v>
      </c>
      <c r="B477" t="s">
        <v>251</v>
      </c>
      <c r="C477">
        <v>9648</v>
      </c>
      <c r="D477" t="str">
        <f>"0953-1513"</f>
        <v>0953-1513</v>
      </c>
      <c r="E477" t="s">
        <v>8</v>
      </c>
      <c r="F477" t="s">
        <v>484</v>
      </c>
      <c r="G477">
        <v>1</v>
      </c>
    </row>
    <row r="478" spans="1:7" x14ac:dyDescent="0.25">
      <c r="A478">
        <v>10</v>
      </c>
      <c r="B478" t="s">
        <v>251</v>
      </c>
      <c r="C478">
        <v>121535</v>
      </c>
      <c r="E478" t="s">
        <v>8</v>
      </c>
      <c r="F478" t="s">
        <v>485</v>
      </c>
      <c r="G478">
        <v>1</v>
      </c>
    </row>
    <row r="479" spans="1:7" x14ac:dyDescent="0.25">
      <c r="A479">
        <v>10</v>
      </c>
      <c r="B479" t="s">
        <v>251</v>
      </c>
      <c r="C479">
        <v>7014</v>
      </c>
      <c r="D479" t="str">
        <f>"0008-011X"</f>
        <v>0008-011X</v>
      </c>
      <c r="E479" t="s">
        <v>8</v>
      </c>
      <c r="F479" t="s">
        <v>486</v>
      </c>
      <c r="G479">
        <v>1</v>
      </c>
    </row>
    <row r="480" spans="1:7" x14ac:dyDescent="0.25">
      <c r="A480">
        <v>10</v>
      </c>
      <c r="B480" t="s">
        <v>251</v>
      </c>
      <c r="C480">
        <v>170056</v>
      </c>
      <c r="E480" t="s">
        <v>15</v>
      </c>
      <c r="F480" t="s">
        <v>487</v>
      </c>
      <c r="G480">
        <v>1</v>
      </c>
    </row>
    <row r="481" spans="1:7" x14ac:dyDescent="0.25">
      <c r="A481">
        <v>10</v>
      </c>
      <c r="B481" t="s">
        <v>251</v>
      </c>
      <c r="C481">
        <v>6187543</v>
      </c>
      <c r="D481" t="str">
        <f>"1944-897X"</f>
        <v>1944-897X</v>
      </c>
      <c r="E481" t="s">
        <v>8</v>
      </c>
      <c r="F481" t="s">
        <v>488</v>
      </c>
      <c r="G481">
        <v>1</v>
      </c>
    </row>
    <row r="482" spans="1:7" x14ac:dyDescent="0.25">
      <c r="A482">
        <v>10</v>
      </c>
      <c r="B482" t="s">
        <v>251</v>
      </c>
      <c r="C482">
        <v>6486</v>
      </c>
      <c r="D482" t="str">
        <f>"0090-4260"</f>
        <v>0090-4260</v>
      </c>
      <c r="E482" t="s">
        <v>8</v>
      </c>
      <c r="F482" t="s">
        <v>489</v>
      </c>
      <c r="G482">
        <v>1</v>
      </c>
    </row>
    <row r="483" spans="1:7" x14ac:dyDescent="0.25">
      <c r="A483">
        <v>10</v>
      </c>
      <c r="B483" t="s">
        <v>251</v>
      </c>
      <c r="C483">
        <v>180001</v>
      </c>
      <c r="D483" t="str">
        <f>"2001-7529"</f>
        <v>2001-7529</v>
      </c>
      <c r="E483" t="s">
        <v>15</v>
      </c>
      <c r="F483" t="s">
        <v>490</v>
      </c>
      <c r="G483">
        <v>1</v>
      </c>
    </row>
    <row r="484" spans="1:7" x14ac:dyDescent="0.25">
      <c r="A484">
        <v>10</v>
      </c>
      <c r="B484" t="s">
        <v>251</v>
      </c>
      <c r="C484">
        <v>15261</v>
      </c>
      <c r="D484" t="str">
        <f>"1441-2616"</f>
        <v>1441-2616</v>
      </c>
      <c r="E484" t="s">
        <v>8</v>
      </c>
      <c r="F484" t="s">
        <v>491</v>
      </c>
      <c r="G484">
        <v>1</v>
      </c>
    </row>
    <row r="485" spans="1:7" x14ac:dyDescent="0.25">
      <c r="A485">
        <v>10</v>
      </c>
      <c r="B485" t="s">
        <v>251</v>
      </c>
      <c r="C485">
        <v>8758243</v>
      </c>
      <c r="D485" t="str">
        <f>"1982-8160"</f>
        <v>1982-8160</v>
      </c>
      <c r="E485" t="s">
        <v>8</v>
      </c>
      <c r="F485" t="s">
        <v>492</v>
      </c>
      <c r="G485">
        <v>1</v>
      </c>
    </row>
    <row r="486" spans="1:7" x14ac:dyDescent="0.25">
      <c r="A486">
        <v>10</v>
      </c>
      <c r="B486" t="s">
        <v>251</v>
      </c>
      <c r="C486">
        <v>3803</v>
      </c>
      <c r="D486" t="str">
        <f>"1798-3827"</f>
        <v>1798-3827</v>
      </c>
      <c r="E486" t="s">
        <v>8</v>
      </c>
      <c r="F486" t="s">
        <v>493</v>
      </c>
      <c r="G486">
        <v>1</v>
      </c>
    </row>
    <row r="487" spans="1:7" x14ac:dyDescent="0.25">
      <c r="A487">
        <v>10</v>
      </c>
      <c r="B487" t="s">
        <v>251</v>
      </c>
      <c r="C487">
        <v>8758240</v>
      </c>
      <c r="E487" t="s">
        <v>8</v>
      </c>
      <c r="F487" t="s">
        <v>494</v>
      </c>
      <c r="G487">
        <v>1</v>
      </c>
    </row>
    <row r="488" spans="1:7" x14ac:dyDescent="0.25">
      <c r="A488">
        <v>10</v>
      </c>
      <c r="B488" t="s">
        <v>251</v>
      </c>
      <c r="C488">
        <v>150815</v>
      </c>
      <c r="D488" t="str">
        <f>"1613-8961"</f>
        <v>1613-8961</v>
      </c>
      <c r="E488" t="s">
        <v>15</v>
      </c>
      <c r="F488" t="s">
        <v>495</v>
      </c>
      <c r="G488">
        <v>1</v>
      </c>
    </row>
    <row r="489" spans="1:7" x14ac:dyDescent="0.25">
      <c r="A489">
        <v>10</v>
      </c>
      <c r="B489" t="s">
        <v>251</v>
      </c>
      <c r="C489">
        <v>8780851</v>
      </c>
      <c r="D489" t="str">
        <f>"2373-9037"</f>
        <v>2373-9037</v>
      </c>
      <c r="E489" t="s">
        <v>8</v>
      </c>
      <c r="F489" t="s">
        <v>496</v>
      </c>
      <c r="G489">
        <v>1</v>
      </c>
    </row>
    <row r="490" spans="1:7" x14ac:dyDescent="0.25">
      <c r="A490">
        <v>10</v>
      </c>
      <c r="B490" t="s">
        <v>251</v>
      </c>
      <c r="C490">
        <v>25308</v>
      </c>
      <c r="D490" t="str">
        <f>"1329-878X"</f>
        <v>1329-878X</v>
      </c>
      <c r="E490" t="s">
        <v>8</v>
      </c>
      <c r="F490" t="s">
        <v>497</v>
      </c>
      <c r="G490">
        <v>1</v>
      </c>
    </row>
    <row r="491" spans="1:7" x14ac:dyDescent="0.25">
      <c r="A491">
        <v>10</v>
      </c>
      <c r="B491" t="s">
        <v>251</v>
      </c>
      <c r="C491">
        <v>27425</v>
      </c>
      <c r="D491" t="str">
        <f>"0170-1754"</f>
        <v>0170-1754</v>
      </c>
      <c r="E491" t="s">
        <v>8</v>
      </c>
      <c r="F491" t="s">
        <v>498</v>
      </c>
      <c r="G491">
        <v>1</v>
      </c>
    </row>
    <row r="492" spans="1:7" x14ac:dyDescent="0.25">
      <c r="A492">
        <v>10</v>
      </c>
      <c r="B492" t="s">
        <v>251</v>
      </c>
      <c r="C492">
        <v>27806</v>
      </c>
      <c r="D492" t="str">
        <f>"1750-6352"</f>
        <v>1750-6352</v>
      </c>
      <c r="E492" t="s">
        <v>8</v>
      </c>
      <c r="F492" t="s">
        <v>499</v>
      </c>
      <c r="G492">
        <v>1</v>
      </c>
    </row>
    <row r="493" spans="1:7" x14ac:dyDescent="0.25">
      <c r="A493">
        <v>10</v>
      </c>
      <c r="B493" t="s">
        <v>251</v>
      </c>
      <c r="C493">
        <v>8782565</v>
      </c>
      <c r="D493" t="str">
        <f>"1587-0308"</f>
        <v>1587-0308</v>
      </c>
      <c r="E493" t="s">
        <v>8</v>
      </c>
      <c r="F493" t="s">
        <v>500</v>
      </c>
      <c r="G493">
        <v>1</v>
      </c>
    </row>
    <row r="494" spans="1:7" x14ac:dyDescent="0.25">
      <c r="A494">
        <v>10</v>
      </c>
      <c r="B494" t="s">
        <v>251</v>
      </c>
      <c r="C494">
        <v>8783388</v>
      </c>
      <c r="D494" t="str">
        <f>"1801-9978"</f>
        <v>1801-9978</v>
      </c>
      <c r="E494" t="s">
        <v>8</v>
      </c>
      <c r="F494" t="s">
        <v>501</v>
      </c>
      <c r="G494">
        <v>1</v>
      </c>
    </row>
    <row r="495" spans="1:7" x14ac:dyDescent="0.25">
      <c r="A495">
        <v>10</v>
      </c>
      <c r="B495" t="s">
        <v>251</v>
      </c>
      <c r="C495">
        <v>8783845</v>
      </c>
      <c r="D495" t="str">
        <f>"2524-3160"</f>
        <v>2524-3160</v>
      </c>
      <c r="E495" t="s">
        <v>15</v>
      </c>
      <c r="F495" t="s">
        <v>502</v>
      </c>
      <c r="G495">
        <v>1</v>
      </c>
    </row>
    <row r="496" spans="1:7" x14ac:dyDescent="0.25">
      <c r="A496">
        <v>10</v>
      </c>
      <c r="B496" t="s">
        <v>251</v>
      </c>
      <c r="C496">
        <v>10370</v>
      </c>
      <c r="D496" t="str">
        <f>"1025-9473"</f>
        <v>1025-9473</v>
      </c>
      <c r="E496" t="s">
        <v>8</v>
      </c>
      <c r="F496" t="s">
        <v>503</v>
      </c>
      <c r="G496">
        <v>1</v>
      </c>
    </row>
    <row r="497" spans="1:7" x14ac:dyDescent="0.25">
      <c r="A497">
        <v>10</v>
      </c>
      <c r="B497" t="s">
        <v>251</v>
      </c>
      <c r="C497">
        <v>15511</v>
      </c>
      <c r="D497" t="str">
        <f>"1615-634X"</f>
        <v>1615-634X</v>
      </c>
      <c r="E497" t="s">
        <v>8</v>
      </c>
      <c r="F497" t="s">
        <v>504</v>
      </c>
      <c r="G497">
        <v>1</v>
      </c>
    </row>
    <row r="498" spans="1:7" x14ac:dyDescent="0.25">
      <c r="A498">
        <v>10</v>
      </c>
      <c r="B498" t="s">
        <v>251</v>
      </c>
      <c r="C498">
        <v>170059</v>
      </c>
      <c r="D498" t="str">
        <f>"1904-271X"</f>
        <v>1904-271X</v>
      </c>
      <c r="E498" t="s">
        <v>15</v>
      </c>
      <c r="F498" t="s">
        <v>505</v>
      </c>
      <c r="G498">
        <v>1</v>
      </c>
    </row>
    <row r="499" spans="1:7" x14ac:dyDescent="0.25">
      <c r="A499">
        <v>10</v>
      </c>
      <c r="B499" t="s">
        <v>251</v>
      </c>
      <c r="C499">
        <v>7732633</v>
      </c>
      <c r="D499" t="str">
        <f>"2050-1579"</f>
        <v>2050-1579</v>
      </c>
      <c r="E499" t="s">
        <v>8</v>
      </c>
      <c r="F499" t="s">
        <v>506</v>
      </c>
      <c r="G499">
        <v>1</v>
      </c>
    </row>
    <row r="500" spans="1:7" x14ac:dyDescent="0.25">
      <c r="A500">
        <v>10</v>
      </c>
      <c r="B500" t="s">
        <v>251</v>
      </c>
      <c r="C500">
        <v>155529</v>
      </c>
      <c r="D500" t="str">
        <f>"0942-4954"</f>
        <v>0942-4954</v>
      </c>
      <c r="E500" t="s">
        <v>8</v>
      </c>
      <c r="F500" t="s">
        <v>507</v>
      </c>
      <c r="G500">
        <v>1</v>
      </c>
    </row>
    <row r="501" spans="1:7" x14ac:dyDescent="0.25">
      <c r="A501">
        <v>10</v>
      </c>
      <c r="B501" t="s">
        <v>251</v>
      </c>
      <c r="C501">
        <v>17845</v>
      </c>
      <c r="D501" t="str">
        <f>"2047-1661"</f>
        <v>2047-1661</v>
      </c>
      <c r="E501" t="s">
        <v>8</v>
      </c>
      <c r="F501" t="s">
        <v>508</v>
      </c>
      <c r="G501">
        <v>1</v>
      </c>
    </row>
    <row r="502" spans="1:7" x14ac:dyDescent="0.25">
      <c r="A502">
        <v>10</v>
      </c>
      <c r="B502" t="s">
        <v>251</v>
      </c>
      <c r="C502">
        <v>170426</v>
      </c>
      <c r="D502" t="str">
        <f>"2230-6579"</f>
        <v>2230-6579</v>
      </c>
      <c r="E502" t="s">
        <v>15</v>
      </c>
      <c r="F502" t="s">
        <v>509</v>
      </c>
      <c r="G502">
        <v>1</v>
      </c>
    </row>
    <row r="503" spans="1:7" x14ac:dyDescent="0.25">
      <c r="A503">
        <v>10</v>
      </c>
      <c r="B503" t="s">
        <v>251</v>
      </c>
      <c r="C503">
        <v>170058</v>
      </c>
      <c r="D503" t="str">
        <f>"2245-2818"</f>
        <v>2245-2818</v>
      </c>
      <c r="E503" t="s">
        <v>15</v>
      </c>
      <c r="F503" t="s">
        <v>510</v>
      </c>
      <c r="G503">
        <v>1</v>
      </c>
    </row>
    <row r="504" spans="1:7" x14ac:dyDescent="0.25">
      <c r="A504">
        <v>10</v>
      </c>
      <c r="B504" t="s">
        <v>251</v>
      </c>
      <c r="C504">
        <v>8783846</v>
      </c>
      <c r="E504" t="s">
        <v>15</v>
      </c>
      <c r="F504" t="s">
        <v>511</v>
      </c>
      <c r="G504">
        <v>1</v>
      </c>
    </row>
    <row r="505" spans="1:7" x14ac:dyDescent="0.25">
      <c r="A505">
        <v>10</v>
      </c>
      <c r="B505" t="s">
        <v>251</v>
      </c>
      <c r="C505">
        <v>8783323</v>
      </c>
      <c r="D505" t="str">
        <f>"2215-1222"</f>
        <v>2215-1222</v>
      </c>
      <c r="E505" t="s">
        <v>8</v>
      </c>
      <c r="F505" t="s">
        <v>512</v>
      </c>
      <c r="G505">
        <v>1</v>
      </c>
    </row>
    <row r="506" spans="1:7" x14ac:dyDescent="0.25">
      <c r="A506">
        <v>10</v>
      </c>
      <c r="B506" t="s">
        <v>251</v>
      </c>
      <c r="C506">
        <v>8758297</v>
      </c>
      <c r="D506" t="str">
        <f>"1755-9944"</f>
        <v>1755-9944</v>
      </c>
      <c r="E506" t="s">
        <v>8</v>
      </c>
      <c r="F506" t="s">
        <v>513</v>
      </c>
      <c r="G506">
        <v>1</v>
      </c>
    </row>
    <row r="507" spans="1:7" x14ac:dyDescent="0.25">
      <c r="A507">
        <v>10</v>
      </c>
      <c r="B507" t="s">
        <v>251</v>
      </c>
      <c r="C507">
        <v>8783847</v>
      </c>
      <c r="D507" t="str">
        <f>"2524-3209"</f>
        <v>2524-3209</v>
      </c>
      <c r="E507" t="s">
        <v>15</v>
      </c>
      <c r="F507" t="s">
        <v>514</v>
      </c>
      <c r="G507">
        <v>1</v>
      </c>
    </row>
    <row r="508" spans="1:7" x14ac:dyDescent="0.25">
      <c r="A508">
        <v>10</v>
      </c>
      <c r="B508" t="s">
        <v>251</v>
      </c>
      <c r="C508">
        <v>8783848</v>
      </c>
      <c r="E508" t="s">
        <v>15</v>
      </c>
      <c r="F508" t="s">
        <v>515</v>
      </c>
      <c r="G508">
        <v>1</v>
      </c>
    </row>
    <row r="509" spans="1:7" x14ac:dyDescent="0.25">
      <c r="A509">
        <v>10</v>
      </c>
      <c r="B509" t="s">
        <v>251</v>
      </c>
      <c r="C509">
        <v>15648</v>
      </c>
      <c r="D509" t="str">
        <f>"1474-2756"</f>
        <v>1474-2756</v>
      </c>
      <c r="E509" t="s">
        <v>8</v>
      </c>
      <c r="F509" t="s">
        <v>516</v>
      </c>
      <c r="G509">
        <v>1</v>
      </c>
    </row>
    <row r="510" spans="1:7" x14ac:dyDescent="0.25">
      <c r="A510">
        <v>10</v>
      </c>
      <c r="B510" t="s">
        <v>251</v>
      </c>
      <c r="C510">
        <v>12048</v>
      </c>
      <c r="D510" t="str">
        <f>"0739-5329"</f>
        <v>0739-5329</v>
      </c>
      <c r="E510" t="s">
        <v>8</v>
      </c>
      <c r="F510" t="s">
        <v>517</v>
      </c>
      <c r="G510">
        <v>1</v>
      </c>
    </row>
    <row r="511" spans="1:7" x14ac:dyDescent="0.25">
      <c r="A511">
        <v>10</v>
      </c>
      <c r="B511" t="s">
        <v>251</v>
      </c>
      <c r="C511">
        <v>5486</v>
      </c>
      <c r="D511" t="str">
        <f>"1902-097X"</f>
        <v>1902-097X</v>
      </c>
      <c r="E511" t="s">
        <v>8</v>
      </c>
      <c r="F511" t="s">
        <v>518</v>
      </c>
      <c r="G511">
        <v>1</v>
      </c>
    </row>
    <row r="512" spans="1:7" x14ac:dyDescent="0.25">
      <c r="A512">
        <v>10</v>
      </c>
      <c r="B512" t="s">
        <v>251</v>
      </c>
      <c r="C512">
        <v>70956</v>
      </c>
      <c r="D512" t="str">
        <f>"0349-5949"</f>
        <v>0349-5949</v>
      </c>
      <c r="E512" t="s">
        <v>8</v>
      </c>
      <c r="F512" t="s">
        <v>519</v>
      </c>
      <c r="G512">
        <v>1</v>
      </c>
    </row>
    <row r="513" spans="1:7" x14ac:dyDescent="0.25">
      <c r="A513">
        <v>10</v>
      </c>
      <c r="B513" t="s">
        <v>251</v>
      </c>
      <c r="C513">
        <v>12634</v>
      </c>
      <c r="D513" t="str">
        <f>"0804-8452"</f>
        <v>0804-8452</v>
      </c>
      <c r="E513" t="s">
        <v>8</v>
      </c>
      <c r="F513" t="s">
        <v>520</v>
      </c>
      <c r="G513">
        <v>1</v>
      </c>
    </row>
    <row r="514" spans="1:7" x14ac:dyDescent="0.25">
      <c r="A514">
        <v>10</v>
      </c>
      <c r="B514" t="s">
        <v>251</v>
      </c>
      <c r="C514">
        <v>130910</v>
      </c>
      <c r="E514" t="s">
        <v>8</v>
      </c>
      <c r="F514" t="s">
        <v>521</v>
      </c>
      <c r="G514">
        <v>1</v>
      </c>
    </row>
    <row r="515" spans="1:7" x14ac:dyDescent="0.25">
      <c r="A515">
        <v>10</v>
      </c>
      <c r="B515" t="s">
        <v>251</v>
      </c>
      <c r="C515">
        <v>26910</v>
      </c>
      <c r="D515" t="str">
        <f>"1023-9499"</f>
        <v>1023-9499</v>
      </c>
      <c r="E515" t="s">
        <v>8</v>
      </c>
      <c r="F515" t="s">
        <v>522</v>
      </c>
      <c r="G515">
        <v>1</v>
      </c>
    </row>
    <row r="516" spans="1:7" x14ac:dyDescent="0.25">
      <c r="A516">
        <v>10</v>
      </c>
      <c r="B516" t="s">
        <v>251</v>
      </c>
      <c r="C516">
        <v>8783703</v>
      </c>
      <c r="E516" t="s">
        <v>15</v>
      </c>
      <c r="F516" t="s">
        <v>523</v>
      </c>
      <c r="G516">
        <v>1</v>
      </c>
    </row>
    <row r="517" spans="1:7" x14ac:dyDescent="0.25">
      <c r="A517">
        <v>10</v>
      </c>
      <c r="B517" t="s">
        <v>251</v>
      </c>
      <c r="C517">
        <v>8783849</v>
      </c>
      <c r="E517" t="s">
        <v>15</v>
      </c>
      <c r="F517" t="s">
        <v>524</v>
      </c>
      <c r="G517">
        <v>1</v>
      </c>
    </row>
    <row r="518" spans="1:7" x14ac:dyDescent="0.25">
      <c r="A518">
        <v>10</v>
      </c>
      <c r="B518" t="s">
        <v>251</v>
      </c>
      <c r="C518">
        <v>8783702</v>
      </c>
      <c r="E518" t="s">
        <v>15</v>
      </c>
      <c r="F518" t="s">
        <v>525</v>
      </c>
      <c r="G518">
        <v>1</v>
      </c>
    </row>
    <row r="519" spans="1:7" x14ac:dyDescent="0.25">
      <c r="A519">
        <v>10</v>
      </c>
      <c r="B519" t="s">
        <v>251</v>
      </c>
      <c r="C519">
        <v>27245</v>
      </c>
      <c r="D519" t="str">
        <f>"1749-8716"</f>
        <v>1749-8716</v>
      </c>
      <c r="E519" t="s">
        <v>8</v>
      </c>
      <c r="F519" t="s">
        <v>526</v>
      </c>
      <c r="G519">
        <v>1</v>
      </c>
    </row>
    <row r="520" spans="1:7" x14ac:dyDescent="0.25">
      <c r="A520">
        <v>10</v>
      </c>
      <c r="B520" t="s">
        <v>251</v>
      </c>
      <c r="C520">
        <v>8781965</v>
      </c>
      <c r="D520" t="str">
        <f>"2205-5258"</f>
        <v>2205-5258</v>
      </c>
      <c r="E520" t="s">
        <v>8</v>
      </c>
      <c r="F520" t="s">
        <v>527</v>
      </c>
      <c r="G520">
        <v>1</v>
      </c>
    </row>
    <row r="521" spans="1:7" x14ac:dyDescent="0.25">
      <c r="A521">
        <v>10</v>
      </c>
      <c r="B521" t="s">
        <v>251</v>
      </c>
      <c r="C521">
        <v>6241062</v>
      </c>
      <c r="D521" t="str">
        <f>"2040-3682"</f>
        <v>2040-3682</v>
      </c>
      <c r="E521" t="s">
        <v>8</v>
      </c>
      <c r="F521" t="s">
        <v>528</v>
      </c>
      <c r="G521">
        <v>1</v>
      </c>
    </row>
    <row r="522" spans="1:7" x14ac:dyDescent="0.25">
      <c r="A522">
        <v>10</v>
      </c>
      <c r="B522" t="s">
        <v>251</v>
      </c>
      <c r="C522">
        <v>180015</v>
      </c>
      <c r="E522" t="s">
        <v>15</v>
      </c>
      <c r="F522" t="s">
        <v>529</v>
      </c>
      <c r="G522">
        <v>1</v>
      </c>
    </row>
    <row r="523" spans="1:7" x14ac:dyDescent="0.25">
      <c r="A523">
        <v>10</v>
      </c>
      <c r="B523" t="s">
        <v>251</v>
      </c>
      <c r="C523">
        <v>156006</v>
      </c>
      <c r="E523" t="s">
        <v>8</v>
      </c>
      <c r="F523" t="s">
        <v>530</v>
      </c>
      <c r="G523">
        <v>1</v>
      </c>
    </row>
    <row r="524" spans="1:7" x14ac:dyDescent="0.25">
      <c r="A524">
        <v>10</v>
      </c>
      <c r="B524" t="s">
        <v>251</v>
      </c>
      <c r="C524">
        <v>7701</v>
      </c>
      <c r="D524" t="str">
        <f>"1540-5702"</f>
        <v>1540-5702</v>
      </c>
      <c r="E524" t="s">
        <v>8</v>
      </c>
      <c r="F524" t="s">
        <v>531</v>
      </c>
      <c r="G524">
        <v>1</v>
      </c>
    </row>
    <row r="525" spans="1:7" x14ac:dyDescent="0.25">
      <c r="A525">
        <v>10</v>
      </c>
      <c r="B525" t="s">
        <v>251</v>
      </c>
      <c r="C525">
        <v>12057</v>
      </c>
      <c r="D525" t="str">
        <f>"1060-8125"</f>
        <v>1060-8125</v>
      </c>
      <c r="E525" t="s">
        <v>8</v>
      </c>
      <c r="F525" t="s">
        <v>532</v>
      </c>
      <c r="G525">
        <v>1</v>
      </c>
    </row>
    <row r="526" spans="1:7" x14ac:dyDescent="0.25">
      <c r="A526">
        <v>10</v>
      </c>
      <c r="B526" t="s">
        <v>251</v>
      </c>
      <c r="C526">
        <v>153861</v>
      </c>
      <c r="D526" t="str">
        <f>"2151-2957"</f>
        <v>2151-2957</v>
      </c>
      <c r="E526" t="s">
        <v>8</v>
      </c>
      <c r="F526" t="s">
        <v>533</v>
      </c>
      <c r="G526">
        <v>1</v>
      </c>
    </row>
    <row r="527" spans="1:7" x14ac:dyDescent="0.25">
      <c r="A527">
        <v>10</v>
      </c>
      <c r="B527" t="s">
        <v>251</v>
      </c>
      <c r="C527">
        <v>9621</v>
      </c>
      <c r="D527" t="str">
        <f>"0048-4911"</f>
        <v>0048-4911</v>
      </c>
      <c r="E527" t="s">
        <v>8</v>
      </c>
      <c r="F527" t="s">
        <v>534</v>
      </c>
      <c r="G527">
        <v>1</v>
      </c>
    </row>
    <row r="528" spans="1:7" x14ac:dyDescent="0.25">
      <c r="A528">
        <v>10</v>
      </c>
      <c r="B528" t="s">
        <v>251</v>
      </c>
      <c r="C528">
        <v>180011</v>
      </c>
      <c r="E528" t="s">
        <v>8</v>
      </c>
      <c r="F528" t="s">
        <v>535</v>
      </c>
      <c r="G528">
        <v>1</v>
      </c>
    </row>
    <row r="529" spans="1:7" x14ac:dyDescent="0.25">
      <c r="A529">
        <v>10</v>
      </c>
      <c r="B529" t="s">
        <v>251</v>
      </c>
      <c r="C529">
        <v>7705836</v>
      </c>
      <c r="D529" t="str">
        <f>"2046-147X"</f>
        <v>2046-147X</v>
      </c>
      <c r="E529" t="s">
        <v>8</v>
      </c>
      <c r="F529" t="s">
        <v>536</v>
      </c>
      <c r="G529">
        <v>1</v>
      </c>
    </row>
    <row r="530" spans="1:7" x14ac:dyDescent="0.25">
      <c r="A530">
        <v>10</v>
      </c>
      <c r="B530" t="s">
        <v>251</v>
      </c>
      <c r="C530">
        <v>13713</v>
      </c>
      <c r="D530" t="str">
        <f>"0363-8111"</f>
        <v>0363-8111</v>
      </c>
      <c r="E530" t="s">
        <v>8</v>
      </c>
      <c r="F530" t="s">
        <v>537</v>
      </c>
      <c r="G530">
        <v>1</v>
      </c>
    </row>
    <row r="531" spans="1:7" x14ac:dyDescent="0.25">
      <c r="A531">
        <v>10</v>
      </c>
      <c r="B531" t="s">
        <v>251</v>
      </c>
      <c r="C531">
        <v>8643</v>
      </c>
      <c r="D531" t="str">
        <f>"1053-8801"</f>
        <v>1053-8801</v>
      </c>
      <c r="E531" t="s">
        <v>8</v>
      </c>
      <c r="F531" t="s">
        <v>538</v>
      </c>
      <c r="G531">
        <v>1</v>
      </c>
    </row>
    <row r="532" spans="1:7" x14ac:dyDescent="0.25">
      <c r="A532">
        <v>10</v>
      </c>
      <c r="B532" t="s">
        <v>251</v>
      </c>
      <c r="C532">
        <v>1990</v>
      </c>
      <c r="D532" t="str">
        <f>"0033-4006"</f>
        <v>0033-4006</v>
      </c>
      <c r="E532" t="s">
        <v>8</v>
      </c>
      <c r="F532" t="s">
        <v>539</v>
      </c>
      <c r="G532">
        <v>1</v>
      </c>
    </row>
    <row r="533" spans="1:7" x14ac:dyDescent="0.25">
      <c r="A533">
        <v>10</v>
      </c>
      <c r="B533" t="s">
        <v>251</v>
      </c>
      <c r="C533">
        <v>332</v>
      </c>
      <c r="D533" t="str">
        <f>"1745-9435"</f>
        <v>1745-9435</v>
      </c>
      <c r="E533" t="s">
        <v>8</v>
      </c>
      <c r="F533" t="s">
        <v>540</v>
      </c>
      <c r="G533">
        <v>1</v>
      </c>
    </row>
    <row r="534" spans="1:7" x14ac:dyDescent="0.25">
      <c r="A534">
        <v>10</v>
      </c>
      <c r="B534" t="s">
        <v>251</v>
      </c>
      <c r="C534">
        <v>8211</v>
      </c>
      <c r="D534" t="str">
        <f>"1050-9208"</f>
        <v>1050-9208</v>
      </c>
      <c r="E534" t="s">
        <v>8</v>
      </c>
      <c r="F534" t="s">
        <v>541</v>
      </c>
      <c r="G534">
        <v>1</v>
      </c>
    </row>
    <row r="535" spans="1:7" x14ac:dyDescent="0.25">
      <c r="A535">
        <v>10</v>
      </c>
      <c r="B535" t="s">
        <v>251</v>
      </c>
      <c r="C535">
        <v>160011</v>
      </c>
      <c r="D535" t="str">
        <f>"1633-5961"</f>
        <v>1633-5961</v>
      </c>
      <c r="E535" t="s">
        <v>8</v>
      </c>
      <c r="F535" t="s">
        <v>542</v>
      </c>
      <c r="G535">
        <v>1</v>
      </c>
    </row>
    <row r="536" spans="1:7" x14ac:dyDescent="0.25">
      <c r="A536">
        <v>10</v>
      </c>
      <c r="B536" t="s">
        <v>251</v>
      </c>
      <c r="C536">
        <v>8556</v>
      </c>
      <c r="D536" t="str">
        <f>"1476-4504"</f>
        <v>1476-4504</v>
      </c>
      <c r="E536" t="s">
        <v>8</v>
      </c>
      <c r="F536" t="s">
        <v>543</v>
      </c>
      <c r="G536">
        <v>1</v>
      </c>
    </row>
    <row r="537" spans="1:7" x14ac:dyDescent="0.25">
      <c r="A537">
        <v>10</v>
      </c>
      <c r="B537" t="s">
        <v>251</v>
      </c>
      <c r="C537">
        <v>15851</v>
      </c>
      <c r="D537" t="str">
        <f>"1605-4806"</f>
        <v>1605-4806</v>
      </c>
      <c r="E537" t="s">
        <v>8</v>
      </c>
      <c r="F537" t="s">
        <v>544</v>
      </c>
      <c r="G537">
        <v>1</v>
      </c>
    </row>
    <row r="538" spans="1:7" x14ac:dyDescent="0.25">
      <c r="A538">
        <v>10</v>
      </c>
      <c r="B538" t="s">
        <v>251</v>
      </c>
      <c r="C538">
        <v>7687240</v>
      </c>
      <c r="D538" t="str">
        <f>"2150-5381"</f>
        <v>2150-5381</v>
      </c>
      <c r="E538" t="s">
        <v>8</v>
      </c>
      <c r="F538" t="s">
        <v>545</v>
      </c>
      <c r="G538">
        <v>1</v>
      </c>
    </row>
    <row r="539" spans="1:7" x14ac:dyDescent="0.25">
      <c r="A539">
        <v>10</v>
      </c>
      <c r="B539" t="s">
        <v>251</v>
      </c>
      <c r="C539">
        <v>156023</v>
      </c>
      <c r="D539" t="str">
        <f>"1447-4905"</f>
        <v>1447-4905</v>
      </c>
      <c r="E539" t="s">
        <v>8</v>
      </c>
      <c r="F539" t="s">
        <v>546</v>
      </c>
      <c r="G539">
        <v>1</v>
      </c>
    </row>
    <row r="540" spans="1:7" x14ac:dyDescent="0.25">
      <c r="A540">
        <v>10</v>
      </c>
      <c r="B540" t="s">
        <v>251</v>
      </c>
      <c r="C540">
        <v>27599</v>
      </c>
      <c r="D540" t="str">
        <f>"1687-6741"</f>
        <v>1687-6741</v>
      </c>
      <c r="E540" t="s">
        <v>8</v>
      </c>
      <c r="F540" t="s">
        <v>547</v>
      </c>
      <c r="G540">
        <v>1</v>
      </c>
    </row>
    <row r="541" spans="1:7" x14ac:dyDescent="0.25">
      <c r="A541">
        <v>10</v>
      </c>
      <c r="B541" t="s">
        <v>251</v>
      </c>
      <c r="C541">
        <v>21928</v>
      </c>
      <c r="D541" t="str">
        <f>"0751-7971"</f>
        <v>0751-7971</v>
      </c>
      <c r="E541" t="s">
        <v>8</v>
      </c>
      <c r="F541" t="s">
        <v>548</v>
      </c>
      <c r="G541">
        <v>1</v>
      </c>
    </row>
    <row r="542" spans="1:7" x14ac:dyDescent="0.25">
      <c r="A542">
        <v>10</v>
      </c>
      <c r="B542" t="s">
        <v>251</v>
      </c>
      <c r="C542">
        <v>3572</v>
      </c>
      <c r="E542" t="s">
        <v>8</v>
      </c>
      <c r="F542" t="s">
        <v>549</v>
      </c>
      <c r="G542">
        <v>1</v>
      </c>
    </row>
    <row r="543" spans="1:7" x14ac:dyDescent="0.25">
      <c r="A543">
        <v>10</v>
      </c>
      <c r="B543" t="s">
        <v>251</v>
      </c>
      <c r="C543">
        <v>60943</v>
      </c>
      <c r="D543" t="str">
        <f>"1807-3026"</f>
        <v>1807-3026</v>
      </c>
      <c r="E543" t="s">
        <v>8</v>
      </c>
      <c r="F543" t="s">
        <v>550</v>
      </c>
      <c r="G543">
        <v>1</v>
      </c>
    </row>
    <row r="544" spans="1:7" x14ac:dyDescent="0.25">
      <c r="A544">
        <v>10</v>
      </c>
      <c r="B544" t="s">
        <v>251</v>
      </c>
      <c r="C544">
        <v>8784</v>
      </c>
      <c r="D544" t="str">
        <f>"1094-8392"</f>
        <v>1094-8392</v>
      </c>
      <c r="E544" t="s">
        <v>8</v>
      </c>
      <c r="F544" t="s">
        <v>551</v>
      </c>
      <c r="G544">
        <v>1</v>
      </c>
    </row>
    <row r="545" spans="1:7" x14ac:dyDescent="0.25">
      <c r="A545">
        <v>10</v>
      </c>
      <c r="B545" t="s">
        <v>251</v>
      </c>
      <c r="C545">
        <v>4262</v>
      </c>
      <c r="D545" t="str">
        <f>"0735-0198"</f>
        <v>0735-0198</v>
      </c>
      <c r="E545" t="s">
        <v>8</v>
      </c>
      <c r="F545" t="s">
        <v>552</v>
      </c>
      <c r="G545">
        <v>1</v>
      </c>
    </row>
    <row r="546" spans="1:7" x14ac:dyDescent="0.25">
      <c r="A546">
        <v>10</v>
      </c>
      <c r="B546" t="s">
        <v>251</v>
      </c>
      <c r="C546">
        <v>8783701</v>
      </c>
      <c r="E546" t="s">
        <v>15</v>
      </c>
      <c r="F546" t="s">
        <v>553</v>
      </c>
      <c r="G546">
        <v>1</v>
      </c>
    </row>
    <row r="547" spans="1:7" x14ac:dyDescent="0.25">
      <c r="A547">
        <v>10</v>
      </c>
      <c r="B547" t="s">
        <v>251</v>
      </c>
      <c r="C547">
        <v>8783850</v>
      </c>
      <c r="E547" t="s">
        <v>15</v>
      </c>
      <c r="F547" t="s">
        <v>554</v>
      </c>
      <c r="G547">
        <v>1</v>
      </c>
    </row>
    <row r="548" spans="1:7" x14ac:dyDescent="0.25">
      <c r="A548">
        <v>10</v>
      </c>
      <c r="B548" t="s">
        <v>251</v>
      </c>
      <c r="C548">
        <v>180006</v>
      </c>
      <c r="E548" t="s">
        <v>15</v>
      </c>
      <c r="F548" t="s">
        <v>555</v>
      </c>
      <c r="G548">
        <v>1</v>
      </c>
    </row>
    <row r="549" spans="1:7" x14ac:dyDescent="0.25">
      <c r="A549">
        <v>10</v>
      </c>
      <c r="B549" t="s">
        <v>251</v>
      </c>
      <c r="C549">
        <v>8783851</v>
      </c>
      <c r="E549" t="s">
        <v>15</v>
      </c>
      <c r="F549" t="s">
        <v>556</v>
      </c>
      <c r="G549">
        <v>1</v>
      </c>
    </row>
    <row r="550" spans="1:7" x14ac:dyDescent="0.25">
      <c r="A550">
        <v>10</v>
      </c>
      <c r="B550" t="s">
        <v>251</v>
      </c>
      <c r="C550">
        <v>8783653</v>
      </c>
      <c r="E550" t="s">
        <v>15</v>
      </c>
      <c r="F550" t="s">
        <v>557</v>
      </c>
      <c r="G550">
        <v>1</v>
      </c>
    </row>
    <row r="551" spans="1:7" x14ac:dyDescent="0.25">
      <c r="A551">
        <v>10</v>
      </c>
      <c r="B551" t="s">
        <v>251</v>
      </c>
      <c r="C551">
        <v>8783652</v>
      </c>
      <c r="E551" t="s">
        <v>15</v>
      </c>
      <c r="F551" t="s">
        <v>558</v>
      </c>
      <c r="G551">
        <v>1</v>
      </c>
    </row>
    <row r="552" spans="1:7" x14ac:dyDescent="0.25">
      <c r="A552">
        <v>10</v>
      </c>
      <c r="B552" t="s">
        <v>251</v>
      </c>
      <c r="C552">
        <v>8783566</v>
      </c>
      <c r="E552" t="s">
        <v>15</v>
      </c>
      <c r="F552" t="s">
        <v>559</v>
      </c>
      <c r="G552">
        <v>1</v>
      </c>
    </row>
    <row r="553" spans="1:7" x14ac:dyDescent="0.25">
      <c r="A553">
        <v>10</v>
      </c>
      <c r="B553" t="s">
        <v>251</v>
      </c>
      <c r="C553">
        <v>180005</v>
      </c>
      <c r="E553" t="s">
        <v>15</v>
      </c>
      <c r="F553" t="s">
        <v>560</v>
      </c>
      <c r="G553">
        <v>1</v>
      </c>
    </row>
    <row r="554" spans="1:7" x14ac:dyDescent="0.25">
      <c r="A554">
        <v>10</v>
      </c>
      <c r="B554" t="s">
        <v>251</v>
      </c>
      <c r="C554">
        <v>8783565</v>
      </c>
      <c r="E554" t="s">
        <v>15</v>
      </c>
      <c r="F554" t="s">
        <v>561</v>
      </c>
      <c r="G554">
        <v>1</v>
      </c>
    </row>
    <row r="555" spans="1:7" x14ac:dyDescent="0.25">
      <c r="A555">
        <v>10</v>
      </c>
      <c r="B555" t="s">
        <v>251</v>
      </c>
      <c r="C555">
        <v>180004</v>
      </c>
      <c r="E555" t="s">
        <v>15</v>
      </c>
      <c r="F555" t="s">
        <v>562</v>
      </c>
      <c r="G555">
        <v>1</v>
      </c>
    </row>
    <row r="556" spans="1:7" x14ac:dyDescent="0.25">
      <c r="A556">
        <v>10</v>
      </c>
      <c r="B556" t="s">
        <v>251</v>
      </c>
      <c r="C556">
        <v>8783564</v>
      </c>
      <c r="E556" t="s">
        <v>15</v>
      </c>
      <c r="F556" t="s">
        <v>563</v>
      </c>
      <c r="G556">
        <v>1</v>
      </c>
    </row>
    <row r="557" spans="1:7" x14ac:dyDescent="0.25">
      <c r="A557">
        <v>10</v>
      </c>
      <c r="B557" t="s">
        <v>251</v>
      </c>
      <c r="C557">
        <v>10880</v>
      </c>
      <c r="D557" t="str">
        <f>"0175-4351"</f>
        <v>0175-4351</v>
      </c>
      <c r="E557" t="s">
        <v>8</v>
      </c>
      <c r="F557" t="s">
        <v>564</v>
      </c>
      <c r="G557">
        <v>1</v>
      </c>
    </row>
    <row r="558" spans="1:7" x14ac:dyDescent="0.25">
      <c r="A558">
        <v>10</v>
      </c>
      <c r="B558" t="s">
        <v>251</v>
      </c>
      <c r="C558">
        <v>7741659</v>
      </c>
      <c r="E558" t="s">
        <v>8</v>
      </c>
      <c r="F558" t="s">
        <v>565</v>
      </c>
      <c r="G558">
        <v>1</v>
      </c>
    </row>
    <row r="559" spans="1:7" x14ac:dyDescent="0.25">
      <c r="A559">
        <v>10</v>
      </c>
      <c r="B559" t="s">
        <v>251</v>
      </c>
      <c r="C559">
        <v>16633</v>
      </c>
      <c r="D559" t="str">
        <f>"1504-4831"</f>
        <v>1504-4831</v>
      </c>
      <c r="E559" t="s">
        <v>8</v>
      </c>
      <c r="F559" t="s">
        <v>566</v>
      </c>
      <c r="G559">
        <v>1</v>
      </c>
    </row>
    <row r="560" spans="1:7" x14ac:dyDescent="0.25">
      <c r="A560">
        <v>10</v>
      </c>
      <c r="B560" t="s">
        <v>251</v>
      </c>
      <c r="C560">
        <v>8780552</v>
      </c>
      <c r="E560" t="s">
        <v>8</v>
      </c>
      <c r="F560" t="s">
        <v>567</v>
      </c>
      <c r="G560">
        <v>1</v>
      </c>
    </row>
    <row r="561" spans="1:7" x14ac:dyDescent="0.25">
      <c r="A561">
        <v>10</v>
      </c>
      <c r="B561" t="s">
        <v>251</v>
      </c>
      <c r="C561">
        <v>7704704</v>
      </c>
      <c r="D561" t="str">
        <f>"2042-7824"</f>
        <v>2042-7824</v>
      </c>
      <c r="E561" t="s">
        <v>8</v>
      </c>
      <c r="F561" t="s">
        <v>568</v>
      </c>
      <c r="G561">
        <v>1</v>
      </c>
    </row>
    <row r="562" spans="1:7" x14ac:dyDescent="0.25">
      <c r="A562">
        <v>10</v>
      </c>
      <c r="B562" t="s">
        <v>251</v>
      </c>
      <c r="C562">
        <v>1538</v>
      </c>
      <c r="D562" t="str">
        <f>"0037-4806"</f>
        <v>0037-4806</v>
      </c>
      <c r="E562" t="s">
        <v>8</v>
      </c>
      <c r="F562" t="s">
        <v>569</v>
      </c>
      <c r="G562">
        <v>1</v>
      </c>
    </row>
    <row r="563" spans="1:7" x14ac:dyDescent="0.25">
      <c r="A563">
        <v>10</v>
      </c>
      <c r="B563" t="s">
        <v>251</v>
      </c>
      <c r="C563">
        <v>15428</v>
      </c>
      <c r="D563" t="str">
        <f>"1041-794X"</f>
        <v>1041-794X</v>
      </c>
      <c r="E563" t="s">
        <v>8</v>
      </c>
      <c r="F563" t="s">
        <v>570</v>
      </c>
      <c r="G563">
        <v>1</v>
      </c>
    </row>
    <row r="564" spans="1:7" x14ac:dyDescent="0.25">
      <c r="A564">
        <v>10</v>
      </c>
      <c r="B564" t="s">
        <v>251</v>
      </c>
      <c r="C564">
        <v>170427</v>
      </c>
      <c r="D564" t="str">
        <f>"2245-2656"</f>
        <v>2245-2656</v>
      </c>
      <c r="E564" t="s">
        <v>15</v>
      </c>
      <c r="F564" t="s">
        <v>571</v>
      </c>
      <c r="G564">
        <v>1</v>
      </c>
    </row>
    <row r="565" spans="1:7" x14ac:dyDescent="0.25">
      <c r="A565">
        <v>10</v>
      </c>
      <c r="B565" t="s">
        <v>251</v>
      </c>
      <c r="C565">
        <v>20864</v>
      </c>
      <c r="D565" t="str">
        <f>"1750-3175"</f>
        <v>1750-3175</v>
      </c>
      <c r="E565" t="s">
        <v>8</v>
      </c>
      <c r="F565" t="s">
        <v>572</v>
      </c>
      <c r="G565">
        <v>1</v>
      </c>
    </row>
    <row r="566" spans="1:7" x14ac:dyDescent="0.25">
      <c r="A566">
        <v>10</v>
      </c>
      <c r="B566" t="s">
        <v>251</v>
      </c>
      <c r="C566">
        <v>6292847</v>
      </c>
      <c r="D566" t="str">
        <f>"2040-3232"</f>
        <v>2040-3232</v>
      </c>
      <c r="E566" t="s">
        <v>8</v>
      </c>
      <c r="F566" t="s">
        <v>573</v>
      </c>
      <c r="G566">
        <v>1</v>
      </c>
    </row>
    <row r="567" spans="1:7" x14ac:dyDescent="0.25">
      <c r="A567">
        <v>10</v>
      </c>
      <c r="B567" t="s">
        <v>251</v>
      </c>
      <c r="C567">
        <v>8783563</v>
      </c>
      <c r="E567" t="s">
        <v>15</v>
      </c>
      <c r="F567" t="s">
        <v>574</v>
      </c>
      <c r="G567">
        <v>1</v>
      </c>
    </row>
    <row r="568" spans="1:7" x14ac:dyDescent="0.25">
      <c r="A568">
        <v>10</v>
      </c>
      <c r="B568" t="s">
        <v>251</v>
      </c>
      <c r="C568">
        <v>193</v>
      </c>
      <c r="D568" t="str">
        <f>"1424-4896"</f>
        <v>1424-4896</v>
      </c>
      <c r="E568" t="s">
        <v>8</v>
      </c>
      <c r="F568" t="s">
        <v>575</v>
      </c>
      <c r="G568">
        <v>1</v>
      </c>
    </row>
    <row r="569" spans="1:7" x14ac:dyDescent="0.25">
      <c r="A569">
        <v>10</v>
      </c>
      <c r="B569" t="s">
        <v>251</v>
      </c>
      <c r="C569">
        <v>6292916</v>
      </c>
      <c r="D569" t="str">
        <f>"2040-350X"</f>
        <v>2040-350X</v>
      </c>
      <c r="E569" t="s">
        <v>8</v>
      </c>
      <c r="F569" t="s">
        <v>576</v>
      </c>
      <c r="G569">
        <v>1</v>
      </c>
    </row>
    <row r="570" spans="1:7" x14ac:dyDescent="0.25">
      <c r="A570">
        <v>10</v>
      </c>
      <c r="B570" t="s">
        <v>251</v>
      </c>
      <c r="C570">
        <v>11940</v>
      </c>
      <c r="D570" t="str">
        <f>"1471-5880"</f>
        <v>1471-5880</v>
      </c>
      <c r="E570" t="s">
        <v>8</v>
      </c>
      <c r="F570" t="s">
        <v>577</v>
      </c>
      <c r="G570">
        <v>1</v>
      </c>
    </row>
    <row r="571" spans="1:7" x14ac:dyDescent="0.25">
      <c r="A571">
        <v>10</v>
      </c>
      <c r="B571" t="s">
        <v>251</v>
      </c>
      <c r="C571">
        <v>4608</v>
      </c>
      <c r="D571" t="str">
        <f>"1568-2706"</f>
        <v>1568-2706</v>
      </c>
      <c r="E571" t="s">
        <v>15</v>
      </c>
      <c r="F571" t="s">
        <v>578</v>
      </c>
      <c r="G571">
        <v>1</v>
      </c>
    </row>
    <row r="572" spans="1:7" x14ac:dyDescent="0.25">
      <c r="A572">
        <v>10</v>
      </c>
      <c r="B572" t="s">
        <v>251</v>
      </c>
      <c r="C572">
        <v>18525</v>
      </c>
      <c r="D572" t="str">
        <f>"1750-3132"</f>
        <v>1750-3132</v>
      </c>
      <c r="E572" t="s">
        <v>8</v>
      </c>
      <c r="F572" t="s">
        <v>579</v>
      </c>
      <c r="G572">
        <v>1</v>
      </c>
    </row>
    <row r="573" spans="1:7" x14ac:dyDescent="0.25">
      <c r="A573">
        <v>10</v>
      </c>
      <c r="B573" t="s">
        <v>251</v>
      </c>
      <c r="C573">
        <v>27653</v>
      </c>
      <c r="D573" t="str">
        <f>"1756-4921"</f>
        <v>1756-4921</v>
      </c>
      <c r="E573" t="s">
        <v>8</v>
      </c>
      <c r="F573" t="s">
        <v>580</v>
      </c>
      <c r="G573">
        <v>1</v>
      </c>
    </row>
    <row r="574" spans="1:7" x14ac:dyDescent="0.25">
      <c r="A574">
        <v>10</v>
      </c>
      <c r="B574" t="s">
        <v>251</v>
      </c>
      <c r="C574">
        <v>16390</v>
      </c>
      <c r="D574" t="str">
        <f>"2050-4837"</f>
        <v>2050-4837</v>
      </c>
      <c r="E574" t="s">
        <v>8</v>
      </c>
      <c r="F574" t="s">
        <v>581</v>
      </c>
      <c r="G574">
        <v>1</v>
      </c>
    </row>
    <row r="575" spans="1:7" x14ac:dyDescent="0.25">
      <c r="A575">
        <v>10</v>
      </c>
      <c r="B575" t="s">
        <v>251</v>
      </c>
      <c r="C575">
        <v>8783700</v>
      </c>
      <c r="E575" t="s">
        <v>15</v>
      </c>
      <c r="F575" t="s">
        <v>582</v>
      </c>
      <c r="G575">
        <v>1</v>
      </c>
    </row>
    <row r="576" spans="1:7" x14ac:dyDescent="0.25">
      <c r="A576">
        <v>10</v>
      </c>
      <c r="B576" t="s">
        <v>251</v>
      </c>
      <c r="C576">
        <v>19356</v>
      </c>
      <c r="D576" t="str">
        <f>"1477-965X"</f>
        <v>1477-965X</v>
      </c>
      <c r="E576" t="s">
        <v>8</v>
      </c>
      <c r="F576" t="s">
        <v>583</v>
      </c>
      <c r="G576">
        <v>1</v>
      </c>
    </row>
    <row r="577" spans="1:7" x14ac:dyDescent="0.25">
      <c r="A577">
        <v>10</v>
      </c>
      <c r="B577" t="s">
        <v>251</v>
      </c>
      <c r="C577">
        <v>40755</v>
      </c>
      <c r="D577" t="str">
        <f>"0213-084X"</f>
        <v>0213-084X</v>
      </c>
      <c r="E577" t="s">
        <v>8</v>
      </c>
      <c r="F577" t="s">
        <v>584</v>
      </c>
      <c r="G577">
        <v>1</v>
      </c>
    </row>
    <row r="578" spans="1:7" x14ac:dyDescent="0.25">
      <c r="A578">
        <v>10</v>
      </c>
      <c r="B578" t="s">
        <v>251</v>
      </c>
      <c r="C578">
        <v>15684</v>
      </c>
      <c r="D578" t="str">
        <f>"1327-9556"</f>
        <v>1327-9556</v>
      </c>
      <c r="E578" t="s">
        <v>8</v>
      </c>
      <c r="F578" t="s">
        <v>585</v>
      </c>
      <c r="G578">
        <v>1</v>
      </c>
    </row>
    <row r="579" spans="1:7" x14ac:dyDescent="0.25">
      <c r="A579">
        <v>10</v>
      </c>
      <c r="B579" t="s">
        <v>251</v>
      </c>
      <c r="C579">
        <v>7689083</v>
      </c>
      <c r="D579" t="str">
        <f>"1431-0015"</f>
        <v>1431-0015</v>
      </c>
      <c r="E579" t="s">
        <v>15</v>
      </c>
      <c r="F579" t="s">
        <v>586</v>
      </c>
      <c r="G579">
        <v>1</v>
      </c>
    </row>
    <row r="580" spans="1:7" x14ac:dyDescent="0.25">
      <c r="A580">
        <v>10</v>
      </c>
      <c r="B580" t="s">
        <v>251</v>
      </c>
      <c r="C580">
        <v>72633</v>
      </c>
      <c r="D580" t="str">
        <f>"1559-2936"</f>
        <v>1559-2936</v>
      </c>
      <c r="E580" t="s">
        <v>8</v>
      </c>
      <c r="F580" t="s">
        <v>587</v>
      </c>
      <c r="G580">
        <v>1</v>
      </c>
    </row>
    <row r="581" spans="1:7" x14ac:dyDescent="0.25">
      <c r="A581">
        <v>10</v>
      </c>
      <c r="B581" t="s">
        <v>251</v>
      </c>
      <c r="C581">
        <v>10622</v>
      </c>
      <c r="D581" t="str">
        <f>"1096-7516"</f>
        <v>1096-7516</v>
      </c>
      <c r="E581" t="s">
        <v>8</v>
      </c>
      <c r="F581" t="s">
        <v>588</v>
      </c>
      <c r="G581">
        <v>1</v>
      </c>
    </row>
    <row r="582" spans="1:7" x14ac:dyDescent="0.25">
      <c r="A582">
        <v>10</v>
      </c>
      <c r="B582" t="s">
        <v>251</v>
      </c>
      <c r="C582">
        <v>12839</v>
      </c>
      <c r="D582" t="str">
        <f>"0894-2838"</f>
        <v>0894-2838</v>
      </c>
      <c r="E582" t="s">
        <v>8</v>
      </c>
      <c r="F582" t="s">
        <v>589</v>
      </c>
      <c r="G582">
        <v>1</v>
      </c>
    </row>
    <row r="583" spans="1:7" x14ac:dyDescent="0.25">
      <c r="A583">
        <v>10</v>
      </c>
      <c r="B583" t="s">
        <v>251</v>
      </c>
      <c r="C583">
        <v>15196</v>
      </c>
      <c r="E583" t="s">
        <v>8</v>
      </c>
      <c r="F583" t="s">
        <v>590</v>
      </c>
      <c r="G583">
        <v>1</v>
      </c>
    </row>
    <row r="584" spans="1:7" x14ac:dyDescent="0.25">
      <c r="A584">
        <v>10</v>
      </c>
      <c r="B584" t="s">
        <v>251</v>
      </c>
      <c r="C584">
        <v>7739142</v>
      </c>
      <c r="D584" t="str">
        <f>"2046-9861"</f>
        <v>2046-9861</v>
      </c>
      <c r="E584" t="s">
        <v>8</v>
      </c>
      <c r="F584" t="s">
        <v>591</v>
      </c>
      <c r="G584">
        <v>1</v>
      </c>
    </row>
    <row r="585" spans="1:7" x14ac:dyDescent="0.25">
      <c r="A585">
        <v>10</v>
      </c>
      <c r="B585" t="s">
        <v>251</v>
      </c>
      <c r="C585">
        <v>8896</v>
      </c>
      <c r="D585" t="str">
        <f>"1532-3978"</f>
        <v>1532-3978</v>
      </c>
      <c r="E585" t="s">
        <v>8</v>
      </c>
      <c r="F585" t="s">
        <v>592</v>
      </c>
      <c r="G585">
        <v>1</v>
      </c>
    </row>
    <row r="586" spans="1:7" x14ac:dyDescent="0.25">
      <c r="A586">
        <v>10</v>
      </c>
      <c r="B586" t="s">
        <v>251</v>
      </c>
      <c r="C586">
        <v>7720039</v>
      </c>
      <c r="D586" t="str">
        <f>"2045-6298"</f>
        <v>2045-6298</v>
      </c>
      <c r="E586" t="s">
        <v>8</v>
      </c>
      <c r="F586" t="s">
        <v>593</v>
      </c>
      <c r="G586">
        <v>1</v>
      </c>
    </row>
    <row r="587" spans="1:7" x14ac:dyDescent="0.25">
      <c r="A587">
        <v>10</v>
      </c>
      <c r="B587" t="s">
        <v>251</v>
      </c>
      <c r="C587">
        <v>7796</v>
      </c>
      <c r="D587" t="str">
        <f>"1740-0309"</f>
        <v>1740-0309</v>
      </c>
      <c r="E587" t="s">
        <v>8</v>
      </c>
      <c r="F587" t="s">
        <v>594</v>
      </c>
      <c r="G587">
        <v>1</v>
      </c>
    </row>
    <row r="588" spans="1:7" x14ac:dyDescent="0.25">
      <c r="A588">
        <v>10</v>
      </c>
      <c r="B588" t="s">
        <v>251</v>
      </c>
      <c r="C588">
        <v>27413</v>
      </c>
      <c r="D588" t="str">
        <f>"1751-4193"</f>
        <v>1751-4193</v>
      </c>
      <c r="E588" t="s">
        <v>8</v>
      </c>
      <c r="F588" t="s">
        <v>595</v>
      </c>
      <c r="G588">
        <v>1</v>
      </c>
    </row>
    <row r="589" spans="1:7" x14ac:dyDescent="0.25">
      <c r="A589">
        <v>10</v>
      </c>
      <c r="B589" t="s">
        <v>251</v>
      </c>
      <c r="C589">
        <v>8783698</v>
      </c>
      <c r="E589" t="s">
        <v>15</v>
      </c>
      <c r="F589" t="s">
        <v>596</v>
      </c>
      <c r="G589">
        <v>1</v>
      </c>
    </row>
    <row r="590" spans="1:7" x14ac:dyDescent="0.25">
      <c r="A590">
        <v>10</v>
      </c>
      <c r="B590" t="s">
        <v>251</v>
      </c>
      <c r="C590">
        <v>7754057</v>
      </c>
      <c r="D590" t="str">
        <f>"2245-9855"</f>
        <v>2245-9855</v>
      </c>
      <c r="E590" t="s">
        <v>8</v>
      </c>
      <c r="F590" t="s">
        <v>597</v>
      </c>
      <c r="G590">
        <v>1</v>
      </c>
    </row>
    <row r="591" spans="1:7" x14ac:dyDescent="0.25">
      <c r="A591">
        <v>10</v>
      </c>
      <c r="B591" t="s">
        <v>251</v>
      </c>
      <c r="C591">
        <v>9479</v>
      </c>
      <c r="D591" t="str">
        <f>"1384-6930"</f>
        <v>1384-6930</v>
      </c>
      <c r="E591" t="s">
        <v>8</v>
      </c>
      <c r="F591" t="s">
        <v>598</v>
      </c>
      <c r="G591">
        <v>1</v>
      </c>
    </row>
    <row r="592" spans="1:7" x14ac:dyDescent="0.25">
      <c r="A592">
        <v>10</v>
      </c>
      <c r="B592" t="s">
        <v>251</v>
      </c>
      <c r="C592">
        <v>8783699</v>
      </c>
      <c r="E592" t="s">
        <v>15</v>
      </c>
      <c r="F592" t="s">
        <v>599</v>
      </c>
      <c r="G592">
        <v>1</v>
      </c>
    </row>
    <row r="593" spans="1:7" x14ac:dyDescent="0.25">
      <c r="A593">
        <v>10</v>
      </c>
      <c r="B593" t="s">
        <v>251</v>
      </c>
      <c r="C593">
        <v>154117</v>
      </c>
      <c r="D593" t="str">
        <f>"1444-3775"</f>
        <v>1444-3775</v>
      </c>
      <c r="E593" t="s">
        <v>8</v>
      </c>
      <c r="F593" t="s">
        <v>600</v>
      </c>
      <c r="G593">
        <v>1</v>
      </c>
    </row>
    <row r="594" spans="1:7" x14ac:dyDescent="0.25">
      <c r="A594">
        <v>10</v>
      </c>
      <c r="B594" t="s">
        <v>251</v>
      </c>
      <c r="C594">
        <v>6307168</v>
      </c>
      <c r="E594" t="s">
        <v>8</v>
      </c>
      <c r="F594" t="s">
        <v>601</v>
      </c>
      <c r="G594">
        <v>1</v>
      </c>
    </row>
    <row r="595" spans="1:7" x14ac:dyDescent="0.25">
      <c r="A595">
        <v>10</v>
      </c>
      <c r="B595" t="s">
        <v>251</v>
      </c>
      <c r="C595">
        <v>8783492</v>
      </c>
      <c r="E595" t="s">
        <v>15</v>
      </c>
      <c r="F595" t="s">
        <v>602</v>
      </c>
      <c r="G595">
        <v>1</v>
      </c>
    </row>
    <row r="596" spans="1:7" x14ac:dyDescent="0.25">
      <c r="A596">
        <v>10</v>
      </c>
      <c r="B596" t="s">
        <v>251</v>
      </c>
      <c r="C596">
        <v>154427</v>
      </c>
      <c r="E596" t="s">
        <v>8</v>
      </c>
      <c r="F596" t="s">
        <v>603</v>
      </c>
      <c r="G596">
        <v>1</v>
      </c>
    </row>
    <row r="597" spans="1:7" x14ac:dyDescent="0.25">
      <c r="A597">
        <v>10</v>
      </c>
      <c r="B597" t="s">
        <v>251</v>
      </c>
      <c r="C597">
        <v>8758244</v>
      </c>
      <c r="D597" t="str">
        <f>"1138-3305"</f>
        <v>1138-3305</v>
      </c>
      <c r="E597" t="s">
        <v>8</v>
      </c>
      <c r="F597" t="s">
        <v>604</v>
      </c>
      <c r="G597">
        <v>1</v>
      </c>
    </row>
    <row r="598" spans="1:7" x14ac:dyDescent="0.25">
      <c r="A598">
        <v>10</v>
      </c>
      <c r="B598" t="s">
        <v>251</v>
      </c>
      <c r="C598">
        <v>2284</v>
      </c>
      <c r="D598" t="str">
        <f>"1359-4338"</f>
        <v>1359-4338</v>
      </c>
      <c r="E598" t="s">
        <v>8</v>
      </c>
      <c r="F598" t="s">
        <v>605</v>
      </c>
      <c r="G598">
        <v>1</v>
      </c>
    </row>
    <row r="599" spans="1:7" x14ac:dyDescent="0.25">
      <c r="A599">
        <v>10</v>
      </c>
      <c r="B599" t="s">
        <v>251</v>
      </c>
      <c r="C599">
        <v>661</v>
      </c>
      <c r="D599" t="str">
        <f>"1555-1393"</f>
        <v>1555-1393</v>
      </c>
      <c r="E599" t="s">
        <v>8</v>
      </c>
      <c r="F599" t="s">
        <v>606</v>
      </c>
      <c r="G599">
        <v>1</v>
      </c>
    </row>
    <row r="600" spans="1:7" x14ac:dyDescent="0.25">
      <c r="A600">
        <v>10</v>
      </c>
      <c r="B600" t="s">
        <v>251</v>
      </c>
      <c r="C600">
        <v>1359</v>
      </c>
      <c r="D600" t="str">
        <f>"0318-9201"</f>
        <v>0318-9201</v>
      </c>
      <c r="E600" t="s">
        <v>8</v>
      </c>
      <c r="F600" t="s">
        <v>607</v>
      </c>
      <c r="G600">
        <v>1</v>
      </c>
    </row>
    <row r="601" spans="1:7" x14ac:dyDescent="0.25">
      <c r="A601">
        <v>10</v>
      </c>
      <c r="B601" t="s">
        <v>251</v>
      </c>
      <c r="C601">
        <v>4307</v>
      </c>
      <c r="E601" t="s">
        <v>8</v>
      </c>
      <c r="F601" t="s">
        <v>608</v>
      </c>
      <c r="G601">
        <v>1</v>
      </c>
    </row>
    <row r="602" spans="1:7" x14ac:dyDescent="0.25">
      <c r="A602">
        <v>10</v>
      </c>
      <c r="B602" t="s">
        <v>251</v>
      </c>
      <c r="C602">
        <v>5147</v>
      </c>
      <c r="D602" t="str">
        <f>"1057-0314"</f>
        <v>1057-0314</v>
      </c>
      <c r="E602" t="s">
        <v>8</v>
      </c>
      <c r="F602" t="s">
        <v>609</v>
      </c>
      <c r="G602">
        <v>1</v>
      </c>
    </row>
    <row r="603" spans="1:7" x14ac:dyDescent="0.25">
      <c r="A603">
        <v>10</v>
      </c>
      <c r="B603" t="s">
        <v>251</v>
      </c>
      <c r="C603">
        <v>1417</v>
      </c>
      <c r="D603" t="str">
        <f>"1744-6708"</f>
        <v>1744-6708</v>
      </c>
      <c r="E603" t="s">
        <v>8</v>
      </c>
      <c r="F603" t="s">
        <v>610</v>
      </c>
      <c r="G603">
        <v>1</v>
      </c>
    </row>
    <row r="604" spans="1:7" x14ac:dyDescent="0.25">
      <c r="A604">
        <v>10</v>
      </c>
      <c r="B604" t="s">
        <v>251</v>
      </c>
      <c r="C604">
        <v>8782566</v>
      </c>
      <c r="E604" t="s">
        <v>15</v>
      </c>
      <c r="F604" t="s">
        <v>611</v>
      </c>
      <c r="G604">
        <v>1</v>
      </c>
    </row>
    <row r="605" spans="1:7" x14ac:dyDescent="0.25">
      <c r="A605">
        <v>10</v>
      </c>
      <c r="B605" t="s">
        <v>251</v>
      </c>
      <c r="C605">
        <v>8758239</v>
      </c>
      <c r="E605" t="s">
        <v>8</v>
      </c>
      <c r="F605" t="s">
        <v>612</v>
      </c>
      <c r="G605">
        <v>1</v>
      </c>
    </row>
    <row r="606" spans="1:7" x14ac:dyDescent="0.25">
      <c r="A606">
        <v>10</v>
      </c>
      <c r="B606" t="s">
        <v>251</v>
      </c>
      <c r="C606">
        <v>6336712</v>
      </c>
      <c r="D606" t="str">
        <f>"1662-1417"</f>
        <v>1662-1417</v>
      </c>
      <c r="E606" t="s">
        <v>8</v>
      </c>
      <c r="F606" t="s">
        <v>613</v>
      </c>
      <c r="G606">
        <v>1</v>
      </c>
    </row>
    <row r="607" spans="1:7" x14ac:dyDescent="0.25">
      <c r="A607">
        <v>100</v>
      </c>
      <c r="B607" t="s">
        <v>614</v>
      </c>
      <c r="C607">
        <v>2298</v>
      </c>
      <c r="D607" t="str">
        <f>"0028-0836"</f>
        <v>0028-0836</v>
      </c>
      <c r="E607" t="s">
        <v>8</v>
      </c>
      <c r="F607" t="s">
        <v>615</v>
      </c>
      <c r="G607">
        <v>3</v>
      </c>
    </row>
    <row r="608" spans="1:7" x14ac:dyDescent="0.25">
      <c r="A608">
        <v>100</v>
      </c>
      <c r="B608" t="s">
        <v>614</v>
      </c>
      <c r="C608">
        <v>11195</v>
      </c>
      <c r="D608" t="str">
        <f>"0036-8075"</f>
        <v>0036-8075</v>
      </c>
      <c r="E608" t="s">
        <v>8</v>
      </c>
      <c r="F608" t="s">
        <v>616</v>
      </c>
      <c r="G608">
        <v>3</v>
      </c>
    </row>
    <row r="609" spans="1:7" x14ac:dyDescent="0.25">
      <c r="A609">
        <v>100</v>
      </c>
      <c r="B609" t="s">
        <v>614</v>
      </c>
      <c r="C609">
        <v>6214883</v>
      </c>
      <c r="E609" t="s">
        <v>8</v>
      </c>
      <c r="F609" t="s">
        <v>617</v>
      </c>
      <c r="G609">
        <v>2</v>
      </c>
    </row>
    <row r="610" spans="1:7" x14ac:dyDescent="0.25">
      <c r="A610">
        <v>100</v>
      </c>
      <c r="B610" t="s">
        <v>614</v>
      </c>
      <c r="C610">
        <v>12631</v>
      </c>
      <c r="D610" t="str">
        <f>"1548-7091"</f>
        <v>1548-7091</v>
      </c>
      <c r="E610" t="s">
        <v>8</v>
      </c>
      <c r="F610" t="s">
        <v>618</v>
      </c>
      <c r="G610">
        <v>2</v>
      </c>
    </row>
    <row r="611" spans="1:7" x14ac:dyDescent="0.25">
      <c r="A611">
        <v>100</v>
      </c>
      <c r="B611" t="s">
        <v>614</v>
      </c>
      <c r="C611">
        <v>11982</v>
      </c>
      <c r="D611" t="str">
        <f>"0027-8424"</f>
        <v>0027-8424</v>
      </c>
      <c r="E611" t="s">
        <v>8</v>
      </c>
      <c r="F611" t="s">
        <v>619</v>
      </c>
      <c r="G611">
        <v>2</v>
      </c>
    </row>
    <row r="612" spans="1:7" x14ac:dyDescent="0.25">
      <c r="A612">
        <v>100</v>
      </c>
      <c r="B612" t="s">
        <v>614</v>
      </c>
      <c r="C612">
        <v>13157</v>
      </c>
      <c r="D612" t="str">
        <f>"0077-8923"</f>
        <v>0077-8923</v>
      </c>
      <c r="E612" t="s">
        <v>8</v>
      </c>
      <c r="F612" t="s">
        <v>620</v>
      </c>
      <c r="G612">
        <v>1</v>
      </c>
    </row>
    <row r="613" spans="1:7" x14ac:dyDescent="0.25">
      <c r="A613">
        <v>100</v>
      </c>
      <c r="B613" t="s">
        <v>614</v>
      </c>
      <c r="C613">
        <v>5520</v>
      </c>
      <c r="E613" t="s">
        <v>8</v>
      </c>
      <c r="F613" t="s">
        <v>621</v>
      </c>
      <c r="G613">
        <v>1</v>
      </c>
    </row>
    <row r="614" spans="1:7" x14ac:dyDescent="0.25">
      <c r="A614">
        <v>100</v>
      </c>
      <c r="B614" t="s">
        <v>614</v>
      </c>
      <c r="C614">
        <v>8774436</v>
      </c>
      <c r="E614" t="s">
        <v>8</v>
      </c>
      <c r="F614" t="s">
        <v>622</v>
      </c>
      <c r="G614">
        <v>1</v>
      </c>
    </row>
    <row r="615" spans="1:7" x14ac:dyDescent="0.25">
      <c r="A615">
        <v>11</v>
      </c>
      <c r="B615" t="s">
        <v>623</v>
      </c>
      <c r="C615">
        <v>6173</v>
      </c>
      <c r="D615" t="str">
        <f>"0066-7668"</f>
        <v>0066-7668</v>
      </c>
      <c r="E615" t="s">
        <v>8</v>
      </c>
      <c r="F615" t="s">
        <v>624</v>
      </c>
      <c r="G615">
        <v>2</v>
      </c>
    </row>
    <row r="616" spans="1:7" x14ac:dyDescent="0.25">
      <c r="A616">
        <v>11</v>
      </c>
      <c r="B616" t="s">
        <v>623</v>
      </c>
      <c r="C616">
        <v>10924</v>
      </c>
      <c r="D616" t="str">
        <f>"0106-4525"</f>
        <v>0106-4525</v>
      </c>
      <c r="E616" t="s">
        <v>8</v>
      </c>
      <c r="F616" t="s">
        <v>625</v>
      </c>
      <c r="G616">
        <v>2</v>
      </c>
    </row>
    <row r="617" spans="1:7" x14ac:dyDescent="0.25">
      <c r="A617">
        <v>11</v>
      </c>
      <c r="B617" t="s">
        <v>623</v>
      </c>
      <c r="C617">
        <v>4184</v>
      </c>
      <c r="D617" t="str">
        <f>"0013-0818"</f>
        <v>0013-0818</v>
      </c>
      <c r="E617" t="s">
        <v>8</v>
      </c>
      <c r="F617" t="s">
        <v>626</v>
      </c>
      <c r="G617">
        <v>2</v>
      </c>
    </row>
    <row r="618" spans="1:7" x14ac:dyDescent="0.25">
      <c r="A618">
        <v>11</v>
      </c>
      <c r="B618" t="s">
        <v>623</v>
      </c>
      <c r="C618">
        <v>1547</v>
      </c>
      <c r="D618" t="str">
        <f>"2191-9399"</f>
        <v>2191-9399</v>
      </c>
      <c r="E618" t="s">
        <v>8</v>
      </c>
      <c r="F618" t="s">
        <v>627</v>
      </c>
      <c r="G618">
        <v>2</v>
      </c>
    </row>
    <row r="619" spans="1:7" x14ac:dyDescent="0.25">
      <c r="A619">
        <v>11</v>
      </c>
      <c r="B619" t="s">
        <v>623</v>
      </c>
      <c r="C619">
        <v>4926</v>
      </c>
      <c r="D619" t="str">
        <f>"0905-6998"</f>
        <v>0905-6998</v>
      </c>
      <c r="E619" t="s">
        <v>8</v>
      </c>
      <c r="F619" t="s">
        <v>628</v>
      </c>
      <c r="G619">
        <v>2</v>
      </c>
    </row>
    <row r="620" spans="1:7" x14ac:dyDescent="0.25">
      <c r="A620">
        <v>11</v>
      </c>
      <c r="B620" t="s">
        <v>623</v>
      </c>
      <c r="C620">
        <v>84294</v>
      </c>
      <c r="D620" t="str">
        <f>"1612-8427"</f>
        <v>1612-8427</v>
      </c>
      <c r="E620" t="s">
        <v>15</v>
      </c>
      <c r="F620" t="s">
        <v>629</v>
      </c>
      <c r="G620">
        <v>2</v>
      </c>
    </row>
    <row r="621" spans="1:7" x14ac:dyDescent="0.25">
      <c r="A621">
        <v>11</v>
      </c>
      <c r="B621" t="s">
        <v>623</v>
      </c>
      <c r="C621">
        <v>5663</v>
      </c>
      <c r="D621" t="str">
        <f>"0109-3967"</f>
        <v>0109-3967</v>
      </c>
      <c r="E621" t="s">
        <v>8</v>
      </c>
      <c r="F621" t="s">
        <v>630</v>
      </c>
      <c r="G621">
        <v>2</v>
      </c>
    </row>
    <row r="622" spans="1:7" x14ac:dyDescent="0.25">
      <c r="A622">
        <v>11</v>
      </c>
      <c r="B622" t="s">
        <v>623</v>
      </c>
      <c r="C622">
        <v>130530</v>
      </c>
      <c r="D622" t="str">
        <f>"0106-8040"</f>
        <v>0106-8040</v>
      </c>
      <c r="E622" t="s">
        <v>8</v>
      </c>
      <c r="F622" t="s">
        <v>631</v>
      </c>
      <c r="G622">
        <v>2</v>
      </c>
    </row>
    <row r="623" spans="1:7" x14ac:dyDescent="0.25">
      <c r="A623">
        <v>11</v>
      </c>
      <c r="B623" t="s">
        <v>623</v>
      </c>
      <c r="C623">
        <v>2811</v>
      </c>
      <c r="D623" t="str">
        <f>"1398-5345"</f>
        <v>1398-5345</v>
      </c>
      <c r="E623" t="s">
        <v>8</v>
      </c>
      <c r="F623" t="s">
        <v>632</v>
      </c>
      <c r="G623">
        <v>2</v>
      </c>
    </row>
    <row r="624" spans="1:7" x14ac:dyDescent="0.25">
      <c r="A624">
        <v>11</v>
      </c>
      <c r="B624" t="s">
        <v>623</v>
      </c>
      <c r="C624">
        <v>8386</v>
      </c>
      <c r="D624" t="str">
        <f>"0901-8883"</f>
        <v>0901-8883</v>
      </c>
      <c r="E624" t="s">
        <v>8</v>
      </c>
      <c r="F624" t="s">
        <v>633</v>
      </c>
      <c r="G624">
        <v>2</v>
      </c>
    </row>
    <row r="625" spans="1:7" x14ac:dyDescent="0.25">
      <c r="A625">
        <v>11</v>
      </c>
      <c r="B625" t="s">
        <v>623</v>
      </c>
      <c r="C625">
        <v>1775</v>
      </c>
      <c r="D625" t="str">
        <f>"1397-0534"</f>
        <v>1397-0534</v>
      </c>
      <c r="E625" t="s">
        <v>8</v>
      </c>
      <c r="F625" t="s">
        <v>634</v>
      </c>
      <c r="G625">
        <v>2</v>
      </c>
    </row>
    <row r="626" spans="1:7" x14ac:dyDescent="0.25">
      <c r="A626">
        <v>11</v>
      </c>
      <c r="B626" t="s">
        <v>623</v>
      </c>
      <c r="C626">
        <v>11860</v>
      </c>
      <c r="D626" t="str">
        <f>"0036-5637"</f>
        <v>0036-5637</v>
      </c>
      <c r="E626" t="s">
        <v>8</v>
      </c>
      <c r="F626" t="s">
        <v>635</v>
      </c>
      <c r="G626">
        <v>2</v>
      </c>
    </row>
    <row r="627" spans="1:7" x14ac:dyDescent="0.25">
      <c r="A627">
        <v>11</v>
      </c>
      <c r="B627" t="s">
        <v>623</v>
      </c>
      <c r="C627">
        <v>87217</v>
      </c>
      <c r="E627" t="s">
        <v>8</v>
      </c>
      <c r="F627" t="s">
        <v>636</v>
      </c>
      <c r="G627">
        <v>2</v>
      </c>
    </row>
    <row r="628" spans="1:7" x14ac:dyDescent="0.25">
      <c r="A628">
        <v>11</v>
      </c>
      <c r="B628" t="s">
        <v>623</v>
      </c>
      <c r="C628">
        <v>14382</v>
      </c>
      <c r="D628" t="str">
        <f>"0036-5653"</f>
        <v>0036-5653</v>
      </c>
      <c r="E628" t="s">
        <v>8</v>
      </c>
      <c r="F628" t="s">
        <v>637</v>
      </c>
      <c r="G628">
        <v>2</v>
      </c>
    </row>
    <row r="629" spans="1:7" x14ac:dyDescent="0.25">
      <c r="A629">
        <v>11</v>
      </c>
      <c r="B629" t="s">
        <v>623</v>
      </c>
      <c r="C629">
        <v>13821</v>
      </c>
      <c r="D629" t="str">
        <f>"0906-9976"</f>
        <v>0906-9976</v>
      </c>
      <c r="E629" t="s">
        <v>8</v>
      </c>
      <c r="F629" t="s">
        <v>638</v>
      </c>
      <c r="G629">
        <v>2</v>
      </c>
    </row>
    <row r="630" spans="1:7" x14ac:dyDescent="0.25">
      <c r="A630">
        <v>11</v>
      </c>
      <c r="B630" t="s">
        <v>623</v>
      </c>
      <c r="C630">
        <v>5347</v>
      </c>
      <c r="D630" t="str">
        <f>"1503-2981"</f>
        <v>1503-2981</v>
      </c>
      <c r="E630" t="s">
        <v>15</v>
      </c>
      <c r="F630" t="s">
        <v>639</v>
      </c>
      <c r="G630">
        <v>1</v>
      </c>
    </row>
    <row r="631" spans="1:7" x14ac:dyDescent="0.25">
      <c r="A631">
        <v>11</v>
      </c>
      <c r="B631" t="s">
        <v>623</v>
      </c>
      <c r="C631">
        <v>15634</v>
      </c>
      <c r="D631" t="str">
        <f>"1211-4413"</f>
        <v>1211-4413</v>
      </c>
      <c r="E631" t="s">
        <v>8</v>
      </c>
      <c r="F631" t="s">
        <v>640</v>
      </c>
      <c r="G631">
        <v>1</v>
      </c>
    </row>
    <row r="632" spans="1:7" x14ac:dyDescent="0.25">
      <c r="A632">
        <v>11</v>
      </c>
      <c r="B632" t="s">
        <v>623</v>
      </c>
      <c r="C632">
        <v>8767816</v>
      </c>
      <c r="E632" t="s">
        <v>8</v>
      </c>
      <c r="F632" t="s">
        <v>641</v>
      </c>
      <c r="G632">
        <v>1</v>
      </c>
    </row>
    <row r="633" spans="1:7" x14ac:dyDescent="0.25">
      <c r="A633">
        <v>11</v>
      </c>
      <c r="B633" t="s">
        <v>623</v>
      </c>
      <c r="C633">
        <v>156012</v>
      </c>
      <c r="E633" t="s">
        <v>8</v>
      </c>
      <c r="F633" t="s">
        <v>642</v>
      </c>
      <c r="G633">
        <v>1</v>
      </c>
    </row>
    <row r="634" spans="1:7" x14ac:dyDescent="0.25">
      <c r="A634">
        <v>11</v>
      </c>
      <c r="B634" t="s">
        <v>623</v>
      </c>
      <c r="C634">
        <v>12916</v>
      </c>
      <c r="D634" t="str">
        <f>"0347-772X"</f>
        <v>0347-772X</v>
      </c>
      <c r="E634" t="s">
        <v>8</v>
      </c>
      <c r="F634" t="s">
        <v>643</v>
      </c>
      <c r="G634">
        <v>1</v>
      </c>
    </row>
    <row r="635" spans="1:7" x14ac:dyDescent="0.25">
      <c r="A635">
        <v>11</v>
      </c>
      <c r="B635" t="s">
        <v>623</v>
      </c>
      <c r="C635">
        <v>7703321</v>
      </c>
      <c r="D635" t="str">
        <f>"2000-7493"</f>
        <v>2000-7493</v>
      </c>
      <c r="E635" t="s">
        <v>8</v>
      </c>
      <c r="F635" t="s">
        <v>644</v>
      </c>
      <c r="G635">
        <v>1</v>
      </c>
    </row>
    <row r="636" spans="1:7" x14ac:dyDescent="0.25">
      <c r="A636">
        <v>11</v>
      </c>
      <c r="B636" t="s">
        <v>623</v>
      </c>
      <c r="C636">
        <v>128786</v>
      </c>
      <c r="D636" t="str">
        <f>"1661-2086"</f>
        <v>1661-2086</v>
      </c>
      <c r="E636" t="s">
        <v>15</v>
      </c>
      <c r="F636" t="s">
        <v>645</v>
      </c>
      <c r="G636">
        <v>1</v>
      </c>
    </row>
    <row r="637" spans="1:7" x14ac:dyDescent="0.25">
      <c r="A637">
        <v>11</v>
      </c>
      <c r="B637" t="s">
        <v>623</v>
      </c>
      <c r="C637">
        <v>14517</v>
      </c>
      <c r="D637" t="str">
        <f>"0933-4009"</f>
        <v>0933-4009</v>
      </c>
      <c r="E637" t="s">
        <v>8</v>
      </c>
      <c r="F637" t="s">
        <v>646</v>
      </c>
      <c r="G637">
        <v>1</v>
      </c>
    </row>
    <row r="638" spans="1:7" x14ac:dyDescent="0.25">
      <c r="A638">
        <v>11</v>
      </c>
      <c r="B638" t="s">
        <v>623</v>
      </c>
      <c r="C638">
        <v>64886</v>
      </c>
      <c r="D638" t="str">
        <f>"0067-7841"</f>
        <v>0067-7841</v>
      </c>
      <c r="E638" t="s">
        <v>15</v>
      </c>
      <c r="F638" t="s">
        <v>647</v>
      </c>
      <c r="G638">
        <v>1</v>
      </c>
    </row>
    <row r="639" spans="1:7" x14ac:dyDescent="0.25">
      <c r="A639">
        <v>11</v>
      </c>
      <c r="B639" t="s">
        <v>623</v>
      </c>
      <c r="C639">
        <v>8782770</v>
      </c>
      <c r="D639" t="str">
        <f>"1891-1315"</f>
        <v>1891-1315</v>
      </c>
      <c r="E639" t="s">
        <v>15</v>
      </c>
      <c r="F639" t="s">
        <v>648</v>
      </c>
      <c r="G639">
        <v>1</v>
      </c>
    </row>
    <row r="640" spans="1:7" x14ac:dyDescent="0.25">
      <c r="A640">
        <v>11</v>
      </c>
      <c r="B640" t="s">
        <v>623</v>
      </c>
      <c r="C640">
        <v>8782517</v>
      </c>
      <c r="E640" t="s">
        <v>15</v>
      </c>
      <c r="F640" t="s">
        <v>649</v>
      </c>
      <c r="G640">
        <v>1</v>
      </c>
    </row>
    <row r="641" spans="1:7" x14ac:dyDescent="0.25">
      <c r="A641">
        <v>11</v>
      </c>
      <c r="B641" t="s">
        <v>623</v>
      </c>
      <c r="C641">
        <v>170400</v>
      </c>
      <c r="E641" t="s">
        <v>15</v>
      </c>
      <c r="F641" t="s">
        <v>650</v>
      </c>
      <c r="G641">
        <v>1</v>
      </c>
    </row>
    <row r="642" spans="1:7" x14ac:dyDescent="0.25">
      <c r="A642">
        <v>11</v>
      </c>
      <c r="B642" t="s">
        <v>623</v>
      </c>
      <c r="C642">
        <v>141917</v>
      </c>
      <c r="D642" t="str">
        <f>"0107-1424"</f>
        <v>0107-1424</v>
      </c>
      <c r="E642" t="s">
        <v>8</v>
      </c>
      <c r="F642" t="s">
        <v>651</v>
      </c>
      <c r="G642">
        <v>1</v>
      </c>
    </row>
    <row r="643" spans="1:7" x14ac:dyDescent="0.25">
      <c r="A643">
        <v>11</v>
      </c>
      <c r="B643" t="s">
        <v>623</v>
      </c>
      <c r="C643">
        <v>93283</v>
      </c>
      <c r="D643" t="str">
        <f>"0415-0155"</f>
        <v>0415-0155</v>
      </c>
      <c r="E643" t="s">
        <v>15</v>
      </c>
      <c r="F643" t="s">
        <v>652</v>
      </c>
      <c r="G643">
        <v>1</v>
      </c>
    </row>
    <row r="644" spans="1:7" x14ac:dyDescent="0.25">
      <c r="A644">
        <v>11</v>
      </c>
      <c r="B644" t="s">
        <v>623</v>
      </c>
      <c r="C644">
        <v>170397</v>
      </c>
      <c r="E644" t="s">
        <v>15</v>
      </c>
      <c r="F644" t="s">
        <v>653</v>
      </c>
      <c r="G644">
        <v>1</v>
      </c>
    </row>
    <row r="645" spans="1:7" x14ac:dyDescent="0.25">
      <c r="A645">
        <v>11</v>
      </c>
      <c r="B645" t="s">
        <v>623</v>
      </c>
      <c r="C645">
        <v>115681</v>
      </c>
      <c r="D645" t="str">
        <f>"0070-9069"</f>
        <v>0070-9069</v>
      </c>
      <c r="E645" t="s">
        <v>15</v>
      </c>
      <c r="F645" t="s">
        <v>654</v>
      </c>
      <c r="G645">
        <v>1</v>
      </c>
    </row>
    <row r="646" spans="1:7" x14ac:dyDescent="0.25">
      <c r="A646">
        <v>11</v>
      </c>
      <c r="B646" t="s">
        <v>623</v>
      </c>
      <c r="C646">
        <v>6096626</v>
      </c>
      <c r="D646" t="str">
        <f>"0070-9077"</f>
        <v>0070-9077</v>
      </c>
      <c r="E646" t="s">
        <v>15</v>
      </c>
      <c r="F646" t="s">
        <v>655</v>
      </c>
      <c r="G646">
        <v>1</v>
      </c>
    </row>
    <row r="647" spans="1:7" x14ac:dyDescent="0.25">
      <c r="A647">
        <v>11</v>
      </c>
      <c r="B647" t="s">
        <v>623</v>
      </c>
      <c r="C647">
        <v>4879</v>
      </c>
      <c r="D647" t="str">
        <f>"1230-4786"</f>
        <v>1230-4786</v>
      </c>
      <c r="E647" t="s">
        <v>8</v>
      </c>
      <c r="F647" t="s">
        <v>656</v>
      </c>
      <c r="G647">
        <v>1</v>
      </c>
    </row>
    <row r="648" spans="1:7" x14ac:dyDescent="0.25">
      <c r="A648">
        <v>11</v>
      </c>
      <c r="B648" t="s">
        <v>623</v>
      </c>
      <c r="C648">
        <v>7795</v>
      </c>
      <c r="D648" t="str">
        <f>"0356-1771"</f>
        <v>0356-1771</v>
      </c>
      <c r="E648" t="s">
        <v>8</v>
      </c>
      <c r="F648" t="s">
        <v>657</v>
      </c>
      <c r="G648">
        <v>1</v>
      </c>
    </row>
    <row r="649" spans="1:7" x14ac:dyDescent="0.25">
      <c r="A649">
        <v>11</v>
      </c>
      <c r="B649" t="s">
        <v>623</v>
      </c>
      <c r="C649">
        <v>3005</v>
      </c>
      <c r="D649" t="str">
        <f>"0367-1704"</f>
        <v>0367-1704</v>
      </c>
      <c r="E649" t="s">
        <v>8</v>
      </c>
      <c r="F649" t="s">
        <v>658</v>
      </c>
      <c r="G649">
        <v>1</v>
      </c>
    </row>
    <row r="650" spans="1:7" x14ac:dyDescent="0.25">
      <c r="A650">
        <v>11</v>
      </c>
      <c r="B650" t="s">
        <v>623</v>
      </c>
      <c r="C650">
        <v>7709833</v>
      </c>
      <c r="E650" t="s">
        <v>8</v>
      </c>
      <c r="F650" t="s">
        <v>659</v>
      </c>
      <c r="G650">
        <v>1</v>
      </c>
    </row>
    <row r="651" spans="1:7" x14ac:dyDescent="0.25">
      <c r="A651">
        <v>11</v>
      </c>
      <c r="B651" t="s">
        <v>623</v>
      </c>
      <c r="C651">
        <v>7343</v>
      </c>
      <c r="D651" t="str">
        <f>"1018-5011"</f>
        <v>1018-5011</v>
      </c>
      <c r="E651" t="s">
        <v>8</v>
      </c>
      <c r="F651" t="s">
        <v>660</v>
      </c>
      <c r="G651">
        <v>1</v>
      </c>
    </row>
    <row r="652" spans="1:7" x14ac:dyDescent="0.25">
      <c r="A652">
        <v>11</v>
      </c>
      <c r="B652" t="s">
        <v>623</v>
      </c>
      <c r="C652">
        <v>4897</v>
      </c>
      <c r="D652" t="str">
        <f>"0803-2688"</f>
        <v>0803-2688</v>
      </c>
      <c r="E652" t="s">
        <v>15</v>
      </c>
      <c r="F652" t="s">
        <v>661</v>
      </c>
      <c r="G652">
        <v>1</v>
      </c>
    </row>
    <row r="653" spans="1:7" x14ac:dyDescent="0.25">
      <c r="A653">
        <v>11</v>
      </c>
      <c r="B653" t="s">
        <v>623</v>
      </c>
      <c r="C653">
        <v>59214</v>
      </c>
      <c r="D653" t="str">
        <f>"0440-6966"</f>
        <v>0440-6966</v>
      </c>
      <c r="E653" t="s">
        <v>8</v>
      </c>
      <c r="F653" t="s">
        <v>662</v>
      </c>
      <c r="G653">
        <v>1</v>
      </c>
    </row>
    <row r="654" spans="1:7" x14ac:dyDescent="0.25">
      <c r="A654">
        <v>11</v>
      </c>
      <c r="B654" t="s">
        <v>623</v>
      </c>
      <c r="C654">
        <v>11559</v>
      </c>
      <c r="D654" t="str">
        <f>"1502-1866"</f>
        <v>1502-1866</v>
      </c>
      <c r="E654" t="s">
        <v>8</v>
      </c>
      <c r="F654" t="s">
        <v>663</v>
      </c>
      <c r="G654">
        <v>1</v>
      </c>
    </row>
    <row r="655" spans="1:7" x14ac:dyDescent="0.25">
      <c r="A655">
        <v>11</v>
      </c>
      <c r="B655" t="s">
        <v>623</v>
      </c>
      <c r="C655">
        <v>10710</v>
      </c>
      <c r="D655" t="str">
        <f>"0256-842X"</f>
        <v>0256-842X</v>
      </c>
      <c r="E655" t="s">
        <v>15</v>
      </c>
      <c r="F655" t="s">
        <v>664</v>
      </c>
      <c r="G655">
        <v>1</v>
      </c>
    </row>
    <row r="656" spans="1:7" x14ac:dyDescent="0.25">
      <c r="A656">
        <v>11</v>
      </c>
      <c r="B656" t="s">
        <v>623</v>
      </c>
      <c r="C656">
        <v>160066</v>
      </c>
      <c r="D656" t="str">
        <f>"1901-7863"</f>
        <v>1901-7863</v>
      </c>
      <c r="E656" t="s">
        <v>15</v>
      </c>
      <c r="F656" t="s">
        <v>665</v>
      </c>
      <c r="G656">
        <v>1</v>
      </c>
    </row>
    <row r="657" spans="1:7" x14ac:dyDescent="0.25">
      <c r="A657">
        <v>11</v>
      </c>
      <c r="B657" t="s">
        <v>623</v>
      </c>
      <c r="C657">
        <v>170061</v>
      </c>
      <c r="E657" t="s">
        <v>15</v>
      </c>
      <c r="F657" t="s">
        <v>666</v>
      </c>
      <c r="G657">
        <v>1</v>
      </c>
    </row>
    <row r="658" spans="1:7" x14ac:dyDescent="0.25">
      <c r="A658">
        <v>11</v>
      </c>
      <c r="B658" t="s">
        <v>623</v>
      </c>
      <c r="C658">
        <v>5876</v>
      </c>
      <c r="D658" t="str">
        <f>"0075-6032"</f>
        <v>0075-6032</v>
      </c>
      <c r="E658" t="s">
        <v>15</v>
      </c>
      <c r="F658" t="s">
        <v>667</v>
      </c>
      <c r="G658">
        <v>1</v>
      </c>
    </row>
    <row r="659" spans="1:7" x14ac:dyDescent="0.25">
      <c r="A659">
        <v>11</v>
      </c>
      <c r="B659" t="s">
        <v>623</v>
      </c>
      <c r="C659">
        <v>27179</v>
      </c>
      <c r="D659" t="str">
        <f>"0901-9731"</f>
        <v>0901-9731</v>
      </c>
      <c r="E659" t="s">
        <v>15</v>
      </c>
      <c r="F659" t="s">
        <v>668</v>
      </c>
      <c r="G659">
        <v>1</v>
      </c>
    </row>
    <row r="660" spans="1:7" x14ac:dyDescent="0.25">
      <c r="A660">
        <v>11</v>
      </c>
      <c r="B660" t="s">
        <v>623</v>
      </c>
      <c r="C660">
        <v>12759</v>
      </c>
      <c r="D660" t="str">
        <f>"0454-5354"</f>
        <v>0454-5354</v>
      </c>
      <c r="E660" t="s">
        <v>8</v>
      </c>
      <c r="F660" t="s">
        <v>669</v>
      </c>
      <c r="G660">
        <v>1</v>
      </c>
    </row>
    <row r="661" spans="1:7" x14ac:dyDescent="0.25">
      <c r="A661">
        <v>11</v>
      </c>
      <c r="B661" t="s">
        <v>623</v>
      </c>
      <c r="C661">
        <v>184</v>
      </c>
      <c r="D661" t="str">
        <f>"0805-2735"</f>
        <v>0805-2735</v>
      </c>
      <c r="E661" t="s">
        <v>8</v>
      </c>
      <c r="F661" t="s">
        <v>670</v>
      </c>
      <c r="G661">
        <v>1</v>
      </c>
    </row>
    <row r="662" spans="1:7" x14ac:dyDescent="0.25">
      <c r="A662">
        <v>11</v>
      </c>
      <c r="B662" t="s">
        <v>623</v>
      </c>
      <c r="C662">
        <v>33638</v>
      </c>
      <c r="D662" t="str">
        <f>"1438-4140"</f>
        <v>1438-4140</v>
      </c>
      <c r="E662" t="s">
        <v>15</v>
      </c>
      <c r="F662" t="s">
        <v>671</v>
      </c>
      <c r="G662">
        <v>1</v>
      </c>
    </row>
    <row r="663" spans="1:7" x14ac:dyDescent="0.25">
      <c r="A663">
        <v>11</v>
      </c>
      <c r="B663" t="s">
        <v>623</v>
      </c>
      <c r="C663">
        <v>7017</v>
      </c>
      <c r="D663" t="str">
        <f>"0348-7741"</f>
        <v>0348-7741</v>
      </c>
      <c r="E663" t="s">
        <v>15</v>
      </c>
      <c r="F663" t="s">
        <v>672</v>
      </c>
      <c r="G663">
        <v>1</v>
      </c>
    </row>
    <row r="664" spans="1:7" x14ac:dyDescent="0.25">
      <c r="A664">
        <v>11</v>
      </c>
      <c r="B664" t="s">
        <v>623</v>
      </c>
      <c r="C664">
        <v>170063</v>
      </c>
      <c r="E664" t="s">
        <v>15</v>
      </c>
      <c r="F664" t="s">
        <v>673</v>
      </c>
      <c r="G664">
        <v>1</v>
      </c>
    </row>
    <row r="665" spans="1:7" x14ac:dyDescent="0.25">
      <c r="A665">
        <v>11</v>
      </c>
      <c r="B665" t="s">
        <v>623</v>
      </c>
      <c r="C665">
        <v>180016</v>
      </c>
      <c r="D665" t="str">
        <f>"1894-4671"</f>
        <v>1894-4671</v>
      </c>
      <c r="E665" t="s">
        <v>15</v>
      </c>
      <c r="F665" t="s">
        <v>674</v>
      </c>
      <c r="G665">
        <v>1</v>
      </c>
    </row>
    <row r="666" spans="1:7" x14ac:dyDescent="0.25">
      <c r="A666">
        <v>11</v>
      </c>
      <c r="B666" t="s">
        <v>623</v>
      </c>
      <c r="C666">
        <v>109416</v>
      </c>
      <c r="D666" t="str">
        <f>"1904-3309"</f>
        <v>1904-3309</v>
      </c>
      <c r="E666" t="s">
        <v>8</v>
      </c>
      <c r="F666" t="s">
        <v>675</v>
      </c>
      <c r="G666">
        <v>1</v>
      </c>
    </row>
    <row r="667" spans="1:7" x14ac:dyDescent="0.25">
      <c r="A667">
        <v>11</v>
      </c>
      <c r="B667" t="s">
        <v>623</v>
      </c>
      <c r="C667">
        <v>170393</v>
      </c>
      <c r="E667" t="s">
        <v>15</v>
      </c>
      <c r="F667" t="s">
        <v>676</v>
      </c>
      <c r="G667">
        <v>1</v>
      </c>
    </row>
    <row r="668" spans="1:7" x14ac:dyDescent="0.25">
      <c r="A668">
        <v>11</v>
      </c>
      <c r="B668" t="s">
        <v>623</v>
      </c>
      <c r="C668">
        <v>16177</v>
      </c>
      <c r="D668" t="str">
        <f>"0077-2704"</f>
        <v>0077-2704</v>
      </c>
      <c r="E668" t="s">
        <v>8</v>
      </c>
      <c r="F668" t="s">
        <v>677</v>
      </c>
      <c r="G668">
        <v>1</v>
      </c>
    </row>
    <row r="669" spans="1:7" x14ac:dyDescent="0.25">
      <c r="A669">
        <v>11</v>
      </c>
      <c r="B669" t="s">
        <v>623</v>
      </c>
      <c r="C669">
        <v>15210</v>
      </c>
      <c r="D669" t="str">
        <f>"0800-4684"</f>
        <v>0800-4684</v>
      </c>
      <c r="E669" t="s">
        <v>8</v>
      </c>
      <c r="F669" t="s">
        <v>678</v>
      </c>
      <c r="G669">
        <v>1</v>
      </c>
    </row>
    <row r="670" spans="1:7" x14ac:dyDescent="0.25">
      <c r="A670">
        <v>11</v>
      </c>
      <c r="B670" t="s">
        <v>623</v>
      </c>
      <c r="C670">
        <v>7718174</v>
      </c>
      <c r="D670" t="str">
        <f>"0470-5165"</f>
        <v>0470-5165</v>
      </c>
      <c r="E670" t="s">
        <v>15</v>
      </c>
      <c r="F670" t="s">
        <v>679</v>
      </c>
      <c r="G670">
        <v>1</v>
      </c>
    </row>
    <row r="671" spans="1:7" x14ac:dyDescent="0.25">
      <c r="A671">
        <v>11</v>
      </c>
      <c r="B671" t="s">
        <v>623</v>
      </c>
      <c r="C671">
        <v>170062</v>
      </c>
      <c r="E671" t="s">
        <v>15</v>
      </c>
      <c r="F671" t="s">
        <v>680</v>
      </c>
      <c r="G671">
        <v>1</v>
      </c>
    </row>
    <row r="672" spans="1:7" x14ac:dyDescent="0.25">
      <c r="A672">
        <v>11</v>
      </c>
      <c r="B672" t="s">
        <v>623</v>
      </c>
      <c r="C672">
        <v>8358</v>
      </c>
      <c r="D672" t="str">
        <f>"0801-3284"</f>
        <v>0801-3284</v>
      </c>
      <c r="E672" t="s">
        <v>8</v>
      </c>
      <c r="F672" t="s">
        <v>681</v>
      </c>
      <c r="G672">
        <v>1</v>
      </c>
    </row>
    <row r="673" spans="1:7" x14ac:dyDescent="0.25">
      <c r="A673">
        <v>11</v>
      </c>
      <c r="B673" t="s">
        <v>623</v>
      </c>
      <c r="C673">
        <v>16889</v>
      </c>
      <c r="D673" t="str">
        <f>"1795-4428"</f>
        <v>1795-4428</v>
      </c>
      <c r="E673" t="s">
        <v>8</v>
      </c>
      <c r="F673" t="s">
        <v>682</v>
      </c>
      <c r="G673">
        <v>1</v>
      </c>
    </row>
    <row r="674" spans="1:7" x14ac:dyDescent="0.25">
      <c r="A674">
        <v>11</v>
      </c>
      <c r="B674" t="s">
        <v>623</v>
      </c>
      <c r="C674">
        <v>170399</v>
      </c>
      <c r="D674" t="str">
        <f>"1601-1562"</f>
        <v>1601-1562</v>
      </c>
      <c r="E674" t="s">
        <v>15</v>
      </c>
      <c r="F674" t="s">
        <v>683</v>
      </c>
      <c r="G674">
        <v>1</v>
      </c>
    </row>
    <row r="675" spans="1:7" x14ac:dyDescent="0.25">
      <c r="A675">
        <v>11</v>
      </c>
      <c r="B675" t="s">
        <v>623</v>
      </c>
      <c r="C675">
        <v>8782468</v>
      </c>
      <c r="D675" t="str">
        <f>"2464-4137"</f>
        <v>2464-4137</v>
      </c>
      <c r="E675" t="s">
        <v>8</v>
      </c>
      <c r="F675" t="s">
        <v>684</v>
      </c>
      <c r="G675">
        <v>1</v>
      </c>
    </row>
    <row r="676" spans="1:7" x14ac:dyDescent="0.25">
      <c r="A676">
        <v>11</v>
      </c>
      <c r="B676" t="s">
        <v>623</v>
      </c>
      <c r="C676">
        <v>8782769</v>
      </c>
      <c r="D676" t="str">
        <f>"2387-452X"</f>
        <v>2387-452X</v>
      </c>
      <c r="E676" t="s">
        <v>15</v>
      </c>
      <c r="F676" t="s">
        <v>685</v>
      </c>
      <c r="G676">
        <v>1</v>
      </c>
    </row>
    <row r="677" spans="1:7" x14ac:dyDescent="0.25">
      <c r="A677">
        <v>11</v>
      </c>
      <c r="B677" t="s">
        <v>623</v>
      </c>
      <c r="C677">
        <v>8782523</v>
      </c>
      <c r="D677" t="str">
        <f>"2246-7823"</f>
        <v>2246-7823</v>
      </c>
      <c r="E677" t="s">
        <v>8</v>
      </c>
      <c r="F677" t="s">
        <v>686</v>
      </c>
      <c r="G677">
        <v>1</v>
      </c>
    </row>
    <row r="678" spans="1:7" x14ac:dyDescent="0.25">
      <c r="A678">
        <v>11</v>
      </c>
      <c r="B678" t="s">
        <v>623</v>
      </c>
      <c r="C678">
        <v>7503151</v>
      </c>
      <c r="E678" t="s">
        <v>8</v>
      </c>
      <c r="F678" t="s">
        <v>687</v>
      </c>
      <c r="G678">
        <v>1</v>
      </c>
    </row>
    <row r="679" spans="1:7" x14ac:dyDescent="0.25">
      <c r="A679">
        <v>11</v>
      </c>
      <c r="B679" t="s">
        <v>623</v>
      </c>
      <c r="C679">
        <v>5609</v>
      </c>
      <c r="D679" t="str">
        <f>"0346-6728"</f>
        <v>0346-6728</v>
      </c>
      <c r="E679" t="s">
        <v>8</v>
      </c>
      <c r="F679" t="s">
        <v>688</v>
      </c>
      <c r="G679">
        <v>1</v>
      </c>
    </row>
    <row r="680" spans="1:7" x14ac:dyDescent="0.25">
      <c r="A680">
        <v>11</v>
      </c>
      <c r="B680" t="s">
        <v>623</v>
      </c>
      <c r="C680">
        <v>3290</v>
      </c>
      <c r="D680" t="str">
        <f>"0078-1266"</f>
        <v>0078-1266</v>
      </c>
      <c r="E680" t="s">
        <v>8</v>
      </c>
      <c r="F680" t="s">
        <v>689</v>
      </c>
      <c r="G680">
        <v>1</v>
      </c>
    </row>
    <row r="681" spans="1:7" x14ac:dyDescent="0.25">
      <c r="A681">
        <v>11</v>
      </c>
      <c r="B681" t="s">
        <v>623</v>
      </c>
      <c r="C681">
        <v>14808</v>
      </c>
      <c r="D681" t="str">
        <f>"0349-1706"</f>
        <v>0349-1706</v>
      </c>
      <c r="E681" t="s">
        <v>8</v>
      </c>
      <c r="F681" t="s">
        <v>690</v>
      </c>
      <c r="G681">
        <v>1</v>
      </c>
    </row>
    <row r="682" spans="1:7" x14ac:dyDescent="0.25">
      <c r="A682">
        <v>11</v>
      </c>
      <c r="B682" t="s">
        <v>623</v>
      </c>
      <c r="C682">
        <v>2454</v>
      </c>
      <c r="D682" t="str">
        <f>"0108-8025"</f>
        <v>0108-8025</v>
      </c>
      <c r="E682" t="s">
        <v>8</v>
      </c>
      <c r="F682" t="s">
        <v>691</v>
      </c>
      <c r="G682">
        <v>1</v>
      </c>
    </row>
    <row r="683" spans="1:7" x14ac:dyDescent="0.25">
      <c r="A683">
        <v>11</v>
      </c>
      <c r="B683" t="s">
        <v>623</v>
      </c>
      <c r="C683">
        <v>1054</v>
      </c>
      <c r="D683" t="str">
        <f>"0901-7623"</f>
        <v>0901-7623</v>
      </c>
      <c r="E683" t="s">
        <v>8</v>
      </c>
      <c r="F683" t="s">
        <v>692</v>
      </c>
      <c r="G683">
        <v>1</v>
      </c>
    </row>
    <row r="684" spans="1:7" x14ac:dyDescent="0.25">
      <c r="A684">
        <v>11</v>
      </c>
      <c r="B684" t="s">
        <v>623</v>
      </c>
      <c r="C684">
        <v>8797</v>
      </c>
      <c r="D684" t="str">
        <f>"1670-0139"</f>
        <v>1670-0139</v>
      </c>
      <c r="E684" t="s">
        <v>8</v>
      </c>
      <c r="F684" t="s">
        <v>693</v>
      </c>
      <c r="G684">
        <v>1</v>
      </c>
    </row>
    <row r="685" spans="1:7" x14ac:dyDescent="0.25">
      <c r="A685">
        <v>11</v>
      </c>
      <c r="B685" t="s">
        <v>623</v>
      </c>
      <c r="C685">
        <v>4376</v>
      </c>
      <c r="D685" t="str">
        <f>"1100-1690"</f>
        <v>1100-1690</v>
      </c>
      <c r="E685" t="s">
        <v>15</v>
      </c>
      <c r="F685" t="s">
        <v>694</v>
      </c>
      <c r="G685">
        <v>1</v>
      </c>
    </row>
    <row r="686" spans="1:7" x14ac:dyDescent="0.25">
      <c r="A686">
        <v>11</v>
      </c>
      <c r="B686" t="s">
        <v>623</v>
      </c>
      <c r="C686">
        <v>170389</v>
      </c>
      <c r="E686" t="s">
        <v>15</v>
      </c>
      <c r="F686" t="s">
        <v>695</v>
      </c>
      <c r="G686">
        <v>1</v>
      </c>
    </row>
    <row r="687" spans="1:7" x14ac:dyDescent="0.25">
      <c r="A687">
        <v>11</v>
      </c>
      <c r="B687" t="s">
        <v>623</v>
      </c>
      <c r="C687">
        <v>170060</v>
      </c>
      <c r="D687" t="str">
        <f>"1502-6000"</f>
        <v>1502-6000</v>
      </c>
      <c r="E687" t="s">
        <v>8</v>
      </c>
      <c r="F687" t="s">
        <v>696</v>
      </c>
      <c r="G687">
        <v>1</v>
      </c>
    </row>
    <row r="688" spans="1:7" x14ac:dyDescent="0.25">
      <c r="A688">
        <v>11</v>
      </c>
      <c r="B688" t="s">
        <v>623</v>
      </c>
      <c r="C688">
        <v>4494</v>
      </c>
      <c r="D688" t="str">
        <f>"0823-1796"</f>
        <v>0823-1796</v>
      </c>
      <c r="E688" t="s">
        <v>8</v>
      </c>
      <c r="F688" t="s">
        <v>697</v>
      </c>
      <c r="G688">
        <v>1</v>
      </c>
    </row>
    <row r="689" spans="1:7" x14ac:dyDescent="0.25">
      <c r="A689">
        <v>11</v>
      </c>
      <c r="B689" t="s">
        <v>623</v>
      </c>
      <c r="C689">
        <v>170398</v>
      </c>
      <c r="E689" t="s">
        <v>15</v>
      </c>
      <c r="F689" t="s">
        <v>698</v>
      </c>
      <c r="G689">
        <v>1</v>
      </c>
    </row>
    <row r="690" spans="1:7" x14ac:dyDescent="0.25">
      <c r="A690">
        <v>11</v>
      </c>
      <c r="B690" t="s">
        <v>623</v>
      </c>
      <c r="C690">
        <v>6687</v>
      </c>
      <c r="D690" t="str">
        <f>"0582-3234"</f>
        <v>0582-3234</v>
      </c>
      <c r="E690" t="s">
        <v>8</v>
      </c>
      <c r="F690" t="s">
        <v>699</v>
      </c>
      <c r="G690">
        <v>1</v>
      </c>
    </row>
    <row r="691" spans="1:7" x14ac:dyDescent="0.25">
      <c r="A691">
        <v>11</v>
      </c>
      <c r="B691" t="s">
        <v>623</v>
      </c>
      <c r="C691">
        <v>170390</v>
      </c>
      <c r="D691" t="str">
        <f>"0236-6010"</f>
        <v>0236-6010</v>
      </c>
      <c r="E691" t="s">
        <v>15</v>
      </c>
      <c r="F691" t="s">
        <v>700</v>
      </c>
      <c r="G691">
        <v>1</v>
      </c>
    </row>
    <row r="692" spans="1:7" x14ac:dyDescent="0.25">
      <c r="A692">
        <v>11</v>
      </c>
      <c r="B692" t="s">
        <v>623</v>
      </c>
      <c r="C692">
        <v>7887</v>
      </c>
      <c r="D692" t="str">
        <f>"0256-8446"</f>
        <v>0256-8446</v>
      </c>
      <c r="E692" t="s">
        <v>8</v>
      </c>
      <c r="F692" t="s">
        <v>701</v>
      </c>
      <c r="G692">
        <v>1</v>
      </c>
    </row>
    <row r="693" spans="1:7" x14ac:dyDescent="0.25">
      <c r="A693">
        <v>11</v>
      </c>
      <c r="B693" t="s">
        <v>623</v>
      </c>
      <c r="C693">
        <v>5927</v>
      </c>
      <c r="D693" t="str">
        <f>"0803-9313"</f>
        <v>0803-9313</v>
      </c>
      <c r="E693" t="s">
        <v>8</v>
      </c>
      <c r="F693" t="s">
        <v>702</v>
      </c>
      <c r="G693">
        <v>1</v>
      </c>
    </row>
    <row r="694" spans="1:7" x14ac:dyDescent="0.25">
      <c r="A694">
        <v>11</v>
      </c>
      <c r="B694" t="s">
        <v>623</v>
      </c>
      <c r="C694">
        <v>8782521</v>
      </c>
      <c r="D694" t="str">
        <f>"2246-3771"</f>
        <v>2246-3771</v>
      </c>
      <c r="E694" t="s">
        <v>15</v>
      </c>
      <c r="F694" t="s">
        <v>703</v>
      </c>
      <c r="G694">
        <v>1</v>
      </c>
    </row>
    <row r="695" spans="1:7" x14ac:dyDescent="0.25">
      <c r="A695">
        <v>11</v>
      </c>
      <c r="B695" t="s">
        <v>623</v>
      </c>
      <c r="C695">
        <v>16158</v>
      </c>
      <c r="D695" t="str">
        <f>"0909-9328"</f>
        <v>0909-9328</v>
      </c>
      <c r="E695" t="s">
        <v>8</v>
      </c>
      <c r="F695" t="s">
        <v>704</v>
      </c>
      <c r="G695">
        <v>1</v>
      </c>
    </row>
    <row r="696" spans="1:7" x14ac:dyDescent="0.25">
      <c r="A696">
        <v>11</v>
      </c>
      <c r="B696" t="s">
        <v>623</v>
      </c>
      <c r="C696">
        <v>8758278</v>
      </c>
      <c r="D696" t="str">
        <f>"2242-2277"</f>
        <v>2242-2277</v>
      </c>
      <c r="E696" t="s">
        <v>8</v>
      </c>
      <c r="F696" t="s">
        <v>705</v>
      </c>
      <c r="G696">
        <v>1</v>
      </c>
    </row>
    <row r="697" spans="1:7" x14ac:dyDescent="0.25">
      <c r="A697">
        <v>11</v>
      </c>
      <c r="B697" t="s">
        <v>623</v>
      </c>
      <c r="C697">
        <v>3292</v>
      </c>
      <c r="D697" t="str">
        <f>"1101-1165"</f>
        <v>1101-1165</v>
      </c>
      <c r="E697" t="s">
        <v>8</v>
      </c>
      <c r="F697" t="s">
        <v>706</v>
      </c>
      <c r="G697">
        <v>1</v>
      </c>
    </row>
    <row r="698" spans="1:7" x14ac:dyDescent="0.25">
      <c r="A698">
        <v>11</v>
      </c>
      <c r="B698" t="s">
        <v>623</v>
      </c>
      <c r="C698">
        <v>63551</v>
      </c>
      <c r="D698" t="str">
        <f>"1602-2246"</f>
        <v>1602-2246</v>
      </c>
      <c r="E698" t="s">
        <v>8</v>
      </c>
      <c r="F698" t="s">
        <v>707</v>
      </c>
      <c r="G698">
        <v>1</v>
      </c>
    </row>
    <row r="699" spans="1:7" x14ac:dyDescent="0.25">
      <c r="A699">
        <v>11</v>
      </c>
      <c r="B699" t="s">
        <v>623</v>
      </c>
      <c r="C699">
        <v>118827</v>
      </c>
      <c r="D699" t="str">
        <f>"1128-0107"</f>
        <v>1128-0107</v>
      </c>
      <c r="E699" t="s">
        <v>8</v>
      </c>
      <c r="F699" t="s">
        <v>708</v>
      </c>
      <c r="G699">
        <v>1</v>
      </c>
    </row>
    <row r="700" spans="1:7" x14ac:dyDescent="0.25">
      <c r="A700">
        <v>11</v>
      </c>
      <c r="B700" t="s">
        <v>623</v>
      </c>
      <c r="C700">
        <v>2305</v>
      </c>
      <c r="D700" t="str">
        <f>"0280-8633"</f>
        <v>0280-8633</v>
      </c>
      <c r="E700" t="s">
        <v>8</v>
      </c>
      <c r="F700" t="s">
        <v>709</v>
      </c>
      <c r="G700">
        <v>1</v>
      </c>
    </row>
    <row r="701" spans="1:7" x14ac:dyDescent="0.25">
      <c r="A701">
        <v>11</v>
      </c>
      <c r="B701" t="s">
        <v>623</v>
      </c>
      <c r="C701">
        <v>78396</v>
      </c>
      <c r="D701" t="str">
        <f>"0258-3828"</f>
        <v>0258-3828</v>
      </c>
      <c r="E701" t="s">
        <v>15</v>
      </c>
      <c r="F701" t="s">
        <v>710</v>
      </c>
      <c r="G701">
        <v>1</v>
      </c>
    </row>
    <row r="702" spans="1:7" x14ac:dyDescent="0.25">
      <c r="A702">
        <v>11</v>
      </c>
      <c r="B702" t="s">
        <v>623</v>
      </c>
      <c r="C702">
        <v>10242</v>
      </c>
      <c r="D702" t="str">
        <f>"0107-9212"</f>
        <v>0107-9212</v>
      </c>
      <c r="E702" t="s">
        <v>8</v>
      </c>
      <c r="F702" t="s">
        <v>711</v>
      </c>
      <c r="G702">
        <v>1</v>
      </c>
    </row>
    <row r="703" spans="1:7" x14ac:dyDescent="0.25">
      <c r="A703">
        <v>11</v>
      </c>
      <c r="B703" t="s">
        <v>623</v>
      </c>
      <c r="C703">
        <v>101373</v>
      </c>
      <c r="D703" t="str">
        <f>"1601-4715"</f>
        <v>1601-4715</v>
      </c>
      <c r="E703" t="s">
        <v>8</v>
      </c>
      <c r="F703" t="s">
        <v>712</v>
      </c>
      <c r="G703">
        <v>1</v>
      </c>
    </row>
    <row r="704" spans="1:7" x14ac:dyDescent="0.25">
      <c r="A704">
        <v>11</v>
      </c>
      <c r="B704" t="s">
        <v>623</v>
      </c>
      <c r="C704">
        <v>16592</v>
      </c>
      <c r="D704" t="str">
        <f>"0356-0376"</f>
        <v>0356-0376</v>
      </c>
      <c r="E704" t="s">
        <v>15</v>
      </c>
      <c r="F704" t="s">
        <v>713</v>
      </c>
      <c r="G704">
        <v>1</v>
      </c>
    </row>
    <row r="705" spans="1:7" x14ac:dyDescent="0.25">
      <c r="A705">
        <v>11</v>
      </c>
      <c r="B705" t="s">
        <v>623</v>
      </c>
      <c r="C705">
        <v>8758277</v>
      </c>
      <c r="D705" t="str">
        <f>"2445-7094"</f>
        <v>2445-7094</v>
      </c>
      <c r="E705" t="s">
        <v>15</v>
      </c>
      <c r="F705" t="s">
        <v>714</v>
      </c>
      <c r="G705">
        <v>1</v>
      </c>
    </row>
    <row r="706" spans="1:7" x14ac:dyDescent="0.25">
      <c r="A706">
        <v>11</v>
      </c>
      <c r="B706" t="s">
        <v>623</v>
      </c>
      <c r="C706">
        <v>91007</v>
      </c>
      <c r="D706" t="str">
        <f>"0721-4286"</f>
        <v>0721-4286</v>
      </c>
      <c r="E706" t="s">
        <v>15</v>
      </c>
      <c r="F706" t="s">
        <v>715</v>
      </c>
      <c r="G706">
        <v>1</v>
      </c>
    </row>
    <row r="707" spans="1:7" x14ac:dyDescent="0.25">
      <c r="A707">
        <v>11</v>
      </c>
      <c r="B707" t="s">
        <v>623</v>
      </c>
      <c r="C707">
        <v>73248</v>
      </c>
      <c r="D707" t="str">
        <f>"0108-8408"</f>
        <v>0108-8408</v>
      </c>
      <c r="E707" t="s">
        <v>15</v>
      </c>
      <c r="F707" t="s">
        <v>716</v>
      </c>
      <c r="G707">
        <v>1</v>
      </c>
    </row>
    <row r="708" spans="1:7" x14ac:dyDescent="0.25">
      <c r="A708">
        <v>11</v>
      </c>
      <c r="B708" t="s">
        <v>623</v>
      </c>
      <c r="C708">
        <v>16818</v>
      </c>
      <c r="D708" t="str">
        <f>"0168-2148"</f>
        <v>0168-2148</v>
      </c>
      <c r="E708" t="s">
        <v>8</v>
      </c>
      <c r="F708" t="s">
        <v>717</v>
      </c>
      <c r="G708">
        <v>1</v>
      </c>
    </row>
    <row r="709" spans="1:7" x14ac:dyDescent="0.25">
      <c r="A709">
        <v>11</v>
      </c>
      <c r="B709" t="s">
        <v>623</v>
      </c>
      <c r="C709">
        <v>8783754</v>
      </c>
      <c r="E709" t="s">
        <v>15</v>
      </c>
      <c r="F709" t="s">
        <v>718</v>
      </c>
      <c r="G709">
        <v>1</v>
      </c>
    </row>
    <row r="710" spans="1:7" x14ac:dyDescent="0.25">
      <c r="A710">
        <v>11</v>
      </c>
      <c r="B710" t="s">
        <v>623</v>
      </c>
      <c r="C710">
        <v>8783755</v>
      </c>
      <c r="E710" t="s">
        <v>15</v>
      </c>
      <c r="F710" t="s">
        <v>719</v>
      </c>
      <c r="G710">
        <v>1</v>
      </c>
    </row>
    <row r="711" spans="1:7" x14ac:dyDescent="0.25">
      <c r="A711">
        <v>11</v>
      </c>
      <c r="B711" t="s">
        <v>623</v>
      </c>
      <c r="C711">
        <v>83896</v>
      </c>
      <c r="D711" t="str">
        <f>"0802-0736"</f>
        <v>0802-0736</v>
      </c>
      <c r="E711" t="s">
        <v>8</v>
      </c>
      <c r="F711" t="s">
        <v>720</v>
      </c>
      <c r="G711">
        <v>1</v>
      </c>
    </row>
    <row r="712" spans="1:7" x14ac:dyDescent="0.25">
      <c r="A712">
        <v>11</v>
      </c>
      <c r="B712" t="s">
        <v>623</v>
      </c>
      <c r="C712">
        <v>27762</v>
      </c>
      <c r="D712" t="str">
        <f>"1782-7183"</f>
        <v>1782-7183</v>
      </c>
      <c r="E712" t="s">
        <v>8</v>
      </c>
      <c r="F712" t="s">
        <v>721</v>
      </c>
      <c r="G712">
        <v>1</v>
      </c>
    </row>
    <row r="713" spans="1:7" x14ac:dyDescent="0.25">
      <c r="A713">
        <v>11</v>
      </c>
      <c r="B713" t="s">
        <v>623</v>
      </c>
      <c r="C713">
        <v>121746</v>
      </c>
      <c r="D713" t="str">
        <f>"0042-6288"</f>
        <v>0042-6288</v>
      </c>
      <c r="E713" t="s">
        <v>8</v>
      </c>
      <c r="F713" t="s">
        <v>722</v>
      </c>
      <c r="G713">
        <v>1</v>
      </c>
    </row>
    <row r="714" spans="1:7" x14ac:dyDescent="0.25">
      <c r="A714">
        <v>11</v>
      </c>
      <c r="B714" t="s">
        <v>623</v>
      </c>
      <c r="C714">
        <v>11380</v>
      </c>
      <c r="D714" t="str">
        <f>"1817-8952"</f>
        <v>1817-8952</v>
      </c>
      <c r="E714" t="s">
        <v>15</v>
      </c>
      <c r="F714" t="s">
        <v>723</v>
      </c>
      <c r="G714">
        <v>1</v>
      </c>
    </row>
    <row r="715" spans="1:7" x14ac:dyDescent="0.25">
      <c r="A715">
        <v>11</v>
      </c>
      <c r="B715" t="s">
        <v>623</v>
      </c>
      <c r="C715">
        <v>7701654</v>
      </c>
      <c r="E715" t="s">
        <v>15</v>
      </c>
      <c r="F715" t="s">
        <v>724</v>
      </c>
      <c r="G715">
        <v>1</v>
      </c>
    </row>
    <row r="716" spans="1:7" x14ac:dyDescent="0.25">
      <c r="A716">
        <v>11</v>
      </c>
      <c r="B716" t="s">
        <v>623</v>
      </c>
      <c r="C716">
        <v>8782768</v>
      </c>
      <c r="D716" t="str">
        <f>"1903-4601"</f>
        <v>1903-4601</v>
      </c>
      <c r="E716" t="s">
        <v>15</v>
      </c>
      <c r="F716" t="s">
        <v>725</v>
      </c>
      <c r="G716">
        <v>1</v>
      </c>
    </row>
    <row r="717" spans="1:7" x14ac:dyDescent="0.25">
      <c r="A717">
        <v>11</v>
      </c>
      <c r="B717" t="s">
        <v>623</v>
      </c>
      <c r="C717">
        <v>170401</v>
      </c>
      <c r="E717" t="s">
        <v>15</v>
      </c>
      <c r="F717" t="s">
        <v>726</v>
      </c>
      <c r="G717">
        <v>1</v>
      </c>
    </row>
    <row r="718" spans="1:7" x14ac:dyDescent="0.25">
      <c r="A718">
        <v>12</v>
      </c>
      <c r="B718" t="s">
        <v>727</v>
      </c>
      <c r="C718">
        <v>1911</v>
      </c>
      <c r="D718" t="str">
        <f>"1871-6636"</f>
        <v>1871-6636</v>
      </c>
      <c r="E718" t="s">
        <v>15</v>
      </c>
      <c r="F718" t="s">
        <v>728</v>
      </c>
      <c r="G718">
        <v>2</v>
      </c>
    </row>
    <row r="719" spans="1:7" x14ac:dyDescent="0.25">
      <c r="A719">
        <v>12</v>
      </c>
      <c r="B719" t="s">
        <v>727</v>
      </c>
      <c r="C719">
        <v>3354</v>
      </c>
      <c r="D719" t="str">
        <f>"1566-7952"</f>
        <v>1566-7952</v>
      </c>
      <c r="E719" t="s">
        <v>15</v>
      </c>
      <c r="F719" t="s">
        <v>729</v>
      </c>
      <c r="G719">
        <v>2</v>
      </c>
    </row>
    <row r="720" spans="1:7" x14ac:dyDescent="0.25">
      <c r="A720">
        <v>12</v>
      </c>
      <c r="B720" t="s">
        <v>727</v>
      </c>
      <c r="C720">
        <v>16110</v>
      </c>
      <c r="D720" t="str">
        <f>"0003-9381"</f>
        <v>0003-9381</v>
      </c>
      <c r="E720" t="s">
        <v>8</v>
      </c>
      <c r="F720" t="s">
        <v>730</v>
      </c>
      <c r="G720">
        <v>2</v>
      </c>
    </row>
    <row r="721" spans="1:7" x14ac:dyDescent="0.25">
      <c r="A721">
        <v>12</v>
      </c>
      <c r="B721" t="s">
        <v>727</v>
      </c>
      <c r="C721">
        <v>13683</v>
      </c>
      <c r="D721" t="str">
        <f>"0084-6724"</f>
        <v>0084-6724</v>
      </c>
      <c r="E721" t="s">
        <v>8</v>
      </c>
      <c r="F721" t="s">
        <v>731</v>
      </c>
      <c r="G721">
        <v>2</v>
      </c>
    </row>
    <row r="722" spans="1:7" x14ac:dyDescent="0.25">
      <c r="A722">
        <v>12</v>
      </c>
      <c r="B722" t="s">
        <v>727</v>
      </c>
      <c r="C722">
        <v>17005</v>
      </c>
      <c r="D722" t="str">
        <f>"0335-5985"</f>
        <v>0335-5985</v>
      </c>
      <c r="E722" t="s">
        <v>8</v>
      </c>
      <c r="F722" t="s">
        <v>732</v>
      </c>
      <c r="G722">
        <v>2</v>
      </c>
    </row>
    <row r="723" spans="1:7" x14ac:dyDescent="0.25">
      <c r="A723">
        <v>12</v>
      </c>
      <c r="B723" t="s">
        <v>727</v>
      </c>
      <c r="C723">
        <v>2577</v>
      </c>
      <c r="D723" t="str">
        <f>"1874-6691"</f>
        <v>1874-6691</v>
      </c>
      <c r="E723" t="s">
        <v>15</v>
      </c>
      <c r="F723" t="s">
        <v>733</v>
      </c>
      <c r="G723">
        <v>2</v>
      </c>
    </row>
    <row r="724" spans="1:7" x14ac:dyDescent="0.25">
      <c r="A724">
        <v>12</v>
      </c>
      <c r="B724" t="s">
        <v>727</v>
      </c>
      <c r="C724">
        <v>10803</v>
      </c>
      <c r="D724" t="str">
        <f>"1871-6377"</f>
        <v>1871-6377</v>
      </c>
      <c r="E724" t="s">
        <v>15</v>
      </c>
      <c r="F724" t="s">
        <v>734</v>
      </c>
      <c r="G724">
        <v>2</v>
      </c>
    </row>
    <row r="725" spans="1:7" x14ac:dyDescent="0.25">
      <c r="A725">
        <v>12</v>
      </c>
      <c r="B725" t="s">
        <v>727</v>
      </c>
      <c r="C725">
        <v>4634</v>
      </c>
      <c r="D725" t="str">
        <f>"1572-4107"</f>
        <v>1572-4107</v>
      </c>
      <c r="E725" t="s">
        <v>15</v>
      </c>
      <c r="F725" t="s">
        <v>735</v>
      </c>
      <c r="G725">
        <v>2</v>
      </c>
    </row>
    <row r="726" spans="1:7" x14ac:dyDescent="0.25">
      <c r="A726">
        <v>12</v>
      </c>
      <c r="B726" t="s">
        <v>727</v>
      </c>
      <c r="C726">
        <v>7712929</v>
      </c>
      <c r="D726" t="str">
        <f>"2191-6683"</f>
        <v>2191-6683</v>
      </c>
      <c r="E726" t="s">
        <v>15</v>
      </c>
      <c r="F726" t="s">
        <v>736</v>
      </c>
      <c r="G726">
        <v>2</v>
      </c>
    </row>
    <row r="727" spans="1:7" x14ac:dyDescent="0.25">
      <c r="A727">
        <v>12</v>
      </c>
      <c r="B727" t="s">
        <v>727</v>
      </c>
      <c r="C727">
        <v>8000</v>
      </c>
      <c r="D727" t="str">
        <f>"0021-1818"</f>
        <v>0021-1818</v>
      </c>
      <c r="E727" t="s">
        <v>8</v>
      </c>
      <c r="F727" t="s">
        <v>737</v>
      </c>
      <c r="G727">
        <v>2</v>
      </c>
    </row>
    <row r="728" spans="1:7" x14ac:dyDescent="0.25">
      <c r="A728">
        <v>12</v>
      </c>
      <c r="B728" t="s">
        <v>727</v>
      </c>
      <c r="C728">
        <v>5908</v>
      </c>
      <c r="D728" t="str">
        <f>"0043-2539"</f>
        <v>0043-2539</v>
      </c>
      <c r="E728" t="s">
        <v>8</v>
      </c>
      <c r="F728" t="s">
        <v>738</v>
      </c>
      <c r="G728">
        <v>2</v>
      </c>
    </row>
    <row r="729" spans="1:7" x14ac:dyDescent="0.25">
      <c r="A729">
        <v>12</v>
      </c>
      <c r="B729" t="s">
        <v>727</v>
      </c>
      <c r="C729">
        <v>7712935</v>
      </c>
      <c r="D729" t="str">
        <f>"1869-3962"</f>
        <v>1869-3962</v>
      </c>
      <c r="E729" t="s">
        <v>15</v>
      </c>
      <c r="F729" t="s">
        <v>739</v>
      </c>
      <c r="G729">
        <v>2</v>
      </c>
    </row>
    <row r="730" spans="1:7" x14ac:dyDescent="0.25">
      <c r="A730">
        <v>12</v>
      </c>
      <c r="B730" t="s">
        <v>727</v>
      </c>
      <c r="C730">
        <v>7713006</v>
      </c>
      <c r="D730" t="str">
        <f>"1611-4914"</f>
        <v>1611-4914</v>
      </c>
      <c r="E730" t="s">
        <v>15</v>
      </c>
      <c r="F730" t="s">
        <v>740</v>
      </c>
      <c r="G730">
        <v>2</v>
      </c>
    </row>
    <row r="731" spans="1:7" x14ac:dyDescent="0.25">
      <c r="A731">
        <v>12</v>
      </c>
      <c r="B731" t="s">
        <v>727</v>
      </c>
      <c r="C731">
        <v>90788</v>
      </c>
      <c r="D731" t="str">
        <f>"0532-2154"</f>
        <v>0532-2154</v>
      </c>
      <c r="E731" t="s">
        <v>15</v>
      </c>
      <c r="F731" t="s">
        <v>741</v>
      </c>
      <c r="G731">
        <v>2</v>
      </c>
    </row>
    <row r="732" spans="1:7" x14ac:dyDescent="0.25">
      <c r="A732">
        <v>12</v>
      </c>
      <c r="B732" t="s">
        <v>727</v>
      </c>
      <c r="C732">
        <v>7709565</v>
      </c>
      <c r="D732" t="str">
        <f>"1876-2247"</f>
        <v>1876-2247</v>
      </c>
      <c r="E732" t="s">
        <v>15</v>
      </c>
      <c r="F732" t="s">
        <v>742</v>
      </c>
      <c r="G732">
        <v>2</v>
      </c>
    </row>
    <row r="733" spans="1:7" x14ac:dyDescent="0.25">
      <c r="A733">
        <v>12</v>
      </c>
      <c r="B733" t="s">
        <v>727</v>
      </c>
      <c r="C733">
        <v>11771</v>
      </c>
      <c r="D733" t="str">
        <f>"0017-8160"</f>
        <v>0017-8160</v>
      </c>
      <c r="E733" t="s">
        <v>8</v>
      </c>
      <c r="F733" t="s">
        <v>743</v>
      </c>
      <c r="G733">
        <v>2</v>
      </c>
    </row>
    <row r="734" spans="1:7" x14ac:dyDescent="0.25">
      <c r="A734">
        <v>12</v>
      </c>
      <c r="B734" t="s">
        <v>727</v>
      </c>
      <c r="C734">
        <v>80311</v>
      </c>
      <c r="D734" t="str">
        <f>"0440-7180"</f>
        <v>0440-7180</v>
      </c>
      <c r="E734" t="s">
        <v>15</v>
      </c>
      <c r="F734" t="s">
        <v>744</v>
      </c>
      <c r="G734">
        <v>2</v>
      </c>
    </row>
    <row r="735" spans="1:7" x14ac:dyDescent="0.25">
      <c r="A735">
        <v>12</v>
      </c>
      <c r="B735" t="s">
        <v>727</v>
      </c>
      <c r="C735">
        <v>477</v>
      </c>
      <c r="D735" t="str">
        <f>"0018-2710"</f>
        <v>0018-2710</v>
      </c>
      <c r="E735" t="s">
        <v>8</v>
      </c>
      <c r="F735" t="s">
        <v>745</v>
      </c>
      <c r="G735">
        <v>2</v>
      </c>
    </row>
    <row r="736" spans="1:7" x14ac:dyDescent="0.25">
      <c r="A736">
        <v>12</v>
      </c>
      <c r="B736" t="s">
        <v>727</v>
      </c>
      <c r="C736">
        <v>26007</v>
      </c>
      <c r="D736" t="str">
        <f>"1463-9955"</f>
        <v>1463-9955</v>
      </c>
      <c r="E736" t="s">
        <v>8</v>
      </c>
      <c r="F736" t="s">
        <v>746</v>
      </c>
      <c r="G736">
        <v>2</v>
      </c>
    </row>
    <row r="737" spans="1:7" x14ac:dyDescent="0.25">
      <c r="A737">
        <v>12</v>
      </c>
      <c r="B737" t="s">
        <v>727</v>
      </c>
      <c r="C737">
        <v>3479</v>
      </c>
      <c r="D737" t="str">
        <f>"1463-1652"</f>
        <v>1463-1652</v>
      </c>
      <c r="E737" t="s">
        <v>8</v>
      </c>
      <c r="F737" t="s">
        <v>747</v>
      </c>
      <c r="G737">
        <v>2</v>
      </c>
    </row>
    <row r="738" spans="1:7" x14ac:dyDescent="0.25">
      <c r="A738">
        <v>12</v>
      </c>
      <c r="B738" t="s">
        <v>727</v>
      </c>
      <c r="C738">
        <v>8440</v>
      </c>
      <c r="D738" t="str">
        <f>"0304-1042"</f>
        <v>0304-1042</v>
      </c>
      <c r="E738" t="s">
        <v>8</v>
      </c>
      <c r="F738" t="s">
        <v>748</v>
      </c>
      <c r="G738">
        <v>2</v>
      </c>
    </row>
    <row r="739" spans="1:7" x14ac:dyDescent="0.25">
      <c r="A739">
        <v>12</v>
      </c>
      <c r="B739" t="s">
        <v>727</v>
      </c>
      <c r="C739">
        <v>15871</v>
      </c>
      <c r="D739" t="str">
        <f>"1388-2074"</f>
        <v>1388-2074</v>
      </c>
      <c r="E739" t="s">
        <v>15</v>
      </c>
      <c r="F739" t="s">
        <v>749</v>
      </c>
      <c r="G739">
        <v>2</v>
      </c>
    </row>
    <row r="740" spans="1:7" x14ac:dyDescent="0.25">
      <c r="A740">
        <v>12</v>
      </c>
      <c r="B740" t="s">
        <v>727</v>
      </c>
      <c r="C740">
        <v>7258</v>
      </c>
      <c r="D740" t="str">
        <f>"0021-8294"</f>
        <v>0021-8294</v>
      </c>
      <c r="E740" t="s">
        <v>8</v>
      </c>
      <c r="F740" t="s">
        <v>750</v>
      </c>
      <c r="G740">
        <v>2</v>
      </c>
    </row>
    <row r="741" spans="1:7" x14ac:dyDescent="0.25">
      <c r="A741">
        <v>12</v>
      </c>
      <c r="B741" t="s">
        <v>727</v>
      </c>
      <c r="C741">
        <v>5235</v>
      </c>
      <c r="D741" t="str">
        <f>"0047-2212"</f>
        <v>0047-2212</v>
      </c>
      <c r="E741" t="s">
        <v>8</v>
      </c>
      <c r="F741" t="s">
        <v>751</v>
      </c>
      <c r="G741">
        <v>2</v>
      </c>
    </row>
    <row r="742" spans="1:7" x14ac:dyDescent="0.25">
      <c r="A742">
        <v>12</v>
      </c>
      <c r="B742" t="s">
        <v>727</v>
      </c>
      <c r="C742">
        <v>10639</v>
      </c>
      <c r="D742" t="str">
        <f>"0142-064X"</f>
        <v>0142-064X</v>
      </c>
      <c r="E742" t="s">
        <v>8</v>
      </c>
      <c r="F742" t="s">
        <v>752</v>
      </c>
      <c r="G742">
        <v>2</v>
      </c>
    </row>
    <row r="743" spans="1:7" x14ac:dyDescent="0.25">
      <c r="A743">
        <v>12</v>
      </c>
      <c r="B743" t="s">
        <v>727</v>
      </c>
      <c r="C743">
        <v>16597</v>
      </c>
      <c r="D743" t="str">
        <f>"0309-0892"</f>
        <v>0309-0892</v>
      </c>
      <c r="E743" t="s">
        <v>8</v>
      </c>
      <c r="F743" t="s">
        <v>753</v>
      </c>
      <c r="G743">
        <v>2</v>
      </c>
    </row>
    <row r="744" spans="1:7" x14ac:dyDescent="0.25">
      <c r="A744">
        <v>12</v>
      </c>
      <c r="B744" t="s">
        <v>727</v>
      </c>
      <c r="C744">
        <v>7683</v>
      </c>
      <c r="D744" t="str">
        <f>"0021-9231"</f>
        <v>0021-9231</v>
      </c>
      <c r="E744" t="s">
        <v>8</v>
      </c>
      <c r="F744" t="s">
        <v>754</v>
      </c>
      <c r="G744">
        <v>2</v>
      </c>
    </row>
    <row r="745" spans="1:7" x14ac:dyDescent="0.25">
      <c r="A745">
        <v>12</v>
      </c>
      <c r="B745" t="s">
        <v>727</v>
      </c>
      <c r="C745">
        <v>6021</v>
      </c>
      <c r="D745" t="str">
        <f>"0021-969X"</f>
        <v>0021-969X</v>
      </c>
      <c r="E745" t="s">
        <v>8</v>
      </c>
      <c r="F745" t="s">
        <v>755</v>
      </c>
      <c r="G745">
        <v>2</v>
      </c>
    </row>
    <row r="746" spans="1:7" x14ac:dyDescent="0.25">
      <c r="A746">
        <v>12</v>
      </c>
      <c r="B746" t="s">
        <v>727</v>
      </c>
      <c r="C746">
        <v>12845</v>
      </c>
      <c r="D746" t="str">
        <f>"1353-7903"</f>
        <v>1353-7903</v>
      </c>
      <c r="E746" t="s">
        <v>8</v>
      </c>
      <c r="F746" t="s">
        <v>756</v>
      </c>
      <c r="G746">
        <v>2</v>
      </c>
    </row>
    <row r="747" spans="1:7" x14ac:dyDescent="0.25">
      <c r="A747">
        <v>12</v>
      </c>
      <c r="B747" t="s">
        <v>727</v>
      </c>
      <c r="C747">
        <v>5292</v>
      </c>
      <c r="D747" t="str">
        <f>"0022-0469"</f>
        <v>0022-0469</v>
      </c>
      <c r="E747" t="s">
        <v>8</v>
      </c>
      <c r="F747" t="s">
        <v>757</v>
      </c>
      <c r="G747">
        <v>2</v>
      </c>
    </row>
    <row r="748" spans="1:7" x14ac:dyDescent="0.25">
      <c r="A748">
        <v>12</v>
      </c>
      <c r="B748" t="s">
        <v>727</v>
      </c>
      <c r="C748">
        <v>3007</v>
      </c>
      <c r="E748" t="s">
        <v>8</v>
      </c>
      <c r="F748" t="s">
        <v>758</v>
      </c>
      <c r="G748">
        <v>2</v>
      </c>
    </row>
    <row r="749" spans="1:7" x14ac:dyDescent="0.25">
      <c r="A749">
        <v>12</v>
      </c>
      <c r="B749" t="s">
        <v>727</v>
      </c>
      <c r="C749">
        <v>91</v>
      </c>
      <c r="D749" t="str">
        <f>"0022-2097"</f>
        <v>0022-2097</v>
      </c>
      <c r="E749" t="s">
        <v>8</v>
      </c>
      <c r="F749" t="s">
        <v>759</v>
      </c>
      <c r="G749">
        <v>2</v>
      </c>
    </row>
    <row r="750" spans="1:7" x14ac:dyDescent="0.25">
      <c r="A750">
        <v>12</v>
      </c>
      <c r="B750" t="s">
        <v>727</v>
      </c>
      <c r="C750">
        <v>19437</v>
      </c>
      <c r="D750" t="str">
        <f>"1874-8910"</f>
        <v>1874-8910</v>
      </c>
      <c r="E750" t="s">
        <v>8</v>
      </c>
      <c r="F750" t="s">
        <v>760</v>
      </c>
      <c r="G750">
        <v>2</v>
      </c>
    </row>
    <row r="751" spans="1:7" x14ac:dyDescent="0.25">
      <c r="A751">
        <v>12</v>
      </c>
      <c r="B751" t="s">
        <v>727</v>
      </c>
      <c r="C751">
        <v>11823</v>
      </c>
      <c r="D751" t="str">
        <f>"0384-9694"</f>
        <v>0384-9694</v>
      </c>
      <c r="E751" t="s">
        <v>8</v>
      </c>
      <c r="F751" t="s">
        <v>761</v>
      </c>
      <c r="G751">
        <v>2</v>
      </c>
    </row>
    <row r="752" spans="1:7" x14ac:dyDescent="0.25">
      <c r="A752">
        <v>12</v>
      </c>
      <c r="B752" t="s">
        <v>727</v>
      </c>
      <c r="C752">
        <v>10184</v>
      </c>
      <c r="D752" t="str">
        <f>"0022-4227"</f>
        <v>0022-4227</v>
      </c>
      <c r="E752" t="s">
        <v>8</v>
      </c>
      <c r="F752" t="s">
        <v>762</v>
      </c>
      <c r="G752">
        <v>2</v>
      </c>
    </row>
    <row r="753" spans="1:7" x14ac:dyDescent="0.25">
      <c r="A753">
        <v>12</v>
      </c>
      <c r="B753" t="s">
        <v>727</v>
      </c>
      <c r="C753">
        <v>15519</v>
      </c>
      <c r="D753" t="str">
        <f>"0890-1112"</f>
        <v>0890-1112</v>
      </c>
      <c r="E753" t="s">
        <v>8</v>
      </c>
      <c r="F753" t="s">
        <v>763</v>
      </c>
      <c r="G753">
        <v>2</v>
      </c>
    </row>
    <row r="754" spans="1:7" x14ac:dyDescent="0.25">
      <c r="A754">
        <v>12</v>
      </c>
      <c r="B754" t="s">
        <v>727</v>
      </c>
      <c r="C754">
        <v>4329</v>
      </c>
      <c r="D754" t="str">
        <f>"0002-7189"</f>
        <v>0002-7189</v>
      </c>
      <c r="E754" t="s">
        <v>8</v>
      </c>
      <c r="F754" t="s">
        <v>764</v>
      </c>
      <c r="G754">
        <v>2</v>
      </c>
    </row>
    <row r="755" spans="1:7" x14ac:dyDescent="0.25">
      <c r="A755">
        <v>12</v>
      </c>
      <c r="B755" t="s">
        <v>727</v>
      </c>
      <c r="C755">
        <v>16319</v>
      </c>
      <c r="D755" t="str">
        <f>"0023-0707"</f>
        <v>0023-0707</v>
      </c>
      <c r="E755" t="s">
        <v>8</v>
      </c>
      <c r="F755" t="s">
        <v>765</v>
      </c>
      <c r="G755">
        <v>2</v>
      </c>
    </row>
    <row r="756" spans="1:7" x14ac:dyDescent="0.25">
      <c r="A756">
        <v>12</v>
      </c>
      <c r="B756" t="s">
        <v>727</v>
      </c>
      <c r="C756">
        <v>7716661</v>
      </c>
      <c r="D756" t="str">
        <f>"1434-2952"</f>
        <v>1434-2952</v>
      </c>
      <c r="E756" t="s">
        <v>15</v>
      </c>
      <c r="F756" t="s">
        <v>766</v>
      </c>
      <c r="G756">
        <v>2</v>
      </c>
    </row>
    <row r="757" spans="1:7" x14ac:dyDescent="0.25">
      <c r="A757">
        <v>12</v>
      </c>
      <c r="B757" t="s">
        <v>727</v>
      </c>
      <c r="C757">
        <v>16613</v>
      </c>
      <c r="D757" t="str">
        <f>"0269-1205"</f>
        <v>0269-1205</v>
      </c>
      <c r="E757" t="s">
        <v>8</v>
      </c>
      <c r="F757" t="s">
        <v>767</v>
      </c>
      <c r="G757">
        <v>2</v>
      </c>
    </row>
    <row r="758" spans="1:7" x14ac:dyDescent="0.25">
      <c r="A758">
        <v>12</v>
      </c>
      <c r="B758" t="s">
        <v>727</v>
      </c>
      <c r="C758">
        <v>1123</v>
      </c>
      <c r="D758" t="str">
        <f>"0943-3058"</f>
        <v>0943-3058</v>
      </c>
      <c r="E758" t="s">
        <v>8</v>
      </c>
      <c r="F758" t="s">
        <v>768</v>
      </c>
      <c r="G758">
        <v>2</v>
      </c>
    </row>
    <row r="759" spans="1:7" x14ac:dyDescent="0.25">
      <c r="A759">
        <v>12</v>
      </c>
      <c r="B759" t="s">
        <v>727</v>
      </c>
      <c r="C759">
        <v>9175</v>
      </c>
      <c r="D759" t="str">
        <f>"0266-7177"</f>
        <v>0266-7177</v>
      </c>
      <c r="E759" t="s">
        <v>8</v>
      </c>
      <c r="F759" t="s">
        <v>769</v>
      </c>
      <c r="G759">
        <v>2</v>
      </c>
    </row>
    <row r="760" spans="1:7" x14ac:dyDescent="0.25">
      <c r="A760">
        <v>12</v>
      </c>
      <c r="B760" t="s">
        <v>727</v>
      </c>
      <c r="C760">
        <v>15775</v>
      </c>
      <c r="D760" t="str">
        <f>"0929-2470"</f>
        <v>0929-2470</v>
      </c>
      <c r="E760" t="s">
        <v>15</v>
      </c>
      <c r="F760" t="s">
        <v>770</v>
      </c>
      <c r="G760">
        <v>2</v>
      </c>
    </row>
    <row r="761" spans="1:7" x14ac:dyDescent="0.25">
      <c r="A761">
        <v>12</v>
      </c>
      <c r="B761" t="s">
        <v>727</v>
      </c>
      <c r="C761">
        <v>12156</v>
      </c>
      <c r="D761" t="str">
        <f>"0028-3517"</f>
        <v>0028-3517</v>
      </c>
      <c r="E761" t="s">
        <v>8</v>
      </c>
      <c r="F761" t="s">
        <v>771</v>
      </c>
      <c r="G761">
        <v>2</v>
      </c>
    </row>
    <row r="762" spans="1:7" x14ac:dyDescent="0.25">
      <c r="A762">
        <v>12</v>
      </c>
      <c r="B762" t="s">
        <v>727</v>
      </c>
      <c r="C762">
        <v>300</v>
      </c>
      <c r="D762" t="str">
        <f>"0028-6885"</f>
        <v>0028-6885</v>
      </c>
      <c r="E762" t="s">
        <v>8</v>
      </c>
      <c r="F762" t="s">
        <v>772</v>
      </c>
      <c r="G762">
        <v>2</v>
      </c>
    </row>
    <row r="763" spans="1:7" x14ac:dyDescent="0.25">
      <c r="A763">
        <v>12</v>
      </c>
      <c r="B763" t="s">
        <v>727</v>
      </c>
      <c r="C763">
        <v>2438</v>
      </c>
      <c r="D763" t="str">
        <f>"0809-7291"</f>
        <v>0809-7291</v>
      </c>
      <c r="E763" t="s">
        <v>8</v>
      </c>
      <c r="F763" t="s">
        <v>773</v>
      </c>
      <c r="G763">
        <v>2</v>
      </c>
    </row>
    <row r="764" spans="1:7" x14ac:dyDescent="0.25">
      <c r="A764">
        <v>12</v>
      </c>
      <c r="B764" t="s">
        <v>727</v>
      </c>
      <c r="C764">
        <v>4575</v>
      </c>
      <c r="D764" t="str">
        <f>"1092-6690"</f>
        <v>1092-6690</v>
      </c>
      <c r="E764" t="s">
        <v>8</v>
      </c>
      <c r="F764" t="s">
        <v>774</v>
      </c>
      <c r="G764">
        <v>2</v>
      </c>
    </row>
    <row r="765" spans="1:7" x14ac:dyDescent="0.25">
      <c r="A765">
        <v>12</v>
      </c>
      <c r="B765" t="s">
        <v>727</v>
      </c>
      <c r="C765">
        <v>8735</v>
      </c>
      <c r="D765" t="str">
        <f>"0048-1009"</f>
        <v>0048-1009</v>
      </c>
      <c r="E765" t="s">
        <v>8</v>
      </c>
      <c r="F765" t="s">
        <v>775</v>
      </c>
      <c r="G765">
        <v>2</v>
      </c>
    </row>
    <row r="766" spans="1:7" x14ac:dyDescent="0.25">
      <c r="A766">
        <v>12</v>
      </c>
      <c r="B766" t="s">
        <v>727</v>
      </c>
      <c r="C766">
        <v>38</v>
      </c>
      <c r="D766" t="str">
        <f>"0029-5973"</f>
        <v>0029-5973</v>
      </c>
      <c r="E766" t="s">
        <v>8</v>
      </c>
      <c r="F766" t="s">
        <v>776</v>
      </c>
      <c r="G766">
        <v>2</v>
      </c>
    </row>
    <row r="767" spans="1:7" x14ac:dyDescent="0.25">
      <c r="A767">
        <v>12</v>
      </c>
      <c r="B767" t="s">
        <v>727</v>
      </c>
      <c r="C767">
        <v>9356</v>
      </c>
      <c r="D767" t="str">
        <f>"0169-8834"</f>
        <v>0169-8834</v>
      </c>
      <c r="E767" t="s">
        <v>15</v>
      </c>
      <c r="F767" t="s">
        <v>777</v>
      </c>
      <c r="G767">
        <v>2</v>
      </c>
    </row>
    <row r="768" spans="1:7" x14ac:dyDescent="0.25">
      <c r="A768">
        <v>12</v>
      </c>
      <c r="B768" t="s">
        <v>727</v>
      </c>
      <c r="C768">
        <v>6647</v>
      </c>
      <c r="D768" t="str">
        <f>"0048-721X"</f>
        <v>0048-721X</v>
      </c>
      <c r="E768" t="s">
        <v>8</v>
      </c>
      <c r="F768" t="s">
        <v>778</v>
      </c>
      <c r="G768">
        <v>2</v>
      </c>
    </row>
    <row r="769" spans="1:7" x14ac:dyDescent="0.25">
      <c r="A769">
        <v>12</v>
      </c>
      <c r="B769" t="s">
        <v>727</v>
      </c>
      <c r="C769">
        <v>7713014</v>
      </c>
      <c r="D769" t="str">
        <f>"1616-346X"</f>
        <v>1616-346X</v>
      </c>
      <c r="E769" t="s">
        <v>15</v>
      </c>
      <c r="F769" t="s">
        <v>779</v>
      </c>
      <c r="G769">
        <v>2</v>
      </c>
    </row>
    <row r="770" spans="1:7" x14ac:dyDescent="0.25">
      <c r="A770">
        <v>12</v>
      </c>
      <c r="B770" t="s">
        <v>727</v>
      </c>
      <c r="C770">
        <v>6259373</v>
      </c>
      <c r="D770" t="str">
        <f>"2352-8346"</f>
        <v>2352-8346</v>
      </c>
      <c r="E770" t="s">
        <v>15</v>
      </c>
      <c r="F770" t="s">
        <v>780</v>
      </c>
      <c r="G770">
        <v>2</v>
      </c>
    </row>
    <row r="771" spans="1:7" x14ac:dyDescent="0.25">
      <c r="A771">
        <v>12</v>
      </c>
      <c r="B771" t="s">
        <v>727</v>
      </c>
      <c r="C771">
        <v>2399</v>
      </c>
      <c r="D771" t="str">
        <f>"0034-673X"</f>
        <v>0034-673X</v>
      </c>
      <c r="E771" t="s">
        <v>8</v>
      </c>
      <c r="F771" t="s">
        <v>781</v>
      </c>
      <c r="G771">
        <v>2</v>
      </c>
    </row>
    <row r="772" spans="1:7" x14ac:dyDescent="0.25">
      <c r="A772">
        <v>12</v>
      </c>
      <c r="B772" t="s">
        <v>727</v>
      </c>
      <c r="C772">
        <v>15243</v>
      </c>
      <c r="D772" t="str">
        <f>"0035-1423"</f>
        <v>0035-1423</v>
      </c>
      <c r="E772" t="s">
        <v>8</v>
      </c>
      <c r="F772" t="s">
        <v>782</v>
      </c>
      <c r="G772">
        <v>2</v>
      </c>
    </row>
    <row r="773" spans="1:7" x14ac:dyDescent="0.25">
      <c r="A773">
        <v>12</v>
      </c>
      <c r="B773" t="s">
        <v>727</v>
      </c>
      <c r="C773">
        <v>7971</v>
      </c>
      <c r="D773" t="str">
        <f>"0901-8328"</f>
        <v>0901-8328</v>
      </c>
      <c r="E773" t="s">
        <v>8</v>
      </c>
      <c r="F773" t="s">
        <v>783</v>
      </c>
      <c r="G773">
        <v>2</v>
      </c>
    </row>
    <row r="774" spans="1:7" x14ac:dyDescent="0.25">
      <c r="A774">
        <v>12</v>
      </c>
      <c r="B774" t="s">
        <v>727</v>
      </c>
      <c r="C774">
        <v>5817</v>
      </c>
      <c r="D774" t="str">
        <f>"0037-7686"</f>
        <v>0037-7686</v>
      </c>
      <c r="E774" t="s">
        <v>8</v>
      </c>
      <c r="F774" t="s">
        <v>784</v>
      </c>
      <c r="G774">
        <v>2</v>
      </c>
    </row>
    <row r="775" spans="1:7" x14ac:dyDescent="0.25">
      <c r="A775">
        <v>12</v>
      </c>
      <c r="B775" t="s">
        <v>727</v>
      </c>
      <c r="C775">
        <v>13330</v>
      </c>
      <c r="D775" t="str">
        <f>"1069-4404"</f>
        <v>1069-4404</v>
      </c>
      <c r="E775" t="s">
        <v>8</v>
      </c>
      <c r="F775" t="s">
        <v>785</v>
      </c>
      <c r="G775">
        <v>2</v>
      </c>
    </row>
    <row r="776" spans="1:7" x14ac:dyDescent="0.25">
      <c r="A776">
        <v>12</v>
      </c>
      <c r="B776" t="s">
        <v>727</v>
      </c>
      <c r="C776">
        <v>7712949</v>
      </c>
      <c r="D776" t="str">
        <f>"1865-2840"</f>
        <v>1865-2840</v>
      </c>
      <c r="E776" t="s">
        <v>15</v>
      </c>
      <c r="F776" t="s">
        <v>786</v>
      </c>
      <c r="G776">
        <v>2</v>
      </c>
    </row>
    <row r="777" spans="1:7" x14ac:dyDescent="0.25">
      <c r="A777">
        <v>12</v>
      </c>
      <c r="B777" t="s">
        <v>727</v>
      </c>
      <c r="C777">
        <v>11850</v>
      </c>
      <c r="D777" t="str">
        <f>"0039-338X"</f>
        <v>0039-338X</v>
      </c>
      <c r="E777" t="s">
        <v>8</v>
      </c>
      <c r="F777" t="s">
        <v>787</v>
      </c>
      <c r="G777">
        <v>2</v>
      </c>
    </row>
    <row r="778" spans="1:7" x14ac:dyDescent="0.25">
      <c r="A778">
        <v>12</v>
      </c>
      <c r="B778" t="s">
        <v>727</v>
      </c>
      <c r="C778">
        <v>4672</v>
      </c>
      <c r="D778" t="str">
        <f>"1384-2161"</f>
        <v>1384-2161</v>
      </c>
      <c r="E778" t="s">
        <v>15</v>
      </c>
      <c r="F778" t="s">
        <v>788</v>
      </c>
      <c r="G778">
        <v>2</v>
      </c>
    </row>
    <row r="779" spans="1:7" x14ac:dyDescent="0.25">
      <c r="A779">
        <v>12</v>
      </c>
      <c r="B779" t="s">
        <v>727</v>
      </c>
      <c r="C779">
        <v>13283</v>
      </c>
      <c r="D779" t="str">
        <f>"0497-1817"</f>
        <v>0497-1817</v>
      </c>
      <c r="E779" t="s">
        <v>8</v>
      </c>
      <c r="F779" t="s">
        <v>789</v>
      </c>
      <c r="G779">
        <v>2</v>
      </c>
    </row>
    <row r="780" spans="1:7" x14ac:dyDescent="0.25">
      <c r="A780">
        <v>12</v>
      </c>
      <c r="B780" t="s">
        <v>727</v>
      </c>
      <c r="C780">
        <v>136194</v>
      </c>
      <c r="D780" t="str">
        <f>"1567-2808"</f>
        <v>1567-2808</v>
      </c>
      <c r="E780" t="s">
        <v>15</v>
      </c>
      <c r="F780" t="s">
        <v>790</v>
      </c>
      <c r="G780">
        <v>2</v>
      </c>
    </row>
    <row r="781" spans="1:7" x14ac:dyDescent="0.25">
      <c r="A781">
        <v>12</v>
      </c>
      <c r="B781" t="s">
        <v>727</v>
      </c>
      <c r="C781">
        <v>2727</v>
      </c>
      <c r="D781" t="str">
        <f>"1050-8619"</f>
        <v>1050-8619</v>
      </c>
      <c r="E781" t="s">
        <v>8</v>
      </c>
      <c r="F781" t="s">
        <v>791</v>
      </c>
      <c r="G781">
        <v>2</v>
      </c>
    </row>
    <row r="782" spans="1:7" x14ac:dyDescent="0.25">
      <c r="A782">
        <v>12</v>
      </c>
      <c r="B782" t="s">
        <v>727</v>
      </c>
      <c r="C782">
        <v>116212</v>
      </c>
      <c r="D782" t="str">
        <f>"0563-4288"</f>
        <v>0563-4288</v>
      </c>
      <c r="E782" t="s">
        <v>15</v>
      </c>
      <c r="F782" t="s">
        <v>792</v>
      </c>
      <c r="G782">
        <v>2</v>
      </c>
    </row>
    <row r="783" spans="1:7" x14ac:dyDescent="0.25">
      <c r="A783">
        <v>12</v>
      </c>
      <c r="B783" t="s">
        <v>727</v>
      </c>
      <c r="C783">
        <v>12127</v>
      </c>
      <c r="D783" t="str">
        <f>"0042-4935"</f>
        <v>0042-4935</v>
      </c>
      <c r="E783" t="s">
        <v>8</v>
      </c>
      <c r="F783" t="s">
        <v>793</v>
      </c>
      <c r="G783">
        <v>2</v>
      </c>
    </row>
    <row r="784" spans="1:7" x14ac:dyDescent="0.25">
      <c r="A784">
        <v>12</v>
      </c>
      <c r="B784" t="s">
        <v>727</v>
      </c>
      <c r="C784">
        <v>7125</v>
      </c>
      <c r="D784" t="str">
        <f>"0083-5889"</f>
        <v>0083-5889</v>
      </c>
      <c r="E784" t="s">
        <v>15</v>
      </c>
      <c r="F784" t="s">
        <v>794</v>
      </c>
      <c r="G784">
        <v>2</v>
      </c>
    </row>
    <row r="785" spans="1:7" x14ac:dyDescent="0.25">
      <c r="A785">
        <v>12</v>
      </c>
      <c r="B785" t="s">
        <v>727</v>
      </c>
      <c r="C785">
        <v>4346</v>
      </c>
      <c r="D785" t="str">
        <f>"0512-1604"</f>
        <v>0512-1604</v>
      </c>
      <c r="E785" t="s">
        <v>15</v>
      </c>
      <c r="F785" t="s">
        <v>795</v>
      </c>
      <c r="G785">
        <v>2</v>
      </c>
    </row>
    <row r="786" spans="1:7" x14ac:dyDescent="0.25">
      <c r="A786">
        <v>12</v>
      </c>
      <c r="B786" t="s">
        <v>727</v>
      </c>
      <c r="C786">
        <v>7713070</v>
      </c>
      <c r="D786" t="str">
        <f>"0340-9570"</f>
        <v>0340-9570</v>
      </c>
      <c r="E786" t="s">
        <v>15</v>
      </c>
      <c r="F786" t="s">
        <v>796</v>
      </c>
      <c r="G786">
        <v>2</v>
      </c>
    </row>
    <row r="787" spans="1:7" x14ac:dyDescent="0.25">
      <c r="A787">
        <v>12</v>
      </c>
      <c r="B787" t="s">
        <v>727</v>
      </c>
      <c r="C787">
        <v>860</v>
      </c>
      <c r="D787" t="str">
        <f>"0949-9571"</f>
        <v>0949-9571</v>
      </c>
      <c r="E787" t="s">
        <v>8</v>
      </c>
      <c r="F787" t="s">
        <v>797</v>
      </c>
      <c r="G787">
        <v>2</v>
      </c>
    </row>
    <row r="788" spans="1:7" x14ac:dyDescent="0.25">
      <c r="A788">
        <v>12</v>
      </c>
      <c r="B788" t="s">
        <v>727</v>
      </c>
      <c r="C788">
        <v>9927</v>
      </c>
      <c r="D788" t="str">
        <f>"0044-2526"</f>
        <v>0044-2526</v>
      </c>
      <c r="E788" t="s">
        <v>8</v>
      </c>
      <c r="F788" t="s">
        <v>798</v>
      </c>
      <c r="G788">
        <v>2</v>
      </c>
    </row>
    <row r="789" spans="1:7" x14ac:dyDescent="0.25">
      <c r="A789">
        <v>12</v>
      </c>
      <c r="B789" t="s">
        <v>727</v>
      </c>
      <c r="C789">
        <v>16518</v>
      </c>
      <c r="D789" t="str">
        <f>"0044-2615"</f>
        <v>0044-2615</v>
      </c>
      <c r="E789" t="s">
        <v>8</v>
      </c>
      <c r="F789" t="s">
        <v>799</v>
      </c>
      <c r="G789">
        <v>2</v>
      </c>
    </row>
    <row r="790" spans="1:7" x14ac:dyDescent="0.25">
      <c r="A790">
        <v>12</v>
      </c>
      <c r="B790" t="s">
        <v>727</v>
      </c>
      <c r="C790">
        <v>12400</v>
      </c>
      <c r="D790" t="str">
        <f>"0044-3549"</f>
        <v>0044-3549</v>
      </c>
      <c r="E790" t="s">
        <v>8</v>
      </c>
      <c r="F790" t="s">
        <v>800</v>
      </c>
      <c r="G790">
        <v>2</v>
      </c>
    </row>
    <row r="791" spans="1:7" x14ac:dyDescent="0.25">
      <c r="A791">
        <v>12</v>
      </c>
      <c r="B791" t="s">
        <v>727</v>
      </c>
      <c r="C791">
        <v>170065</v>
      </c>
      <c r="E791" t="s">
        <v>15</v>
      </c>
      <c r="F791" t="s">
        <v>801</v>
      </c>
      <c r="G791">
        <v>1</v>
      </c>
    </row>
    <row r="792" spans="1:7" x14ac:dyDescent="0.25">
      <c r="A792">
        <v>12</v>
      </c>
      <c r="B792" t="s">
        <v>727</v>
      </c>
      <c r="C792">
        <v>27271</v>
      </c>
      <c r="D792" t="str">
        <f>"1015-8758"</f>
        <v>1015-8758</v>
      </c>
      <c r="E792" t="s">
        <v>8</v>
      </c>
      <c r="F792" t="s">
        <v>802</v>
      </c>
      <c r="G792">
        <v>1</v>
      </c>
    </row>
    <row r="793" spans="1:7" x14ac:dyDescent="0.25">
      <c r="A793">
        <v>12</v>
      </c>
      <c r="B793" t="s">
        <v>727</v>
      </c>
      <c r="C793">
        <v>37129</v>
      </c>
      <c r="D793" t="str">
        <f>"0568-0476"</f>
        <v>0568-0476</v>
      </c>
      <c r="E793" t="s">
        <v>15</v>
      </c>
      <c r="F793" t="s">
        <v>803</v>
      </c>
      <c r="G793">
        <v>1</v>
      </c>
    </row>
    <row r="794" spans="1:7" x14ac:dyDescent="0.25">
      <c r="A794">
        <v>12</v>
      </c>
      <c r="B794" t="s">
        <v>727</v>
      </c>
      <c r="C794">
        <v>10172</v>
      </c>
      <c r="D794" t="str">
        <f>"0856-0048"</f>
        <v>0856-0048</v>
      </c>
      <c r="E794" t="s">
        <v>8</v>
      </c>
      <c r="F794" t="s">
        <v>804</v>
      </c>
      <c r="G794">
        <v>1</v>
      </c>
    </row>
    <row r="795" spans="1:7" x14ac:dyDescent="0.25">
      <c r="A795">
        <v>12</v>
      </c>
      <c r="B795" t="s">
        <v>727</v>
      </c>
      <c r="C795">
        <v>9265</v>
      </c>
      <c r="D795" t="str">
        <f>"0364-0094"</f>
        <v>0364-0094</v>
      </c>
      <c r="E795" t="s">
        <v>8</v>
      </c>
      <c r="F795" t="s">
        <v>805</v>
      </c>
      <c r="G795">
        <v>1</v>
      </c>
    </row>
    <row r="796" spans="1:7" x14ac:dyDescent="0.25">
      <c r="A796">
        <v>12</v>
      </c>
      <c r="B796" t="s">
        <v>727</v>
      </c>
      <c r="C796">
        <v>15115</v>
      </c>
      <c r="D796" t="str">
        <f>"0950-3110"</f>
        <v>0950-3110</v>
      </c>
      <c r="E796" t="s">
        <v>8</v>
      </c>
      <c r="F796" t="s">
        <v>806</v>
      </c>
      <c r="G796">
        <v>1</v>
      </c>
    </row>
    <row r="797" spans="1:7" x14ac:dyDescent="0.25">
      <c r="A797">
        <v>12</v>
      </c>
      <c r="B797" t="s">
        <v>727</v>
      </c>
      <c r="C797">
        <v>138429</v>
      </c>
      <c r="D797" t="str">
        <f>"0931-4296"</f>
        <v>0931-4296</v>
      </c>
      <c r="E797" t="s">
        <v>15</v>
      </c>
      <c r="F797" t="s">
        <v>807</v>
      </c>
      <c r="G797">
        <v>1</v>
      </c>
    </row>
    <row r="798" spans="1:7" x14ac:dyDescent="0.25">
      <c r="A798">
        <v>12</v>
      </c>
      <c r="B798" t="s">
        <v>727</v>
      </c>
      <c r="C798">
        <v>55041</v>
      </c>
      <c r="D798" t="str">
        <f>"2213-4077"</f>
        <v>2213-4077</v>
      </c>
      <c r="E798" t="s">
        <v>15</v>
      </c>
      <c r="F798" t="s">
        <v>808</v>
      </c>
      <c r="G798">
        <v>1</v>
      </c>
    </row>
    <row r="799" spans="1:7" x14ac:dyDescent="0.25">
      <c r="A799">
        <v>12</v>
      </c>
      <c r="B799" t="s">
        <v>727</v>
      </c>
      <c r="C799">
        <v>10025</v>
      </c>
      <c r="D799" t="str">
        <f>"0253-1593"</f>
        <v>0253-1593</v>
      </c>
      <c r="E799" t="s">
        <v>8</v>
      </c>
      <c r="F799" t="s">
        <v>809</v>
      </c>
      <c r="G799">
        <v>1</v>
      </c>
    </row>
    <row r="800" spans="1:7" x14ac:dyDescent="0.25">
      <c r="A800">
        <v>12</v>
      </c>
      <c r="B800" t="s">
        <v>727</v>
      </c>
      <c r="C800">
        <v>8783479</v>
      </c>
      <c r="E800" t="s">
        <v>15</v>
      </c>
      <c r="F800" t="s">
        <v>810</v>
      </c>
      <c r="G800">
        <v>1</v>
      </c>
    </row>
    <row r="801" spans="1:7" x14ac:dyDescent="0.25">
      <c r="A801">
        <v>12</v>
      </c>
      <c r="B801" t="s">
        <v>727</v>
      </c>
      <c r="C801">
        <v>7705251</v>
      </c>
      <c r="D801" t="str">
        <f>"1878-4895"</f>
        <v>1878-4895</v>
      </c>
      <c r="E801" t="s">
        <v>15</v>
      </c>
      <c r="F801" t="s">
        <v>811</v>
      </c>
      <c r="G801">
        <v>1</v>
      </c>
    </row>
    <row r="802" spans="1:7" x14ac:dyDescent="0.25">
      <c r="A802">
        <v>12</v>
      </c>
      <c r="B802" t="s">
        <v>727</v>
      </c>
      <c r="C802">
        <v>7721953</v>
      </c>
      <c r="E802" t="s">
        <v>8</v>
      </c>
      <c r="F802" t="s">
        <v>812</v>
      </c>
      <c r="G802">
        <v>1</v>
      </c>
    </row>
    <row r="803" spans="1:7" x14ac:dyDescent="0.25">
      <c r="A803">
        <v>12</v>
      </c>
      <c r="B803" t="s">
        <v>727</v>
      </c>
      <c r="C803">
        <v>6020176</v>
      </c>
      <c r="D803" t="str">
        <f>"1574-3446"</f>
        <v>1574-3446</v>
      </c>
      <c r="E803" t="s">
        <v>15</v>
      </c>
      <c r="F803" t="s">
        <v>813</v>
      </c>
      <c r="G803">
        <v>1</v>
      </c>
    </row>
    <row r="804" spans="1:7" x14ac:dyDescent="0.25">
      <c r="A804">
        <v>12</v>
      </c>
      <c r="B804" t="s">
        <v>727</v>
      </c>
      <c r="C804">
        <v>19685</v>
      </c>
      <c r="D804" t="str">
        <f>"1477-8351"</f>
        <v>1477-8351</v>
      </c>
      <c r="E804" t="s">
        <v>8</v>
      </c>
      <c r="F804" t="s">
        <v>814</v>
      </c>
      <c r="G804">
        <v>1</v>
      </c>
    </row>
    <row r="805" spans="1:7" x14ac:dyDescent="0.25">
      <c r="A805">
        <v>12</v>
      </c>
      <c r="B805" t="s">
        <v>727</v>
      </c>
      <c r="C805">
        <v>152905</v>
      </c>
      <c r="D805" t="str">
        <f>"2198-1043"</f>
        <v>2198-1043</v>
      </c>
      <c r="E805" t="s">
        <v>15</v>
      </c>
      <c r="F805" t="s">
        <v>815</v>
      </c>
      <c r="G805">
        <v>1</v>
      </c>
    </row>
    <row r="806" spans="1:7" x14ac:dyDescent="0.25">
      <c r="A806">
        <v>12</v>
      </c>
      <c r="B806" t="s">
        <v>727</v>
      </c>
      <c r="C806">
        <v>152908</v>
      </c>
      <c r="D806" t="str">
        <f>"2198-140X"</f>
        <v>2198-140X</v>
      </c>
      <c r="E806" t="s">
        <v>15</v>
      </c>
      <c r="F806" t="s">
        <v>816</v>
      </c>
      <c r="G806">
        <v>1</v>
      </c>
    </row>
    <row r="807" spans="1:7" x14ac:dyDescent="0.25">
      <c r="A807">
        <v>12</v>
      </c>
      <c r="B807" t="s">
        <v>727</v>
      </c>
      <c r="C807">
        <v>77481</v>
      </c>
      <c r="E807" t="s">
        <v>15</v>
      </c>
      <c r="F807" t="s">
        <v>817</v>
      </c>
      <c r="G807">
        <v>1</v>
      </c>
    </row>
    <row r="808" spans="1:7" x14ac:dyDescent="0.25">
      <c r="A808">
        <v>12</v>
      </c>
      <c r="B808" t="s">
        <v>727</v>
      </c>
      <c r="C808">
        <v>170067</v>
      </c>
      <c r="E808" t="s">
        <v>15</v>
      </c>
      <c r="F808" t="s">
        <v>818</v>
      </c>
      <c r="G808">
        <v>1</v>
      </c>
    </row>
    <row r="809" spans="1:7" x14ac:dyDescent="0.25">
      <c r="A809">
        <v>12</v>
      </c>
      <c r="B809" t="s">
        <v>727</v>
      </c>
      <c r="C809">
        <v>3610</v>
      </c>
      <c r="D809" t="str">
        <f>"1570-5986"</f>
        <v>1570-5986</v>
      </c>
      <c r="E809" t="s">
        <v>15</v>
      </c>
      <c r="F809" t="s">
        <v>819</v>
      </c>
      <c r="G809">
        <v>1</v>
      </c>
    </row>
    <row r="810" spans="1:7" x14ac:dyDescent="0.25">
      <c r="A810">
        <v>12</v>
      </c>
      <c r="B810" t="s">
        <v>727</v>
      </c>
      <c r="C810">
        <v>15844</v>
      </c>
      <c r="D810" t="str">
        <f>"0066-6386"</f>
        <v>0066-6386</v>
      </c>
      <c r="E810" t="s">
        <v>8</v>
      </c>
      <c r="F810" t="s">
        <v>820</v>
      </c>
      <c r="G810">
        <v>1</v>
      </c>
    </row>
    <row r="811" spans="1:7" x14ac:dyDescent="0.25">
      <c r="A811">
        <v>12</v>
      </c>
      <c r="B811" t="s">
        <v>727</v>
      </c>
      <c r="C811">
        <v>76749</v>
      </c>
      <c r="D811" t="str">
        <f>"1436-3038"</f>
        <v>1436-3038</v>
      </c>
      <c r="E811" t="s">
        <v>8</v>
      </c>
      <c r="F811" t="s">
        <v>821</v>
      </c>
      <c r="G811">
        <v>1</v>
      </c>
    </row>
    <row r="812" spans="1:7" x14ac:dyDescent="0.25">
      <c r="A812">
        <v>12</v>
      </c>
      <c r="B812" t="s">
        <v>727</v>
      </c>
      <c r="C812">
        <v>151603</v>
      </c>
      <c r="D812" t="str">
        <f>"1453-5165"</f>
        <v>1453-5165</v>
      </c>
      <c r="E812" t="s">
        <v>8</v>
      </c>
      <c r="F812" t="s">
        <v>822</v>
      </c>
      <c r="G812">
        <v>1</v>
      </c>
    </row>
    <row r="813" spans="1:7" x14ac:dyDescent="0.25">
      <c r="A813">
        <v>12</v>
      </c>
      <c r="B813" t="s">
        <v>727</v>
      </c>
      <c r="C813">
        <v>8282</v>
      </c>
      <c r="D813" t="str">
        <f>"1567-9896"</f>
        <v>1567-9896</v>
      </c>
      <c r="E813" t="s">
        <v>8</v>
      </c>
      <c r="F813" t="s">
        <v>823</v>
      </c>
      <c r="G813">
        <v>1</v>
      </c>
    </row>
    <row r="814" spans="1:7" x14ac:dyDescent="0.25">
      <c r="A814">
        <v>12</v>
      </c>
      <c r="B814" t="s">
        <v>727</v>
      </c>
      <c r="C814">
        <v>4603</v>
      </c>
      <c r="D814" t="str">
        <f>"1871-1405"</f>
        <v>1871-1405</v>
      </c>
      <c r="E814" t="s">
        <v>15</v>
      </c>
      <c r="F814" t="s">
        <v>824</v>
      </c>
      <c r="G814">
        <v>1</v>
      </c>
    </row>
    <row r="815" spans="1:7" x14ac:dyDescent="0.25">
      <c r="A815">
        <v>12</v>
      </c>
      <c r="B815" t="s">
        <v>727</v>
      </c>
      <c r="C815">
        <v>8783480</v>
      </c>
      <c r="E815" t="s">
        <v>15</v>
      </c>
      <c r="F815" t="s">
        <v>825</v>
      </c>
      <c r="G815">
        <v>1</v>
      </c>
    </row>
    <row r="816" spans="1:7" x14ac:dyDescent="0.25">
      <c r="A816">
        <v>12</v>
      </c>
      <c r="B816" t="s">
        <v>727</v>
      </c>
      <c r="C816">
        <v>170069</v>
      </c>
      <c r="E816" t="s">
        <v>15</v>
      </c>
      <c r="F816" t="s">
        <v>826</v>
      </c>
      <c r="G816">
        <v>1</v>
      </c>
    </row>
    <row r="817" spans="1:7" x14ac:dyDescent="0.25">
      <c r="A817">
        <v>12</v>
      </c>
      <c r="B817" t="s">
        <v>727</v>
      </c>
      <c r="C817">
        <v>5359</v>
      </c>
      <c r="D817" t="str">
        <f>"0004-8003"</f>
        <v>0004-8003</v>
      </c>
      <c r="E817" t="s">
        <v>8</v>
      </c>
      <c r="F817" t="s">
        <v>827</v>
      </c>
      <c r="G817">
        <v>1</v>
      </c>
    </row>
    <row r="818" spans="1:7" x14ac:dyDescent="0.25">
      <c r="A818">
        <v>12</v>
      </c>
      <c r="B818" t="s">
        <v>727</v>
      </c>
      <c r="C818">
        <v>45208</v>
      </c>
      <c r="D818" t="str">
        <f>"2000-4419"</f>
        <v>2000-4419</v>
      </c>
      <c r="E818" t="s">
        <v>15</v>
      </c>
      <c r="F818" t="s">
        <v>828</v>
      </c>
      <c r="G818">
        <v>1</v>
      </c>
    </row>
    <row r="819" spans="1:7" x14ac:dyDescent="0.25">
      <c r="A819">
        <v>12</v>
      </c>
      <c r="B819" t="s">
        <v>727</v>
      </c>
      <c r="C819">
        <v>146216</v>
      </c>
      <c r="D819" t="str">
        <f>"1875-0664"</f>
        <v>1875-0664</v>
      </c>
      <c r="E819" t="s">
        <v>15</v>
      </c>
      <c r="F819" t="s">
        <v>829</v>
      </c>
      <c r="G819">
        <v>1</v>
      </c>
    </row>
    <row r="820" spans="1:7" x14ac:dyDescent="0.25">
      <c r="A820">
        <v>12</v>
      </c>
      <c r="B820" t="s">
        <v>727</v>
      </c>
      <c r="C820">
        <v>7713079</v>
      </c>
      <c r="D820" t="str">
        <f>"0340-6741"</f>
        <v>0340-6741</v>
      </c>
      <c r="E820" t="s">
        <v>15</v>
      </c>
      <c r="F820" t="s">
        <v>830</v>
      </c>
      <c r="G820">
        <v>1</v>
      </c>
    </row>
    <row r="821" spans="1:7" x14ac:dyDescent="0.25">
      <c r="A821">
        <v>12</v>
      </c>
      <c r="B821" t="s">
        <v>727</v>
      </c>
      <c r="C821">
        <v>153400</v>
      </c>
      <c r="D821" t="str">
        <f>"1945-8487"</f>
        <v>1945-8487</v>
      </c>
      <c r="E821" t="s">
        <v>8</v>
      </c>
      <c r="F821" t="s">
        <v>831</v>
      </c>
      <c r="G821">
        <v>1</v>
      </c>
    </row>
    <row r="822" spans="1:7" x14ac:dyDescent="0.25">
      <c r="A822">
        <v>12</v>
      </c>
      <c r="B822" t="s">
        <v>727</v>
      </c>
      <c r="C822">
        <v>170073</v>
      </c>
      <c r="E822" t="s">
        <v>15</v>
      </c>
      <c r="F822" t="s">
        <v>832</v>
      </c>
      <c r="G822">
        <v>1</v>
      </c>
    </row>
    <row r="823" spans="1:7" x14ac:dyDescent="0.25">
      <c r="A823">
        <v>12</v>
      </c>
      <c r="B823" t="s">
        <v>727</v>
      </c>
      <c r="C823">
        <v>12661</v>
      </c>
      <c r="D823" t="str">
        <f>"0006-0887"</f>
        <v>0006-0887</v>
      </c>
      <c r="E823" t="s">
        <v>8</v>
      </c>
      <c r="F823" t="s">
        <v>833</v>
      </c>
      <c r="G823">
        <v>1</v>
      </c>
    </row>
    <row r="824" spans="1:7" x14ac:dyDescent="0.25">
      <c r="A824">
        <v>12</v>
      </c>
      <c r="B824" t="s">
        <v>727</v>
      </c>
      <c r="C824">
        <v>1444</v>
      </c>
      <c r="D824" t="str">
        <f>"1874-3927"</f>
        <v>1874-3927</v>
      </c>
      <c r="E824" t="s">
        <v>15</v>
      </c>
      <c r="F824" t="s">
        <v>834</v>
      </c>
      <c r="G824">
        <v>1</v>
      </c>
    </row>
    <row r="825" spans="1:7" x14ac:dyDescent="0.25">
      <c r="A825">
        <v>12</v>
      </c>
      <c r="B825" t="s">
        <v>727</v>
      </c>
      <c r="C825">
        <v>13541</v>
      </c>
      <c r="D825" t="str">
        <f>"0927-2569"</f>
        <v>0927-2569</v>
      </c>
      <c r="E825" t="s">
        <v>8</v>
      </c>
      <c r="F825" t="s">
        <v>835</v>
      </c>
      <c r="G825">
        <v>1</v>
      </c>
    </row>
    <row r="826" spans="1:7" x14ac:dyDescent="0.25">
      <c r="A826">
        <v>12</v>
      </c>
      <c r="B826" t="s">
        <v>727</v>
      </c>
      <c r="C826">
        <v>14916</v>
      </c>
      <c r="D826" t="str">
        <f>"0928-0731"</f>
        <v>0928-0731</v>
      </c>
      <c r="E826" t="s">
        <v>15</v>
      </c>
      <c r="F826" t="s">
        <v>836</v>
      </c>
      <c r="G826">
        <v>1</v>
      </c>
    </row>
    <row r="827" spans="1:7" x14ac:dyDescent="0.25">
      <c r="A827">
        <v>12</v>
      </c>
      <c r="B827" t="s">
        <v>727</v>
      </c>
      <c r="C827">
        <v>15099</v>
      </c>
      <c r="D827" t="str">
        <f>"0146-1079"</f>
        <v>0146-1079</v>
      </c>
      <c r="E827" t="s">
        <v>8</v>
      </c>
      <c r="F827" t="s">
        <v>837</v>
      </c>
      <c r="G827">
        <v>1</v>
      </c>
    </row>
    <row r="828" spans="1:7" x14ac:dyDescent="0.25">
      <c r="A828">
        <v>12</v>
      </c>
      <c r="B828" t="s">
        <v>727</v>
      </c>
      <c r="C828">
        <v>153289</v>
      </c>
      <c r="E828" t="s">
        <v>15</v>
      </c>
      <c r="F828" t="s">
        <v>838</v>
      </c>
      <c r="G828">
        <v>1</v>
      </c>
    </row>
    <row r="829" spans="1:7" x14ac:dyDescent="0.25">
      <c r="A829">
        <v>12</v>
      </c>
      <c r="B829" t="s">
        <v>727</v>
      </c>
      <c r="C829">
        <v>64765</v>
      </c>
      <c r="D829" t="str">
        <f>"0824-9555"</f>
        <v>0824-9555</v>
      </c>
      <c r="E829" t="s">
        <v>15</v>
      </c>
      <c r="F829" t="s">
        <v>839</v>
      </c>
      <c r="G829">
        <v>1</v>
      </c>
    </row>
    <row r="830" spans="1:7" x14ac:dyDescent="0.25">
      <c r="A830">
        <v>12</v>
      </c>
      <c r="B830" t="s">
        <v>727</v>
      </c>
      <c r="C830">
        <v>153192</v>
      </c>
      <c r="D830" t="str">
        <f>"1784-2727"</f>
        <v>1784-2727</v>
      </c>
      <c r="E830" t="s">
        <v>15</v>
      </c>
      <c r="F830" t="s">
        <v>840</v>
      </c>
      <c r="G830">
        <v>1</v>
      </c>
    </row>
    <row r="831" spans="1:7" x14ac:dyDescent="0.25">
      <c r="A831">
        <v>12</v>
      </c>
      <c r="B831" t="s">
        <v>727</v>
      </c>
      <c r="C831">
        <v>12827</v>
      </c>
      <c r="D831" t="str">
        <f>"0006-2014"</f>
        <v>0006-2014</v>
      </c>
      <c r="E831" t="s">
        <v>8</v>
      </c>
      <c r="F831" t="s">
        <v>841</v>
      </c>
      <c r="G831">
        <v>1</v>
      </c>
    </row>
    <row r="832" spans="1:7" x14ac:dyDescent="0.25">
      <c r="A832">
        <v>12</v>
      </c>
      <c r="B832" t="s">
        <v>727</v>
      </c>
      <c r="C832">
        <v>976</v>
      </c>
      <c r="D832" t="str">
        <f>"0520-5670"</f>
        <v>0520-5670</v>
      </c>
      <c r="E832" t="s">
        <v>8</v>
      </c>
      <c r="F832" t="s">
        <v>842</v>
      </c>
      <c r="G832">
        <v>1</v>
      </c>
    </row>
    <row r="833" spans="1:7" x14ac:dyDescent="0.25">
      <c r="A833">
        <v>12</v>
      </c>
      <c r="B833" t="s">
        <v>727</v>
      </c>
      <c r="C833">
        <v>180017</v>
      </c>
      <c r="D833" t="str">
        <f>"2214-5281"</f>
        <v>2214-5281</v>
      </c>
      <c r="E833" t="s">
        <v>15</v>
      </c>
      <c r="F833" t="s">
        <v>843</v>
      </c>
      <c r="G833">
        <v>1</v>
      </c>
    </row>
    <row r="834" spans="1:7" x14ac:dyDescent="0.25">
      <c r="A834">
        <v>12</v>
      </c>
      <c r="B834" t="s">
        <v>727</v>
      </c>
      <c r="C834">
        <v>138869</v>
      </c>
      <c r="D834" t="str">
        <f>"1872-5481"</f>
        <v>1872-5481</v>
      </c>
      <c r="E834" t="s">
        <v>15</v>
      </c>
      <c r="F834" t="s">
        <v>844</v>
      </c>
      <c r="G834">
        <v>1</v>
      </c>
    </row>
    <row r="835" spans="1:7" x14ac:dyDescent="0.25">
      <c r="A835">
        <v>12</v>
      </c>
      <c r="B835" t="s">
        <v>727</v>
      </c>
      <c r="C835">
        <v>6044868</v>
      </c>
      <c r="D835" t="str">
        <f>"1871-2894"</f>
        <v>1871-2894</v>
      </c>
      <c r="E835" t="s">
        <v>15</v>
      </c>
      <c r="F835" t="s">
        <v>845</v>
      </c>
      <c r="G835">
        <v>1</v>
      </c>
    </row>
    <row r="836" spans="1:7" x14ac:dyDescent="0.25">
      <c r="A836">
        <v>12</v>
      </c>
      <c r="B836" t="s">
        <v>727</v>
      </c>
      <c r="C836">
        <v>8006</v>
      </c>
      <c r="D836" t="str">
        <f>"0926-2261"</f>
        <v>0926-2261</v>
      </c>
      <c r="E836" t="s">
        <v>15</v>
      </c>
      <c r="F836" t="s">
        <v>846</v>
      </c>
      <c r="G836">
        <v>1</v>
      </c>
    </row>
    <row r="837" spans="1:7" x14ac:dyDescent="0.25">
      <c r="A837">
        <v>12</v>
      </c>
      <c r="B837" t="s">
        <v>727</v>
      </c>
      <c r="C837">
        <v>7921</v>
      </c>
      <c r="D837" t="str">
        <f>"0141-6200"</f>
        <v>0141-6200</v>
      </c>
      <c r="E837" t="s">
        <v>8</v>
      </c>
      <c r="F837" t="s">
        <v>847</v>
      </c>
      <c r="G837">
        <v>1</v>
      </c>
    </row>
    <row r="838" spans="1:7" x14ac:dyDescent="0.25">
      <c r="A838">
        <v>12</v>
      </c>
      <c r="B838" t="s">
        <v>727</v>
      </c>
      <c r="C838">
        <v>1676</v>
      </c>
      <c r="D838" t="str">
        <f>"0882-0945"</f>
        <v>0882-0945</v>
      </c>
      <c r="E838" t="s">
        <v>8</v>
      </c>
      <c r="F838" t="s">
        <v>848</v>
      </c>
      <c r="G838">
        <v>1</v>
      </c>
    </row>
    <row r="839" spans="1:7" x14ac:dyDescent="0.25">
      <c r="A839">
        <v>12</v>
      </c>
      <c r="B839" t="s">
        <v>727</v>
      </c>
      <c r="C839">
        <v>14300</v>
      </c>
      <c r="D839" t="str">
        <f>"0007-4322"</f>
        <v>0007-4322</v>
      </c>
      <c r="E839" t="s">
        <v>8</v>
      </c>
      <c r="F839" t="s">
        <v>849</v>
      </c>
      <c r="G839">
        <v>1</v>
      </c>
    </row>
    <row r="840" spans="1:7" x14ac:dyDescent="0.25">
      <c r="A840">
        <v>12</v>
      </c>
      <c r="B840" t="s">
        <v>727</v>
      </c>
      <c r="C840">
        <v>3046</v>
      </c>
      <c r="D840" t="str">
        <f>"0108-4453"</f>
        <v>0108-4453</v>
      </c>
      <c r="E840" t="s">
        <v>8</v>
      </c>
      <c r="F840" t="s">
        <v>850</v>
      </c>
      <c r="G840">
        <v>1</v>
      </c>
    </row>
    <row r="841" spans="1:7" x14ac:dyDescent="0.25">
      <c r="A841">
        <v>12</v>
      </c>
      <c r="B841" t="s">
        <v>727</v>
      </c>
      <c r="C841">
        <v>13399</v>
      </c>
      <c r="D841" t="str">
        <f>"0009-6407"</f>
        <v>0009-6407</v>
      </c>
      <c r="E841" t="s">
        <v>8</v>
      </c>
      <c r="F841" t="s">
        <v>851</v>
      </c>
      <c r="G841">
        <v>1</v>
      </c>
    </row>
    <row r="842" spans="1:7" x14ac:dyDescent="0.25">
      <c r="A842">
        <v>12</v>
      </c>
      <c r="B842" t="s">
        <v>727</v>
      </c>
      <c r="C842">
        <v>23172</v>
      </c>
      <c r="D842" t="str">
        <f>"1871-241X"</f>
        <v>1871-241X</v>
      </c>
      <c r="E842" t="s">
        <v>8</v>
      </c>
      <c r="F842" t="s">
        <v>852</v>
      </c>
      <c r="G842">
        <v>1</v>
      </c>
    </row>
    <row r="843" spans="1:7" x14ac:dyDescent="0.25">
      <c r="A843">
        <v>12</v>
      </c>
      <c r="B843" t="s">
        <v>727</v>
      </c>
      <c r="C843">
        <v>8783481</v>
      </c>
      <c r="E843" t="s">
        <v>15</v>
      </c>
      <c r="F843" t="s">
        <v>853</v>
      </c>
      <c r="G843">
        <v>1</v>
      </c>
    </row>
    <row r="844" spans="1:7" x14ac:dyDescent="0.25">
      <c r="A844">
        <v>12</v>
      </c>
      <c r="B844" t="s">
        <v>727</v>
      </c>
      <c r="C844">
        <v>108618</v>
      </c>
      <c r="D844" t="str">
        <f>"1052-1135"</f>
        <v>1052-1135</v>
      </c>
      <c r="E844" t="s">
        <v>15</v>
      </c>
      <c r="F844" t="s">
        <v>854</v>
      </c>
      <c r="G844">
        <v>1</v>
      </c>
    </row>
    <row r="845" spans="1:7" x14ac:dyDescent="0.25">
      <c r="A845">
        <v>12</v>
      </c>
      <c r="B845" t="s">
        <v>727</v>
      </c>
      <c r="C845">
        <v>6070108</v>
      </c>
      <c r="D845" t="str">
        <f>"1877-4970"</f>
        <v>1877-4970</v>
      </c>
      <c r="E845" t="s">
        <v>15</v>
      </c>
      <c r="F845" t="s">
        <v>855</v>
      </c>
      <c r="G845">
        <v>1</v>
      </c>
    </row>
    <row r="846" spans="1:7" x14ac:dyDescent="0.25">
      <c r="A846">
        <v>12</v>
      </c>
      <c r="B846" t="s">
        <v>727</v>
      </c>
      <c r="C846">
        <v>19021</v>
      </c>
      <c r="D846" t="str">
        <f>"0010-5236"</f>
        <v>0010-5236</v>
      </c>
      <c r="E846" t="s">
        <v>8</v>
      </c>
      <c r="F846" t="s">
        <v>856</v>
      </c>
      <c r="G846">
        <v>1</v>
      </c>
    </row>
    <row r="847" spans="1:7" x14ac:dyDescent="0.25">
      <c r="A847">
        <v>12</v>
      </c>
      <c r="B847" t="s">
        <v>727</v>
      </c>
      <c r="C847">
        <v>9488</v>
      </c>
      <c r="D847" t="str">
        <f>"0038-8610"</f>
        <v>0038-8610</v>
      </c>
      <c r="E847" t="s">
        <v>8</v>
      </c>
      <c r="F847" t="s">
        <v>857</v>
      </c>
      <c r="G847">
        <v>1</v>
      </c>
    </row>
    <row r="848" spans="1:7" x14ac:dyDescent="0.25">
      <c r="A848">
        <v>12</v>
      </c>
      <c r="B848" t="s">
        <v>727</v>
      </c>
      <c r="C848">
        <v>8783482</v>
      </c>
      <c r="E848" t="s">
        <v>15</v>
      </c>
      <c r="F848" t="s">
        <v>858</v>
      </c>
      <c r="G848">
        <v>1</v>
      </c>
    </row>
    <row r="849" spans="1:7" x14ac:dyDescent="0.25">
      <c r="A849">
        <v>12</v>
      </c>
      <c r="B849" t="s">
        <v>727</v>
      </c>
      <c r="C849">
        <v>3977</v>
      </c>
      <c r="D849" t="str">
        <f>"1463-9947"</f>
        <v>1463-9947</v>
      </c>
      <c r="E849" t="s">
        <v>8</v>
      </c>
      <c r="F849" t="s">
        <v>859</v>
      </c>
      <c r="G849">
        <v>1</v>
      </c>
    </row>
    <row r="850" spans="1:7" x14ac:dyDescent="0.25">
      <c r="A850">
        <v>12</v>
      </c>
      <c r="B850" t="s">
        <v>727</v>
      </c>
      <c r="C850">
        <v>8783483</v>
      </c>
      <c r="E850" t="s">
        <v>15</v>
      </c>
      <c r="F850" t="s">
        <v>860</v>
      </c>
      <c r="G850">
        <v>1</v>
      </c>
    </row>
    <row r="851" spans="1:7" x14ac:dyDescent="0.25">
      <c r="A851">
        <v>12</v>
      </c>
      <c r="B851" t="s">
        <v>727</v>
      </c>
      <c r="C851">
        <v>6073943</v>
      </c>
      <c r="E851" t="s">
        <v>15</v>
      </c>
      <c r="F851" t="s">
        <v>861</v>
      </c>
      <c r="G851">
        <v>1</v>
      </c>
    </row>
    <row r="852" spans="1:7" x14ac:dyDescent="0.25">
      <c r="A852">
        <v>12</v>
      </c>
      <c r="B852" t="s">
        <v>727</v>
      </c>
      <c r="C852">
        <v>33410</v>
      </c>
      <c r="D852" t="str">
        <f>"0926-6097"</f>
        <v>0926-6097</v>
      </c>
      <c r="E852" t="s">
        <v>15</v>
      </c>
      <c r="F852" t="s">
        <v>862</v>
      </c>
      <c r="G852">
        <v>1</v>
      </c>
    </row>
    <row r="853" spans="1:7" x14ac:dyDescent="0.25">
      <c r="A853">
        <v>12</v>
      </c>
      <c r="B853" t="s">
        <v>727</v>
      </c>
      <c r="C853">
        <v>8783484</v>
      </c>
      <c r="E853" t="s">
        <v>15</v>
      </c>
      <c r="F853" t="s">
        <v>863</v>
      </c>
      <c r="G853">
        <v>1</v>
      </c>
    </row>
    <row r="854" spans="1:7" x14ac:dyDescent="0.25">
      <c r="A854">
        <v>12</v>
      </c>
      <c r="B854" t="s">
        <v>727</v>
      </c>
      <c r="C854">
        <v>8783485</v>
      </c>
      <c r="E854" t="s">
        <v>15</v>
      </c>
      <c r="F854" t="s">
        <v>864</v>
      </c>
      <c r="G854">
        <v>1</v>
      </c>
    </row>
    <row r="855" spans="1:7" x14ac:dyDescent="0.25">
      <c r="A855">
        <v>12</v>
      </c>
      <c r="B855" t="s">
        <v>727</v>
      </c>
      <c r="C855">
        <v>116856</v>
      </c>
      <c r="D855" t="str">
        <f>"0070-0398"</f>
        <v>0070-0398</v>
      </c>
      <c r="E855" t="s">
        <v>15</v>
      </c>
      <c r="F855" t="s">
        <v>865</v>
      </c>
      <c r="G855">
        <v>1</v>
      </c>
    </row>
    <row r="856" spans="1:7" x14ac:dyDescent="0.25">
      <c r="A856">
        <v>12</v>
      </c>
      <c r="B856" t="s">
        <v>727</v>
      </c>
      <c r="C856">
        <v>108062</v>
      </c>
      <c r="D856" t="str">
        <f>"0070-0401"</f>
        <v>0070-0401</v>
      </c>
      <c r="E856" t="s">
        <v>15</v>
      </c>
      <c r="F856" t="s">
        <v>866</v>
      </c>
      <c r="G856">
        <v>1</v>
      </c>
    </row>
    <row r="857" spans="1:7" x14ac:dyDescent="0.25">
      <c r="A857">
        <v>12</v>
      </c>
      <c r="B857" t="s">
        <v>727</v>
      </c>
      <c r="C857">
        <v>98518</v>
      </c>
      <c r="D857" t="str">
        <f>"0070-041X"</f>
        <v>0070-041X</v>
      </c>
      <c r="E857" t="s">
        <v>15</v>
      </c>
      <c r="F857" t="s">
        <v>867</v>
      </c>
      <c r="G857">
        <v>1</v>
      </c>
    </row>
    <row r="858" spans="1:7" x14ac:dyDescent="0.25">
      <c r="A858">
        <v>12</v>
      </c>
      <c r="B858" t="s">
        <v>727</v>
      </c>
      <c r="C858">
        <v>71505</v>
      </c>
      <c r="D858" t="str">
        <f>"0070-0428"</f>
        <v>0070-0428</v>
      </c>
      <c r="E858" t="s">
        <v>15</v>
      </c>
      <c r="F858" t="s">
        <v>868</v>
      </c>
      <c r="G858">
        <v>1</v>
      </c>
    </row>
    <row r="859" spans="1:7" x14ac:dyDescent="0.25">
      <c r="A859">
        <v>12</v>
      </c>
      <c r="B859" t="s">
        <v>727</v>
      </c>
      <c r="C859">
        <v>59787</v>
      </c>
      <c r="D859" t="str">
        <f>"0070-0436"</f>
        <v>0070-0436</v>
      </c>
      <c r="E859" t="s">
        <v>15</v>
      </c>
      <c r="F859" t="s">
        <v>869</v>
      </c>
      <c r="G859">
        <v>1</v>
      </c>
    </row>
    <row r="860" spans="1:7" x14ac:dyDescent="0.25">
      <c r="A860">
        <v>12</v>
      </c>
      <c r="B860" t="s">
        <v>727</v>
      </c>
      <c r="C860">
        <v>145973</v>
      </c>
      <c r="D860" t="str">
        <f>"0070-0444"</f>
        <v>0070-0444</v>
      </c>
      <c r="E860" t="s">
        <v>15</v>
      </c>
      <c r="F860" t="s">
        <v>870</v>
      </c>
      <c r="G860">
        <v>1</v>
      </c>
    </row>
    <row r="861" spans="1:7" x14ac:dyDescent="0.25">
      <c r="A861">
        <v>12</v>
      </c>
      <c r="B861" t="s">
        <v>727</v>
      </c>
      <c r="C861">
        <v>131870</v>
      </c>
      <c r="D861" t="str">
        <f>"0070-0452"</f>
        <v>0070-0452</v>
      </c>
      <c r="E861" t="s">
        <v>15</v>
      </c>
      <c r="F861" t="s">
        <v>871</v>
      </c>
      <c r="G861">
        <v>1</v>
      </c>
    </row>
    <row r="862" spans="1:7" x14ac:dyDescent="0.25">
      <c r="A862">
        <v>12</v>
      </c>
      <c r="B862" t="s">
        <v>727</v>
      </c>
      <c r="C862">
        <v>6213</v>
      </c>
      <c r="D862" t="str">
        <f>"1475-5610"</f>
        <v>1475-5610</v>
      </c>
      <c r="E862" t="s">
        <v>8</v>
      </c>
      <c r="F862" t="s">
        <v>872</v>
      </c>
      <c r="G862">
        <v>1</v>
      </c>
    </row>
    <row r="863" spans="1:7" x14ac:dyDescent="0.25">
      <c r="A863">
        <v>12</v>
      </c>
      <c r="B863" t="s">
        <v>727</v>
      </c>
      <c r="C863">
        <v>6079674</v>
      </c>
      <c r="D863" t="str">
        <f>"1382-5364"</f>
        <v>1382-5364</v>
      </c>
      <c r="E863" t="s">
        <v>15</v>
      </c>
      <c r="F863" t="s">
        <v>873</v>
      </c>
      <c r="G863">
        <v>1</v>
      </c>
    </row>
    <row r="864" spans="1:7" x14ac:dyDescent="0.25">
      <c r="A864">
        <v>12</v>
      </c>
      <c r="B864" t="s">
        <v>727</v>
      </c>
      <c r="C864">
        <v>6284</v>
      </c>
      <c r="D864" t="str">
        <f>"0929-0052"</f>
        <v>0929-0052</v>
      </c>
      <c r="E864" t="s">
        <v>15</v>
      </c>
      <c r="F864" t="s">
        <v>874</v>
      </c>
      <c r="G864">
        <v>1</v>
      </c>
    </row>
    <row r="865" spans="1:7" x14ac:dyDescent="0.25">
      <c r="A865">
        <v>12</v>
      </c>
      <c r="B865" t="s">
        <v>727</v>
      </c>
      <c r="C865">
        <v>6083095</v>
      </c>
      <c r="D865" t="str">
        <f>"1903-3338"</f>
        <v>1903-3338</v>
      </c>
      <c r="E865" t="s">
        <v>15</v>
      </c>
      <c r="F865" t="s">
        <v>875</v>
      </c>
      <c r="G865">
        <v>1</v>
      </c>
    </row>
    <row r="866" spans="1:7" x14ac:dyDescent="0.25">
      <c r="A866">
        <v>12</v>
      </c>
      <c r="B866" t="s">
        <v>727</v>
      </c>
      <c r="C866">
        <v>3779</v>
      </c>
      <c r="D866" t="str">
        <f>"0105-3191"</f>
        <v>0105-3191</v>
      </c>
      <c r="E866" t="s">
        <v>8</v>
      </c>
      <c r="F866" t="s">
        <v>876</v>
      </c>
      <c r="G866">
        <v>1</v>
      </c>
    </row>
    <row r="867" spans="1:7" x14ac:dyDescent="0.25">
      <c r="A867">
        <v>12</v>
      </c>
      <c r="B867" t="s">
        <v>727</v>
      </c>
      <c r="C867">
        <v>7610914</v>
      </c>
      <c r="D867" t="str">
        <f>"1903-6523"</f>
        <v>1903-6523</v>
      </c>
      <c r="E867" t="s">
        <v>8</v>
      </c>
      <c r="F867" t="s">
        <v>877</v>
      </c>
      <c r="G867">
        <v>1</v>
      </c>
    </row>
    <row r="868" spans="1:7" x14ac:dyDescent="0.25">
      <c r="A868">
        <v>12</v>
      </c>
      <c r="B868" t="s">
        <v>727</v>
      </c>
      <c r="C868">
        <v>4450</v>
      </c>
      <c r="D868" t="str">
        <f>"0929-0761"</f>
        <v>0929-0761</v>
      </c>
      <c r="E868" t="s">
        <v>8</v>
      </c>
      <c r="F868" t="s">
        <v>878</v>
      </c>
      <c r="G868">
        <v>1</v>
      </c>
    </row>
    <row r="869" spans="1:7" x14ac:dyDescent="0.25">
      <c r="A869">
        <v>12</v>
      </c>
      <c r="B869" t="s">
        <v>727</v>
      </c>
      <c r="C869">
        <v>5953</v>
      </c>
      <c r="D869" t="str">
        <f>"0012-2033"</f>
        <v>0012-2033</v>
      </c>
      <c r="E869" t="s">
        <v>8</v>
      </c>
      <c r="F869" t="s">
        <v>879</v>
      </c>
      <c r="G869">
        <v>1</v>
      </c>
    </row>
    <row r="870" spans="1:7" x14ac:dyDescent="0.25">
      <c r="A870">
        <v>12</v>
      </c>
      <c r="B870" t="s">
        <v>727</v>
      </c>
      <c r="C870">
        <v>25440</v>
      </c>
      <c r="D870" t="str">
        <f>"0043-2547"</f>
        <v>0043-2547</v>
      </c>
      <c r="E870" t="s">
        <v>8</v>
      </c>
      <c r="F870" t="s">
        <v>880</v>
      </c>
      <c r="G870">
        <v>1</v>
      </c>
    </row>
    <row r="871" spans="1:7" x14ac:dyDescent="0.25">
      <c r="A871">
        <v>12</v>
      </c>
      <c r="B871" t="s">
        <v>727</v>
      </c>
      <c r="C871">
        <v>3773</v>
      </c>
      <c r="D871" t="str">
        <f>"1501-9934"</f>
        <v>1501-9934</v>
      </c>
      <c r="E871" t="s">
        <v>8</v>
      </c>
      <c r="F871" t="s">
        <v>881</v>
      </c>
      <c r="G871">
        <v>1</v>
      </c>
    </row>
    <row r="872" spans="1:7" x14ac:dyDescent="0.25">
      <c r="A872">
        <v>12</v>
      </c>
      <c r="B872" t="s">
        <v>727</v>
      </c>
      <c r="C872">
        <v>7705291</v>
      </c>
      <c r="D872" t="str">
        <f>"1878-8106"</f>
        <v>1878-8106</v>
      </c>
      <c r="E872" t="s">
        <v>15</v>
      </c>
      <c r="F872" t="s">
        <v>882</v>
      </c>
      <c r="G872">
        <v>1</v>
      </c>
    </row>
    <row r="873" spans="1:7" x14ac:dyDescent="0.25">
      <c r="A873">
        <v>12</v>
      </c>
      <c r="B873" t="s">
        <v>727</v>
      </c>
      <c r="C873">
        <v>7700546</v>
      </c>
      <c r="D873" t="str">
        <f>"1868-7032"</f>
        <v>1868-7032</v>
      </c>
      <c r="E873" t="s">
        <v>8</v>
      </c>
      <c r="F873" t="s">
        <v>883</v>
      </c>
      <c r="G873">
        <v>1</v>
      </c>
    </row>
    <row r="874" spans="1:7" x14ac:dyDescent="0.25">
      <c r="A874">
        <v>12</v>
      </c>
      <c r="B874" t="s">
        <v>727</v>
      </c>
      <c r="C874">
        <v>7700208</v>
      </c>
      <c r="D874" t="str">
        <f>"1878-4887"</f>
        <v>1878-4887</v>
      </c>
      <c r="E874" t="s">
        <v>15</v>
      </c>
      <c r="F874" t="s">
        <v>884</v>
      </c>
      <c r="G874">
        <v>1</v>
      </c>
    </row>
    <row r="875" spans="1:7" x14ac:dyDescent="0.25">
      <c r="A875">
        <v>12</v>
      </c>
      <c r="B875" t="s">
        <v>727</v>
      </c>
      <c r="C875">
        <v>6094640</v>
      </c>
      <c r="D875" t="str">
        <f>"1569-3597"</f>
        <v>1569-3597</v>
      </c>
      <c r="E875" t="s">
        <v>15</v>
      </c>
      <c r="F875" t="s">
        <v>885</v>
      </c>
      <c r="G875">
        <v>1</v>
      </c>
    </row>
    <row r="876" spans="1:7" x14ac:dyDescent="0.25">
      <c r="A876">
        <v>12</v>
      </c>
      <c r="B876" t="s">
        <v>727</v>
      </c>
      <c r="C876">
        <v>8357</v>
      </c>
      <c r="D876" t="str">
        <f>"0012-8708"</f>
        <v>0012-8708</v>
      </c>
      <c r="E876" t="s">
        <v>8</v>
      </c>
      <c r="F876" t="s">
        <v>886</v>
      </c>
      <c r="G876">
        <v>1</v>
      </c>
    </row>
    <row r="877" spans="1:7" x14ac:dyDescent="0.25">
      <c r="A877">
        <v>12</v>
      </c>
      <c r="B877" t="s">
        <v>727</v>
      </c>
      <c r="C877">
        <v>5909</v>
      </c>
      <c r="E877" t="s">
        <v>8</v>
      </c>
      <c r="F877" t="s">
        <v>887</v>
      </c>
      <c r="G877">
        <v>1</v>
      </c>
    </row>
    <row r="878" spans="1:7" x14ac:dyDescent="0.25">
      <c r="A878">
        <v>12</v>
      </c>
      <c r="B878" t="s">
        <v>727</v>
      </c>
      <c r="C878">
        <v>7698746</v>
      </c>
      <c r="D878" t="str">
        <f>"1877-881X"</f>
        <v>1877-881X</v>
      </c>
      <c r="E878" t="s">
        <v>15</v>
      </c>
      <c r="F878" t="s">
        <v>888</v>
      </c>
      <c r="G878">
        <v>1</v>
      </c>
    </row>
    <row r="879" spans="1:7" x14ac:dyDescent="0.25">
      <c r="A879">
        <v>12</v>
      </c>
      <c r="B879" t="s">
        <v>727</v>
      </c>
      <c r="C879">
        <v>10736</v>
      </c>
      <c r="D879" t="str">
        <f>"1389-1189"</f>
        <v>1389-1189</v>
      </c>
      <c r="E879" t="s">
        <v>15</v>
      </c>
      <c r="F879" t="s">
        <v>889</v>
      </c>
      <c r="G879">
        <v>1</v>
      </c>
    </row>
    <row r="880" spans="1:7" x14ac:dyDescent="0.25">
      <c r="A880">
        <v>12</v>
      </c>
      <c r="B880" t="s">
        <v>727</v>
      </c>
      <c r="C880">
        <v>8783486</v>
      </c>
      <c r="E880" t="s">
        <v>15</v>
      </c>
      <c r="F880" t="s">
        <v>890</v>
      </c>
      <c r="G880">
        <v>1</v>
      </c>
    </row>
    <row r="881" spans="1:7" x14ac:dyDescent="0.25">
      <c r="A881">
        <v>12</v>
      </c>
      <c r="B881" t="s">
        <v>727</v>
      </c>
      <c r="C881">
        <v>18500</v>
      </c>
      <c r="D881" t="str">
        <f>"0013-9513"</f>
        <v>0013-9513</v>
      </c>
      <c r="E881" t="s">
        <v>8</v>
      </c>
      <c r="F881" t="s">
        <v>891</v>
      </c>
      <c r="G881">
        <v>1</v>
      </c>
    </row>
    <row r="882" spans="1:7" x14ac:dyDescent="0.25">
      <c r="A882">
        <v>12</v>
      </c>
      <c r="B882" t="s">
        <v>727</v>
      </c>
      <c r="C882">
        <v>4821</v>
      </c>
      <c r="D882" t="str">
        <f>"0014-2239"</f>
        <v>0014-2239</v>
      </c>
      <c r="E882" t="s">
        <v>8</v>
      </c>
      <c r="F882" t="s">
        <v>892</v>
      </c>
      <c r="G882">
        <v>1</v>
      </c>
    </row>
    <row r="883" spans="1:7" x14ac:dyDescent="0.25">
      <c r="A883">
        <v>12</v>
      </c>
      <c r="B883" t="s">
        <v>727</v>
      </c>
      <c r="C883">
        <v>22145</v>
      </c>
      <c r="D883" t="str">
        <f>"0014-3006"</f>
        <v>0014-3006</v>
      </c>
      <c r="E883" t="s">
        <v>8</v>
      </c>
      <c r="F883" t="s">
        <v>893</v>
      </c>
      <c r="G883">
        <v>1</v>
      </c>
    </row>
    <row r="884" spans="1:7" x14ac:dyDescent="0.25">
      <c r="A884">
        <v>12</v>
      </c>
      <c r="B884" t="s">
        <v>727</v>
      </c>
      <c r="C884">
        <v>7503</v>
      </c>
      <c r="D884" t="str">
        <f>"0014-3502"</f>
        <v>0014-3502</v>
      </c>
      <c r="E884" t="s">
        <v>8</v>
      </c>
      <c r="F884" t="s">
        <v>894</v>
      </c>
      <c r="G884">
        <v>1</v>
      </c>
    </row>
    <row r="885" spans="1:7" x14ac:dyDescent="0.25">
      <c r="A885">
        <v>12</v>
      </c>
      <c r="B885" t="s">
        <v>727</v>
      </c>
      <c r="C885">
        <v>14645</v>
      </c>
      <c r="D885" t="str">
        <f>"0166-2740"</f>
        <v>0166-2740</v>
      </c>
      <c r="E885" t="s">
        <v>8</v>
      </c>
      <c r="F885" t="s">
        <v>895</v>
      </c>
      <c r="G885">
        <v>1</v>
      </c>
    </row>
    <row r="886" spans="1:7" x14ac:dyDescent="0.25">
      <c r="A886">
        <v>12</v>
      </c>
      <c r="B886" t="s">
        <v>727</v>
      </c>
      <c r="C886">
        <v>9502</v>
      </c>
      <c r="D886" t="str">
        <f>"1743-0615"</f>
        <v>1743-0615</v>
      </c>
      <c r="E886" t="s">
        <v>8</v>
      </c>
      <c r="F886" t="s">
        <v>896</v>
      </c>
      <c r="G886">
        <v>1</v>
      </c>
    </row>
    <row r="887" spans="1:7" x14ac:dyDescent="0.25">
      <c r="A887">
        <v>12</v>
      </c>
      <c r="B887" t="s">
        <v>727</v>
      </c>
      <c r="C887">
        <v>123033</v>
      </c>
      <c r="D887" t="str">
        <f>"0940-4155"</f>
        <v>0940-4155</v>
      </c>
      <c r="E887" t="s">
        <v>15</v>
      </c>
      <c r="F887" t="s">
        <v>897</v>
      </c>
      <c r="G887">
        <v>1</v>
      </c>
    </row>
    <row r="888" spans="1:7" x14ac:dyDescent="0.25">
      <c r="A888">
        <v>12</v>
      </c>
      <c r="B888" t="s">
        <v>727</v>
      </c>
      <c r="C888">
        <v>152906</v>
      </c>
      <c r="D888" t="str">
        <f>"2198-1183"</f>
        <v>2198-1183</v>
      </c>
      <c r="E888" t="s">
        <v>15</v>
      </c>
      <c r="F888" t="s">
        <v>898</v>
      </c>
      <c r="G888">
        <v>1</v>
      </c>
    </row>
    <row r="889" spans="1:7" x14ac:dyDescent="0.25">
      <c r="A889">
        <v>12</v>
      </c>
      <c r="B889" t="s">
        <v>727</v>
      </c>
      <c r="C889">
        <v>100345</v>
      </c>
      <c r="D889" t="str">
        <f>"0903-854X"</f>
        <v>0903-854X</v>
      </c>
      <c r="E889" t="s">
        <v>15</v>
      </c>
      <c r="F889" t="s">
        <v>899</v>
      </c>
      <c r="G889">
        <v>1</v>
      </c>
    </row>
    <row r="890" spans="1:7" x14ac:dyDescent="0.25">
      <c r="A890">
        <v>12</v>
      </c>
      <c r="B890" t="s">
        <v>727</v>
      </c>
      <c r="C890">
        <v>22711</v>
      </c>
      <c r="D890" t="str">
        <f>"0016-0725"</f>
        <v>0016-0725</v>
      </c>
      <c r="E890" t="s">
        <v>8</v>
      </c>
      <c r="F890" t="s">
        <v>900</v>
      </c>
      <c r="G890">
        <v>1</v>
      </c>
    </row>
    <row r="891" spans="1:7" x14ac:dyDescent="0.25">
      <c r="A891">
        <v>12</v>
      </c>
      <c r="B891" t="s">
        <v>727</v>
      </c>
      <c r="C891">
        <v>6126919</v>
      </c>
      <c r="D891" t="str">
        <f>"1570-1972"</f>
        <v>1570-1972</v>
      </c>
      <c r="E891" t="s">
        <v>15</v>
      </c>
      <c r="F891" t="s">
        <v>901</v>
      </c>
      <c r="G891">
        <v>1</v>
      </c>
    </row>
    <row r="892" spans="1:7" x14ac:dyDescent="0.25">
      <c r="A892">
        <v>12</v>
      </c>
      <c r="B892" t="s">
        <v>727</v>
      </c>
      <c r="C892">
        <v>75392</v>
      </c>
      <c r="D892" t="str">
        <f>"0107-4164"</f>
        <v>0107-4164</v>
      </c>
      <c r="E892" t="s">
        <v>15</v>
      </c>
      <c r="F892" t="s">
        <v>902</v>
      </c>
      <c r="G892">
        <v>1</v>
      </c>
    </row>
    <row r="893" spans="1:7" x14ac:dyDescent="0.25">
      <c r="A893">
        <v>12</v>
      </c>
      <c r="B893" t="s">
        <v>727</v>
      </c>
      <c r="C893">
        <v>22440</v>
      </c>
      <c r="D893" t="str">
        <f>"0146-4094"</f>
        <v>0146-4094</v>
      </c>
      <c r="E893" t="s">
        <v>8</v>
      </c>
      <c r="F893" t="s">
        <v>903</v>
      </c>
      <c r="G893">
        <v>1</v>
      </c>
    </row>
    <row r="894" spans="1:7" x14ac:dyDescent="0.25">
      <c r="A894">
        <v>12</v>
      </c>
      <c r="B894" t="s">
        <v>727</v>
      </c>
      <c r="C894">
        <v>15609</v>
      </c>
      <c r="D894" t="str">
        <f>"0360-9049"</f>
        <v>0360-9049</v>
      </c>
      <c r="E894" t="s">
        <v>8</v>
      </c>
      <c r="F894" t="s">
        <v>904</v>
      </c>
      <c r="G894">
        <v>1</v>
      </c>
    </row>
    <row r="895" spans="1:7" x14ac:dyDescent="0.25">
      <c r="A895">
        <v>12</v>
      </c>
      <c r="B895" t="s">
        <v>727</v>
      </c>
      <c r="C895">
        <v>9440</v>
      </c>
      <c r="D895" t="str">
        <f>"0393-6805"</f>
        <v>0393-6805</v>
      </c>
      <c r="E895" t="s">
        <v>8</v>
      </c>
      <c r="F895" t="s">
        <v>905</v>
      </c>
      <c r="G895">
        <v>1</v>
      </c>
    </row>
    <row r="896" spans="1:7" x14ac:dyDescent="0.25">
      <c r="A896">
        <v>12</v>
      </c>
      <c r="B896" t="s">
        <v>727</v>
      </c>
      <c r="C896">
        <v>2726</v>
      </c>
      <c r="D896" t="str">
        <f>"0018-215X"</f>
        <v>0018-215X</v>
      </c>
      <c r="E896" t="s">
        <v>8</v>
      </c>
      <c r="F896" t="s">
        <v>906</v>
      </c>
      <c r="G896">
        <v>1</v>
      </c>
    </row>
    <row r="897" spans="1:7" x14ac:dyDescent="0.25">
      <c r="A897">
        <v>12</v>
      </c>
      <c r="B897" t="s">
        <v>727</v>
      </c>
      <c r="C897">
        <v>11287</v>
      </c>
      <c r="D897" t="str">
        <f>"1874-3935"</f>
        <v>1874-3935</v>
      </c>
      <c r="E897" t="s">
        <v>15</v>
      </c>
      <c r="F897" t="s">
        <v>907</v>
      </c>
      <c r="G897">
        <v>1</v>
      </c>
    </row>
    <row r="898" spans="1:7" x14ac:dyDescent="0.25">
      <c r="A898">
        <v>12</v>
      </c>
      <c r="B898" t="s">
        <v>727</v>
      </c>
      <c r="C898">
        <v>10762</v>
      </c>
      <c r="D898" t="str">
        <f>"0360-9669"</f>
        <v>0360-9669</v>
      </c>
      <c r="E898" t="s">
        <v>8</v>
      </c>
      <c r="F898" t="s">
        <v>908</v>
      </c>
      <c r="G898">
        <v>1</v>
      </c>
    </row>
    <row r="899" spans="1:7" x14ac:dyDescent="0.25">
      <c r="A899">
        <v>12</v>
      </c>
      <c r="B899" t="s">
        <v>727</v>
      </c>
      <c r="C899">
        <v>5846</v>
      </c>
      <c r="D899" t="str">
        <f>"0195-9085"</f>
        <v>0195-9085</v>
      </c>
      <c r="E899" t="s">
        <v>8</v>
      </c>
      <c r="F899" t="s">
        <v>909</v>
      </c>
      <c r="G899">
        <v>1</v>
      </c>
    </row>
    <row r="900" spans="1:7" x14ac:dyDescent="0.25">
      <c r="A900">
        <v>12</v>
      </c>
      <c r="B900" t="s">
        <v>727</v>
      </c>
      <c r="C900">
        <v>8783487</v>
      </c>
      <c r="E900" t="s">
        <v>15</v>
      </c>
      <c r="F900" t="s">
        <v>910</v>
      </c>
      <c r="G900">
        <v>1</v>
      </c>
    </row>
    <row r="901" spans="1:7" x14ac:dyDescent="0.25">
      <c r="A901">
        <v>12</v>
      </c>
      <c r="B901" t="s">
        <v>727</v>
      </c>
      <c r="C901">
        <v>152611</v>
      </c>
      <c r="D901" t="str">
        <f>"2452-3704"</f>
        <v>2452-3704</v>
      </c>
      <c r="E901" t="s">
        <v>15</v>
      </c>
      <c r="F901" t="s">
        <v>911</v>
      </c>
      <c r="G901">
        <v>1</v>
      </c>
    </row>
    <row r="902" spans="1:7" x14ac:dyDescent="0.25">
      <c r="A902">
        <v>12</v>
      </c>
      <c r="B902" t="s">
        <v>727</v>
      </c>
      <c r="C902">
        <v>91859</v>
      </c>
      <c r="D902" t="str">
        <f>"0169-8184"</f>
        <v>0169-8184</v>
      </c>
      <c r="E902" t="s">
        <v>15</v>
      </c>
      <c r="F902" t="s">
        <v>912</v>
      </c>
      <c r="G902">
        <v>1</v>
      </c>
    </row>
    <row r="903" spans="1:7" x14ac:dyDescent="0.25">
      <c r="A903">
        <v>12</v>
      </c>
      <c r="B903" t="s">
        <v>727</v>
      </c>
      <c r="C903">
        <v>43708</v>
      </c>
      <c r="D903" t="str">
        <f>"0169-9970"</f>
        <v>0169-9970</v>
      </c>
      <c r="E903" t="s">
        <v>15</v>
      </c>
      <c r="F903" t="s">
        <v>913</v>
      </c>
      <c r="G903">
        <v>1</v>
      </c>
    </row>
    <row r="904" spans="1:7" x14ac:dyDescent="0.25">
      <c r="A904">
        <v>12</v>
      </c>
      <c r="B904" t="s">
        <v>727</v>
      </c>
      <c r="C904">
        <v>117753</v>
      </c>
      <c r="D904" t="str">
        <f>"0169-9725"</f>
        <v>0169-9725</v>
      </c>
      <c r="E904" t="s">
        <v>15</v>
      </c>
      <c r="F904" t="s">
        <v>914</v>
      </c>
      <c r="G904">
        <v>1</v>
      </c>
    </row>
    <row r="905" spans="1:7" x14ac:dyDescent="0.25">
      <c r="A905">
        <v>12</v>
      </c>
      <c r="B905" t="s">
        <v>727</v>
      </c>
      <c r="C905">
        <v>148819</v>
      </c>
      <c r="D905" t="str">
        <f>"0169-8133"</f>
        <v>0169-8133</v>
      </c>
      <c r="E905" t="s">
        <v>15</v>
      </c>
      <c r="F905" t="s">
        <v>915</v>
      </c>
      <c r="G905">
        <v>1</v>
      </c>
    </row>
    <row r="906" spans="1:7" x14ac:dyDescent="0.25">
      <c r="A906">
        <v>12</v>
      </c>
      <c r="B906" t="s">
        <v>727</v>
      </c>
      <c r="C906">
        <v>121125</v>
      </c>
      <c r="D906" t="str">
        <f>"0169-9873"</f>
        <v>0169-9873</v>
      </c>
      <c r="E906" t="s">
        <v>15</v>
      </c>
      <c r="F906" t="s">
        <v>916</v>
      </c>
      <c r="G906">
        <v>1</v>
      </c>
    </row>
    <row r="907" spans="1:7" x14ac:dyDescent="0.25">
      <c r="A907">
        <v>12</v>
      </c>
      <c r="B907" t="s">
        <v>727</v>
      </c>
      <c r="C907">
        <v>144582</v>
      </c>
      <c r="D907" t="str">
        <f>"0169-8036"</f>
        <v>0169-8036</v>
      </c>
      <c r="E907" t="s">
        <v>15</v>
      </c>
      <c r="F907" t="s">
        <v>917</v>
      </c>
      <c r="G907">
        <v>1</v>
      </c>
    </row>
    <row r="908" spans="1:7" x14ac:dyDescent="0.25">
      <c r="A908">
        <v>12</v>
      </c>
      <c r="B908" t="s">
        <v>727</v>
      </c>
      <c r="C908">
        <v>153097</v>
      </c>
      <c r="D908" t="str">
        <f>"2452-3747"</f>
        <v>2452-3747</v>
      </c>
      <c r="E908" t="s">
        <v>15</v>
      </c>
      <c r="F908" t="s">
        <v>918</v>
      </c>
      <c r="G908">
        <v>1</v>
      </c>
    </row>
    <row r="909" spans="1:7" x14ac:dyDescent="0.25">
      <c r="A909">
        <v>12</v>
      </c>
      <c r="B909" t="s">
        <v>727</v>
      </c>
      <c r="C909">
        <v>60251</v>
      </c>
      <c r="D909" t="str">
        <f>"0169-8389"</f>
        <v>0169-8389</v>
      </c>
      <c r="E909" t="s">
        <v>15</v>
      </c>
      <c r="F909" t="s">
        <v>919</v>
      </c>
      <c r="G909">
        <v>1</v>
      </c>
    </row>
    <row r="910" spans="1:7" x14ac:dyDescent="0.25">
      <c r="A910">
        <v>12</v>
      </c>
      <c r="B910" t="s">
        <v>727</v>
      </c>
      <c r="C910">
        <v>103452</v>
      </c>
      <c r="D910" t="str">
        <f>"0169-8281"</f>
        <v>0169-8281</v>
      </c>
      <c r="E910" t="s">
        <v>15</v>
      </c>
      <c r="F910" t="s">
        <v>920</v>
      </c>
      <c r="G910">
        <v>1</v>
      </c>
    </row>
    <row r="911" spans="1:7" x14ac:dyDescent="0.25">
      <c r="A911">
        <v>12</v>
      </c>
      <c r="B911" t="s">
        <v>727</v>
      </c>
      <c r="C911">
        <v>46797</v>
      </c>
      <c r="D911" t="str">
        <f>"0169-992X"</f>
        <v>0169-992X</v>
      </c>
      <c r="E911" t="s">
        <v>15</v>
      </c>
      <c r="F911" t="s">
        <v>921</v>
      </c>
      <c r="G911">
        <v>1</v>
      </c>
    </row>
    <row r="912" spans="1:7" x14ac:dyDescent="0.25">
      <c r="A912">
        <v>12</v>
      </c>
      <c r="B912" t="s">
        <v>727</v>
      </c>
      <c r="C912">
        <v>79647</v>
      </c>
      <c r="D912" t="str">
        <f>"0169-8230"</f>
        <v>0169-8230</v>
      </c>
      <c r="E912" t="s">
        <v>15</v>
      </c>
      <c r="F912" t="s">
        <v>922</v>
      </c>
      <c r="G912">
        <v>1</v>
      </c>
    </row>
    <row r="913" spans="1:7" x14ac:dyDescent="0.25">
      <c r="A913">
        <v>12</v>
      </c>
      <c r="B913" t="s">
        <v>727</v>
      </c>
      <c r="C913">
        <v>61900</v>
      </c>
      <c r="D913" t="str">
        <f>"0169-9628"</f>
        <v>0169-9628</v>
      </c>
      <c r="E913" t="s">
        <v>15</v>
      </c>
      <c r="F913" t="s">
        <v>923</v>
      </c>
      <c r="G913">
        <v>1</v>
      </c>
    </row>
    <row r="914" spans="1:7" x14ac:dyDescent="0.25">
      <c r="A914">
        <v>12</v>
      </c>
      <c r="B914" t="s">
        <v>727</v>
      </c>
      <c r="C914">
        <v>61773</v>
      </c>
      <c r="D914" t="str">
        <f>"0921-0334"</f>
        <v>0921-0334</v>
      </c>
      <c r="E914" t="s">
        <v>15</v>
      </c>
      <c r="F914" t="s">
        <v>924</v>
      </c>
      <c r="G914">
        <v>1</v>
      </c>
    </row>
    <row r="915" spans="1:7" x14ac:dyDescent="0.25">
      <c r="A915">
        <v>12</v>
      </c>
      <c r="B915" t="s">
        <v>727</v>
      </c>
      <c r="C915">
        <v>153098</v>
      </c>
      <c r="D915" t="str">
        <f>"2452-3763"</f>
        <v>2452-3763</v>
      </c>
      <c r="E915" t="s">
        <v>15</v>
      </c>
      <c r="F915" t="s">
        <v>925</v>
      </c>
      <c r="G915">
        <v>1</v>
      </c>
    </row>
    <row r="916" spans="1:7" x14ac:dyDescent="0.25">
      <c r="A916">
        <v>12</v>
      </c>
      <c r="B916" t="s">
        <v>727</v>
      </c>
      <c r="C916">
        <v>3819</v>
      </c>
      <c r="D916" t="str">
        <f>"1570-1581"</f>
        <v>1570-1581</v>
      </c>
      <c r="E916" t="s">
        <v>15</v>
      </c>
      <c r="F916" t="s">
        <v>926</v>
      </c>
      <c r="G916">
        <v>1</v>
      </c>
    </row>
    <row r="917" spans="1:7" x14ac:dyDescent="0.25">
      <c r="A917">
        <v>12</v>
      </c>
      <c r="B917" t="s">
        <v>727</v>
      </c>
      <c r="C917">
        <v>14197</v>
      </c>
      <c r="D917" t="str">
        <f>"0942-4822"</f>
        <v>0942-4822</v>
      </c>
      <c r="E917" t="s">
        <v>8</v>
      </c>
      <c r="F917" t="s">
        <v>927</v>
      </c>
      <c r="G917">
        <v>1</v>
      </c>
    </row>
    <row r="918" spans="1:7" x14ac:dyDescent="0.25">
      <c r="A918">
        <v>12</v>
      </c>
      <c r="B918" t="s">
        <v>727</v>
      </c>
      <c r="C918">
        <v>8774579</v>
      </c>
      <c r="D918" t="str">
        <f>" 2365-3140"</f>
        <v xml:space="preserve"> 2365-3140</v>
      </c>
      <c r="E918" t="s">
        <v>8</v>
      </c>
      <c r="F918" t="s">
        <v>928</v>
      </c>
      <c r="G918">
        <v>1</v>
      </c>
    </row>
    <row r="919" spans="1:7" x14ac:dyDescent="0.25">
      <c r="A919">
        <v>12</v>
      </c>
      <c r="B919" t="s">
        <v>727</v>
      </c>
      <c r="C919">
        <v>2380</v>
      </c>
      <c r="D919" t="str">
        <f>"0272-6122"</f>
        <v>0272-6122</v>
      </c>
      <c r="E919" t="s">
        <v>8</v>
      </c>
      <c r="F919" t="s">
        <v>929</v>
      </c>
      <c r="G919">
        <v>1</v>
      </c>
    </row>
    <row r="920" spans="1:7" x14ac:dyDescent="0.25">
      <c r="A920">
        <v>12</v>
      </c>
      <c r="B920" t="s">
        <v>727</v>
      </c>
      <c r="C920">
        <v>13588</v>
      </c>
      <c r="D920" t="str">
        <f>"0020-7047"</f>
        <v>0020-7047</v>
      </c>
      <c r="E920" t="s">
        <v>8</v>
      </c>
      <c r="F920" t="s">
        <v>930</v>
      </c>
      <c r="G920">
        <v>1</v>
      </c>
    </row>
    <row r="921" spans="1:7" x14ac:dyDescent="0.25">
      <c r="A921">
        <v>12</v>
      </c>
      <c r="B921" t="s">
        <v>727</v>
      </c>
      <c r="C921">
        <v>160014</v>
      </c>
      <c r="D921" t="str">
        <f>"2041-9511"</f>
        <v>2041-9511</v>
      </c>
      <c r="E921" t="s">
        <v>8</v>
      </c>
      <c r="F921" t="s">
        <v>931</v>
      </c>
      <c r="G921">
        <v>1</v>
      </c>
    </row>
    <row r="922" spans="1:7" x14ac:dyDescent="0.25">
      <c r="A922">
        <v>12</v>
      </c>
      <c r="B922" t="s">
        <v>727</v>
      </c>
      <c r="C922">
        <v>16229</v>
      </c>
      <c r="D922" t="str">
        <f>"1474-225X"</f>
        <v>1474-225X</v>
      </c>
      <c r="E922" t="s">
        <v>8</v>
      </c>
      <c r="F922" t="s">
        <v>932</v>
      </c>
      <c r="G922">
        <v>1</v>
      </c>
    </row>
    <row r="923" spans="1:7" x14ac:dyDescent="0.25">
      <c r="A923">
        <v>12</v>
      </c>
      <c r="B923" t="s">
        <v>727</v>
      </c>
      <c r="C923">
        <v>19943</v>
      </c>
      <c r="D923" t="str">
        <f>"1022-4556"</f>
        <v>1022-4556</v>
      </c>
      <c r="E923" t="s">
        <v>8</v>
      </c>
      <c r="F923" t="s">
        <v>933</v>
      </c>
      <c r="G923">
        <v>1</v>
      </c>
    </row>
    <row r="924" spans="1:7" x14ac:dyDescent="0.25">
      <c r="A924">
        <v>12</v>
      </c>
      <c r="B924" t="s">
        <v>727</v>
      </c>
      <c r="C924">
        <v>24438</v>
      </c>
      <c r="D924" t="str">
        <f>"1430-6921"</f>
        <v>1430-6921</v>
      </c>
      <c r="E924" t="s">
        <v>8</v>
      </c>
      <c r="F924" t="s">
        <v>934</v>
      </c>
      <c r="G924">
        <v>1</v>
      </c>
    </row>
    <row r="925" spans="1:7" x14ac:dyDescent="0.25">
      <c r="A925">
        <v>12</v>
      </c>
      <c r="B925" t="s">
        <v>727</v>
      </c>
      <c r="C925">
        <v>3530</v>
      </c>
      <c r="D925" t="str">
        <f>"1872-5171"</f>
        <v>1872-5171</v>
      </c>
      <c r="E925" t="s">
        <v>8</v>
      </c>
      <c r="F925" t="s">
        <v>935</v>
      </c>
      <c r="G925">
        <v>1</v>
      </c>
    </row>
    <row r="926" spans="1:7" x14ac:dyDescent="0.25">
      <c r="A926">
        <v>12</v>
      </c>
      <c r="B926" t="s">
        <v>727</v>
      </c>
      <c r="C926">
        <v>10280</v>
      </c>
      <c r="D926" t="str">
        <f>"0020-8582"</f>
        <v>0020-8582</v>
      </c>
      <c r="E926" t="s">
        <v>8</v>
      </c>
      <c r="F926" t="s">
        <v>936</v>
      </c>
      <c r="G926">
        <v>1</v>
      </c>
    </row>
    <row r="927" spans="1:7" x14ac:dyDescent="0.25">
      <c r="A927">
        <v>12</v>
      </c>
      <c r="B927" t="s">
        <v>727</v>
      </c>
      <c r="C927">
        <v>150678</v>
      </c>
      <c r="D927" t="str">
        <f>"1573-4293"</f>
        <v>1573-4293</v>
      </c>
      <c r="E927" t="s">
        <v>15</v>
      </c>
      <c r="F927" t="s">
        <v>937</v>
      </c>
      <c r="G927">
        <v>1</v>
      </c>
    </row>
    <row r="928" spans="1:7" x14ac:dyDescent="0.25">
      <c r="A928">
        <v>12</v>
      </c>
      <c r="B928" t="s">
        <v>727</v>
      </c>
      <c r="C928">
        <v>3224</v>
      </c>
      <c r="D928" t="str">
        <f>"0959-6410"</f>
        <v>0959-6410</v>
      </c>
      <c r="E928" t="s">
        <v>8</v>
      </c>
      <c r="F928" t="s">
        <v>938</v>
      </c>
      <c r="G928">
        <v>1</v>
      </c>
    </row>
    <row r="929" spans="1:7" x14ac:dyDescent="0.25">
      <c r="A929">
        <v>12</v>
      </c>
      <c r="B929" t="s">
        <v>727</v>
      </c>
      <c r="C929">
        <v>7700230</v>
      </c>
      <c r="D929" t="str">
        <f>"1877-9964"</f>
        <v>1877-9964</v>
      </c>
      <c r="E929" t="s">
        <v>15</v>
      </c>
      <c r="F929" t="s">
        <v>939</v>
      </c>
      <c r="G929">
        <v>1</v>
      </c>
    </row>
    <row r="930" spans="1:7" x14ac:dyDescent="0.25">
      <c r="A930">
        <v>12</v>
      </c>
      <c r="B930" t="s">
        <v>727</v>
      </c>
      <c r="C930">
        <v>14081</v>
      </c>
      <c r="D930" t="str">
        <f>"0448-8954"</f>
        <v>0448-8954</v>
      </c>
      <c r="E930" t="s">
        <v>8</v>
      </c>
      <c r="F930" t="s">
        <v>940</v>
      </c>
      <c r="G930">
        <v>1</v>
      </c>
    </row>
    <row r="931" spans="1:7" x14ac:dyDescent="0.25">
      <c r="A931">
        <v>12</v>
      </c>
      <c r="B931" t="s">
        <v>727</v>
      </c>
      <c r="C931">
        <v>160012</v>
      </c>
      <c r="D931" t="str">
        <f>"1750-3191"</f>
        <v>1750-3191</v>
      </c>
      <c r="E931" t="s">
        <v>8</v>
      </c>
      <c r="F931" t="s">
        <v>941</v>
      </c>
      <c r="G931">
        <v>1</v>
      </c>
    </row>
    <row r="932" spans="1:7" x14ac:dyDescent="0.25">
      <c r="A932">
        <v>12</v>
      </c>
      <c r="B932" t="s">
        <v>727</v>
      </c>
      <c r="C932">
        <v>9003</v>
      </c>
      <c r="D932" t="str">
        <f>"0334-4118"</f>
        <v>0334-4118</v>
      </c>
      <c r="E932" t="s">
        <v>15</v>
      </c>
      <c r="F932" t="s">
        <v>942</v>
      </c>
      <c r="G932">
        <v>1</v>
      </c>
    </row>
    <row r="933" spans="1:7" x14ac:dyDescent="0.25">
      <c r="A933">
        <v>12</v>
      </c>
      <c r="B933" t="s">
        <v>727</v>
      </c>
      <c r="C933">
        <v>7225</v>
      </c>
      <c r="D933" t="str">
        <f>"0021-6704"</f>
        <v>0021-6704</v>
      </c>
      <c r="E933" t="s">
        <v>8</v>
      </c>
      <c r="F933" t="s">
        <v>943</v>
      </c>
      <c r="G933">
        <v>1</v>
      </c>
    </row>
    <row r="934" spans="1:7" x14ac:dyDescent="0.25">
      <c r="A934">
        <v>12</v>
      </c>
      <c r="B934" t="s">
        <v>727</v>
      </c>
      <c r="C934">
        <v>27808</v>
      </c>
      <c r="D934" t="str">
        <f>"0947-6091"</f>
        <v>0947-6091</v>
      </c>
      <c r="E934" t="s">
        <v>8</v>
      </c>
      <c r="F934" t="s">
        <v>944</v>
      </c>
      <c r="G934">
        <v>1</v>
      </c>
    </row>
    <row r="935" spans="1:7" x14ac:dyDescent="0.25">
      <c r="A935">
        <v>12</v>
      </c>
      <c r="B935" t="s">
        <v>727</v>
      </c>
      <c r="C935">
        <v>12602</v>
      </c>
      <c r="E935" t="s">
        <v>8</v>
      </c>
      <c r="F935" t="s">
        <v>945</v>
      </c>
      <c r="G935">
        <v>1</v>
      </c>
    </row>
    <row r="936" spans="1:7" x14ac:dyDescent="0.25">
      <c r="A936">
        <v>12</v>
      </c>
      <c r="B936" t="s">
        <v>727</v>
      </c>
      <c r="C936">
        <v>1882</v>
      </c>
      <c r="D936" t="str">
        <f>"2047-704X"</f>
        <v>2047-704X</v>
      </c>
      <c r="E936" t="s">
        <v>8</v>
      </c>
      <c r="F936" t="s">
        <v>946</v>
      </c>
      <c r="G936">
        <v>1</v>
      </c>
    </row>
    <row r="937" spans="1:7" x14ac:dyDescent="0.25">
      <c r="A937">
        <v>12</v>
      </c>
      <c r="B937" t="s">
        <v>727</v>
      </c>
      <c r="C937">
        <v>27699</v>
      </c>
      <c r="D937" t="str">
        <f>"1011-7601"</f>
        <v>1011-7601</v>
      </c>
      <c r="E937" t="s">
        <v>8</v>
      </c>
      <c r="F937" t="s">
        <v>947</v>
      </c>
      <c r="G937">
        <v>1</v>
      </c>
    </row>
    <row r="938" spans="1:7" x14ac:dyDescent="0.25">
      <c r="A938">
        <v>12</v>
      </c>
      <c r="B938" t="s">
        <v>727</v>
      </c>
      <c r="C938">
        <v>951</v>
      </c>
      <c r="D938" t="str">
        <f>"1749-4907"</f>
        <v>1749-4907</v>
      </c>
      <c r="E938" t="s">
        <v>8</v>
      </c>
      <c r="F938" t="s">
        <v>948</v>
      </c>
      <c r="G938">
        <v>1</v>
      </c>
    </row>
    <row r="939" spans="1:7" x14ac:dyDescent="0.25">
      <c r="A939">
        <v>12</v>
      </c>
      <c r="B939" t="s">
        <v>727</v>
      </c>
      <c r="C939">
        <v>10971</v>
      </c>
      <c r="D939" t="str">
        <f>"1583-0039"</f>
        <v>1583-0039</v>
      </c>
      <c r="E939" t="s">
        <v>8</v>
      </c>
      <c r="F939" t="s">
        <v>949</v>
      </c>
      <c r="G939">
        <v>1</v>
      </c>
    </row>
    <row r="940" spans="1:7" x14ac:dyDescent="0.25">
      <c r="A940">
        <v>12</v>
      </c>
      <c r="B940" t="s">
        <v>727</v>
      </c>
      <c r="C940">
        <v>12646</v>
      </c>
      <c r="D940" t="str">
        <f>"0951-8207"</f>
        <v>0951-8207</v>
      </c>
      <c r="E940" t="s">
        <v>8</v>
      </c>
      <c r="F940" t="s">
        <v>950</v>
      </c>
      <c r="G940">
        <v>1</v>
      </c>
    </row>
    <row r="941" spans="1:7" x14ac:dyDescent="0.25">
      <c r="A941">
        <v>12</v>
      </c>
      <c r="B941" t="s">
        <v>727</v>
      </c>
      <c r="C941">
        <v>7739202</v>
      </c>
      <c r="D941" t="str">
        <f>"2165-5405"</f>
        <v>2165-5405</v>
      </c>
      <c r="E941" t="s">
        <v>8</v>
      </c>
      <c r="F941" t="s">
        <v>951</v>
      </c>
      <c r="G941">
        <v>1</v>
      </c>
    </row>
    <row r="942" spans="1:7" x14ac:dyDescent="0.25">
      <c r="A942">
        <v>12</v>
      </c>
      <c r="B942" t="s">
        <v>727</v>
      </c>
      <c r="C942">
        <v>7703298</v>
      </c>
      <c r="D942" t="str">
        <f>"2198-1361"</f>
        <v>2198-1361</v>
      </c>
      <c r="E942" t="s">
        <v>8</v>
      </c>
      <c r="F942" t="s">
        <v>952</v>
      </c>
      <c r="G942">
        <v>1</v>
      </c>
    </row>
    <row r="943" spans="1:7" x14ac:dyDescent="0.25">
      <c r="A943">
        <v>12</v>
      </c>
      <c r="B943" t="s">
        <v>727</v>
      </c>
      <c r="C943">
        <v>6523</v>
      </c>
      <c r="D943" t="str">
        <f>"1569-2116"</f>
        <v>1569-2116</v>
      </c>
      <c r="E943" t="s">
        <v>8</v>
      </c>
      <c r="F943" t="s">
        <v>953</v>
      </c>
      <c r="G943">
        <v>1</v>
      </c>
    </row>
    <row r="944" spans="1:7" x14ac:dyDescent="0.25">
      <c r="A944">
        <v>12</v>
      </c>
      <c r="B944" t="s">
        <v>727</v>
      </c>
      <c r="C944">
        <v>6167671</v>
      </c>
      <c r="D944" t="str">
        <f>"2156-5414"</f>
        <v>2156-5414</v>
      </c>
      <c r="E944" t="s">
        <v>8</v>
      </c>
      <c r="F944" t="s">
        <v>954</v>
      </c>
      <c r="G944">
        <v>1</v>
      </c>
    </row>
    <row r="945" spans="1:7" x14ac:dyDescent="0.25">
      <c r="A945">
        <v>12</v>
      </c>
      <c r="B945" t="s">
        <v>727</v>
      </c>
      <c r="C945">
        <v>3388</v>
      </c>
      <c r="E945" t="s">
        <v>8</v>
      </c>
      <c r="F945" t="s">
        <v>955</v>
      </c>
      <c r="G945">
        <v>1</v>
      </c>
    </row>
    <row r="946" spans="1:7" x14ac:dyDescent="0.25">
      <c r="A946">
        <v>12</v>
      </c>
      <c r="B946" t="s">
        <v>727</v>
      </c>
      <c r="C946">
        <v>7750166</v>
      </c>
      <c r="D946" t="str">
        <f>"2051-9672"</f>
        <v>2051-9672</v>
      </c>
      <c r="E946" t="s">
        <v>8</v>
      </c>
      <c r="F946" t="s">
        <v>956</v>
      </c>
      <c r="G946">
        <v>1</v>
      </c>
    </row>
    <row r="947" spans="1:7" x14ac:dyDescent="0.25">
      <c r="A947">
        <v>12</v>
      </c>
      <c r="B947" t="s">
        <v>727</v>
      </c>
      <c r="C947">
        <v>19358</v>
      </c>
      <c r="D947" t="str">
        <f>"1016-5584"</f>
        <v>1016-5584</v>
      </c>
      <c r="E947" t="s">
        <v>8</v>
      </c>
      <c r="F947" t="s">
        <v>957</v>
      </c>
      <c r="G947">
        <v>1</v>
      </c>
    </row>
    <row r="948" spans="1:7" x14ac:dyDescent="0.25">
      <c r="A948">
        <v>12</v>
      </c>
      <c r="B948" t="s">
        <v>727</v>
      </c>
      <c r="C948">
        <v>14400</v>
      </c>
      <c r="D948" t="str">
        <f>"1067-6341"</f>
        <v>1067-6341</v>
      </c>
      <c r="E948" t="s">
        <v>8</v>
      </c>
      <c r="F948" t="s">
        <v>958</v>
      </c>
      <c r="G948">
        <v>1</v>
      </c>
    </row>
    <row r="949" spans="1:7" x14ac:dyDescent="0.25">
      <c r="A949">
        <v>12</v>
      </c>
      <c r="B949" t="s">
        <v>727</v>
      </c>
      <c r="C949">
        <v>15780</v>
      </c>
      <c r="D949" t="str">
        <f>"0022-0558"</f>
        <v>0022-0558</v>
      </c>
      <c r="E949" t="s">
        <v>8</v>
      </c>
      <c r="F949" t="s">
        <v>959</v>
      </c>
      <c r="G949">
        <v>1</v>
      </c>
    </row>
    <row r="950" spans="1:7" x14ac:dyDescent="0.25">
      <c r="A950">
        <v>12</v>
      </c>
      <c r="B950" t="s">
        <v>727</v>
      </c>
      <c r="C950">
        <v>22763</v>
      </c>
      <c r="D950" t="str">
        <f>"0922-2936"</f>
        <v>0922-2936</v>
      </c>
      <c r="E950" t="s">
        <v>8</v>
      </c>
      <c r="F950" t="s">
        <v>960</v>
      </c>
      <c r="G950">
        <v>1</v>
      </c>
    </row>
    <row r="951" spans="1:7" x14ac:dyDescent="0.25">
      <c r="A951">
        <v>12</v>
      </c>
      <c r="B951" t="s">
        <v>727</v>
      </c>
      <c r="C951">
        <v>12503</v>
      </c>
      <c r="D951" t="str">
        <f>"8755-4178"</f>
        <v>8755-4178</v>
      </c>
      <c r="E951" t="s">
        <v>8</v>
      </c>
      <c r="F951" t="s">
        <v>961</v>
      </c>
      <c r="G951">
        <v>1</v>
      </c>
    </row>
    <row r="952" spans="1:7" x14ac:dyDescent="0.25">
      <c r="A952">
        <v>12</v>
      </c>
      <c r="B952" t="s">
        <v>727</v>
      </c>
      <c r="C952">
        <v>4091</v>
      </c>
      <c r="D952" t="str">
        <f>"1203-1542"</f>
        <v>1203-1542</v>
      </c>
      <c r="E952" t="s">
        <v>8</v>
      </c>
      <c r="F952" t="s">
        <v>962</v>
      </c>
      <c r="G952">
        <v>1</v>
      </c>
    </row>
    <row r="953" spans="1:7" x14ac:dyDescent="0.25">
      <c r="A953">
        <v>12</v>
      </c>
      <c r="B953" t="s">
        <v>727</v>
      </c>
      <c r="C953">
        <v>4665</v>
      </c>
      <c r="D953" t="str">
        <f>"0955-2340"</f>
        <v>0955-2340</v>
      </c>
      <c r="E953" t="s">
        <v>8</v>
      </c>
      <c r="F953" t="s">
        <v>963</v>
      </c>
      <c r="G953">
        <v>1</v>
      </c>
    </row>
    <row r="954" spans="1:7" x14ac:dyDescent="0.25">
      <c r="A954">
        <v>12</v>
      </c>
      <c r="B954" t="s">
        <v>727</v>
      </c>
      <c r="C954">
        <v>12380</v>
      </c>
      <c r="D954" t="str">
        <f>"1873-9008"</f>
        <v>1873-9008</v>
      </c>
      <c r="E954" t="s">
        <v>15</v>
      </c>
      <c r="F954" t="s">
        <v>964</v>
      </c>
      <c r="G954">
        <v>1</v>
      </c>
    </row>
    <row r="955" spans="1:7" x14ac:dyDescent="0.25">
      <c r="A955">
        <v>12</v>
      </c>
      <c r="B955" t="s">
        <v>727</v>
      </c>
      <c r="C955">
        <v>5913</v>
      </c>
      <c r="D955" t="str">
        <f>"1360-2004"</f>
        <v>1360-2004</v>
      </c>
      <c r="E955" t="s">
        <v>8</v>
      </c>
      <c r="F955" t="s">
        <v>965</v>
      </c>
      <c r="G955">
        <v>1</v>
      </c>
    </row>
    <row r="956" spans="1:7" x14ac:dyDescent="0.25">
      <c r="A956">
        <v>12</v>
      </c>
      <c r="B956" t="s">
        <v>727</v>
      </c>
      <c r="C956">
        <v>7718473</v>
      </c>
      <c r="D956" t="str">
        <f>"2211-792X"</f>
        <v>2211-792X</v>
      </c>
      <c r="E956" t="s">
        <v>8</v>
      </c>
      <c r="F956" t="s">
        <v>966</v>
      </c>
      <c r="G956">
        <v>1</v>
      </c>
    </row>
    <row r="957" spans="1:7" x14ac:dyDescent="0.25">
      <c r="A957">
        <v>12</v>
      </c>
      <c r="B957" t="s">
        <v>727</v>
      </c>
      <c r="C957">
        <v>30495</v>
      </c>
      <c r="D957" t="str">
        <f>"1064-9867"</f>
        <v>1064-9867</v>
      </c>
      <c r="E957" t="s">
        <v>8</v>
      </c>
      <c r="F957" t="s">
        <v>967</v>
      </c>
      <c r="G957">
        <v>1</v>
      </c>
    </row>
    <row r="958" spans="1:7" x14ac:dyDescent="0.25">
      <c r="A958">
        <v>12</v>
      </c>
      <c r="B958" t="s">
        <v>727</v>
      </c>
      <c r="C958">
        <v>452</v>
      </c>
      <c r="D958" t="str">
        <f>"0966-7369"</f>
        <v>0966-7369</v>
      </c>
      <c r="E958" t="s">
        <v>8</v>
      </c>
      <c r="F958" t="s">
        <v>968</v>
      </c>
      <c r="G958">
        <v>1</v>
      </c>
    </row>
    <row r="959" spans="1:7" x14ac:dyDescent="0.25">
      <c r="A959">
        <v>12</v>
      </c>
      <c r="B959" t="s">
        <v>727</v>
      </c>
      <c r="C959">
        <v>11638</v>
      </c>
      <c r="D959" t="str">
        <f>"1521-9216"</f>
        <v>1521-9216</v>
      </c>
      <c r="E959" t="s">
        <v>8</v>
      </c>
      <c r="F959" t="s">
        <v>969</v>
      </c>
      <c r="G959">
        <v>1</v>
      </c>
    </row>
    <row r="960" spans="1:7" x14ac:dyDescent="0.25">
      <c r="A960">
        <v>12</v>
      </c>
      <c r="B960" t="s">
        <v>727</v>
      </c>
      <c r="C960">
        <v>2088</v>
      </c>
      <c r="D960" t="str">
        <f>"0091-6471"</f>
        <v>0091-6471</v>
      </c>
      <c r="E960" t="s">
        <v>8</v>
      </c>
      <c r="F960" t="s">
        <v>970</v>
      </c>
      <c r="G960">
        <v>1</v>
      </c>
    </row>
    <row r="961" spans="1:7" x14ac:dyDescent="0.25">
      <c r="A961">
        <v>12</v>
      </c>
      <c r="B961" t="s">
        <v>727</v>
      </c>
      <c r="C961">
        <v>3245</v>
      </c>
      <c r="D961" t="str">
        <f>"1465-3591"</f>
        <v>1465-3591</v>
      </c>
      <c r="E961" t="s">
        <v>8</v>
      </c>
      <c r="F961" t="s">
        <v>971</v>
      </c>
      <c r="G961">
        <v>1</v>
      </c>
    </row>
    <row r="962" spans="1:7" x14ac:dyDescent="0.25">
      <c r="A962">
        <v>12</v>
      </c>
      <c r="B962" t="s">
        <v>727</v>
      </c>
      <c r="C962">
        <v>6770</v>
      </c>
      <c r="E962" t="s">
        <v>8</v>
      </c>
      <c r="F962" t="s">
        <v>972</v>
      </c>
      <c r="G962">
        <v>1</v>
      </c>
    </row>
    <row r="963" spans="1:7" x14ac:dyDescent="0.25">
      <c r="A963">
        <v>12</v>
      </c>
      <c r="B963" t="s">
        <v>727</v>
      </c>
      <c r="C963">
        <v>9373</v>
      </c>
      <c r="E963" t="s">
        <v>8</v>
      </c>
      <c r="F963" t="s">
        <v>973</v>
      </c>
      <c r="G963">
        <v>1</v>
      </c>
    </row>
    <row r="964" spans="1:7" x14ac:dyDescent="0.25">
      <c r="A964">
        <v>12</v>
      </c>
      <c r="B964" t="s">
        <v>727</v>
      </c>
      <c r="C964">
        <v>1003</v>
      </c>
      <c r="D964" t="str">
        <f>"0022-4200"</f>
        <v>0022-4200</v>
      </c>
      <c r="E964" t="s">
        <v>8</v>
      </c>
      <c r="F964" t="s">
        <v>974</v>
      </c>
      <c r="G964">
        <v>1</v>
      </c>
    </row>
    <row r="965" spans="1:7" x14ac:dyDescent="0.25">
      <c r="A965">
        <v>12</v>
      </c>
      <c r="B965" t="s">
        <v>727</v>
      </c>
      <c r="C965">
        <v>7718479</v>
      </c>
      <c r="D965" t="str">
        <f>"2211-8330"</f>
        <v>2211-8330</v>
      </c>
      <c r="E965" t="s">
        <v>8</v>
      </c>
      <c r="F965" t="s">
        <v>975</v>
      </c>
      <c r="G965">
        <v>1</v>
      </c>
    </row>
    <row r="966" spans="1:7" x14ac:dyDescent="0.25">
      <c r="A966">
        <v>12</v>
      </c>
      <c r="B966" t="s">
        <v>727</v>
      </c>
      <c r="C966">
        <v>6718</v>
      </c>
      <c r="D966" t="str">
        <f>"1522-8967"</f>
        <v>1522-8967</v>
      </c>
      <c r="E966" t="s">
        <v>8</v>
      </c>
      <c r="F966" t="s">
        <v>976</v>
      </c>
      <c r="G966">
        <v>1</v>
      </c>
    </row>
    <row r="967" spans="1:7" x14ac:dyDescent="0.25">
      <c r="A967">
        <v>12</v>
      </c>
      <c r="B967" t="s">
        <v>727</v>
      </c>
      <c r="C967">
        <v>7730498</v>
      </c>
      <c r="D967" t="str">
        <f>"2165-9214"</f>
        <v>2165-9214</v>
      </c>
      <c r="E967" t="s">
        <v>8</v>
      </c>
      <c r="F967" t="s">
        <v>977</v>
      </c>
      <c r="G967">
        <v>1</v>
      </c>
    </row>
    <row r="968" spans="1:7" x14ac:dyDescent="0.25">
      <c r="A968">
        <v>12</v>
      </c>
      <c r="B968" t="s">
        <v>727</v>
      </c>
      <c r="C968">
        <v>22685</v>
      </c>
      <c r="D968" t="str">
        <f>"1552-8030"</f>
        <v>1552-8030</v>
      </c>
      <c r="E968" t="s">
        <v>8</v>
      </c>
      <c r="F968" t="s">
        <v>978</v>
      </c>
      <c r="G968">
        <v>1</v>
      </c>
    </row>
    <row r="969" spans="1:7" x14ac:dyDescent="0.25">
      <c r="A969">
        <v>12</v>
      </c>
      <c r="B969" t="s">
        <v>727</v>
      </c>
      <c r="C969">
        <v>307</v>
      </c>
      <c r="D969" t="str">
        <f>"1442-018X"</f>
        <v>1442-018X</v>
      </c>
      <c r="E969" t="s">
        <v>8</v>
      </c>
      <c r="F969" t="s">
        <v>979</v>
      </c>
      <c r="G969">
        <v>1</v>
      </c>
    </row>
    <row r="970" spans="1:7" x14ac:dyDescent="0.25">
      <c r="A970">
        <v>12</v>
      </c>
      <c r="B970" t="s">
        <v>727</v>
      </c>
      <c r="C970">
        <v>9235</v>
      </c>
      <c r="E970" t="s">
        <v>8</v>
      </c>
      <c r="F970" t="s">
        <v>980</v>
      </c>
      <c r="G970">
        <v>1</v>
      </c>
    </row>
    <row r="971" spans="1:7" x14ac:dyDescent="0.25">
      <c r="A971">
        <v>12</v>
      </c>
      <c r="B971" t="s">
        <v>727</v>
      </c>
      <c r="C971">
        <v>12623</v>
      </c>
      <c r="D971" t="str">
        <f>"0193-600X"</f>
        <v>0193-600X</v>
      </c>
      <c r="E971" t="s">
        <v>8</v>
      </c>
      <c r="F971" t="s">
        <v>981</v>
      </c>
      <c r="G971">
        <v>1</v>
      </c>
    </row>
    <row r="972" spans="1:7" x14ac:dyDescent="0.25">
      <c r="A972">
        <v>12</v>
      </c>
      <c r="B972" t="s">
        <v>727</v>
      </c>
      <c r="C972">
        <v>16357</v>
      </c>
      <c r="D972" t="str">
        <f>"1550-6363"</f>
        <v>1550-6363</v>
      </c>
      <c r="E972" t="s">
        <v>8</v>
      </c>
      <c r="F972" t="s">
        <v>982</v>
      </c>
      <c r="G972">
        <v>1</v>
      </c>
    </row>
    <row r="973" spans="1:7" x14ac:dyDescent="0.25">
      <c r="A973">
        <v>12</v>
      </c>
      <c r="B973" t="s">
        <v>727</v>
      </c>
      <c r="C973">
        <v>11322</v>
      </c>
      <c r="D973" t="str">
        <f>"1540-7942"</f>
        <v>1540-7942</v>
      </c>
      <c r="E973" t="s">
        <v>8</v>
      </c>
      <c r="F973" t="s">
        <v>983</v>
      </c>
      <c r="G973">
        <v>1</v>
      </c>
    </row>
    <row r="974" spans="1:7" x14ac:dyDescent="0.25">
      <c r="A974">
        <v>12</v>
      </c>
      <c r="B974" t="s">
        <v>727</v>
      </c>
      <c r="C974">
        <v>12260</v>
      </c>
      <c r="D974" t="str">
        <f>"0022-5185"</f>
        <v>0022-5185</v>
      </c>
      <c r="E974" t="s">
        <v>8</v>
      </c>
      <c r="F974" t="s">
        <v>984</v>
      </c>
      <c r="G974">
        <v>1</v>
      </c>
    </row>
    <row r="975" spans="1:7" x14ac:dyDescent="0.25">
      <c r="A975">
        <v>12</v>
      </c>
      <c r="B975" t="s">
        <v>727</v>
      </c>
      <c r="C975">
        <v>9517</v>
      </c>
      <c r="D975" t="str">
        <f>"0047-2867"</f>
        <v>0047-2867</v>
      </c>
      <c r="E975" t="s">
        <v>8</v>
      </c>
      <c r="F975" t="s">
        <v>985</v>
      </c>
      <c r="G975">
        <v>1</v>
      </c>
    </row>
    <row r="976" spans="1:7" x14ac:dyDescent="0.25">
      <c r="A976">
        <v>12</v>
      </c>
      <c r="B976" t="s">
        <v>727</v>
      </c>
      <c r="C976">
        <v>1885</v>
      </c>
      <c r="D976" t="str">
        <f>"1741-0819"</f>
        <v>1741-0819</v>
      </c>
      <c r="E976" t="s">
        <v>8</v>
      </c>
      <c r="F976" t="s">
        <v>986</v>
      </c>
      <c r="G976">
        <v>1</v>
      </c>
    </row>
    <row r="977" spans="1:7" x14ac:dyDescent="0.25">
      <c r="A977">
        <v>12</v>
      </c>
      <c r="B977" t="s">
        <v>727</v>
      </c>
      <c r="C977">
        <v>9244</v>
      </c>
      <c r="D977" t="str">
        <f>"0022-572X"</f>
        <v>0022-572X</v>
      </c>
      <c r="E977" t="s">
        <v>8</v>
      </c>
      <c r="F977" t="s">
        <v>987</v>
      </c>
      <c r="G977">
        <v>1</v>
      </c>
    </row>
    <row r="978" spans="1:7" x14ac:dyDescent="0.25">
      <c r="A978">
        <v>12</v>
      </c>
      <c r="B978" t="s">
        <v>727</v>
      </c>
      <c r="C978">
        <v>139601</v>
      </c>
      <c r="D978" t="str">
        <f>"2198-1507"</f>
        <v>2198-1507</v>
      </c>
      <c r="E978" t="s">
        <v>15</v>
      </c>
      <c r="F978" t="s">
        <v>988</v>
      </c>
      <c r="G978">
        <v>1</v>
      </c>
    </row>
    <row r="979" spans="1:7" x14ac:dyDescent="0.25">
      <c r="A979">
        <v>12</v>
      </c>
      <c r="B979" t="s">
        <v>727</v>
      </c>
      <c r="C979">
        <v>15393</v>
      </c>
      <c r="D979" t="str">
        <f>"0932-9951"</f>
        <v>0932-9951</v>
      </c>
      <c r="E979" t="s">
        <v>8</v>
      </c>
      <c r="F979" t="s">
        <v>989</v>
      </c>
      <c r="G979">
        <v>1</v>
      </c>
    </row>
    <row r="980" spans="1:7" x14ac:dyDescent="0.25">
      <c r="A980">
        <v>12</v>
      </c>
      <c r="B980" t="s">
        <v>727</v>
      </c>
      <c r="C980">
        <v>58751</v>
      </c>
      <c r="D980" t="str">
        <f>"0450-3171"</f>
        <v>0450-3171</v>
      </c>
      <c r="E980" t="s">
        <v>8</v>
      </c>
      <c r="F980" t="s">
        <v>990</v>
      </c>
      <c r="G980">
        <v>1</v>
      </c>
    </row>
    <row r="981" spans="1:7" x14ac:dyDescent="0.25">
      <c r="A981">
        <v>12</v>
      </c>
      <c r="B981" t="s">
        <v>727</v>
      </c>
      <c r="C981">
        <v>7712988</v>
      </c>
      <c r="D981" t="str">
        <f>"1864-886X"</f>
        <v>1864-886X</v>
      </c>
      <c r="E981" t="s">
        <v>15</v>
      </c>
      <c r="F981" t="s">
        <v>991</v>
      </c>
      <c r="G981">
        <v>1</v>
      </c>
    </row>
    <row r="982" spans="1:7" x14ac:dyDescent="0.25">
      <c r="A982">
        <v>12</v>
      </c>
      <c r="B982" t="s">
        <v>727</v>
      </c>
      <c r="C982">
        <v>8782721</v>
      </c>
      <c r="E982" t="s">
        <v>8</v>
      </c>
      <c r="F982" t="s">
        <v>992</v>
      </c>
      <c r="G982">
        <v>1</v>
      </c>
    </row>
    <row r="983" spans="1:7" x14ac:dyDescent="0.25">
      <c r="A983">
        <v>12</v>
      </c>
      <c r="B983" t="s">
        <v>727</v>
      </c>
      <c r="C983">
        <v>5573</v>
      </c>
      <c r="D983" t="str">
        <f>"0085-2619"</f>
        <v>0085-2619</v>
      </c>
      <c r="E983" t="s">
        <v>8</v>
      </c>
      <c r="F983" t="s">
        <v>993</v>
      </c>
      <c r="G983">
        <v>1</v>
      </c>
    </row>
    <row r="984" spans="1:7" x14ac:dyDescent="0.25">
      <c r="A984">
        <v>12</v>
      </c>
      <c r="B984" t="s">
        <v>727</v>
      </c>
      <c r="C984">
        <v>15075</v>
      </c>
      <c r="D984" t="str">
        <f>"1236-584X"</f>
        <v>1236-584X</v>
      </c>
      <c r="E984" t="s">
        <v>8</v>
      </c>
      <c r="F984" t="s">
        <v>994</v>
      </c>
      <c r="G984">
        <v>1</v>
      </c>
    </row>
    <row r="985" spans="1:7" x14ac:dyDescent="0.25">
      <c r="A985">
        <v>12</v>
      </c>
      <c r="B985" t="s">
        <v>727</v>
      </c>
      <c r="C985">
        <v>9590</v>
      </c>
      <c r="D985" t="str">
        <f>"0458-063X"</f>
        <v>0458-063X</v>
      </c>
      <c r="E985" t="s">
        <v>8</v>
      </c>
      <c r="F985" t="s">
        <v>995</v>
      </c>
      <c r="G985">
        <v>1</v>
      </c>
    </row>
    <row r="986" spans="1:7" x14ac:dyDescent="0.25">
      <c r="A986">
        <v>12</v>
      </c>
      <c r="B986" t="s">
        <v>727</v>
      </c>
      <c r="C986">
        <v>14440</v>
      </c>
      <c r="D986" t="str">
        <f>"1091-6687"</f>
        <v>1091-6687</v>
      </c>
      <c r="E986" t="s">
        <v>8</v>
      </c>
      <c r="F986" t="s">
        <v>996</v>
      </c>
      <c r="G986">
        <v>1</v>
      </c>
    </row>
    <row r="987" spans="1:7" x14ac:dyDescent="0.25">
      <c r="A987">
        <v>12</v>
      </c>
      <c r="B987" t="s">
        <v>727</v>
      </c>
      <c r="C987">
        <v>24309</v>
      </c>
      <c r="D987" t="str">
        <f>"0024-6964"</f>
        <v>0024-6964</v>
      </c>
      <c r="E987" t="s">
        <v>8</v>
      </c>
      <c r="F987" t="s">
        <v>997</v>
      </c>
      <c r="G987">
        <v>1</v>
      </c>
    </row>
    <row r="988" spans="1:7" x14ac:dyDescent="0.25">
      <c r="A988">
        <v>12</v>
      </c>
      <c r="B988" t="s">
        <v>727</v>
      </c>
      <c r="C988">
        <v>18046</v>
      </c>
      <c r="D988" t="str">
        <f>"0024-7499"</f>
        <v>0024-7499</v>
      </c>
      <c r="E988" t="s">
        <v>8</v>
      </c>
      <c r="F988" t="s">
        <v>998</v>
      </c>
      <c r="G988">
        <v>1</v>
      </c>
    </row>
    <row r="989" spans="1:7" x14ac:dyDescent="0.25">
      <c r="A989">
        <v>12</v>
      </c>
      <c r="B989" t="s">
        <v>727</v>
      </c>
      <c r="C989">
        <v>10106</v>
      </c>
      <c r="D989" t="str">
        <f>"0342-0914"</f>
        <v>0342-0914</v>
      </c>
      <c r="E989" t="s">
        <v>8</v>
      </c>
      <c r="F989" t="s">
        <v>999</v>
      </c>
      <c r="G989">
        <v>1</v>
      </c>
    </row>
    <row r="990" spans="1:7" x14ac:dyDescent="0.25">
      <c r="A990">
        <v>12</v>
      </c>
      <c r="B990" t="s">
        <v>727</v>
      </c>
      <c r="C990">
        <v>7249</v>
      </c>
      <c r="E990" t="s">
        <v>8</v>
      </c>
      <c r="F990" t="s">
        <v>1000</v>
      </c>
      <c r="G990">
        <v>1</v>
      </c>
    </row>
    <row r="991" spans="1:7" x14ac:dyDescent="0.25">
      <c r="A991">
        <v>12</v>
      </c>
      <c r="B991" t="s">
        <v>727</v>
      </c>
      <c r="C991">
        <v>17962</v>
      </c>
      <c r="D991" t="str">
        <f>"1743-2200"</f>
        <v>1743-2200</v>
      </c>
      <c r="E991" t="s">
        <v>8</v>
      </c>
      <c r="F991" t="s">
        <v>1001</v>
      </c>
      <c r="G991">
        <v>1</v>
      </c>
    </row>
    <row r="992" spans="1:7" x14ac:dyDescent="0.25">
      <c r="A992">
        <v>12</v>
      </c>
      <c r="B992" t="s">
        <v>727</v>
      </c>
      <c r="C992">
        <v>20886</v>
      </c>
      <c r="D992" t="str">
        <f>"1366-0691"</f>
        <v>1366-0691</v>
      </c>
      <c r="E992" t="s">
        <v>8</v>
      </c>
      <c r="F992" t="s">
        <v>1002</v>
      </c>
      <c r="G992">
        <v>1</v>
      </c>
    </row>
    <row r="993" spans="1:7" x14ac:dyDescent="0.25">
      <c r="A993">
        <v>12</v>
      </c>
      <c r="B993" t="s">
        <v>727</v>
      </c>
      <c r="C993">
        <v>3347</v>
      </c>
      <c r="D993" t="str">
        <f>"0091-8296"</f>
        <v>0091-8296</v>
      </c>
      <c r="E993" t="s">
        <v>8</v>
      </c>
      <c r="F993" t="s">
        <v>1003</v>
      </c>
      <c r="G993">
        <v>1</v>
      </c>
    </row>
    <row r="994" spans="1:7" x14ac:dyDescent="0.25">
      <c r="A994">
        <v>12</v>
      </c>
      <c r="B994" t="s">
        <v>727</v>
      </c>
      <c r="C994">
        <v>2600</v>
      </c>
      <c r="D994" t="str">
        <f>"0168-9789"</f>
        <v>0168-9789</v>
      </c>
      <c r="E994" t="s">
        <v>8</v>
      </c>
      <c r="F994" t="s">
        <v>1004</v>
      </c>
      <c r="G994">
        <v>1</v>
      </c>
    </row>
    <row r="995" spans="1:7" x14ac:dyDescent="0.25">
      <c r="A995">
        <v>12</v>
      </c>
      <c r="B995" t="s">
        <v>727</v>
      </c>
      <c r="C995">
        <v>679</v>
      </c>
      <c r="D995" t="str">
        <f>"0256-9507"</f>
        <v>0256-9507</v>
      </c>
      <c r="E995" t="s">
        <v>8</v>
      </c>
      <c r="F995" t="s">
        <v>1005</v>
      </c>
      <c r="G995">
        <v>1</v>
      </c>
    </row>
    <row r="996" spans="1:7" x14ac:dyDescent="0.25">
      <c r="A996">
        <v>12</v>
      </c>
      <c r="B996" t="s">
        <v>727</v>
      </c>
      <c r="C996">
        <v>3120</v>
      </c>
      <c r="D996" t="str">
        <f>"0276-1114"</f>
        <v>0276-1114</v>
      </c>
      <c r="E996" t="s">
        <v>8</v>
      </c>
      <c r="F996" t="s">
        <v>1006</v>
      </c>
      <c r="G996">
        <v>1</v>
      </c>
    </row>
    <row r="997" spans="1:7" x14ac:dyDescent="0.25">
      <c r="A997">
        <v>12</v>
      </c>
      <c r="B997" t="s">
        <v>727</v>
      </c>
      <c r="C997">
        <v>11120</v>
      </c>
      <c r="D997" t="str">
        <f>"0047-8105"</f>
        <v>0047-8105</v>
      </c>
      <c r="E997" t="s">
        <v>8</v>
      </c>
      <c r="F997" t="s">
        <v>1007</v>
      </c>
      <c r="G997">
        <v>1</v>
      </c>
    </row>
    <row r="998" spans="1:7" x14ac:dyDescent="0.25">
      <c r="A998">
        <v>12</v>
      </c>
      <c r="B998" t="s">
        <v>727</v>
      </c>
      <c r="C998">
        <v>19652</v>
      </c>
      <c r="D998" t="str">
        <f>"1871-4757"</f>
        <v>1871-4757</v>
      </c>
      <c r="E998" t="s">
        <v>8</v>
      </c>
      <c r="F998" t="s">
        <v>1008</v>
      </c>
      <c r="G998">
        <v>1</v>
      </c>
    </row>
    <row r="999" spans="1:7" x14ac:dyDescent="0.25">
      <c r="A999">
        <v>12</v>
      </c>
      <c r="B999" t="s">
        <v>727</v>
      </c>
      <c r="C999">
        <v>153206</v>
      </c>
      <c r="E999" t="s">
        <v>15</v>
      </c>
      <c r="F999" t="s">
        <v>1009</v>
      </c>
      <c r="G999">
        <v>1</v>
      </c>
    </row>
    <row r="1000" spans="1:7" x14ac:dyDescent="0.25">
      <c r="A1000">
        <v>12</v>
      </c>
      <c r="B1000" t="s">
        <v>727</v>
      </c>
      <c r="C1000">
        <v>7713088</v>
      </c>
      <c r="D1000" t="str">
        <f>"0340-6806"</f>
        <v>0340-6806</v>
      </c>
      <c r="E1000" t="s">
        <v>15</v>
      </c>
      <c r="F1000" t="s">
        <v>1010</v>
      </c>
      <c r="G1000">
        <v>1</v>
      </c>
    </row>
    <row r="1001" spans="1:7" x14ac:dyDescent="0.25">
      <c r="A1001">
        <v>12</v>
      </c>
      <c r="B1001" t="s">
        <v>727</v>
      </c>
      <c r="C1001">
        <v>4711</v>
      </c>
      <c r="D1001" t="str">
        <f>"0348-1646"</f>
        <v>0348-1646</v>
      </c>
      <c r="E1001" t="s">
        <v>8</v>
      </c>
      <c r="F1001" t="s">
        <v>1011</v>
      </c>
      <c r="G1001">
        <v>1</v>
      </c>
    </row>
    <row r="1002" spans="1:7" x14ac:dyDescent="0.25">
      <c r="A1002">
        <v>12</v>
      </c>
      <c r="B1002" t="s">
        <v>727</v>
      </c>
      <c r="C1002">
        <v>956</v>
      </c>
      <c r="D1002" t="str">
        <f>"0029-2176"</f>
        <v>0029-2176</v>
      </c>
      <c r="E1002" t="s">
        <v>8</v>
      </c>
      <c r="F1002" t="s">
        <v>1012</v>
      </c>
      <c r="G1002">
        <v>1</v>
      </c>
    </row>
    <row r="1003" spans="1:7" x14ac:dyDescent="0.25">
      <c r="A1003">
        <v>12</v>
      </c>
      <c r="B1003" t="s">
        <v>727</v>
      </c>
      <c r="C1003">
        <v>6987</v>
      </c>
      <c r="D1003" t="str">
        <f>"1504-6605"</f>
        <v>1504-6605</v>
      </c>
      <c r="E1003" t="s">
        <v>8</v>
      </c>
      <c r="F1003" t="s">
        <v>1013</v>
      </c>
      <c r="G1003">
        <v>1</v>
      </c>
    </row>
    <row r="1004" spans="1:7" x14ac:dyDescent="0.25">
      <c r="A1004">
        <v>12</v>
      </c>
      <c r="B1004" t="s">
        <v>727</v>
      </c>
      <c r="C1004">
        <v>1754</v>
      </c>
      <c r="D1004" t="str">
        <f>"0167-9732"</f>
        <v>0167-9732</v>
      </c>
      <c r="E1004" t="s">
        <v>15</v>
      </c>
      <c r="F1004" t="s">
        <v>1014</v>
      </c>
      <c r="G1004">
        <v>1</v>
      </c>
    </row>
    <row r="1005" spans="1:7" x14ac:dyDescent="0.25">
      <c r="A1005">
        <v>12</v>
      </c>
      <c r="B1005" t="s">
        <v>727</v>
      </c>
      <c r="C1005">
        <v>11275</v>
      </c>
      <c r="D1005" t="str">
        <f>"1010-9919"</f>
        <v>1010-9919</v>
      </c>
      <c r="E1005" t="s">
        <v>8</v>
      </c>
      <c r="F1005" t="s">
        <v>1015</v>
      </c>
      <c r="G1005">
        <v>1</v>
      </c>
    </row>
    <row r="1006" spans="1:7" x14ac:dyDescent="0.25">
      <c r="A1006">
        <v>12</v>
      </c>
      <c r="B1006" t="s">
        <v>727</v>
      </c>
      <c r="C1006">
        <v>8767986</v>
      </c>
      <c r="D1006" t="str">
        <f>"2300-6579"</f>
        <v>2300-6579</v>
      </c>
      <c r="E1006" t="s">
        <v>8</v>
      </c>
      <c r="F1006" t="s">
        <v>1016</v>
      </c>
      <c r="G1006">
        <v>1</v>
      </c>
    </row>
    <row r="1007" spans="1:7" x14ac:dyDescent="0.25">
      <c r="A1007">
        <v>12</v>
      </c>
      <c r="B1007" t="s">
        <v>727</v>
      </c>
      <c r="C1007">
        <v>14157</v>
      </c>
      <c r="D1007" t="str">
        <f>"1015-1850"</f>
        <v>1015-1850</v>
      </c>
      <c r="E1007" t="s">
        <v>15</v>
      </c>
      <c r="F1007" t="s">
        <v>1017</v>
      </c>
      <c r="G1007">
        <v>1</v>
      </c>
    </row>
    <row r="1008" spans="1:7" x14ac:dyDescent="0.25">
      <c r="A1008">
        <v>12</v>
      </c>
      <c r="B1008" t="s">
        <v>727</v>
      </c>
      <c r="C1008">
        <v>13595</v>
      </c>
      <c r="D1008" t="str">
        <f>"0030-5375"</f>
        <v>0030-5375</v>
      </c>
      <c r="E1008" t="s">
        <v>15</v>
      </c>
      <c r="F1008" t="s">
        <v>1018</v>
      </c>
      <c r="G1008">
        <v>1</v>
      </c>
    </row>
    <row r="1009" spans="1:7" x14ac:dyDescent="0.25">
      <c r="A1009">
        <v>12</v>
      </c>
      <c r="B1009" t="s">
        <v>727</v>
      </c>
      <c r="C1009">
        <v>7707306</v>
      </c>
      <c r="D1009" t="str">
        <f>"1869-0513"</f>
        <v>1869-0513</v>
      </c>
      <c r="E1009" t="s">
        <v>15</v>
      </c>
      <c r="F1009" t="s">
        <v>1019</v>
      </c>
      <c r="G1009">
        <v>1</v>
      </c>
    </row>
    <row r="1010" spans="1:7" x14ac:dyDescent="0.25">
      <c r="A1010">
        <v>12</v>
      </c>
      <c r="B1010" t="s">
        <v>727</v>
      </c>
      <c r="C1010">
        <v>58890</v>
      </c>
      <c r="D1010" t="str">
        <f>"0078-7272"</f>
        <v>0078-7272</v>
      </c>
      <c r="E1010" t="s">
        <v>15</v>
      </c>
      <c r="F1010" t="s">
        <v>1020</v>
      </c>
      <c r="G1010">
        <v>1</v>
      </c>
    </row>
    <row r="1011" spans="1:7" x14ac:dyDescent="0.25">
      <c r="A1011">
        <v>12</v>
      </c>
      <c r="B1011" t="s">
        <v>727</v>
      </c>
      <c r="C1011">
        <v>8783488</v>
      </c>
      <c r="E1011" t="s">
        <v>15</v>
      </c>
      <c r="F1011" t="s">
        <v>1021</v>
      </c>
      <c r="G1011">
        <v>1</v>
      </c>
    </row>
    <row r="1012" spans="1:7" x14ac:dyDescent="0.25">
      <c r="A1012">
        <v>12</v>
      </c>
      <c r="B1012" t="s">
        <v>727</v>
      </c>
      <c r="C1012">
        <v>8783489</v>
      </c>
      <c r="E1012" t="s">
        <v>15</v>
      </c>
      <c r="F1012" t="s">
        <v>1022</v>
      </c>
      <c r="G1012">
        <v>1</v>
      </c>
    </row>
    <row r="1013" spans="1:7" x14ac:dyDescent="0.25">
      <c r="A1013">
        <v>12</v>
      </c>
      <c r="B1013" t="s">
        <v>727</v>
      </c>
      <c r="C1013">
        <v>14897</v>
      </c>
      <c r="D1013" t="str">
        <f>"0937-8219"</f>
        <v>0937-8219</v>
      </c>
      <c r="E1013" t="s">
        <v>8</v>
      </c>
      <c r="F1013" t="s">
        <v>1023</v>
      </c>
      <c r="G1013">
        <v>1</v>
      </c>
    </row>
    <row r="1014" spans="1:7" x14ac:dyDescent="0.25">
      <c r="A1014">
        <v>12</v>
      </c>
      <c r="B1014" t="s">
        <v>727</v>
      </c>
      <c r="C1014">
        <v>8783493</v>
      </c>
      <c r="E1014" t="s">
        <v>15</v>
      </c>
      <c r="F1014" t="s">
        <v>1024</v>
      </c>
      <c r="G1014">
        <v>1</v>
      </c>
    </row>
    <row r="1015" spans="1:7" x14ac:dyDescent="0.25">
      <c r="A1015">
        <v>12</v>
      </c>
      <c r="B1015" t="s">
        <v>727</v>
      </c>
      <c r="C1015">
        <v>6237395</v>
      </c>
      <c r="E1015" t="s">
        <v>15</v>
      </c>
      <c r="F1015" t="s">
        <v>1025</v>
      </c>
      <c r="G1015">
        <v>1</v>
      </c>
    </row>
    <row r="1016" spans="1:7" x14ac:dyDescent="0.25">
      <c r="A1016">
        <v>12</v>
      </c>
      <c r="B1016" t="s">
        <v>727</v>
      </c>
      <c r="C1016">
        <v>7698426</v>
      </c>
      <c r="D1016" t="str">
        <f>"2041-3599"</f>
        <v>2041-3599</v>
      </c>
      <c r="E1016" t="s">
        <v>8</v>
      </c>
      <c r="F1016" t="s">
        <v>1026</v>
      </c>
      <c r="G1016">
        <v>1</v>
      </c>
    </row>
    <row r="1017" spans="1:7" x14ac:dyDescent="0.25">
      <c r="A1017">
        <v>12</v>
      </c>
      <c r="B1017" t="s">
        <v>727</v>
      </c>
      <c r="C1017">
        <v>7708096</v>
      </c>
      <c r="D1017" t="str">
        <f>"1877-8542"</f>
        <v>1877-8542</v>
      </c>
      <c r="E1017" t="s">
        <v>15</v>
      </c>
      <c r="F1017" t="s">
        <v>1027</v>
      </c>
      <c r="G1017">
        <v>1</v>
      </c>
    </row>
    <row r="1018" spans="1:7" x14ac:dyDescent="0.25">
      <c r="A1018">
        <v>12</v>
      </c>
      <c r="B1018" t="s">
        <v>727</v>
      </c>
      <c r="C1018">
        <v>7705687</v>
      </c>
      <c r="D1018" t="str">
        <f>"2210-481X"</f>
        <v>2210-481X</v>
      </c>
      <c r="E1018" t="s">
        <v>15</v>
      </c>
      <c r="F1018" t="s">
        <v>1028</v>
      </c>
      <c r="G1018">
        <v>1</v>
      </c>
    </row>
    <row r="1019" spans="1:7" x14ac:dyDescent="0.25">
      <c r="A1019">
        <v>12</v>
      </c>
      <c r="B1019" t="s">
        <v>727</v>
      </c>
      <c r="C1019">
        <v>5261</v>
      </c>
      <c r="D1019" t="str">
        <f>"0272-0965"</f>
        <v>0272-0965</v>
      </c>
      <c r="E1019" t="s">
        <v>8</v>
      </c>
      <c r="F1019" t="s">
        <v>1029</v>
      </c>
      <c r="G1019">
        <v>1</v>
      </c>
    </row>
    <row r="1020" spans="1:7" x14ac:dyDescent="0.25">
      <c r="A1020">
        <v>12</v>
      </c>
      <c r="B1020" t="s">
        <v>727</v>
      </c>
      <c r="C1020">
        <v>1762</v>
      </c>
      <c r="D1020" t="str">
        <f>"1462-317X"</f>
        <v>1462-317X</v>
      </c>
      <c r="E1020" t="s">
        <v>8</v>
      </c>
      <c r="F1020" t="s">
        <v>1030</v>
      </c>
      <c r="G1020">
        <v>1</v>
      </c>
    </row>
    <row r="1021" spans="1:7" x14ac:dyDescent="0.25">
      <c r="A1021">
        <v>12</v>
      </c>
      <c r="B1021" t="s">
        <v>727</v>
      </c>
      <c r="C1021">
        <v>23806</v>
      </c>
      <c r="D1021" t="str">
        <f>"1743-887X"</f>
        <v>1743-887X</v>
      </c>
      <c r="E1021" t="s">
        <v>8</v>
      </c>
      <c r="F1021" t="s">
        <v>1031</v>
      </c>
      <c r="G1021">
        <v>1</v>
      </c>
    </row>
    <row r="1022" spans="1:7" x14ac:dyDescent="0.25">
      <c r="A1022">
        <v>12</v>
      </c>
      <c r="B1022" t="s">
        <v>727</v>
      </c>
      <c r="C1022">
        <v>154687</v>
      </c>
      <c r="D1022" t="str">
        <f>"0946-3518"</f>
        <v>0946-3518</v>
      </c>
      <c r="E1022" t="s">
        <v>8</v>
      </c>
      <c r="F1022" t="s">
        <v>1032</v>
      </c>
      <c r="G1022">
        <v>1</v>
      </c>
    </row>
    <row r="1023" spans="1:7" x14ac:dyDescent="0.25">
      <c r="A1023">
        <v>12</v>
      </c>
      <c r="B1023" t="s">
        <v>727</v>
      </c>
      <c r="C1023">
        <v>7712990</v>
      </c>
      <c r="D1023" t="str">
        <f>"1862-8958"</f>
        <v>1862-8958</v>
      </c>
      <c r="E1023" t="s">
        <v>15</v>
      </c>
      <c r="F1023" t="s">
        <v>1033</v>
      </c>
      <c r="G1023">
        <v>1</v>
      </c>
    </row>
    <row r="1024" spans="1:7" x14ac:dyDescent="0.25">
      <c r="A1024">
        <v>12</v>
      </c>
      <c r="B1024" t="s">
        <v>727</v>
      </c>
      <c r="C1024">
        <v>153598</v>
      </c>
      <c r="E1024" t="s">
        <v>15</v>
      </c>
      <c r="F1024" t="s">
        <v>1034</v>
      </c>
      <c r="G1024">
        <v>1</v>
      </c>
    </row>
    <row r="1025" spans="1:7" x14ac:dyDescent="0.25">
      <c r="A1025">
        <v>12</v>
      </c>
      <c r="B1025" t="s">
        <v>727</v>
      </c>
      <c r="C1025">
        <v>38455</v>
      </c>
      <c r="D1025" t="str">
        <f>"0079-7197"</f>
        <v>0079-7197</v>
      </c>
      <c r="E1025" t="s">
        <v>15</v>
      </c>
      <c r="F1025" t="s">
        <v>1035</v>
      </c>
      <c r="G1025">
        <v>1</v>
      </c>
    </row>
    <row r="1026" spans="1:7" x14ac:dyDescent="0.25">
      <c r="A1026">
        <v>12</v>
      </c>
      <c r="B1026" t="s">
        <v>727</v>
      </c>
      <c r="C1026">
        <v>6252116</v>
      </c>
      <c r="D1026" t="str">
        <f>"1026-1397"</f>
        <v>1026-1397</v>
      </c>
      <c r="E1026" t="s">
        <v>15</v>
      </c>
      <c r="F1026" t="s">
        <v>1036</v>
      </c>
      <c r="G1026">
        <v>1</v>
      </c>
    </row>
    <row r="1027" spans="1:7" x14ac:dyDescent="0.25">
      <c r="A1027">
        <v>12</v>
      </c>
      <c r="B1027" t="s">
        <v>727</v>
      </c>
      <c r="C1027">
        <v>14490</v>
      </c>
      <c r="D1027" t="str">
        <f>"0774-5524"</f>
        <v>0774-5524</v>
      </c>
      <c r="E1027" t="s">
        <v>8</v>
      </c>
      <c r="F1027" t="s">
        <v>1037</v>
      </c>
      <c r="G1027">
        <v>1</v>
      </c>
    </row>
    <row r="1028" spans="1:7" x14ac:dyDescent="0.25">
      <c r="A1028">
        <v>12</v>
      </c>
      <c r="B1028" t="s">
        <v>727</v>
      </c>
      <c r="C1028">
        <v>1278</v>
      </c>
      <c r="D1028" t="str">
        <f>"0907-2160"</f>
        <v>0907-2160</v>
      </c>
      <c r="E1028" t="s">
        <v>8</v>
      </c>
      <c r="F1028" t="s">
        <v>1038</v>
      </c>
      <c r="G1028">
        <v>1</v>
      </c>
    </row>
    <row r="1029" spans="1:7" x14ac:dyDescent="0.25">
      <c r="A1029">
        <v>12</v>
      </c>
      <c r="B1029" t="s">
        <v>727</v>
      </c>
      <c r="C1029">
        <v>114</v>
      </c>
      <c r="D1029" t="str">
        <f>"1775-8696"</f>
        <v>1775-8696</v>
      </c>
      <c r="E1029" t="s">
        <v>15</v>
      </c>
      <c r="F1029" t="s">
        <v>1039</v>
      </c>
      <c r="G1029">
        <v>1</v>
      </c>
    </row>
    <row r="1030" spans="1:7" x14ac:dyDescent="0.25">
      <c r="A1030">
        <v>12</v>
      </c>
      <c r="B1030" t="s">
        <v>727</v>
      </c>
      <c r="C1030">
        <v>27771</v>
      </c>
      <c r="D1030" t="str">
        <f>"1210-3640"</f>
        <v>1210-3640</v>
      </c>
      <c r="E1030" t="s">
        <v>8</v>
      </c>
      <c r="F1030" t="s">
        <v>1040</v>
      </c>
      <c r="G1030">
        <v>1</v>
      </c>
    </row>
    <row r="1031" spans="1:7" x14ac:dyDescent="0.25">
      <c r="A1031">
        <v>12</v>
      </c>
      <c r="B1031" t="s">
        <v>727</v>
      </c>
      <c r="C1031">
        <v>6916</v>
      </c>
      <c r="D1031" t="str">
        <f>"1052-1151"</f>
        <v>1052-1151</v>
      </c>
      <c r="E1031" t="s">
        <v>8</v>
      </c>
      <c r="F1031" t="s">
        <v>1041</v>
      </c>
      <c r="G1031">
        <v>1</v>
      </c>
    </row>
    <row r="1032" spans="1:7" x14ac:dyDescent="0.25">
      <c r="A1032">
        <v>12</v>
      </c>
      <c r="B1032" t="s">
        <v>727</v>
      </c>
      <c r="C1032">
        <v>14722</v>
      </c>
      <c r="D1032" t="str">
        <f>"0029-4500"</f>
        <v>0029-4500</v>
      </c>
      <c r="E1032" t="s">
        <v>8</v>
      </c>
      <c r="F1032" t="s">
        <v>1042</v>
      </c>
      <c r="G1032">
        <v>1</v>
      </c>
    </row>
    <row r="1033" spans="1:7" x14ac:dyDescent="0.25">
      <c r="A1033">
        <v>12</v>
      </c>
      <c r="B1033" t="s">
        <v>727</v>
      </c>
      <c r="C1033">
        <v>152604</v>
      </c>
      <c r="D1033" t="str">
        <f>"1437-5370"</f>
        <v>1437-5370</v>
      </c>
      <c r="E1033" t="s">
        <v>15</v>
      </c>
      <c r="F1033" t="s">
        <v>1043</v>
      </c>
      <c r="G1033">
        <v>1</v>
      </c>
    </row>
    <row r="1034" spans="1:7" x14ac:dyDescent="0.25">
      <c r="A1034">
        <v>12</v>
      </c>
      <c r="B1034" t="s">
        <v>727</v>
      </c>
      <c r="C1034">
        <v>13959</v>
      </c>
      <c r="D1034" t="str">
        <f>"1079-9265"</f>
        <v>1079-9265</v>
      </c>
      <c r="E1034" t="s">
        <v>8</v>
      </c>
      <c r="F1034" t="s">
        <v>1044</v>
      </c>
      <c r="G1034">
        <v>1</v>
      </c>
    </row>
    <row r="1035" spans="1:7" x14ac:dyDescent="0.25">
      <c r="A1035">
        <v>12</v>
      </c>
      <c r="B1035" t="s">
        <v>727</v>
      </c>
      <c r="C1035">
        <v>24672</v>
      </c>
      <c r="D1035" t="str">
        <f>"1023-0807"</f>
        <v>1023-0807</v>
      </c>
      <c r="E1035" t="s">
        <v>8</v>
      </c>
      <c r="F1035" t="s">
        <v>1045</v>
      </c>
      <c r="G1035">
        <v>1</v>
      </c>
    </row>
    <row r="1036" spans="1:7" x14ac:dyDescent="0.25">
      <c r="A1036">
        <v>12</v>
      </c>
      <c r="B1036" t="s">
        <v>727</v>
      </c>
      <c r="C1036">
        <v>8028</v>
      </c>
      <c r="D1036" t="str">
        <f>"1542-1279"</f>
        <v>1542-1279</v>
      </c>
      <c r="E1036" t="s">
        <v>15</v>
      </c>
      <c r="F1036" t="s">
        <v>1046</v>
      </c>
      <c r="G1036">
        <v>1</v>
      </c>
    </row>
    <row r="1037" spans="1:7" x14ac:dyDescent="0.25">
      <c r="A1037">
        <v>12</v>
      </c>
      <c r="B1037" t="s">
        <v>727</v>
      </c>
      <c r="C1037">
        <v>14371</v>
      </c>
      <c r="D1037" t="str">
        <f>"0963-7494"</f>
        <v>0963-7494</v>
      </c>
      <c r="E1037" t="s">
        <v>8</v>
      </c>
      <c r="F1037" t="s">
        <v>1047</v>
      </c>
      <c r="G1037">
        <v>1</v>
      </c>
    </row>
    <row r="1038" spans="1:7" x14ac:dyDescent="0.25">
      <c r="A1038">
        <v>12</v>
      </c>
      <c r="B1038" t="s">
        <v>727</v>
      </c>
      <c r="C1038">
        <v>1144</v>
      </c>
      <c r="D1038" t="str">
        <f>"0927-7633"</f>
        <v>0927-7633</v>
      </c>
      <c r="E1038" t="s">
        <v>15</v>
      </c>
      <c r="F1038" t="s">
        <v>1048</v>
      </c>
      <c r="G1038">
        <v>1</v>
      </c>
    </row>
    <row r="1039" spans="1:7" x14ac:dyDescent="0.25">
      <c r="A1039">
        <v>12</v>
      </c>
      <c r="B1039" t="s">
        <v>727</v>
      </c>
      <c r="C1039">
        <v>8713</v>
      </c>
      <c r="D1039" t="str">
        <f>"0108-1993"</f>
        <v>0108-1993</v>
      </c>
      <c r="E1039" t="s">
        <v>8</v>
      </c>
      <c r="F1039" t="s">
        <v>1049</v>
      </c>
      <c r="G1039">
        <v>1</v>
      </c>
    </row>
    <row r="1040" spans="1:7" x14ac:dyDescent="0.25">
      <c r="A1040">
        <v>12</v>
      </c>
      <c r="B1040" t="s">
        <v>727</v>
      </c>
      <c r="C1040">
        <v>4511</v>
      </c>
      <c r="D1040" t="str">
        <f>"0034-4087"</f>
        <v>0034-4087</v>
      </c>
      <c r="E1040" t="s">
        <v>8</v>
      </c>
      <c r="F1040" t="s">
        <v>1050</v>
      </c>
      <c r="G1040">
        <v>1</v>
      </c>
    </row>
    <row r="1041" spans="1:7" x14ac:dyDescent="0.25">
      <c r="A1041">
        <v>12</v>
      </c>
      <c r="B1041" t="s">
        <v>727</v>
      </c>
      <c r="C1041">
        <v>9933</v>
      </c>
      <c r="D1041" t="str">
        <f>"0034-4125"</f>
        <v>0034-4125</v>
      </c>
      <c r="E1041" t="s">
        <v>8</v>
      </c>
      <c r="F1041" t="s">
        <v>1051</v>
      </c>
      <c r="G1041">
        <v>1</v>
      </c>
    </row>
    <row r="1042" spans="1:7" x14ac:dyDescent="0.25">
      <c r="A1042">
        <v>12</v>
      </c>
      <c r="B1042" t="s">
        <v>727</v>
      </c>
      <c r="C1042">
        <v>4302</v>
      </c>
      <c r="D1042" t="str">
        <f>"1046-8064"</f>
        <v>1046-8064</v>
      </c>
      <c r="E1042" t="s">
        <v>15</v>
      </c>
      <c r="F1042" t="s">
        <v>1052</v>
      </c>
      <c r="G1042">
        <v>1</v>
      </c>
    </row>
    <row r="1043" spans="1:7" x14ac:dyDescent="0.25">
      <c r="A1043">
        <v>12</v>
      </c>
      <c r="B1043" t="s">
        <v>727</v>
      </c>
      <c r="C1043">
        <v>844</v>
      </c>
      <c r="D1043" t="str">
        <f>"1568-4857"</f>
        <v>1568-4857</v>
      </c>
      <c r="E1043" t="s">
        <v>8</v>
      </c>
      <c r="F1043" t="s">
        <v>1053</v>
      </c>
      <c r="G1043">
        <v>1</v>
      </c>
    </row>
    <row r="1044" spans="1:7" x14ac:dyDescent="0.25">
      <c r="A1044">
        <v>12</v>
      </c>
      <c r="B1044" t="s">
        <v>727</v>
      </c>
      <c r="C1044">
        <v>8782753</v>
      </c>
      <c r="D1044" t="str">
        <f>"0718-5472"</f>
        <v>0718-5472</v>
      </c>
      <c r="E1044" t="s">
        <v>15</v>
      </c>
      <c r="F1044" t="s">
        <v>1054</v>
      </c>
      <c r="G1044">
        <v>1</v>
      </c>
    </row>
    <row r="1045" spans="1:7" x14ac:dyDescent="0.25">
      <c r="A1045">
        <v>12</v>
      </c>
      <c r="B1045" t="s">
        <v>727</v>
      </c>
      <c r="C1045">
        <v>101136</v>
      </c>
      <c r="D1045" t="str">
        <f>"1016-2461"</f>
        <v>1016-2461</v>
      </c>
      <c r="E1045" t="s">
        <v>8</v>
      </c>
      <c r="F1045" t="s">
        <v>1055</v>
      </c>
      <c r="G1045">
        <v>1</v>
      </c>
    </row>
    <row r="1046" spans="1:7" x14ac:dyDescent="0.25">
      <c r="A1046">
        <v>12</v>
      </c>
      <c r="B1046" t="s">
        <v>727</v>
      </c>
      <c r="C1046">
        <v>10826</v>
      </c>
      <c r="D1046" t="str">
        <f>"0035-1725"</f>
        <v>0035-1725</v>
      </c>
      <c r="E1046" t="s">
        <v>8</v>
      </c>
      <c r="F1046" t="s">
        <v>1056</v>
      </c>
      <c r="G1046">
        <v>1</v>
      </c>
    </row>
    <row r="1047" spans="1:7" x14ac:dyDescent="0.25">
      <c r="A1047">
        <v>12</v>
      </c>
      <c r="B1047" t="s">
        <v>727</v>
      </c>
      <c r="C1047">
        <v>8508</v>
      </c>
      <c r="D1047" t="str">
        <f>"0484-8616"</f>
        <v>0484-8616</v>
      </c>
      <c r="E1047" t="s">
        <v>8</v>
      </c>
      <c r="F1047" t="s">
        <v>1057</v>
      </c>
      <c r="G1047">
        <v>1</v>
      </c>
    </row>
    <row r="1048" spans="1:7" x14ac:dyDescent="0.25">
      <c r="A1048">
        <v>12</v>
      </c>
      <c r="B1048" t="s">
        <v>727</v>
      </c>
      <c r="C1048">
        <v>23891</v>
      </c>
      <c r="D1048" t="str">
        <f>"1768-9260"</f>
        <v>1768-9260</v>
      </c>
      <c r="E1048" t="s">
        <v>8</v>
      </c>
      <c r="F1048" t="s">
        <v>1058</v>
      </c>
      <c r="G1048">
        <v>1</v>
      </c>
    </row>
    <row r="1049" spans="1:7" x14ac:dyDescent="0.25">
      <c r="A1049">
        <v>12</v>
      </c>
      <c r="B1049" t="s">
        <v>727</v>
      </c>
      <c r="C1049">
        <v>1386</v>
      </c>
      <c r="D1049" t="str">
        <f>"0035-2381"</f>
        <v>0035-2381</v>
      </c>
      <c r="E1049" t="s">
        <v>8</v>
      </c>
      <c r="F1049" t="s">
        <v>1059</v>
      </c>
      <c r="G1049">
        <v>1</v>
      </c>
    </row>
    <row r="1050" spans="1:7" x14ac:dyDescent="0.25">
      <c r="A1050">
        <v>12</v>
      </c>
      <c r="B1050" t="s">
        <v>727</v>
      </c>
      <c r="C1050">
        <v>1686</v>
      </c>
      <c r="D1050" t="str">
        <f>"0080-2654"</f>
        <v>0080-2654</v>
      </c>
      <c r="E1050" t="s">
        <v>8</v>
      </c>
      <c r="F1050" t="s">
        <v>1060</v>
      </c>
      <c r="G1050">
        <v>1</v>
      </c>
    </row>
    <row r="1051" spans="1:7" x14ac:dyDescent="0.25">
      <c r="A1051">
        <v>12</v>
      </c>
      <c r="B1051" t="s">
        <v>727</v>
      </c>
      <c r="C1051">
        <v>170070</v>
      </c>
      <c r="E1051" t="s">
        <v>15</v>
      </c>
      <c r="F1051" t="s">
        <v>1061</v>
      </c>
      <c r="G1051">
        <v>1</v>
      </c>
    </row>
    <row r="1052" spans="1:7" x14ac:dyDescent="0.25">
      <c r="A1052">
        <v>12</v>
      </c>
      <c r="B1052" t="s">
        <v>727</v>
      </c>
      <c r="C1052">
        <v>10104</v>
      </c>
      <c r="D1052" t="str">
        <f>"0035-6573"</f>
        <v>0035-6573</v>
      </c>
      <c r="E1052" t="s">
        <v>8</v>
      </c>
      <c r="F1052" t="s">
        <v>1062</v>
      </c>
      <c r="G1052">
        <v>1</v>
      </c>
    </row>
    <row r="1053" spans="1:7" x14ac:dyDescent="0.25">
      <c r="A1053">
        <v>12</v>
      </c>
      <c r="B1053" t="s">
        <v>727</v>
      </c>
      <c r="C1053">
        <v>8783494</v>
      </c>
      <c r="E1053" t="s">
        <v>15</v>
      </c>
      <c r="F1053" t="s">
        <v>1063</v>
      </c>
      <c r="G1053">
        <v>1</v>
      </c>
    </row>
    <row r="1054" spans="1:7" x14ac:dyDescent="0.25">
      <c r="A1054">
        <v>12</v>
      </c>
      <c r="B1054" t="s">
        <v>727</v>
      </c>
      <c r="C1054">
        <v>8783495</v>
      </c>
      <c r="E1054" t="s">
        <v>15</v>
      </c>
      <c r="F1054" t="s">
        <v>1064</v>
      </c>
      <c r="G1054">
        <v>1</v>
      </c>
    </row>
    <row r="1055" spans="1:7" x14ac:dyDescent="0.25">
      <c r="A1055">
        <v>12</v>
      </c>
      <c r="B1055" t="s">
        <v>727</v>
      </c>
      <c r="C1055">
        <v>7716866</v>
      </c>
      <c r="D1055" t="str">
        <f>"1861-6038"</f>
        <v>1861-6038</v>
      </c>
      <c r="E1055" t="s">
        <v>15</v>
      </c>
      <c r="F1055" t="s">
        <v>1065</v>
      </c>
      <c r="G1055">
        <v>1</v>
      </c>
    </row>
    <row r="1056" spans="1:7" x14ac:dyDescent="0.25">
      <c r="A1056">
        <v>12</v>
      </c>
      <c r="B1056" t="s">
        <v>727</v>
      </c>
      <c r="C1056">
        <v>8783496</v>
      </c>
      <c r="E1056" t="s">
        <v>15</v>
      </c>
      <c r="F1056" t="s">
        <v>1066</v>
      </c>
      <c r="G1056">
        <v>1</v>
      </c>
    </row>
    <row r="1057" spans="1:7" x14ac:dyDescent="0.25">
      <c r="A1057">
        <v>12</v>
      </c>
      <c r="B1057" t="s">
        <v>727</v>
      </c>
      <c r="C1057">
        <v>7709</v>
      </c>
      <c r="D1057" t="str">
        <f>"0036-9306"</f>
        <v>0036-9306</v>
      </c>
      <c r="E1057" t="s">
        <v>8</v>
      </c>
      <c r="F1057" t="s">
        <v>1067</v>
      </c>
      <c r="G1057">
        <v>1</v>
      </c>
    </row>
    <row r="1058" spans="1:7" x14ac:dyDescent="0.25">
      <c r="A1058">
        <v>12</v>
      </c>
      <c r="B1058" t="s">
        <v>727</v>
      </c>
      <c r="C1058">
        <v>10387</v>
      </c>
      <c r="D1058" t="str">
        <f>"0582-3226"</f>
        <v>0582-3226</v>
      </c>
      <c r="E1058" t="s">
        <v>8</v>
      </c>
      <c r="F1058" t="s">
        <v>1068</v>
      </c>
      <c r="G1058">
        <v>1</v>
      </c>
    </row>
    <row r="1059" spans="1:7" x14ac:dyDescent="0.25">
      <c r="A1059">
        <v>12</v>
      </c>
      <c r="B1059" t="s">
        <v>727</v>
      </c>
      <c r="C1059">
        <v>4950</v>
      </c>
      <c r="D1059" t="str">
        <f>"0254-1807"</f>
        <v>0254-1807</v>
      </c>
      <c r="E1059" t="s">
        <v>8</v>
      </c>
      <c r="F1059" t="s">
        <v>1069</v>
      </c>
      <c r="G1059">
        <v>1</v>
      </c>
    </row>
    <row r="1060" spans="1:7" x14ac:dyDescent="0.25">
      <c r="A1060">
        <v>12</v>
      </c>
      <c r="B1060" t="s">
        <v>727</v>
      </c>
      <c r="C1060">
        <v>10096</v>
      </c>
      <c r="D1060" t="str">
        <f>"0037-0894"</f>
        <v>0037-0894</v>
      </c>
      <c r="E1060" t="s">
        <v>8</v>
      </c>
      <c r="F1060" t="s">
        <v>1070</v>
      </c>
      <c r="G1060">
        <v>1</v>
      </c>
    </row>
    <row r="1061" spans="1:7" x14ac:dyDescent="0.25">
      <c r="A1061">
        <v>12</v>
      </c>
      <c r="B1061" t="s">
        <v>727</v>
      </c>
      <c r="C1061">
        <v>16753</v>
      </c>
      <c r="D1061" t="str">
        <f>"1567-200X"</f>
        <v>1567-200X</v>
      </c>
      <c r="E1061" t="s">
        <v>15</v>
      </c>
      <c r="F1061" t="s">
        <v>1071</v>
      </c>
      <c r="G1061">
        <v>1</v>
      </c>
    </row>
    <row r="1062" spans="1:7" x14ac:dyDescent="0.25">
      <c r="A1062">
        <v>12</v>
      </c>
      <c r="B1062" t="s">
        <v>727</v>
      </c>
      <c r="C1062">
        <v>79627</v>
      </c>
      <c r="D1062" t="str">
        <f>"0169-9911"</f>
        <v>0169-9911</v>
      </c>
      <c r="E1062" t="s">
        <v>15</v>
      </c>
      <c r="F1062" t="s">
        <v>1072</v>
      </c>
      <c r="G1062">
        <v>1</v>
      </c>
    </row>
    <row r="1063" spans="1:7" x14ac:dyDescent="0.25">
      <c r="A1063">
        <v>12</v>
      </c>
      <c r="B1063" t="s">
        <v>727</v>
      </c>
      <c r="C1063">
        <v>6276472</v>
      </c>
      <c r="D1063" t="str">
        <f>"1044-6761"</f>
        <v>1044-6761</v>
      </c>
      <c r="E1063" t="s">
        <v>15</v>
      </c>
      <c r="F1063" t="s">
        <v>1073</v>
      </c>
      <c r="G1063">
        <v>1</v>
      </c>
    </row>
    <row r="1064" spans="1:7" x14ac:dyDescent="0.25">
      <c r="A1064">
        <v>12</v>
      </c>
      <c r="B1064" t="s">
        <v>727</v>
      </c>
      <c r="C1064">
        <v>82793</v>
      </c>
      <c r="D1064" t="str">
        <f>"1572-3755"</f>
        <v>1572-3755</v>
      </c>
      <c r="E1064" t="s">
        <v>15</v>
      </c>
      <c r="F1064" t="s">
        <v>1074</v>
      </c>
      <c r="G1064">
        <v>1</v>
      </c>
    </row>
    <row r="1065" spans="1:7" x14ac:dyDescent="0.25">
      <c r="A1065">
        <v>12</v>
      </c>
      <c r="B1065" t="s">
        <v>727</v>
      </c>
      <c r="C1065">
        <v>10744</v>
      </c>
      <c r="D1065" t="str">
        <f>"0882-8539"</f>
        <v>0882-8539</v>
      </c>
      <c r="E1065" t="s">
        <v>8</v>
      </c>
      <c r="F1065" t="s">
        <v>1075</v>
      </c>
      <c r="G1065">
        <v>1</v>
      </c>
    </row>
    <row r="1066" spans="1:7" x14ac:dyDescent="0.25">
      <c r="A1066">
        <v>12</v>
      </c>
      <c r="B1066" t="s">
        <v>727</v>
      </c>
      <c r="C1066">
        <v>15452</v>
      </c>
      <c r="D1066" t="str">
        <f>"0144-8722"</f>
        <v>0144-8722</v>
      </c>
      <c r="E1066" t="s">
        <v>8</v>
      </c>
      <c r="F1066" t="s">
        <v>1076</v>
      </c>
      <c r="G1066">
        <v>1</v>
      </c>
    </row>
    <row r="1067" spans="1:7" x14ac:dyDescent="0.25">
      <c r="A1067">
        <v>12</v>
      </c>
      <c r="B1067" t="s">
        <v>727</v>
      </c>
      <c r="C1067">
        <v>12151</v>
      </c>
      <c r="D1067" t="str">
        <f>"1874-8937"</f>
        <v>1874-8937</v>
      </c>
      <c r="E1067" t="s">
        <v>8</v>
      </c>
      <c r="F1067" t="s">
        <v>1077</v>
      </c>
      <c r="G1067">
        <v>1</v>
      </c>
    </row>
    <row r="1068" spans="1:7" x14ac:dyDescent="0.25">
      <c r="A1068">
        <v>12</v>
      </c>
      <c r="B1068" t="s">
        <v>727</v>
      </c>
      <c r="C1068">
        <v>91168</v>
      </c>
      <c r="D1068" t="str">
        <f>"1385-3376"</f>
        <v>1385-3376</v>
      </c>
      <c r="E1068" t="s">
        <v>15</v>
      </c>
      <c r="F1068" t="s">
        <v>1078</v>
      </c>
      <c r="G1068">
        <v>1</v>
      </c>
    </row>
    <row r="1069" spans="1:7" x14ac:dyDescent="0.25">
      <c r="A1069">
        <v>12</v>
      </c>
      <c r="B1069" t="s">
        <v>727</v>
      </c>
      <c r="C1069">
        <v>6289367</v>
      </c>
      <c r="E1069" t="s">
        <v>15</v>
      </c>
      <c r="F1069" t="s">
        <v>1079</v>
      </c>
      <c r="G1069">
        <v>1</v>
      </c>
    </row>
    <row r="1070" spans="1:7" x14ac:dyDescent="0.25">
      <c r="A1070">
        <v>12</v>
      </c>
      <c r="B1070" t="s">
        <v>727</v>
      </c>
      <c r="C1070">
        <v>1322</v>
      </c>
      <c r="D1070" t="str">
        <f>"0169-8125"</f>
        <v>0169-8125</v>
      </c>
      <c r="E1070" t="s">
        <v>15</v>
      </c>
      <c r="F1070" t="s">
        <v>1080</v>
      </c>
      <c r="G1070">
        <v>1</v>
      </c>
    </row>
    <row r="1071" spans="1:7" x14ac:dyDescent="0.25">
      <c r="A1071">
        <v>12</v>
      </c>
      <c r="B1071" t="s">
        <v>727</v>
      </c>
      <c r="C1071">
        <v>6292280</v>
      </c>
      <c r="D1071" t="str">
        <f>"1876-6153"</f>
        <v>1876-6153</v>
      </c>
      <c r="E1071" t="s">
        <v>15</v>
      </c>
      <c r="F1071" t="s">
        <v>1081</v>
      </c>
      <c r="G1071">
        <v>1</v>
      </c>
    </row>
    <row r="1072" spans="1:7" x14ac:dyDescent="0.25">
      <c r="A1072">
        <v>12</v>
      </c>
      <c r="B1072" t="s">
        <v>727</v>
      </c>
      <c r="C1072">
        <v>76639</v>
      </c>
      <c r="D1072" t="str">
        <f>"0585-5306"</f>
        <v>0585-5306</v>
      </c>
      <c r="E1072" t="s">
        <v>15</v>
      </c>
      <c r="F1072" t="s">
        <v>1082</v>
      </c>
      <c r="G1072">
        <v>1</v>
      </c>
    </row>
    <row r="1073" spans="1:7" x14ac:dyDescent="0.25">
      <c r="A1073">
        <v>12</v>
      </c>
      <c r="B1073" t="s">
        <v>727</v>
      </c>
      <c r="C1073">
        <v>11962</v>
      </c>
      <c r="D1073" t="str">
        <f>"0039-3207"</f>
        <v>0039-3207</v>
      </c>
      <c r="E1073" t="s">
        <v>8</v>
      </c>
      <c r="F1073" t="s">
        <v>1083</v>
      </c>
      <c r="G1073">
        <v>1</v>
      </c>
    </row>
    <row r="1074" spans="1:7" x14ac:dyDescent="0.25">
      <c r="A1074">
        <v>12</v>
      </c>
      <c r="B1074" t="s">
        <v>727</v>
      </c>
      <c r="C1074">
        <v>4323</v>
      </c>
      <c r="D1074" t="str">
        <f>"0039-3258"</f>
        <v>0039-3258</v>
      </c>
      <c r="E1074" t="s">
        <v>8</v>
      </c>
      <c r="F1074" t="s">
        <v>1084</v>
      </c>
      <c r="G1074">
        <v>1</v>
      </c>
    </row>
    <row r="1075" spans="1:7" x14ac:dyDescent="0.25">
      <c r="A1075">
        <v>12</v>
      </c>
      <c r="B1075" t="s">
        <v>727</v>
      </c>
      <c r="C1075">
        <v>8224</v>
      </c>
      <c r="D1075" t="str">
        <f>"0585-542X"</f>
        <v>0585-542X</v>
      </c>
      <c r="E1075" t="s">
        <v>15</v>
      </c>
      <c r="F1075" t="s">
        <v>1085</v>
      </c>
      <c r="G1075">
        <v>1</v>
      </c>
    </row>
    <row r="1076" spans="1:7" x14ac:dyDescent="0.25">
      <c r="A1076">
        <v>12</v>
      </c>
      <c r="B1076" t="s">
        <v>727</v>
      </c>
      <c r="C1076">
        <v>2348</v>
      </c>
      <c r="D1076" t="str">
        <f>"1781-7838"</f>
        <v>1781-7838</v>
      </c>
      <c r="E1076" t="s">
        <v>8</v>
      </c>
      <c r="F1076" t="s">
        <v>1086</v>
      </c>
      <c r="G1076">
        <v>1</v>
      </c>
    </row>
    <row r="1077" spans="1:7" x14ac:dyDescent="0.25">
      <c r="A1077">
        <v>12</v>
      </c>
      <c r="B1077" t="s">
        <v>727</v>
      </c>
      <c r="C1077">
        <v>38432</v>
      </c>
      <c r="D1077" t="str">
        <f>"0081-6914"</f>
        <v>0081-6914</v>
      </c>
      <c r="E1077" t="s">
        <v>15</v>
      </c>
      <c r="F1077" t="s">
        <v>1087</v>
      </c>
      <c r="G1077">
        <v>1</v>
      </c>
    </row>
    <row r="1078" spans="1:7" x14ac:dyDescent="0.25">
      <c r="A1078">
        <v>12</v>
      </c>
      <c r="B1078" t="s">
        <v>727</v>
      </c>
      <c r="C1078">
        <v>7713008</v>
      </c>
      <c r="D1078" t="str">
        <f>"1436-3003"</f>
        <v>1436-3003</v>
      </c>
      <c r="E1078" t="s">
        <v>15</v>
      </c>
      <c r="F1078" t="s">
        <v>1088</v>
      </c>
      <c r="G1078">
        <v>1</v>
      </c>
    </row>
    <row r="1079" spans="1:7" x14ac:dyDescent="0.25">
      <c r="A1079">
        <v>12</v>
      </c>
      <c r="B1079" t="s">
        <v>727</v>
      </c>
      <c r="C1079">
        <v>70012</v>
      </c>
      <c r="D1079" t="str">
        <f>"0169-8028"</f>
        <v>0169-8028</v>
      </c>
      <c r="E1079" t="s">
        <v>15</v>
      </c>
      <c r="F1079" t="s">
        <v>1089</v>
      </c>
      <c r="G1079">
        <v>1</v>
      </c>
    </row>
    <row r="1080" spans="1:7" x14ac:dyDescent="0.25">
      <c r="A1080">
        <v>12</v>
      </c>
      <c r="B1080" t="s">
        <v>727</v>
      </c>
      <c r="C1080">
        <v>7466</v>
      </c>
      <c r="D1080" t="str">
        <f>"1611-0080"</f>
        <v>1611-0080</v>
      </c>
      <c r="E1080" t="s">
        <v>15</v>
      </c>
      <c r="F1080" t="s">
        <v>1090</v>
      </c>
      <c r="G1080">
        <v>1</v>
      </c>
    </row>
    <row r="1081" spans="1:7" x14ac:dyDescent="0.25">
      <c r="A1081">
        <v>12</v>
      </c>
      <c r="B1081" t="s">
        <v>727</v>
      </c>
      <c r="C1081">
        <v>30064</v>
      </c>
      <c r="D1081" t="str">
        <f>"0938-5924"</f>
        <v>0938-5924</v>
      </c>
      <c r="E1081" t="s">
        <v>15</v>
      </c>
      <c r="F1081" t="s">
        <v>1091</v>
      </c>
      <c r="G1081">
        <v>1</v>
      </c>
    </row>
    <row r="1082" spans="1:7" x14ac:dyDescent="0.25">
      <c r="A1082">
        <v>12</v>
      </c>
      <c r="B1082" t="s">
        <v>727</v>
      </c>
      <c r="C1082">
        <v>8783497</v>
      </c>
      <c r="E1082" t="s">
        <v>15</v>
      </c>
      <c r="F1082" t="s">
        <v>1092</v>
      </c>
      <c r="G1082">
        <v>1</v>
      </c>
    </row>
    <row r="1083" spans="1:7" x14ac:dyDescent="0.25">
      <c r="A1083">
        <v>12</v>
      </c>
      <c r="B1083" t="s">
        <v>727</v>
      </c>
      <c r="C1083">
        <v>26868</v>
      </c>
      <c r="D1083" t="str">
        <f>"0953-9468"</f>
        <v>0953-9468</v>
      </c>
      <c r="E1083" t="s">
        <v>8</v>
      </c>
      <c r="F1083" t="s">
        <v>1093</v>
      </c>
      <c r="G1083">
        <v>1</v>
      </c>
    </row>
    <row r="1084" spans="1:7" x14ac:dyDescent="0.25">
      <c r="A1084">
        <v>12</v>
      </c>
      <c r="B1084" t="s">
        <v>727</v>
      </c>
      <c r="C1084">
        <v>14401</v>
      </c>
      <c r="D1084" t="str">
        <f>"0924-9389"</f>
        <v>0924-9389</v>
      </c>
      <c r="E1084" t="s">
        <v>15</v>
      </c>
      <c r="F1084" t="s">
        <v>1094</v>
      </c>
      <c r="G1084">
        <v>1</v>
      </c>
    </row>
    <row r="1085" spans="1:7" x14ac:dyDescent="0.25">
      <c r="A1085">
        <v>12</v>
      </c>
      <c r="B1085" t="s">
        <v>727</v>
      </c>
      <c r="C1085">
        <v>153060</v>
      </c>
      <c r="E1085" t="s">
        <v>15</v>
      </c>
      <c r="F1085" t="s">
        <v>1095</v>
      </c>
      <c r="G1085">
        <v>1</v>
      </c>
    </row>
    <row r="1086" spans="1:7" x14ac:dyDescent="0.25">
      <c r="A1086">
        <v>12</v>
      </c>
      <c r="B1086" t="s">
        <v>727</v>
      </c>
      <c r="C1086">
        <v>145214</v>
      </c>
      <c r="D1086" t="str">
        <f>"0740-8625"</f>
        <v>0740-8625</v>
      </c>
      <c r="E1086" t="s">
        <v>15</v>
      </c>
      <c r="F1086" t="s">
        <v>1096</v>
      </c>
      <c r="G1086">
        <v>1</v>
      </c>
    </row>
    <row r="1087" spans="1:7" x14ac:dyDescent="0.25">
      <c r="A1087">
        <v>12</v>
      </c>
      <c r="B1087" t="s">
        <v>727</v>
      </c>
      <c r="C1087">
        <v>7700912</v>
      </c>
      <c r="D1087" t="str">
        <f>"1877-2129"</f>
        <v>1877-2129</v>
      </c>
      <c r="E1087" t="s">
        <v>15</v>
      </c>
      <c r="F1087" t="s">
        <v>1097</v>
      </c>
      <c r="G1087">
        <v>1</v>
      </c>
    </row>
    <row r="1088" spans="1:7" x14ac:dyDescent="0.25">
      <c r="A1088">
        <v>12</v>
      </c>
      <c r="B1088" t="s">
        <v>727</v>
      </c>
      <c r="C1088">
        <v>8783498</v>
      </c>
      <c r="E1088" t="s">
        <v>15</v>
      </c>
      <c r="F1088" t="s">
        <v>1098</v>
      </c>
      <c r="G1088">
        <v>1</v>
      </c>
    </row>
    <row r="1089" spans="1:7" x14ac:dyDescent="0.25">
      <c r="A1089">
        <v>12</v>
      </c>
      <c r="B1089" t="s">
        <v>727</v>
      </c>
      <c r="C1089">
        <v>59164</v>
      </c>
      <c r="D1089" t="str">
        <f>"0169-9512"</f>
        <v>0169-9512</v>
      </c>
      <c r="E1089" t="s">
        <v>15</v>
      </c>
      <c r="F1089" t="s">
        <v>1099</v>
      </c>
      <c r="G1089">
        <v>1</v>
      </c>
    </row>
    <row r="1090" spans="1:7" x14ac:dyDescent="0.25">
      <c r="A1090">
        <v>12</v>
      </c>
      <c r="B1090" t="s">
        <v>727</v>
      </c>
      <c r="C1090">
        <v>5322</v>
      </c>
      <c r="D1090" t="str">
        <f>"0926-2326"</f>
        <v>0926-2326</v>
      </c>
      <c r="E1090" t="s">
        <v>8</v>
      </c>
      <c r="F1090" t="s">
        <v>1100</v>
      </c>
      <c r="G1090">
        <v>1</v>
      </c>
    </row>
    <row r="1091" spans="1:7" x14ac:dyDescent="0.25">
      <c r="A1091">
        <v>12</v>
      </c>
      <c r="B1091" t="s">
        <v>727</v>
      </c>
      <c r="C1091">
        <v>132309</v>
      </c>
      <c r="D1091" t="str">
        <f>"1384-1130"</f>
        <v>1384-1130</v>
      </c>
      <c r="E1091" t="s">
        <v>15</v>
      </c>
      <c r="F1091" t="s">
        <v>1101</v>
      </c>
      <c r="G1091">
        <v>1</v>
      </c>
    </row>
    <row r="1092" spans="1:7" x14ac:dyDescent="0.25">
      <c r="A1092">
        <v>12</v>
      </c>
      <c r="B1092" t="s">
        <v>727</v>
      </c>
      <c r="C1092">
        <v>6293093</v>
      </c>
      <c r="E1092" t="s">
        <v>15</v>
      </c>
      <c r="F1092" t="s">
        <v>1102</v>
      </c>
      <c r="G1092">
        <v>1</v>
      </c>
    </row>
    <row r="1093" spans="1:7" x14ac:dyDescent="0.25">
      <c r="A1093">
        <v>12</v>
      </c>
      <c r="B1093" t="s">
        <v>727</v>
      </c>
      <c r="C1093">
        <v>13543</v>
      </c>
      <c r="D1093" t="str">
        <f>"1874-9895"</f>
        <v>1874-9895</v>
      </c>
      <c r="E1093" t="s">
        <v>15</v>
      </c>
      <c r="F1093" t="s">
        <v>1103</v>
      </c>
      <c r="G1093">
        <v>1</v>
      </c>
    </row>
    <row r="1094" spans="1:7" x14ac:dyDescent="0.25">
      <c r="A1094">
        <v>12</v>
      </c>
      <c r="B1094" t="s">
        <v>727</v>
      </c>
      <c r="C1094">
        <v>6293153</v>
      </c>
      <c r="D1094" t="str">
        <f>"0585-6914"</f>
        <v>0585-6914</v>
      </c>
      <c r="E1094" t="s">
        <v>15</v>
      </c>
      <c r="F1094" t="s">
        <v>1104</v>
      </c>
      <c r="G1094">
        <v>1</v>
      </c>
    </row>
    <row r="1095" spans="1:7" x14ac:dyDescent="0.25">
      <c r="A1095">
        <v>12</v>
      </c>
      <c r="B1095" t="s">
        <v>727</v>
      </c>
      <c r="C1095">
        <v>53979</v>
      </c>
      <c r="D1095" t="str">
        <f>"1573-4188"</f>
        <v>1573-4188</v>
      </c>
      <c r="E1095" t="s">
        <v>15</v>
      </c>
      <c r="F1095" t="s">
        <v>1105</v>
      </c>
      <c r="G1095">
        <v>1</v>
      </c>
    </row>
    <row r="1096" spans="1:7" x14ac:dyDescent="0.25">
      <c r="A1096">
        <v>12</v>
      </c>
      <c r="B1096" t="s">
        <v>727</v>
      </c>
      <c r="C1096">
        <v>56279</v>
      </c>
      <c r="D1096" t="str">
        <f>"1381-2025"</f>
        <v>1381-2025</v>
      </c>
      <c r="E1096" t="s">
        <v>15</v>
      </c>
      <c r="F1096" t="s">
        <v>1106</v>
      </c>
      <c r="G1096">
        <v>1</v>
      </c>
    </row>
    <row r="1097" spans="1:7" x14ac:dyDescent="0.25">
      <c r="A1097">
        <v>12</v>
      </c>
      <c r="B1097" t="s">
        <v>727</v>
      </c>
      <c r="C1097">
        <v>2174</v>
      </c>
      <c r="D1097" t="str">
        <f>"1571-4799"</f>
        <v>1571-4799</v>
      </c>
      <c r="E1097" t="s">
        <v>15</v>
      </c>
      <c r="F1097" t="s">
        <v>1107</v>
      </c>
      <c r="G1097">
        <v>1</v>
      </c>
    </row>
    <row r="1098" spans="1:7" x14ac:dyDescent="0.25">
      <c r="A1098">
        <v>12</v>
      </c>
      <c r="B1098" t="s">
        <v>727</v>
      </c>
      <c r="C1098">
        <v>1656</v>
      </c>
      <c r="D1098" t="str">
        <f>"0008-4298"</f>
        <v>0008-4298</v>
      </c>
      <c r="E1098" t="s">
        <v>8</v>
      </c>
      <c r="F1098" t="s">
        <v>1108</v>
      </c>
      <c r="G1098">
        <v>1</v>
      </c>
    </row>
    <row r="1099" spans="1:7" x14ac:dyDescent="0.25">
      <c r="A1099">
        <v>12</v>
      </c>
      <c r="B1099" t="s">
        <v>727</v>
      </c>
      <c r="C1099">
        <v>7704304</v>
      </c>
      <c r="D1099" t="str">
        <f>"1877-3192"</f>
        <v>1877-3192</v>
      </c>
      <c r="E1099" t="s">
        <v>15</v>
      </c>
      <c r="F1099" t="s">
        <v>1109</v>
      </c>
      <c r="G1099">
        <v>1</v>
      </c>
    </row>
    <row r="1100" spans="1:7" x14ac:dyDescent="0.25">
      <c r="A1100">
        <v>12</v>
      </c>
      <c r="B1100" t="s">
        <v>727</v>
      </c>
      <c r="C1100">
        <v>7380</v>
      </c>
      <c r="D1100" t="str">
        <f>"1871-7829"</f>
        <v>1871-7829</v>
      </c>
      <c r="E1100" t="s">
        <v>15</v>
      </c>
      <c r="F1100" t="s">
        <v>1110</v>
      </c>
      <c r="G1100">
        <v>1</v>
      </c>
    </row>
    <row r="1101" spans="1:7" x14ac:dyDescent="0.25">
      <c r="A1101">
        <v>12</v>
      </c>
      <c r="B1101" t="s">
        <v>727</v>
      </c>
      <c r="C1101">
        <v>9536</v>
      </c>
      <c r="D1101" t="str">
        <f>"0926-6453"</f>
        <v>0926-6453</v>
      </c>
      <c r="E1101" t="s">
        <v>8</v>
      </c>
      <c r="F1101" t="s">
        <v>1111</v>
      </c>
      <c r="G1101">
        <v>1</v>
      </c>
    </row>
    <row r="1102" spans="1:7" x14ac:dyDescent="0.25">
      <c r="A1102">
        <v>12</v>
      </c>
      <c r="B1102" t="s">
        <v>727</v>
      </c>
      <c r="C1102">
        <v>31802</v>
      </c>
      <c r="D1102" t="str">
        <f>"1572-6649"</f>
        <v>1572-6649</v>
      </c>
      <c r="E1102" t="s">
        <v>15</v>
      </c>
      <c r="F1102" t="s">
        <v>1112</v>
      </c>
      <c r="G1102">
        <v>1</v>
      </c>
    </row>
    <row r="1103" spans="1:7" x14ac:dyDescent="0.25">
      <c r="A1103">
        <v>12</v>
      </c>
      <c r="B1103" t="s">
        <v>727</v>
      </c>
      <c r="C1103">
        <v>7698961</v>
      </c>
      <c r="D1103" t="str">
        <f>"1876-1518"</f>
        <v>1876-1518</v>
      </c>
      <c r="E1103" t="s">
        <v>15</v>
      </c>
      <c r="F1103" t="s">
        <v>1113</v>
      </c>
      <c r="G1103">
        <v>1</v>
      </c>
    </row>
    <row r="1104" spans="1:7" x14ac:dyDescent="0.25">
      <c r="A1104">
        <v>12</v>
      </c>
      <c r="B1104" t="s">
        <v>727</v>
      </c>
      <c r="C1104">
        <v>2049</v>
      </c>
      <c r="D1104" t="str">
        <f>"1570-1336"</f>
        <v>1570-1336</v>
      </c>
      <c r="E1104" t="s">
        <v>15</v>
      </c>
      <c r="F1104" t="s">
        <v>1114</v>
      </c>
      <c r="G1104">
        <v>1</v>
      </c>
    </row>
    <row r="1105" spans="1:7" x14ac:dyDescent="0.25">
      <c r="A1105">
        <v>12</v>
      </c>
      <c r="B1105" t="s">
        <v>727</v>
      </c>
      <c r="C1105">
        <v>8518</v>
      </c>
      <c r="D1105" t="str">
        <f>"1573-5664"</f>
        <v>1573-5664</v>
      </c>
      <c r="E1105" t="s">
        <v>15</v>
      </c>
      <c r="F1105" t="s">
        <v>1115</v>
      </c>
      <c r="G1105">
        <v>1</v>
      </c>
    </row>
    <row r="1106" spans="1:7" x14ac:dyDescent="0.25">
      <c r="A1106">
        <v>12</v>
      </c>
      <c r="B1106" t="s">
        <v>727</v>
      </c>
      <c r="C1106">
        <v>114218</v>
      </c>
      <c r="D1106" t="str">
        <f>"1566-208X"</f>
        <v>1566-208X</v>
      </c>
      <c r="E1106" t="s">
        <v>15</v>
      </c>
      <c r="F1106" t="s">
        <v>1116</v>
      </c>
      <c r="G1106">
        <v>1</v>
      </c>
    </row>
    <row r="1107" spans="1:7" x14ac:dyDescent="0.25">
      <c r="A1107">
        <v>12</v>
      </c>
      <c r="B1107" t="s">
        <v>727</v>
      </c>
      <c r="C1107">
        <v>2509</v>
      </c>
      <c r="D1107" t="str">
        <f>"1354-9901"</f>
        <v>1354-9901</v>
      </c>
      <c r="E1107" t="s">
        <v>8</v>
      </c>
      <c r="F1107" t="s">
        <v>1117</v>
      </c>
      <c r="G1107">
        <v>1</v>
      </c>
    </row>
    <row r="1108" spans="1:7" x14ac:dyDescent="0.25">
      <c r="A1108">
        <v>12</v>
      </c>
      <c r="B1108" t="s">
        <v>727</v>
      </c>
      <c r="C1108">
        <v>19824</v>
      </c>
      <c r="D1108" t="str">
        <f>"1873-9229"</f>
        <v>1873-9229</v>
      </c>
      <c r="E1108" t="s">
        <v>15</v>
      </c>
      <c r="F1108" t="s">
        <v>1118</v>
      </c>
      <c r="G1108">
        <v>1</v>
      </c>
    </row>
    <row r="1109" spans="1:7" x14ac:dyDescent="0.25">
      <c r="A1109">
        <v>12</v>
      </c>
      <c r="B1109" t="s">
        <v>727</v>
      </c>
      <c r="C1109">
        <v>16967</v>
      </c>
      <c r="D1109" t="str">
        <f>"0169-9962"</f>
        <v>0169-9962</v>
      </c>
      <c r="E1109" t="s">
        <v>15</v>
      </c>
      <c r="F1109" t="s">
        <v>1119</v>
      </c>
      <c r="G1109">
        <v>1</v>
      </c>
    </row>
    <row r="1110" spans="1:7" x14ac:dyDescent="0.25">
      <c r="A1110">
        <v>12</v>
      </c>
      <c r="B1110" t="s">
        <v>727</v>
      </c>
      <c r="C1110">
        <v>4396</v>
      </c>
      <c r="D1110" t="str">
        <f>"1100-2298"</f>
        <v>1100-2298</v>
      </c>
      <c r="E1110" t="s">
        <v>8</v>
      </c>
      <c r="F1110" t="s">
        <v>1120</v>
      </c>
      <c r="G1110">
        <v>1</v>
      </c>
    </row>
    <row r="1111" spans="1:7" x14ac:dyDescent="0.25">
      <c r="A1111">
        <v>12</v>
      </c>
      <c r="B1111" t="s">
        <v>727</v>
      </c>
      <c r="C1111">
        <v>514</v>
      </c>
      <c r="D1111" t="str">
        <f>"0346-217X"</f>
        <v>0346-217X</v>
      </c>
      <c r="E1111" t="s">
        <v>8</v>
      </c>
      <c r="F1111" t="s">
        <v>1121</v>
      </c>
      <c r="G1111">
        <v>1</v>
      </c>
    </row>
    <row r="1112" spans="1:7" x14ac:dyDescent="0.25">
      <c r="A1112">
        <v>12</v>
      </c>
      <c r="B1112" t="s">
        <v>727</v>
      </c>
      <c r="C1112">
        <v>13408</v>
      </c>
      <c r="D1112" t="str">
        <f>"0039-6761"</f>
        <v>0039-6761</v>
      </c>
      <c r="E1112" t="s">
        <v>8</v>
      </c>
      <c r="F1112" t="s">
        <v>1122</v>
      </c>
      <c r="G1112">
        <v>1</v>
      </c>
    </row>
    <row r="1113" spans="1:7" x14ac:dyDescent="0.25">
      <c r="A1113">
        <v>12</v>
      </c>
      <c r="B1113" t="s">
        <v>727</v>
      </c>
      <c r="C1113">
        <v>7204</v>
      </c>
      <c r="D1113" t="str">
        <f>"1089-7747"</f>
        <v>1089-7747</v>
      </c>
      <c r="E1113" t="s">
        <v>8</v>
      </c>
      <c r="F1113" t="s">
        <v>1123</v>
      </c>
      <c r="G1113">
        <v>1</v>
      </c>
    </row>
    <row r="1114" spans="1:7" x14ac:dyDescent="0.25">
      <c r="A1114">
        <v>12</v>
      </c>
      <c r="B1114" t="s">
        <v>727</v>
      </c>
      <c r="C1114">
        <v>11326</v>
      </c>
      <c r="D1114" t="str">
        <f>"1368-4868"</f>
        <v>1368-4868</v>
      </c>
      <c r="E1114" t="s">
        <v>8</v>
      </c>
      <c r="F1114" t="s">
        <v>1124</v>
      </c>
      <c r="G1114">
        <v>1</v>
      </c>
    </row>
    <row r="1115" spans="1:7" x14ac:dyDescent="0.25">
      <c r="A1115">
        <v>12</v>
      </c>
      <c r="B1115" t="s">
        <v>727</v>
      </c>
      <c r="C1115">
        <v>3261</v>
      </c>
      <c r="D1115" t="str">
        <f>"1893-0263"</f>
        <v>1893-0263</v>
      </c>
      <c r="E1115" t="s">
        <v>8</v>
      </c>
      <c r="F1115" t="s">
        <v>1125</v>
      </c>
      <c r="G1115">
        <v>1</v>
      </c>
    </row>
    <row r="1116" spans="1:7" x14ac:dyDescent="0.25">
      <c r="A1116">
        <v>12</v>
      </c>
      <c r="B1116" t="s">
        <v>727</v>
      </c>
      <c r="C1116">
        <v>14370</v>
      </c>
      <c r="D1116" t="str">
        <f>"0721-8753"</f>
        <v>0721-8753</v>
      </c>
      <c r="E1116" t="s">
        <v>15</v>
      </c>
      <c r="F1116" t="s">
        <v>1126</v>
      </c>
      <c r="G1116">
        <v>1</v>
      </c>
    </row>
    <row r="1117" spans="1:7" x14ac:dyDescent="0.25">
      <c r="A1117">
        <v>12</v>
      </c>
      <c r="B1117" t="s">
        <v>727</v>
      </c>
      <c r="C1117">
        <v>4946</v>
      </c>
      <c r="D1117" t="str">
        <f>"1574-7085"</f>
        <v>1574-7085</v>
      </c>
      <c r="E1117" t="s">
        <v>15</v>
      </c>
      <c r="F1117" t="s">
        <v>1127</v>
      </c>
      <c r="G1117">
        <v>1</v>
      </c>
    </row>
    <row r="1118" spans="1:7" x14ac:dyDescent="0.25">
      <c r="A1118">
        <v>12</v>
      </c>
      <c r="B1118" t="s">
        <v>727</v>
      </c>
      <c r="C1118">
        <v>7713028</v>
      </c>
      <c r="D1118" t="str">
        <f>"0179-7891"</f>
        <v>0179-7891</v>
      </c>
      <c r="E1118" t="s">
        <v>15</v>
      </c>
      <c r="F1118" t="s">
        <v>1128</v>
      </c>
      <c r="G1118">
        <v>1</v>
      </c>
    </row>
    <row r="1119" spans="1:7" x14ac:dyDescent="0.25">
      <c r="A1119">
        <v>12</v>
      </c>
      <c r="B1119" t="s">
        <v>727</v>
      </c>
      <c r="C1119">
        <v>6302430</v>
      </c>
      <c r="D1119" t="str">
        <f>"1903-3346"</f>
        <v>1903-3346</v>
      </c>
      <c r="E1119" t="s">
        <v>15</v>
      </c>
      <c r="F1119" t="s">
        <v>1129</v>
      </c>
      <c r="G1119">
        <v>1</v>
      </c>
    </row>
    <row r="1120" spans="1:7" x14ac:dyDescent="0.25">
      <c r="A1120">
        <v>12</v>
      </c>
      <c r="B1120" t="s">
        <v>727</v>
      </c>
      <c r="C1120">
        <v>8783499</v>
      </c>
      <c r="E1120" t="s">
        <v>15</v>
      </c>
      <c r="F1120" t="s">
        <v>1130</v>
      </c>
      <c r="G1120">
        <v>1</v>
      </c>
    </row>
    <row r="1121" spans="1:7" x14ac:dyDescent="0.25">
      <c r="A1121">
        <v>12</v>
      </c>
      <c r="B1121" t="s">
        <v>727</v>
      </c>
      <c r="C1121">
        <v>6759</v>
      </c>
      <c r="D1121" t="str">
        <f>"1832-3391"</f>
        <v>1832-3391</v>
      </c>
      <c r="E1121" t="s">
        <v>8</v>
      </c>
      <c r="F1121" t="s">
        <v>1131</v>
      </c>
      <c r="G1121">
        <v>1</v>
      </c>
    </row>
    <row r="1122" spans="1:7" x14ac:dyDescent="0.25">
      <c r="A1122">
        <v>12</v>
      </c>
      <c r="B1122" t="s">
        <v>727</v>
      </c>
      <c r="C1122">
        <v>16910</v>
      </c>
      <c r="D1122" t="str">
        <f>"1542-1295"</f>
        <v>1542-1295</v>
      </c>
      <c r="E1122" t="s">
        <v>15</v>
      </c>
      <c r="F1122" t="s">
        <v>1132</v>
      </c>
      <c r="G1122">
        <v>1</v>
      </c>
    </row>
    <row r="1123" spans="1:7" x14ac:dyDescent="0.25">
      <c r="A1123">
        <v>12</v>
      </c>
      <c r="B1123" t="s">
        <v>727</v>
      </c>
      <c r="C1123">
        <v>13303</v>
      </c>
      <c r="D1123" t="str">
        <f>"1571-5000"</f>
        <v>1571-5000</v>
      </c>
      <c r="E1123" t="s">
        <v>15</v>
      </c>
      <c r="F1123" t="s">
        <v>1133</v>
      </c>
      <c r="G1123">
        <v>1</v>
      </c>
    </row>
    <row r="1124" spans="1:7" x14ac:dyDescent="0.25">
      <c r="A1124">
        <v>12</v>
      </c>
      <c r="B1124" t="s">
        <v>727</v>
      </c>
      <c r="C1124">
        <v>6161</v>
      </c>
      <c r="D1124" t="str">
        <f>"0013-0796"</f>
        <v>0013-0796</v>
      </c>
      <c r="E1124" t="s">
        <v>8</v>
      </c>
      <c r="F1124" t="s">
        <v>1134</v>
      </c>
      <c r="G1124">
        <v>1</v>
      </c>
    </row>
    <row r="1125" spans="1:7" x14ac:dyDescent="0.25">
      <c r="A1125">
        <v>12</v>
      </c>
      <c r="B1125" t="s">
        <v>727</v>
      </c>
      <c r="C1125">
        <v>12720</v>
      </c>
      <c r="D1125" t="str">
        <f>"1570-7350"</f>
        <v>1570-7350</v>
      </c>
      <c r="E1125" t="s">
        <v>15</v>
      </c>
      <c r="F1125" t="s">
        <v>1135</v>
      </c>
      <c r="G1125">
        <v>1</v>
      </c>
    </row>
    <row r="1126" spans="1:7" x14ac:dyDescent="0.25">
      <c r="A1126">
        <v>12</v>
      </c>
      <c r="B1126" t="s">
        <v>727</v>
      </c>
      <c r="C1126">
        <v>3179</v>
      </c>
      <c r="D1126" t="str">
        <f>"0021-6682"</f>
        <v>0021-6682</v>
      </c>
      <c r="E1126" t="s">
        <v>8</v>
      </c>
      <c r="F1126" t="s">
        <v>1136</v>
      </c>
      <c r="G1126">
        <v>1</v>
      </c>
    </row>
    <row r="1127" spans="1:7" x14ac:dyDescent="0.25">
      <c r="A1127">
        <v>12</v>
      </c>
      <c r="B1127" t="s">
        <v>727</v>
      </c>
      <c r="C1127">
        <v>14887</v>
      </c>
      <c r="D1127" t="str">
        <f>"1783-1555"</f>
        <v>1783-1555</v>
      </c>
      <c r="E1127" t="s">
        <v>8</v>
      </c>
      <c r="F1127" t="s">
        <v>1137</v>
      </c>
      <c r="G1127">
        <v>1</v>
      </c>
    </row>
    <row r="1128" spans="1:7" x14ac:dyDescent="0.25">
      <c r="A1128">
        <v>12</v>
      </c>
      <c r="B1128" t="s">
        <v>727</v>
      </c>
      <c r="C1128">
        <v>156482</v>
      </c>
      <c r="D1128" t="str">
        <f>"1756-4255"</f>
        <v>1756-4255</v>
      </c>
      <c r="E1128" t="s">
        <v>8</v>
      </c>
      <c r="F1128" t="s">
        <v>1138</v>
      </c>
      <c r="G1128">
        <v>1</v>
      </c>
    </row>
    <row r="1129" spans="1:7" x14ac:dyDescent="0.25">
      <c r="A1129">
        <v>12</v>
      </c>
      <c r="B1129" t="s">
        <v>727</v>
      </c>
      <c r="C1129">
        <v>7718522</v>
      </c>
      <c r="D1129" t="str">
        <f>"2034-3515"</f>
        <v>2034-3515</v>
      </c>
      <c r="E1129" t="s">
        <v>8</v>
      </c>
      <c r="F1129" t="s">
        <v>1139</v>
      </c>
      <c r="G1129">
        <v>1</v>
      </c>
    </row>
    <row r="1130" spans="1:7" x14ac:dyDescent="0.25">
      <c r="A1130">
        <v>12</v>
      </c>
      <c r="B1130" t="s">
        <v>727</v>
      </c>
      <c r="C1130">
        <v>10013</v>
      </c>
      <c r="D1130" t="str">
        <f>"0022-4189"</f>
        <v>0022-4189</v>
      </c>
      <c r="E1130" t="s">
        <v>8</v>
      </c>
      <c r="F1130" t="s">
        <v>1140</v>
      </c>
      <c r="G1130">
        <v>1</v>
      </c>
    </row>
    <row r="1131" spans="1:7" x14ac:dyDescent="0.25">
      <c r="A1131">
        <v>12</v>
      </c>
      <c r="B1131" t="s">
        <v>727</v>
      </c>
      <c r="C1131">
        <v>74191</v>
      </c>
      <c r="D1131" t="str">
        <f>"2513-8790"</f>
        <v>2513-8790</v>
      </c>
      <c r="E1131" t="s">
        <v>15</v>
      </c>
      <c r="F1131" t="s">
        <v>1141</v>
      </c>
      <c r="G1131">
        <v>1</v>
      </c>
    </row>
    <row r="1132" spans="1:7" x14ac:dyDescent="0.25">
      <c r="A1132">
        <v>12</v>
      </c>
      <c r="B1132" t="s">
        <v>727</v>
      </c>
      <c r="C1132">
        <v>14561</v>
      </c>
      <c r="D1132" t="str">
        <f>"1572-6991"</f>
        <v>1572-6991</v>
      </c>
      <c r="E1132" t="s">
        <v>8</v>
      </c>
      <c r="F1132" t="s">
        <v>1142</v>
      </c>
      <c r="G1132">
        <v>1</v>
      </c>
    </row>
    <row r="1133" spans="1:7" x14ac:dyDescent="0.25">
      <c r="A1133">
        <v>12</v>
      </c>
      <c r="B1133" t="s">
        <v>727</v>
      </c>
      <c r="C1133">
        <v>8409</v>
      </c>
      <c r="D1133" t="str">
        <f>"0027-4909"</f>
        <v>0027-4909</v>
      </c>
      <c r="E1133" t="s">
        <v>8</v>
      </c>
      <c r="F1133" t="s">
        <v>1143</v>
      </c>
      <c r="G1133">
        <v>1</v>
      </c>
    </row>
    <row r="1134" spans="1:7" x14ac:dyDescent="0.25">
      <c r="A1134">
        <v>12</v>
      </c>
      <c r="B1134" t="s">
        <v>727</v>
      </c>
      <c r="C1134">
        <v>10899</v>
      </c>
      <c r="D1134" t="str">
        <f>"1528-0268"</f>
        <v>1528-0268</v>
      </c>
      <c r="E1134" t="s">
        <v>8</v>
      </c>
      <c r="F1134" t="s">
        <v>1144</v>
      </c>
      <c r="G1134">
        <v>1</v>
      </c>
    </row>
    <row r="1135" spans="1:7" x14ac:dyDescent="0.25">
      <c r="A1135">
        <v>12</v>
      </c>
      <c r="B1135" t="s">
        <v>727</v>
      </c>
      <c r="C1135">
        <v>97808</v>
      </c>
      <c r="D1135" t="str">
        <f>"1052-4533"</f>
        <v>1052-4533</v>
      </c>
      <c r="E1135" t="s">
        <v>8</v>
      </c>
      <c r="F1135" t="s">
        <v>1145</v>
      </c>
      <c r="G1135">
        <v>1</v>
      </c>
    </row>
    <row r="1136" spans="1:7" x14ac:dyDescent="0.25">
      <c r="A1136">
        <v>12</v>
      </c>
      <c r="B1136" t="s">
        <v>727</v>
      </c>
      <c r="C1136">
        <v>8783500</v>
      </c>
      <c r="E1136" t="s">
        <v>15</v>
      </c>
      <c r="F1136" t="s">
        <v>1146</v>
      </c>
      <c r="G1136">
        <v>1</v>
      </c>
    </row>
    <row r="1137" spans="1:7" x14ac:dyDescent="0.25">
      <c r="A1137">
        <v>12</v>
      </c>
      <c r="B1137" t="s">
        <v>727</v>
      </c>
      <c r="C1137">
        <v>11487</v>
      </c>
      <c r="D1137" t="str">
        <f>"1388-3909"</f>
        <v>1388-3909</v>
      </c>
      <c r="E1137" t="s">
        <v>15</v>
      </c>
      <c r="F1137" t="s">
        <v>1147</v>
      </c>
      <c r="G1137">
        <v>1</v>
      </c>
    </row>
    <row r="1138" spans="1:7" x14ac:dyDescent="0.25">
      <c r="A1138">
        <v>12</v>
      </c>
      <c r="B1138" t="s">
        <v>727</v>
      </c>
      <c r="C1138">
        <v>13007</v>
      </c>
      <c r="D1138" t="str">
        <f>"1389-823X"</f>
        <v>1389-823X</v>
      </c>
      <c r="E1138" t="s">
        <v>15</v>
      </c>
      <c r="F1138" t="s">
        <v>1148</v>
      </c>
      <c r="G1138">
        <v>1</v>
      </c>
    </row>
    <row r="1139" spans="1:7" x14ac:dyDescent="0.25">
      <c r="A1139">
        <v>12</v>
      </c>
      <c r="B1139" t="s">
        <v>727</v>
      </c>
      <c r="C1139">
        <v>1373</v>
      </c>
      <c r="D1139" t="str">
        <f>"0040-5639"</f>
        <v>0040-5639</v>
      </c>
      <c r="E1139" t="s">
        <v>8</v>
      </c>
      <c r="F1139" t="s">
        <v>1149</v>
      </c>
      <c r="G1139">
        <v>1</v>
      </c>
    </row>
    <row r="1140" spans="1:7" x14ac:dyDescent="0.25">
      <c r="A1140">
        <v>12</v>
      </c>
      <c r="B1140" t="s">
        <v>727</v>
      </c>
      <c r="C1140">
        <v>11968</v>
      </c>
      <c r="D1140" t="str">
        <f>"0342-2372"</f>
        <v>0342-2372</v>
      </c>
      <c r="E1140" t="s">
        <v>8</v>
      </c>
      <c r="F1140" t="s">
        <v>1150</v>
      </c>
      <c r="G1140">
        <v>1</v>
      </c>
    </row>
    <row r="1141" spans="1:7" x14ac:dyDescent="0.25">
      <c r="A1141">
        <v>12</v>
      </c>
      <c r="B1141" t="s">
        <v>727</v>
      </c>
      <c r="C1141">
        <v>16673</v>
      </c>
      <c r="D1141" t="str">
        <f>"0040-5671"</f>
        <v>0040-5671</v>
      </c>
      <c r="E1141" t="s">
        <v>8</v>
      </c>
      <c r="F1141" t="s">
        <v>1151</v>
      </c>
      <c r="G1141">
        <v>1</v>
      </c>
    </row>
    <row r="1142" spans="1:7" x14ac:dyDescent="0.25">
      <c r="A1142">
        <v>12</v>
      </c>
      <c r="B1142" t="s">
        <v>727</v>
      </c>
      <c r="C1142">
        <v>9229</v>
      </c>
      <c r="D1142" t="str">
        <f>"0040-5698"</f>
        <v>0040-5698</v>
      </c>
      <c r="E1142" t="s">
        <v>8</v>
      </c>
      <c r="F1142" t="s">
        <v>1152</v>
      </c>
      <c r="G1142">
        <v>1</v>
      </c>
    </row>
    <row r="1143" spans="1:7" x14ac:dyDescent="0.25">
      <c r="A1143">
        <v>12</v>
      </c>
      <c r="B1143" t="s">
        <v>727</v>
      </c>
      <c r="C1143">
        <v>10928</v>
      </c>
      <c r="D1143" t="str">
        <f>"0040-5736"</f>
        <v>0040-5736</v>
      </c>
      <c r="E1143" t="s">
        <v>8</v>
      </c>
      <c r="F1143" t="s">
        <v>1153</v>
      </c>
      <c r="G1143">
        <v>1</v>
      </c>
    </row>
    <row r="1144" spans="1:7" x14ac:dyDescent="0.25">
      <c r="A1144">
        <v>12</v>
      </c>
      <c r="B1144" t="s">
        <v>727</v>
      </c>
      <c r="C1144">
        <v>9053</v>
      </c>
      <c r="E1144" t="s">
        <v>8</v>
      </c>
      <c r="F1144" t="s">
        <v>1154</v>
      </c>
      <c r="G1144">
        <v>1</v>
      </c>
    </row>
    <row r="1145" spans="1:7" x14ac:dyDescent="0.25">
      <c r="A1145">
        <v>12</v>
      </c>
      <c r="B1145" t="s">
        <v>727</v>
      </c>
      <c r="C1145">
        <v>543</v>
      </c>
      <c r="D1145" t="str">
        <f>"0809-4772"</f>
        <v>0809-4772</v>
      </c>
      <c r="E1145" t="s">
        <v>8</v>
      </c>
      <c r="F1145" t="s">
        <v>1155</v>
      </c>
      <c r="G1145">
        <v>1</v>
      </c>
    </row>
    <row r="1146" spans="1:7" x14ac:dyDescent="0.25">
      <c r="A1146">
        <v>12</v>
      </c>
      <c r="B1146" t="s">
        <v>727</v>
      </c>
      <c r="C1146">
        <v>2913</v>
      </c>
      <c r="D1146" t="str">
        <f>"1893-4773"</f>
        <v>1893-4773</v>
      </c>
      <c r="E1146" t="s">
        <v>8</v>
      </c>
      <c r="F1146" t="s">
        <v>1156</v>
      </c>
      <c r="G1146">
        <v>1</v>
      </c>
    </row>
    <row r="1147" spans="1:7" x14ac:dyDescent="0.25">
      <c r="A1147">
        <v>12</v>
      </c>
      <c r="B1147" t="s">
        <v>727</v>
      </c>
      <c r="C1147">
        <v>14138</v>
      </c>
      <c r="D1147" t="str">
        <f>"0333-3388"</f>
        <v>0333-3388</v>
      </c>
      <c r="E1147" t="s">
        <v>8</v>
      </c>
      <c r="F1147" t="s">
        <v>1157</v>
      </c>
      <c r="G1147">
        <v>1</v>
      </c>
    </row>
    <row r="1148" spans="1:7" x14ac:dyDescent="0.25">
      <c r="A1148">
        <v>12</v>
      </c>
      <c r="B1148" t="s">
        <v>727</v>
      </c>
      <c r="C1148">
        <v>7713092</v>
      </c>
      <c r="D1148" t="str">
        <f>"2191-7426"</f>
        <v>2191-7426</v>
      </c>
      <c r="E1148" t="s">
        <v>15</v>
      </c>
      <c r="F1148" t="s">
        <v>1158</v>
      </c>
      <c r="G1148">
        <v>1</v>
      </c>
    </row>
    <row r="1149" spans="1:7" x14ac:dyDescent="0.25">
      <c r="A1149">
        <v>12</v>
      </c>
      <c r="B1149" t="s">
        <v>727</v>
      </c>
      <c r="C1149">
        <v>51688</v>
      </c>
      <c r="D1149" t="str">
        <f>"0826-9831"</f>
        <v>0826-9831</v>
      </c>
      <c r="E1149" t="s">
        <v>8</v>
      </c>
      <c r="F1149" t="s">
        <v>1159</v>
      </c>
      <c r="G1149">
        <v>1</v>
      </c>
    </row>
    <row r="1150" spans="1:7" x14ac:dyDescent="0.25">
      <c r="A1150">
        <v>12</v>
      </c>
      <c r="B1150" t="s">
        <v>727</v>
      </c>
      <c r="C1150">
        <v>153229</v>
      </c>
      <c r="E1150" t="s">
        <v>15</v>
      </c>
      <c r="F1150" t="s">
        <v>1160</v>
      </c>
      <c r="G1150">
        <v>1</v>
      </c>
    </row>
    <row r="1151" spans="1:7" x14ac:dyDescent="0.25">
      <c r="A1151">
        <v>12</v>
      </c>
      <c r="B1151" t="s">
        <v>727</v>
      </c>
      <c r="C1151">
        <v>14961</v>
      </c>
      <c r="D1151" t="str">
        <f>"0041-0608"</f>
        <v>0041-0608</v>
      </c>
      <c r="E1151" t="s">
        <v>8</v>
      </c>
      <c r="F1151" t="s">
        <v>1161</v>
      </c>
      <c r="G1151">
        <v>1</v>
      </c>
    </row>
    <row r="1152" spans="1:7" x14ac:dyDescent="0.25">
      <c r="A1152">
        <v>12</v>
      </c>
      <c r="B1152" t="s">
        <v>727</v>
      </c>
      <c r="C1152">
        <v>14392</v>
      </c>
      <c r="D1152" t="str">
        <f>"0041-2945"</f>
        <v>0041-2945</v>
      </c>
      <c r="E1152" t="s">
        <v>8</v>
      </c>
      <c r="F1152" t="s">
        <v>1162</v>
      </c>
      <c r="G1152">
        <v>1</v>
      </c>
    </row>
    <row r="1153" spans="1:7" x14ac:dyDescent="0.25">
      <c r="A1153">
        <v>12</v>
      </c>
      <c r="B1153" t="s">
        <v>727</v>
      </c>
      <c r="C1153">
        <v>170068</v>
      </c>
      <c r="E1153" t="s">
        <v>15</v>
      </c>
      <c r="F1153" t="s">
        <v>1163</v>
      </c>
      <c r="G1153">
        <v>1</v>
      </c>
    </row>
    <row r="1154" spans="1:7" x14ac:dyDescent="0.25">
      <c r="A1154">
        <v>12</v>
      </c>
      <c r="B1154" t="s">
        <v>727</v>
      </c>
      <c r="C1154">
        <v>3777</v>
      </c>
      <c r="D1154" t="str">
        <f>"0342-2410"</f>
        <v>0342-2410</v>
      </c>
      <c r="E1154" t="s">
        <v>8</v>
      </c>
      <c r="F1154" t="s">
        <v>1164</v>
      </c>
      <c r="G1154">
        <v>1</v>
      </c>
    </row>
    <row r="1155" spans="1:7" x14ac:dyDescent="0.25">
      <c r="A1155">
        <v>12</v>
      </c>
      <c r="B1155" t="s">
        <v>727</v>
      </c>
      <c r="C1155">
        <v>8783501</v>
      </c>
      <c r="E1155" t="s">
        <v>15</v>
      </c>
      <c r="F1155" t="s">
        <v>1165</v>
      </c>
      <c r="G1155">
        <v>1</v>
      </c>
    </row>
    <row r="1156" spans="1:7" x14ac:dyDescent="0.25">
      <c r="A1156">
        <v>12</v>
      </c>
      <c r="B1156" t="s">
        <v>727</v>
      </c>
      <c r="C1156">
        <v>3137</v>
      </c>
      <c r="D1156" t="str">
        <f>"0042-6032"</f>
        <v>0042-6032</v>
      </c>
      <c r="E1156" t="s">
        <v>8</v>
      </c>
      <c r="F1156" t="s">
        <v>1166</v>
      </c>
      <c r="G1156">
        <v>1</v>
      </c>
    </row>
    <row r="1157" spans="1:7" x14ac:dyDescent="0.25">
      <c r="A1157">
        <v>12</v>
      </c>
      <c r="B1157" t="s">
        <v>727</v>
      </c>
      <c r="C1157">
        <v>14893</v>
      </c>
      <c r="D1157" t="str">
        <f>"0920-623X"</f>
        <v>0920-623X</v>
      </c>
      <c r="E1157" t="s">
        <v>15</v>
      </c>
      <c r="F1157" t="s">
        <v>1167</v>
      </c>
      <c r="G1157">
        <v>1</v>
      </c>
    </row>
    <row r="1158" spans="1:7" x14ac:dyDescent="0.25">
      <c r="A1158">
        <v>12</v>
      </c>
      <c r="B1158" t="s">
        <v>727</v>
      </c>
      <c r="C1158">
        <v>8783502</v>
      </c>
      <c r="D1158" t="str">
        <f>"2570-222X"</f>
        <v>2570-222X</v>
      </c>
      <c r="E1158" t="s">
        <v>15</v>
      </c>
      <c r="F1158" t="s">
        <v>1168</v>
      </c>
      <c r="G1158">
        <v>1</v>
      </c>
    </row>
    <row r="1159" spans="1:7" x14ac:dyDescent="0.25">
      <c r="A1159">
        <v>12</v>
      </c>
      <c r="B1159" t="s">
        <v>727</v>
      </c>
      <c r="C1159">
        <v>8783503</v>
      </c>
      <c r="D1159" t="str">
        <f>"0340-9570"</f>
        <v>0340-9570</v>
      </c>
      <c r="E1159" t="s">
        <v>15</v>
      </c>
      <c r="F1159" t="s">
        <v>1169</v>
      </c>
      <c r="G1159">
        <v>1</v>
      </c>
    </row>
    <row r="1160" spans="1:7" x14ac:dyDescent="0.25">
      <c r="A1160">
        <v>12</v>
      </c>
      <c r="B1160" t="s">
        <v>727</v>
      </c>
      <c r="C1160">
        <v>145</v>
      </c>
      <c r="D1160" t="str">
        <f>"1363-5247"</f>
        <v>1363-5247</v>
      </c>
      <c r="E1160" t="s">
        <v>8</v>
      </c>
      <c r="F1160" t="s">
        <v>1170</v>
      </c>
      <c r="G1160">
        <v>1</v>
      </c>
    </row>
    <row r="1161" spans="1:7" x14ac:dyDescent="0.25">
      <c r="A1161">
        <v>12</v>
      </c>
      <c r="B1161" t="s">
        <v>727</v>
      </c>
      <c r="C1161">
        <v>7705012</v>
      </c>
      <c r="D1161" t="str">
        <f>"1877-1432"</f>
        <v>1877-1432</v>
      </c>
      <c r="E1161" t="s">
        <v>8</v>
      </c>
      <c r="F1161" t="s">
        <v>1171</v>
      </c>
      <c r="G1161">
        <v>1</v>
      </c>
    </row>
    <row r="1162" spans="1:7" x14ac:dyDescent="0.25">
      <c r="A1162">
        <v>12</v>
      </c>
      <c r="B1162" t="s">
        <v>727</v>
      </c>
      <c r="C1162">
        <v>15515</v>
      </c>
      <c r="D1162" t="str">
        <f>"0341-0137"</f>
        <v>0341-0137</v>
      </c>
      <c r="E1162" t="s">
        <v>8</v>
      </c>
      <c r="F1162" t="s">
        <v>1172</v>
      </c>
      <c r="G1162">
        <v>1</v>
      </c>
    </row>
    <row r="1163" spans="1:7" x14ac:dyDescent="0.25">
      <c r="A1163">
        <v>12</v>
      </c>
      <c r="B1163" t="s">
        <v>727</v>
      </c>
      <c r="C1163">
        <v>4645</v>
      </c>
      <c r="D1163" t="str">
        <f>"0932-4461"</f>
        <v>0932-4461</v>
      </c>
      <c r="E1163" t="s">
        <v>8</v>
      </c>
      <c r="F1163" t="s">
        <v>1173</v>
      </c>
      <c r="G1163">
        <v>1</v>
      </c>
    </row>
    <row r="1164" spans="1:7" x14ac:dyDescent="0.25">
      <c r="A1164">
        <v>12</v>
      </c>
      <c r="B1164" t="s">
        <v>727</v>
      </c>
      <c r="C1164">
        <v>183</v>
      </c>
      <c r="D1164" t="str">
        <f>"0169-7536"</f>
        <v>0169-7536</v>
      </c>
      <c r="E1164" t="s">
        <v>8</v>
      </c>
      <c r="F1164" t="s">
        <v>1174</v>
      </c>
      <c r="G1164">
        <v>1</v>
      </c>
    </row>
    <row r="1165" spans="1:7" x14ac:dyDescent="0.25">
      <c r="A1165">
        <v>12</v>
      </c>
      <c r="B1165" t="s">
        <v>727</v>
      </c>
      <c r="C1165">
        <v>5341</v>
      </c>
      <c r="D1165" t="str">
        <f>"0044-2925"</f>
        <v>0044-2925</v>
      </c>
      <c r="E1165" t="s">
        <v>8</v>
      </c>
      <c r="F1165" t="s">
        <v>1175</v>
      </c>
      <c r="G1165">
        <v>1</v>
      </c>
    </row>
    <row r="1166" spans="1:7" x14ac:dyDescent="0.25">
      <c r="A1166">
        <v>12</v>
      </c>
      <c r="B1166" t="s">
        <v>727</v>
      </c>
      <c r="C1166">
        <v>13008</v>
      </c>
      <c r="D1166" t="str">
        <f>"0044-2674"</f>
        <v>0044-2674</v>
      </c>
      <c r="E1166" t="s">
        <v>8</v>
      </c>
      <c r="F1166" t="s">
        <v>1176</v>
      </c>
      <c r="G1166">
        <v>1</v>
      </c>
    </row>
    <row r="1167" spans="1:7" x14ac:dyDescent="0.25">
      <c r="A1167">
        <v>12</v>
      </c>
      <c r="B1167" t="s">
        <v>727</v>
      </c>
      <c r="C1167">
        <v>16553</v>
      </c>
      <c r="D1167" t="str">
        <f>"0044-2690"</f>
        <v>0044-2690</v>
      </c>
      <c r="E1167" t="s">
        <v>8</v>
      </c>
      <c r="F1167" t="s">
        <v>1177</v>
      </c>
      <c r="G1167">
        <v>1</v>
      </c>
    </row>
    <row r="1168" spans="1:7" x14ac:dyDescent="0.25">
      <c r="A1168">
        <v>12</v>
      </c>
      <c r="B1168" t="s">
        <v>727</v>
      </c>
      <c r="C1168">
        <v>24221</v>
      </c>
      <c r="D1168" t="str">
        <f>"0943-7592"</f>
        <v>0943-7592</v>
      </c>
      <c r="E1168" t="s">
        <v>8</v>
      </c>
      <c r="F1168" t="s">
        <v>1178</v>
      </c>
      <c r="G1168">
        <v>1</v>
      </c>
    </row>
    <row r="1169" spans="1:7" x14ac:dyDescent="0.25">
      <c r="A1169">
        <v>12</v>
      </c>
      <c r="B1169" t="s">
        <v>727</v>
      </c>
      <c r="C1169">
        <v>15287</v>
      </c>
      <c r="D1169" t="str">
        <f>"0044-3441"</f>
        <v>0044-3441</v>
      </c>
      <c r="E1169" t="s">
        <v>8</v>
      </c>
      <c r="F1169" t="s">
        <v>1179</v>
      </c>
      <c r="G1169">
        <v>1</v>
      </c>
    </row>
    <row r="1170" spans="1:7" x14ac:dyDescent="0.25">
      <c r="A1170">
        <v>12</v>
      </c>
      <c r="B1170" t="s">
        <v>727</v>
      </c>
      <c r="C1170">
        <v>647</v>
      </c>
      <c r="D1170" t="str">
        <f>"0943-8610"</f>
        <v>0943-8610</v>
      </c>
      <c r="E1170" t="s">
        <v>8</v>
      </c>
      <c r="F1170" t="s">
        <v>1180</v>
      </c>
      <c r="G1170">
        <v>1</v>
      </c>
    </row>
    <row r="1171" spans="1:7" x14ac:dyDescent="0.25">
      <c r="A1171">
        <v>13</v>
      </c>
      <c r="B1171" t="s">
        <v>1181</v>
      </c>
      <c r="C1171">
        <v>5869</v>
      </c>
      <c r="D1171" t="str">
        <f>"0003-0481"</f>
        <v>0003-0481</v>
      </c>
      <c r="E1171" t="s">
        <v>8</v>
      </c>
      <c r="F1171" t="s">
        <v>1182</v>
      </c>
      <c r="G1171">
        <v>2</v>
      </c>
    </row>
    <row r="1172" spans="1:7" x14ac:dyDescent="0.25">
      <c r="A1172">
        <v>13</v>
      </c>
      <c r="B1172" t="s">
        <v>1181</v>
      </c>
      <c r="C1172">
        <v>14619</v>
      </c>
      <c r="D1172" t="str">
        <f>"0003-2638"</f>
        <v>0003-2638</v>
      </c>
      <c r="E1172" t="s">
        <v>8</v>
      </c>
      <c r="F1172" t="s">
        <v>1183</v>
      </c>
      <c r="G1172">
        <v>2</v>
      </c>
    </row>
    <row r="1173" spans="1:7" x14ac:dyDescent="0.25">
      <c r="A1173">
        <v>13</v>
      </c>
      <c r="B1173" t="s">
        <v>1181</v>
      </c>
      <c r="C1173">
        <v>8568</v>
      </c>
      <c r="D1173" t="str">
        <f>"2153-9596"</f>
        <v>2153-9596</v>
      </c>
      <c r="E1173" t="s">
        <v>8</v>
      </c>
      <c r="F1173" t="s">
        <v>1184</v>
      </c>
      <c r="G1173">
        <v>2</v>
      </c>
    </row>
    <row r="1174" spans="1:7" x14ac:dyDescent="0.25">
      <c r="A1174">
        <v>13</v>
      </c>
      <c r="B1174" t="s">
        <v>1181</v>
      </c>
      <c r="C1174">
        <v>8099</v>
      </c>
      <c r="D1174" t="str">
        <f>"0740-2007"</f>
        <v>0740-2007</v>
      </c>
      <c r="E1174" t="s">
        <v>8</v>
      </c>
      <c r="F1174" t="s">
        <v>1185</v>
      </c>
      <c r="G1174">
        <v>2</v>
      </c>
    </row>
    <row r="1175" spans="1:7" x14ac:dyDescent="0.25">
      <c r="A1175">
        <v>13</v>
      </c>
      <c r="B1175" t="s">
        <v>1181</v>
      </c>
      <c r="C1175">
        <v>8950</v>
      </c>
      <c r="D1175" t="str">
        <f>"0004-8402"</f>
        <v>0004-8402</v>
      </c>
      <c r="E1175" t="s">
        <v>8</v>
      </c>
      <c r="F1175" t="s">
        <v>1186</v>
      </c>
      <c r="G1175">
        <v>2</v>
      </c>
    </row>
    <row r="1176" spans="1:7" x14ac:dyDescent="0.25">
      <c r="A1176">
        <v>13</v>
      </c>
      <c r="B1176" t="s">
        <v>1181</v>
      </c>
      <c r="C1176">
        <v>6810</v>
      </c>
      <c r="D1176" t="str">
        <f>"0269-9702"</f>
        <v>0269-9702</v>
      </c>
      <c r="E1176" t="s">
        <v>8</v>
      </c>
      <c r="F1176" t="s">
        <v>1187</v>
      </c>
      <c r="G1176">
        <v>2</v>
      </c>
    </row>
    <row r="1177" spans="1:7" x14ac:dyDescent="0.25">
      <c r="A1177">
        <v>13</v>
      </c>
      <c r="B1177" t="s">
        <v>1181</v>
      </c>
      <c r="C1177">
        <v>11101</v>
      </c>
      <c r="D1177" t="str">
        <f>"0960-8788"</f>
        <v>0960-8788</v>
      </c>
      <c r="E1177" t="s">
        <v>8</v>
      </c>
      <c r="F1177" t="s">
        <v>1188</v>
      </c>
      <c r="G1177">
        <v>2</v>
      </c>
    </row>
    <row r="1178" spans="1:7" x14ac:dyDescent="0.25">
      <c r="A1178">
        <v>13</v>
      </c>
      <c r="B1178" t="s">
        <v>1181</v>
      </c>
      <c r="C1178">
        <v>15719</v>
      </c>
      <c r="D1178" t="str">
        <f>"0045-5091"</f>
        <v>0045-5091</v>
      </c>
      <c r="E1178" t="s">
        <v>8</v>
      </c>
      <c r="F1178" t="s">
        <v>1189</v>
      </c>
      <c r="G1178">
        <v>2</v>
      </c>
    </row>
    <row r="1179" spans="1:7" x14ac:dyDescent="0.25">
      <c r="A1179">
        <v>13</v>
      </c>
      <c r="B1179" t="s">
        <v>1181</v>
      </c>
      <c r="C1179">
        <v>3452</v>
      </c>
      <c r="D1179" t="str">
        <f>"1387-2842"</f>
        <v>1387-2842</v>
      </c>
      <c r="E1179" t="s">
        <v>8</v>
      </c>
      <c r="F1179" t="s">
        <v>1190</v>
      </c>
      <c r="G1179">
        <v>2</v>
      </c>
    </row>
    <row r="1180" spans="1:7" x14ac:dyDescent="0.25">
      <c r="A1180">
        <v>13</v>
      </c>
      <c r="B1180" t="s">
        <v>1181</v>
      </c>
      <c r="C1180">
        <v>15862</v>
      </c>
      <c r="D1180" t="str">
        <f>"0012-1045"</f>
        <v>0012-1045</v>
      </c>
      <c r="E1180" t="s">
        <v>8</v>
      </c>
      <c r="F1180" t="s">
        <v>1191</v>
      </c>
      <c r="G1180">
        <v>2</v>
      </c>
    </row>
    <row r="1181" spans="1:7" x14ac:dyDescent="0.25">
      <c r="A1181">
        <v>13</v>
      </c>
      <c r="B1181" t="s">
        <v>1181</v>
      </c>
      <c r="C1181">
        <v>11447</v>
      </c>
      <c r="D1181" t="str">
        <f>"0012-2017"</f>
        <v>0012-2017</v>
      </c>
      <c r="E1181" t="s">
        <v>8</v>
      </c>
      <c r="F1181" t="s">
        <v>1192</v>
      </c>
      <c r="G1181">
        <v>2</v>
      </c>
    </row>
    <row r="1182" spans="1:7" x14ac:dyDescent="0.25">
      <c r="A1182">
        <v>13</v>
      </c>
      <c r="B1182" t="s">
        <v>1181</v>
      </c>
      <c r="C1182">
        <v>22518</v>
      </c>
      <c r="D1182" t="str">
        <f>"1742-3600"</f>
        <v>1742-3600</v>
      </c>
      <c r="E1182" t="s">
        <v>8</v>
      </c>
      <c r="F1182" t="s">
        <v>1193</v>
      </c>
      <c r="G1182">
        <v>2</v>
      </c>
    </row>
    <row r="1183" spans="1:7" x14ac:dyDescent="0.25">
      <c r="A1183">
        <v>13</v>
      </c>
      <c r="B1183" t="s">
        <v>1181</v>
      </c>
      <c r="C1183">
        <v>8780176</v>
      </c>
      <c r="E1183" t="s">
        <v>8</v>
      </c>
      <c r="F1183" t="s">
        <v>1194</v>
      </c>
      <c r="G1183">
        <v>2</v>
      </c>
    </row>
    <row r="1184" spans="1:7" x14ac:dyDescent="0.25">
      <c r="A1184">
        <v>13</v>
      </c>
      <c r="B1184" t="s">
        <v>1181</v>
      </c>
      <c r="C1184">
        <v>4558</v>
      </c>
      <c r="D1184" t="str">
        <f>"0165-0106"</f>
        <v>0165-0106</v>
      </c>
      <c r="E1184" t="s">
        <v>8</v>
      </c>
      <c r="F1184" t="s">
        <v>1195</v>
      </c>
      <c r="G1184">
        <v>2</v>
      </c>
    </row>
    <row r="1185" spans="1:7" x14ac:dyDescent="0.25">
      <c r="A1185">
        <v>13</v>
      </c>
      <c r="B1185" t="s">
        <v>1181</v>
      </c>
      <c r="C1185">
        <v>4643</v>
      </c>
      <c r="D1185" t="str">
        <f>"1386-2820"</f>
        <v>1386-2820</v>
      </c>
      <c r="E1185" t="s">
        <v>8</v>
      </c>
      <c r="F1185" t="s">
        <v>1196</v>
      </c>
      <c r="G1185">
        <v>2</v>
      </c>
    </row>
    <row r="1186" spans="1:7" x14ac:dyDescent="0.25">
      <c r="A1186">
        <v>13</v>
      </c>
      <c r="B1186" t="s">
        <v>1181</v>
      </c>
      <c r="C1186">
        <v>12336</v>
      </c>
      <c r="D1186" t="str">
        <f>"0014-1704"</f>
        <v>0014-1704</v>
      </c>
      <c r="E1186" t="s">
        <v>8</v>
      </c>
      <c r="F1186" t="s">
        <v>1197</v>
      </c>
      <c r="G1186">
        <v>2</v>
      </c>
    </row>
    <row r="1187" spans="1:7" x14ac:dyDescent="0.25">
      <c r="A1187">
        <v>13</v>
      </c>
      <c r="B1187" t="s">
        <v>1181</v>
      </c>
      <c r="C1187">
        <v>7701792</v>
      </c>
      <c r="D1187" t="str">
        <f>"1879-4912"</f>
        <v>1879-4912</v>
      </c>
      <c r="E1187" t="s">
        <v>8</v>
      </c>
      <c r="F1187" t="s">
        <v>1198</v>
      </c>
      <c r="G1187">
        <v>2</v>
      </c>
    </row>
    <row r="1188" spans="1:7" x14ac:dyDescent="0.25">
      <c r="A1188">
        <v>13</v>
      </c>
      <c r="B1188" t="s">
        <v>1181</v>
      </c>
      <c r="C1188">
        <v>1363</v>
      </c>
      <c r="D1188" t="str">
        <f>"0966-8373"</f>
        <v>0966-8373</v>
      </c>
      <c r="E1188" t="s">
        <v>8</v>
      </c>
      <c r="F1188" t="s">
        <v>1199</v>
      </c>
      <c r="G1188">
        <v>2</v>
      </c>
    </row>
    <row r="1189" spans="1:7" x14ac:dyDescent="0.25">
      <c r="A1189">
        <v>13</v>
      </c>
      <c r="B1189" t="s">
        <v>1181</v>
      </c>
      <c r="C1189">
        <v>2828</v>
      </c>
      <c r="D1189" t="str">
        <f>"0073-1587"</f>
        <v>0073-1587</v>
      </c>
      <c r="E1189" t="s">
        <v>15</v>
      </c>
      <c r="F1189" t="s">
        <v>1200</v>
      </c>
      <c r="G1189">
        <v>2</v>
      </c>
    </row>
    <row r="1190" spans="1:7" x14ac:dyDescent="0.25">
      <c r="A1190">
        <v>13</v>
      </c>
      <c r="B1190" t="s">
        <v>1181</v>
      </c>
      <c r="C1190">
        <v>11284</v>
      </c>
      <c r="D1190" t="str">
        <f>"0191-6599"</f>
        <v>0191-6599</v>
      </c>
      <c r="E1190" t="s">
        <v>8</v>
      </c>
      <c r="F1190" t="s">
        <v>1201</v>
      </c>
      <c r="G1190">
        <v>2</v>
      </c>
    </row>
    <row r="1191" spans="1:7" x14ac:dyDescent="0.25">
      <c r="A1191">
        <v>13</v>
      </c>
      <c r="B1191" t="s">
        <v>1181</v>
      </c>
      <c r="C1191">
        <v>4002</v>
      </c>
      <c r="D1191" t="str">
        <f>"0740-0675"</f>
        <v>0740-0675</v>
      </c>
      <c r="E1191" t="s">
        <v>8</v>
      </c>
      <c r="F1191" t="s">
        <v>1202</v>
      </c>
      <c r="G1191">
        <v>2</v>
      </c>
    </row>
    <row r="1192" spans="1:7" x14ac:dyDescent="0.25">
      <c r="A1192">
        <v>13</v>
      </c>
      <c r="B1192" t="s">
        <v>1181</v>
      </c>
      <c r="C1192">
        <v>7699987</v>
      </c>
      <c r="D1192" t="str">
        <f>"2152-5188"</f>
        <v>2152-5188</v>
      </c>
      <c r="E1192" t="s">
        <v>8</v>
      </c>
      <c r="F1192" t="s">
        <v>1203</v>
      </c>
      <c r="G1192">
        <v>2</v>
      </c>
    </row>
    <row r="1193" spans="1:7" x14ac:dyDescent="0.25">
      <c r="A1193">
        <v>13</v>
      </c>
      <c r="B1193" t="s">
        <v>1181</v>
      </c>
      <c r="C1193">
        <v>10318</v>
      </c>
      <c r="D1193" t="str">
        <f>"0020-174X"</f>
        <v>0020-174X</v>
      </c>
      <c r="E1193" t="s">
        <v>8</v>
      </c>
      <c r="F1193" t="s">
        <v>1204</v>
      </c>
      <c r="G1193">
        <v>2</v>
      </c>
    </row>
    <row r="1194" spans="1:7" x14ac:dyDescent="0.25">
      <c r="A1194">
        <v>13</v>
      </c>
      <c r="B1194" t="s">
        <v>1181</v>
      </c>
      <c r="C1194">
        <v>21077</v>
      </c>
      <c r="D1194" t="str">
        <f>"1749-6977"</f>
        <v>1749-6977</v>
      </c>
      <c r="E1194" t="s">
        <v>8</v>
      </c>
      <c r="F1194" t="s">
        <v>1205</v>
      </c>
      <c r="G1194">
        <v>2</v>
      </c>
    </row>
    <row r="1195" spans="1:7" x14ac:dyDescent="0.25">
      <c r="A1195">
        <v>13</v>
      </c>
      <c r="B1195" t="s">
        <v>1181</v>
      </c>
      <c r="C1195">
        <v>12253</v>
      </c>
      <c r="D1195" t="str">
        <f>"0269-8595"</f>
        <v>0269-8595</v>
      </c>
      <c r="E1195" t="s">
        <v>8</v>
      </c>
      <c r="F1195" t="s">
        <v>1206</v>
      </c>
      <c r="G1195">
        <v>2</v>
      </c>
    </row>
    <row r="1196" spans="1:7" x14ac:dyDescent="0.25">
      <c r="A1196">
        <v>13</v>
      </c>
      <c r="B1196" t="s">
        <v>1181</v>
      </c>
      <c r="C1196">
        <v>5837</v>
      </c>
      <c r="D1196" t="str">
        <f>"0925-4560"</f>
        <v>0925-4560</v>
      </c>
      <c r="E1196" t="s">
        <v>8</v>
      </c>
      <c r="F1196" t="s">
        <v>1207</v>
      </c>
      <c r="G1196">
        <v>2</v>
      </c>
    </row>
    <row r="1197" spans="1:7" x14ac:dyDescent="0.25">
      <c r="A1197">
        <v>13</v>
      </c>
      <c r="B1197" t="s">
        <v>1181</v>
      </c>
      <c r="C1197">
        <v>12755</v>
      </c>
      <c r="D1197" t="str">
        <f>"0264-3758"</f>
        <v>0264-3758</v>
      </c>
      <c r="E1197" t="s">
        <v>8</v>
      </c>
      <c r="F1197" t="s">
        <v>1208</v>
      </c>
      <c r="G1197">
        <v>2</v>
      </c>
    </row>
    <row r="1198" spans="1:7" x14ac:dyDescent="0.25">
      <c r="A1198">
        <v>13</v>
      </c>
      <c r="B1198" t="s">
        <v>1181</v>
      </c>
      <c r="C1198">
        <v>11615</v>
      </c>
      <c r="D1198" t="str">
        <f>"0306-6800"</f>
        <v>0306-6800</v>
      </c>
      <c r="E1198" t="s">
        <v>8</v>
      </c>
      <c r="F1198" t="s">
        <v>1209</v>
      </c>
      <c r="G1198">
        <v>2</v>
      </c>
    </row>
    <row r="1199" spans="1:7" x14ac:dyDescent="0.25">
      <c r="A1199">
        <v>13</v>
      </c>
      <c r="B1199" t="s">
        <v>1181</v>
      </c>
      <c r="C1199">
        <v>16705</v>
      </c>
      <c r="D1199" t="str">
        <f>"1740-4681"</f>
        <v>1740-4681</v>
      </c>
      <c r="E1199" t="s">
        <v>8</v>
      </c>
      <c r="F1199" t="s">
        <v>1210</v>
      </c>
      <c r="G1199">
        <v>2</v>
      </c>
    </row>
    <row r="1200" spans="1:7" x14ac:dyDescent="0.25">
      <c r="A1200">
        <v>13</v>
      </c>
      <c r="B1200" t="s">
        <v>1181</v>
      </c>
      <c r="C1200">
        <v>11311</v>
      </c>
      <c r="D1200" t="str">
        <f>"0022-3611"</f>
        <v>0022-3611</v>
      </c>
      <c r="E1200" t="s">
        <v>8</v>
      </c>
      <c r="F1200" t="s">
        <v>1211</v>
      </c>
      <c r="G1200">
        <v>2</v>
      </c>
    </row>
    <row r="1201" spans="1:7" x14ac:dyDescent="0.25">
      <c r="A1201">
        <v>13</v>
      </c>
      <c r="B1201" t="s">
        <v>1181</v>
      </c>
      <c r="C1201">
        <v>13011</v>
      </c>
      <c r="D1201" t="str">
        <f>"0963-8016"</f>
        <v>0963-8016</v>
      </c>
      <c r="E1201" t="s">
        <v>8</v>
      </c>
      <c r="F1201" t="s">
        <v>1212</v>
      </c>
      <c r="G1201">
        <v>2</v>
      </c>
    </row>
    <row r="1202" spans="1:7" x14ac:dyDescent="0.25">
      <c r="A1202">
        <v>13</v>
      </c>
      <c r="B1202" t="s">
        <v>1181</v>
      </c>
      <c r="C1202">
        <v>2954</v>
      </c>
      <c r="D1202" t="str">
        <f>"0022-4812"</f>
        <v>0022-4812</v>
      </c>
      <c r="E1202" t="s">
        <v>8</v>
      </c>
      <c r="F1202" t="s">
        <v>1213</v>
      </c>
      <c r="G1202">
        <v>2</v>
      </c>
    </row>
    <row r="1203" spans="1:7" x14ac:dyDescent="0.25">
      <c r="A1203">
        <v>13</v>
      </c>
      <c r="B1203" t="s">
        <v>1181</v>
      </c>
      <c r="C1203">
        <v>826</v>
      </c>
      <c r="D1203" t="str">
        <f>"0022-5037"</f>
        <v>0022-5037</v>
      </c>
      <c r="E1203" t="s">
        <v>8</v>
      </c>
      <c r="F1203" t="s">
        <v>1214</v>
      </c>
      <c r="G1203">
        <v>2</v>
      </c>
    </row>
    <row r="1204" spans="1:7" x14ac:dyDescent="0.25">
      <c r="A1204">
        <v>13</v>
      </c>
      <c r="B1204" t="s">
        <v>1181</v>
      </c>
      <c r="C1204">
        <v>13021</v>
      </c>
      <c r="D1204" t="str">
        <f>"0022-5053"</f>
        <v>0022-5053</v>
      </c>
      <c r="E1204" t="s">
        <v>8</v>
      </c>
      <c r="F1204" t="s">
        <v>1215</v>
      </c>
      <c r="G1204">
        <v>2</v>
      </c>
    </row>
    <row r="1205" spans="1:7" x14ac:dyDescent="0.25">
      <c r="A1205">
        <v>13</v>
      </c>
      <c r="B1205" t="s">
        <v>1181</v>
      </c>
      <c r="C1205">
        <v>6228</v>
      </c>
      <c r="D1205" t="str">
        <f>"0022-8877"</f>
        <v>0022-8877</v>
      </c>
      <c r="E1205" t="s">
        <v>8</v>
      </c>
      <c r="F1205" t="s">
        <v>1216</v>
      </c>
      <c r="G1205">
        <v>2</v>
      </c>
    </row>
    <row r="1206" spans="1:7" x14ac:dyDescent="0.25">
      <c r="A1206">
        <v>13</v>
      </c>
      <c r="B1206" t="s">
        <v>1181</v>
      </c>
      <c r="C1206">
        <v>16849</v>
      </c>
      <c r="D1206" t="str">
        <f>"0026-1068"</f>
        <v>0026-1068</v>
      </c>
      <c r="E1206" t="s">
        <v>8</v>
      </c>
      <c r="F1206" t="s">
        <v>1217</v>
      </c>
      <c r="G1206">
        <v>2</v>
      </c>
    </row>
    <row r="1207" spans="1:7" x14ac:dyDescent="0.25">
      <c r="A1207">
        <v>13</v>
      </c>
      <c r="B1207" t="s">
        <v>1181</v>
      </c>
      <c r="C1207">
        <v>8526</v>
      </c>
      <c r="D1207" t="str">
        <f>"0026-4423"</f>
        <v>0026-4423</v>
      </c>
      <c r="E1207" t="s">
        <v>8</v>
      </c>
      <c r="F1207" t="s">
        <v>1218</v>
      </c>
      <c r="G1207">
        <v>2</v>
      </c>
    </row>
    <row r="1208" spans="1:7" x14ac:dyDescent="0.25">
      <c r="A1208">
        <v>13</v>
      </c>
      <c r="B1208" t="s">
        <v>1181</v>
      </c>
      <c r="C1208">
        <v>14114</v>
      </c>
      <c r="D1208" t="str">
        <f>"1479-2443"</f>
        <v>1479-2443</v>
      </c>
      <c r="E1208" t="s">
        <v>8</v>
      </c>
      <c r="F1208" t="s">
        <v>1219</v>
      </c>
      <c r="G1208">
        <v>2</v>
      </c>
    </row>
    <row r="1209" spans="1:7" x14ac:dyDescent="0.25">
      <c r="A1209">
        <v>13</v>
      </c>
      <c r="B1209" t="s">
        <v>1181</v>
      </c>
      <c r="C1209">
        <v>12528</v>
      </c>
      <c r="E1209" t="s">
        <v>8</v>
      </c>
      <c r="F1209" t="s">
        <v>1220</v>
      </c>
      <c r="G1209">
        <v>2</v>
      </c>
    </row>
    <row r="1210" spans="1:7" x14ac:dyDescent="0.25">
      <c r="A1210">
        <v>13</v>
      </c>
      <c r="B1210" t="s">
        <v>1181</v>
      </c>
      <c r="C1210">
        <v>306</v>
      </c>
      <c r="D1210" t="str">
        <f>"0279-0750"</f>
        <v>0279-0750</v>
      </c>
      <c r="E1210" t="s">
        <v>8</v>
      </c>
      <c r="F1210" t="s">
        <v>1221</v>
      </c>
      <c r="G1210">
        <v>2</v>
      </c>
    </row>
    <row r="1211" spans="1:7" x14ac:dyDescent="0.25">
      <c r="A1211">
        <v>13</v>
      </c>
      <c r="B1211" t="s">
        <v>1181</v>
      </c>
      <c r="C1211">
        <v>106101</v>
      </c>
      <c r="D1211" t="str">
        <f>"0079-1350"</f>
        <v>0079-1350</v>
      </c>
      <c r="E1211" t="s">
        <v>15</v>
      </c>
      <c r="F1211" t="s">
        <v>1222</v>
      </c>
      <c r="G1211">
        <v>2</v>
      </c>
    </row>
    <row r="1212" spans="1:7" x14ac:dyDescent="0.25">
      <c r="A1212">
        <v>13</v>
      </c>
      <c r="B1212" t="s">
        <v>1181</v>
      </c>
      <c r="C1212">
        <v>16513</v>
      </c>
      <c r="D1212" t="str">
        <f>"1568-7759"</f>
        <v>1568-7759</v>
      </c>
      <c r="E1212" t="s">
        <v>8</v>
      </c>
      <c r="F1212" t="s">
        <v>1223</v>
      </c>
      <c r="G1212">
        <v>2</v>
      </c>
    </row>
    <row r="1213" spans="1:7" x14ac:dyDescent="0.25">
      <c r="A1213">
        <v>13</v>
      </c>
      <c r="B1213" t="s">
        <v>1181</v>
      </c>
      <c r="C1213">
        <v>5052</v>
      </c>
      <c r="E1213" t="s">
        <v>8</v>
      </c>
      <c r="F1213" t="s">
        <v>1224</v>
      </c>
      <c r="G1213">
        <v>2</v>
      </c>
    </row>
    <row r="1214" spans="1:7" x14ac:dyDescent="0.25">
      <c r="A1214">
        <v>13</v>
      </c>
      <c r="B1214" t="s">
        <v>1181</v>
      </c>
      <c r="C1214">
        <v>19074</v>
      </c>
      <c r="E1214" t="s">
        <v>8</v>
      </c>
      <c r="F1214" t="s">
        <v>1225</v>
      </c>
      <c r="G1214">
        <v>2</v>
      </c>
    </row>
    <row r="1215" spans="1:7" x14ac:dyDescent="0.25">
      <c r="A1215">
        <v>13</v>
      </c>
      <c r="B1215" t="s">
        <v>1181</v>
      </c>
      <c r="C1215">
        <v>8769</v>
      </c>
      <c r="E1215" t="s">
        <v>8</v>
      </c>
      <c r="F1215" t="s">
        <v>1226</v>
      </c>
      <c r="G1215">
        <v>2</v>
      </c>
    </row>
    <row r="1216" spans="1:7" x14ac:dyDescent="0.25">
      <c r="A1216">
        <v>13</v>
      </c>
      <c r="B1216" t="s">
        <v>1181</v>
      </c>
      <c r="C1216">
        <v>15370</v>
      </c>
      <c r="D1216" t="str">
        <f>"0951-5089"</f>
        <v>0951-5089</v>
      </c>
      <c r="E1216" t="s">
        <v>8</v>
      </c>
      <c r="F1216" t="s">
        <v>1227</v>
      </c>
      <c r="G1216">
        <v>2</v>
      </c>
    </row>
    <row r="1217" spans="1:7" x14ac:dyDescent="0.25">
      <c r="A1217">
        <v>13</v>
      </c>
      <c r="B1217" t="s">
        <v>1181</v>
      </c>
      <c r="C1217">
        <v>10266</v>
      </c>
      <c r="D1217" t="str">
        <f>"0031-8108"</f>
        <v>0031-8108</v>
      </c>
      <c r="E1217" t="s">
        <v>8</v>
      </c>
      <c r="F1217" t="s">
        <v>1228</v>
      </c>
      <c r="G1217">
        <v>2</v>
      </c>
    </row>
    <row r="1218" spans="1:7" x14ac:dyDescent="0.25">
      <c r="A1218">
        <v>13</v>
      </c>
      <c r="B1218" t="s">
        <v>1181</v>
      </c>
      <c r="C1218">
        <v>13991</v>
      </c>
      <c r="D1218" t="str">
        <f>"0031-8116"</f>
        <v>0031-8116</v>
      </c>
      <c r="E1218" t="s">
        <v>8</v>
      </c>
      <c r="F1218" t="s">
        <v>1229</v>
      </c>
      <c r="G1218">
        <v>2</v>
      </c>
    </row>
    <row r="1219" spans="1:7" x14ac:dyDescent="0.25">
      <c r="A1219">
        <v>13</v>
      </c>
      <c r="B1219" t="s">
        <v>1181</v>
      </c>
      <c r="C1219">
        <v>8908</v>
      </c>
      <c r="D1219" t="str">
        <f>"0276-2080"</f>
        <v>0276-2080</v>
      </c>
      <c r="E1219" t="s">
        <v>8</v>
      </c>
      <c r="F1219" t="s">
        <v>1230</v>
      </c>
      <c r="G1219">
        <v>2</v>
      </c>
    </row>
    <row r="1220" spans="1:7" x14ac:dyDescent="0.25">
      <c r="A1220">
        <v>13</v>
      </c>
      <c r="B1220" t="s">
        <v>1181</v>
      </c>
      <c r="C1220">
        <v>16916</v>
      </c>
      <c r="D1220" t="str">
        <f>"0048-3915"</f>
        <v>0048-3915</v>
      </c>
      <c r="E1220" t="s">
        <v>15</v>
      </c>
      <c r="F1220" t="s">
        <v>1231</v>
      </c>
      <c r="G1220">
        <v>2</v>
      </c>
    </row>
    <row r="1221" spans="1:7" x14ac:dyDescent="0.25">
      <c r="A1221">
        <v>13</v>
      </c>
      <c r="B1221" t="s">
        <v>1181</v>
      </c>
      <c r="C1221">
        <v>5313</v>
      </c>
      <c r="D1221" t="str">
        <f>"0191-4537"</f>
        <v>0191-4537</v>
      </c>
      <c r="E1221" t="s">
        <v>8</v>
      </c>
      <c r="F1221" t="s">
        <v>1232</v>
      </c>
      <c r="G1221">
        <v>2</v>
      </c>
    </row>
    <row r="1222" spans="1:7" x14ac:dyDescent="0.25">
      <c r="A1222">
        <v>13</v>
      </c>
      <c r="B1222" t="s">
        <v>1181</v>
      </c>
      <c r="C1222">
        <v>153005</v>
      </c>
      <c r="D1222" t="str">
        <f>"2210-5433"</f>
        <v>2210-5433</v>
      </c>
      <c r="E1222" t="s">
        <v>8</v>
      </c>
      <c r="F1222" t="s">
        <v>1233</v>
      </c>
      <c r="G1222">
        <v>2</v>
      </c>
    </row>
    <row r="1223" spans="1:7" x14ac:dyDescent="0.25">
      <c r="A1223">
        <v>13</v>
      </c>
      <c r="B1223" t="s">
        <v>1181</v>
      </c>
      <c r="C1223">
        <v>13643</v>
      </c>
      <c r="D1223" t="str">
        <f>"0190-0013"</f>
        <v>0190-0013</v>
      </c>
      <c r="E1223" t="s">
        <v>8</v>
      </c>
      <c r="F1223" t="s">
        <v>1234</v>
      </c>
      <c r="G1223">
        <v>2</v>
      </c>
    </row>
    <row r="1224" spans="1:7" x14ac:dyDescent="0.25">
      <c r="A1224">
        <v>13</v>
      </c>
      <c r="B1224" t="s">
        <v>1181</v>
      </c>
      <c r="C1224">
        <v>12545</v>
      </c>
      <c r="D1224" t="str">
        <f>"0031-8205"</f>
        <v>0031-8205</v>
      </c>
      <c r="E1224" t="s">
        <v>8</v>
      </c>
      <c r="F1224" t="s">
        <v>1235</v>
      </c>
      <c r="G1224">
        <v>2</v>
      </c>
    </row>
    <row r="1225" spans="1:7" x14ac:dyDescent="0.25">
      <c r="A1225">
        <v>13</v>
      </c>
      <c r="B1225" t="s">
        <v>1181</v>
      </c>
      <c r="C1225">
        <v>3867</v>
      </c>
      <c r="D1225" t="str">
        <f>"0031-8248"</f>
        <v>0031-8248</v>
      </c>
      <c r="E1225" t="s">
        <v>8</v>
      </c>
      <c r="F1225" t="s">
        <v>1236</v>
      </c>
      <c r="G1225">
        <v>2</v>
      </c>
    </row>
    <row r="1226" spans="1:7" x14ac:dyDescent="0.25">
      <c r="A1226">
        <v>13</v>
      </c>
      <c r="B1226" t="s">
        <v>1181</v>
      </c>
      <c r="C1226">
        <v>14224</v>
      </c>
      <c r="D1226" t="str">
        <f>"0031-8868"</f>
        <v>0031-8868</v>
      </c>
      <c r="E1226" t="s">
        <v>8</v>
      </c>
      <c r="F1226" t="s">
        <v>1237</v>
      </c>
      <c r="G1226">
        <v>2</v>
      </c>
    </row>
    <row r="1227" spans="1:7" x14ac:dyDescent="0.25">
      <c r="A1227">
        <v>13</v>
      </c>
      <c r="B1227" t="s">
        <v>1181</v>
      </c>
      <c r="C1227">
        <v>12914</v>
      </c>
      <c r="D1227" t="str">
        <f>"1470-594X"</f>
        <v>1470-594X</v>
      </c>
      <c r="E1227" t="s">
        <v>8</v>
      </c>
      <c r="F1227" t="s">
        <v>1238</v>
      </c>
      <c r="G1227">
        <v>2</v>
      </c>
    </row>
    <row r="1228" spans="1:7" x14ac:dyDescent="0.25">
      <c r="A1228">
        <v>13</v>
      </c>
      <c r="B1228" t="s">
        <v>1181</v>
      </c>
      <c r="C1228">
        <v>5334</v>
      </c>
      <c r="D1228" t="str">
        <f>"0066-7374"</f>
        <v>0066-7374</v>
      </c>
      <c r="E1228" t="s">
        <v>8</v>
      </c>
      <c r="F1228" t="s">
        <v>1239</v>
      </c>
      <c r="G1228">
        <v>2</v>
      </c>
    </row>
    <row r="1229" spans="1:7" x14ac:dyDescent="0.25">
      <c r="A1229">
        <v>13</v>
      </c>
      <c r="B1229" t="s">
        <v>1181</v>
      </c>
      <c r="C1229">
        <v>15920</v>
      </c>
      <c r="D1229" t="str">
        <f>"0309-7013"</f>
        <v>0309-7013</v>
      </c>
      <c r="E1229" t="s">
        <v>8</v>
      </c>
      <c r="F1229" t="s">
        <v>1240</v>
      </c>
      <c r="G1229">
        <v>2</v>
      </c>
    </row>
    <row r="1230" spans="1:7" x14ac:dyDescent="0.25">
      <c r="A1230">
        <v>13</v>
      </c>
      <c r="B1230" t="s">
        <v>1181</v>
      </c>
      <c r="C1230">
        <v>751</v>
      </c>
      <c r="D1230" t="str">
        <f>"0034-0006"</f>
        <v>0034-0006</v>
      </c>
      <c r="E1230" t="s">
        <v>8</v>
      </c>
      <c r="F1230" t="s">
        <v>1241</v>
      </c>
      <c r="G1230">
        <v>2</v>
      </c>
    </row>
    <row r="1231" spans="1:7" x14ac:dyDescent="0.25">
      <c r="A1231">
        <v>13</v>
      </c>
      <c r="B1231" t="s">
        <v>1181</v>
      </c>
      <c r="C1231">
        <v>8822</v>
      </c>
      <c r="D1231" t="str">
        <f>"1356-4765"</f>
        <v>1356-4765</v>
      </c>
      <c r="E1231" t="s">
        <v>8</v>
      </c>
      <c r="F1231" t="s">
        <v>1242</v>
      </c>
      <c r="G1231">
        <v>2</v>
      </c>
    </row>
    <row r="1232" spans="1:7" x14ac:dyDescent="0.25">
      <c r="A1232">
        <v>13</v>
      </c>
      <c r="B1232" t="s">
        <v>1181</v>
      </c>
      <c r="C1232">
        <v>32544</v>
      </c>
      <c r="D1232" t="str">
        <f>"1755-0203"</f>
        <v>1755-0203</v>
      </c>
      <c r="E1232" t="s">
        <v>8</v>
      </c>
      <c r="F1232" t="s">
        <v>1243</v>
      </c>
      <c r="G1232">
        <v>2</v>
      </c>
    </row>
    <row r="1233" spans="1:7" x14ac:dyDescent="0.25">
      <c r="A1233">
        <v>13</v>
      </c>
      <c r="B1233" t="s">
        <v>1181</v>
      </c>
      <c r="C1233">
        <v>688</v>
      </c>
      <c r="D1233" t="str">
        <f>"0265-0525"</f>
        <v>0265-0525</v>
      </c>
      <c r="E1233" t="s">
        <v>8</v>
      </c>
      <c r="F1233" t="s">
        <v>1244</v>
      </c>
      <c r="G1233">
        <v>2</v>
      </c>
    </row>
    <row r="1234" spans="1:7" x14ac:dyDescent="0.25">
      <c r="A1234">
        <v>13</v>
      </c>
      <c r="B1234" t="s">
        <v>1181</v>
      </c>
      <c r="C1234">
        <v>25984</v>
      </c>
      <c r="D1234" t="str">
        <f>"0037-802X"</f>
        <v>0037-802X</v>
      </c>
      <c r="E1234" t="s">
        <v>8</v>
      </c>
      <c r="F1234" t="s">
        <v>1245</v>
      </c>
      <c r="G1234">
        <v>2</v>
      </c>
    </row>
    <row r="1235" spans="1:7" x14ac:dyDescent="0.25">
      <c r="A1235">
        <v>13</v>
      </c>
      <c r="B1235" t="s">
        <v>1181</v>
      </c>
      <c r="C1235">
        <v>5540</v>
      </c>
      <c r="D1235" t="str">
        <f>"0039-7857"</f>
        <v>0039-7857</v>
      </c>
      <c r="E1235" t="s">
        <v>8</v>
      </c>
      <c r="F1235" t="s">
        <v>1246</v>
      </c>
      <c r="G1235">
        <v>2</v>
      </c>
    </row>
    <row r="1236" spans="1:7" x14ac:dyDescent="0.25">
      <c r="A1236">
        <v>13</v>
      </c>
      <c r="B1236" t="s">
        <v>1181</v>
      </c>
      <c r="C1236">
        <v>4896</v>
      </c>
      <c r="D1236" t="str">
        <f>"0007-0882"</f>
        <v>0007-0882</v>
      </c>
      <c r="E1236" t="s">
        <v>8</v>
      </c>
      <c r="F1236" t="s">
        <v>1247</v>
      </c>
      <c r="G1236">
        <v>2</v>
      </c>
    </row>
    <row r="1237" spans="1:7" x14ac:dyDescent="0.25">
      <c r="A1237">
        <v>13</v>
      </c>
      <c r="B1237" t="s">
        <v>1181</v>
      </c>
      <c r="C1237">
        <v>5222</v>
      </c>
      <c r="D1237" t="str">
        <f>"1382-4554"</f>
        <v>1382-4554</v>
      </c>
      <c r="E1237" t="s">
        <v>8</v>
      </c>
      <c r="F1237" t="s">
        <v>1248</v>
      </c>
      <c r="G1237">
        <v>2</v>
      </c>
    </row>
    <row r="1238" spans="1:7" x14ac:dyDescent="0.25">
      <c r="A1238">
        <v>13</v>
      </c>
      <c r="B1238" t="s">
        <v>1181</v>
      </c>
      <c r="C1238">
        <v>3636</v>
      </c>
      <c r="D1238" t="str">
        <f>"0360-5310"</f>
        <v>0360-5310</v>
      </c>
      <c r="E1238" t="s">
        <v>8</v>
      </c>
      <c r="F1238" t="s">
        <v>1249</v>
      </c>
      <c r="G1238">
        <v>2</v>
      </c>
    </row>
    <row r="1239" spans="1:7" x14ac:dyDescent="0.25">
      <c r="A1239">
        <v>13</v>
      </c>
      <c r="B1239" t="s">
        <v>1181</v>
      </c>
      <c r="C1239">
        <v>2492</v>
      </c>
      <c r="D1239" t="str">
        <f>"0022-362X"</f>
        <v>0022-362X</v>
      </c>
      <c r="E1239" t="s">
        <v>8</v>
      </c>
      <c r="F1239" t="s">
        <v>1250</v>
      </c>
      <c r="G1239">
        <v>2</v>
      </c>
    </row>
    <row r="1240" spans="1:7" x14ac:dyDescent="0.25">
      <c r="A1240">
        <v>13</v>
      </c>
      <c r="B1240" t="s">
        <v>1181</v>
      </c>
      <c r="C1240">
        <v>16230</v>
      </c>
      <c r="D1240" t="str">
        <f>"0026-9662"</f>
        <v>0026-9662</v>
      </c>
      <c r="E1240" t="s">
        <v>8</v>
      </c>
      <c r="F1240" t="s">
        <v>1251</v>
      </c>
      <c r="G1240">
        <v>2</v>
      </c>
    </row>
    <row r="1241" spans="1:7" x14ac:dyDescent="0.25">
      <c r="A1241">
        <v>13</v>
      </c>
      <c r="B1241" t="s">
        <v>1181</v>
      </c>
      <c r="C1241">
        <v>970</v>
      </c>
      <c r="D1241" t="str">
        <f>"0031-8094"</f>
        <v>0031-8094</v>
      </c>
      <c r="E1241" t="s">
        <v>8</v>
      </c>
      <c r="F1241" t="s">
        <v>1252</v>
      </c>
      <c r="G1241">
        <v>2</v>
      </c>
    </row>
    <row r="1242" spans="1:7" x14ac:dyDescent="0.25">
      <c r="A1242">
        <v>13</v>
      </c>
      <c r="B1242" t="s">
        <v>1181</v>
      </c>
      <c r="C1242">
        <v>7558</v>
      </c>
      <c r="D1242" t="str">
        <f>"0040-5825"</f>
        <v>0040-5825</v>
      </c>
      <c r="E1242" t="s">
        <v>8</v>
      </c>
      <c r="F1242" t="s">
        <v>1253</v>
      </c>
      <c r="G1242">
        <v>2</v>
      </c>
    </row>
    <row r="1243" spans="1:7" x14ac:dyDescent="0.25">
      <c r="A1243">
        <v>13</v>
      </c>
      <c r="B1243" t="s">
        <v>1181</v>
      </c>
      <c r="C1243">
        <v>9155</v>
      </c>
      <c r="D1243" t="str">
        <f>"0040-5817"</f>
        <v>0040-5817</v>
      </c>
      <c r="E1243" t="s">
        <v>8</v>
      </c>
      <c r="F1243" t="s">
        <v>1254</v>
      </c>
      <c r="G1243">
        <v>2</v>
      </c>
    </row>
    <row r="1244" spans="1:7" x14ac:dyDescent="0.25">
      <c r="A1244">
        <v>13</v>
      </c>
      <c r="B1244" t="s">
        <v>1181</v>
      </c>
      <c r="C1244">
        <v>7720209</v>
      </c>
      <c r="E1244" t="s">
        <v>8</v>
      </c>
      <c r="F1244" t="s">
        <v>1255</v>
      </c>
      <c r="G1244">
        <v>2</v>
      </c>
    </row>
    <row r="1245" spans="1:7" x14ac:dyDescent="0.25">
      <c r="A1245">
        <v>13</v>
      </c>
      <c r="B1245" t="s">
        <v>1181</v>
      </c>
      <c r="C1245">
        <v>5443</v>
      </c>
      <c r="D1245" t="str">
        <f>"0953-8208"</f>
        <v>0953-8208</v>
      </c>
      <c r="E1245" t="s">
        <v>8</v>
      </c>
      <c r="F1245" t="s">
        <v>1256</v>
      </c>
      <c r="G1245">
        <v>2</v>
      </c>
    </row>
    <row r="1246" spans="1:7" x14ac:dyDescent="0.25">
      <c r="A1246">
        <v>13</v>
      </c>
      <c r="B1246" t="s">
        <v>1181</v>
      </c>
      <c r="C1246">
        <v>14874</v>
      </c>
      <c r="D1246" t="str">
        <f>"0042-7543"</f>
        <v>0042-7543</v>
      </c>
      <c r="E1246" t="s">
        <v>8</v>
      </c>
      <c r="F1246" t="s">
        <v>1257</v>
      </c>
      <c r="G1246">
        <v>2</v>
      </c>
    </row>
    <row r="1247" spans="1:7" x14ac:dyDescent="0.25">
      <c r="A1247">
        <v>13</v>
      </c>
      <c r="B1247" t="s">
        <v>1181</v>
      </c>
      <c r="C1247">
        <v>27204</v>
      </c>
      <c r="D1247" t="str">
        <f>"1807-9792"</f>
        <v>1807-9792</v>
      </c>
      <c r="E1247" t="s">
        <v>8</v>
      </c>
      <c r="F1247" t="s">
        <v>1258</v>
      </c>
      <c r="G1247">
        <v>1</v>
      </c>
    </row>
    <row r="1248" spans="1:7" x14ac:dyDescent="0.25">
      <c r="A1248">
        <v>13</v>
      </c>
      <c r="B1248" t="s">
        <v>1181</v>
      </c>
      <c r="C1248">
        <v>3312</v>
      </c>
      <c r="D1248" t="str">
        <f>"0353-5150"</f>
        <v>0353-5150</v>
      </c>
      <c r="E1248" t="s">
        <v>8</v>
      </c>
      <c r="F1248" t="s">
        <v>1259</v>
      </c>
      <c r="G1248">
        <v>1</v>
      </c>
    </row>
    <row r="1249" spans="1:7" x14ac:dyDescent="0.25">
      <c r="A1249">
        <v>13</v>
      </c>
      <c r="B1249" t="s">
        <v>1181</v>
      </c>
      <c r="C1249">
        <v>39131</v>
      </c>
      <c r="D1249" t="str">
        <f>"1121-2179"</f>
        <v>1121-2179</v>
      </c>
      <c r="E1249" t="s">
        <v>8</v>
      </c>
      <c r="F1249" t="s">
        <v>1260</v>
      </c>
      <c r="G1249">
        <v>1</v>
      </c>
    </row>
    <row r="1250" spans="1:7" x14ac:dyDescent="0.25">
      <c r="A1250">
        <v>13</v>
      </c>
      <c r="B1250" t="s">
        <v>1181</v>
      </c>
      <c r="C1250">
        <v>124315</v>
      </c>
      <c r="D1250" t="str">
        <f>"1817-7417"</f>
        <v>1817-7417</v>
      </c>
      <c r="E1250" t="s">
        <v>8</v>
      </c>
      <c r="F1250" t="s">
        <v>1261</v>
      </c>
      <c r="G1250">
        <v>1</v>
      </c>
    </row>
    <row r="1251" spans="1:7" x14ac:dyDescent="0.25">
      <c r="A1251">
        <v>13</v>
      </c>
      <c r="B1251" t="s">
        <v>1181</v>
      </c>
      <c r="C1251">
        <v>4563</v>
      </c>
      <c r="E1251" t="s">
        <v>8</v>
      </c>
      <c r="F1251" t="s">
        <v>1262</v>
      </c>
      <c r="G1251">
        <v>1</v>
      </c>
    </row>
    <row r="1252" spans="1:7" x14ac:dyDescent="0.25">
      <c r="A1252">
        <v>13</v>
      </c>
      <c r="B1252" t="s">
        <v>1181</v>
      </c>
      <c r="C1252">
        <v>8783591</v>
      </c>
      <c r="E1252" t="s">
        <v>15</v>
      </c>
      <c r="F1252" t="s">
        <v>1263</v>
      </c>
      <c r="G1252">
        <v>1</v>
      </c>
    </row>
    <row r="1253" spans="1:7" x14ac:dyDescent="0.25">
      <c r="A1253">
        <v>13</v>
      </c>
      <c r="B1253" t="s">
        <v>1181</v>
      </c>
      <c r="C1253">
        <v>202</v>
      </c>
      <c r="D1253" t="str">
        <f>"0800-7136"</f>
        <v>0800-7136</v>
      </c>
      <c r="E1253" t="s">
        <v>8</v>
      </c>
      <c r="F1253" t="s">
        <v>1264</v>
      </c>
      <c r="G1253">
        <v>1</v>
      </c>
    </row>
    <row r="1254" spans="1:7" x14ac:dyDescent="0.25">
      <c r="A1254">
        <v>13</v>
      </c>
      <c r="B1254" t="s">
        <v>1181</v>
      </c>
      <c r="C1254">
        <v>27446</v>
      </c>
      <c r="D1254" t="str">
        <f>"0355-1725"</f>
        <v>0355-1725</v>
      </c>
      <c r="E1254" t="s">
        <v>8</v>
      </c>
      <c r="F1254" t="s">
        <v>1265</v>
      </c>
      <c r="G1254">
        <v>1</v>
      </c>
    </row>
    <row r="1255" spans="1:7" x14ac:dyDescent="0.25">
      <c r="A1255">
        <v>13</v>
      </c>
      <c r="B1255" t="s">
        <v>1181</v>
      </c>
      <c r="C1255">
        <v>12169</v>
      </c>
      <c r="D1255" t="str">
        <f>"0340-7969"</f>
        <v>0340-7969</v>
      </c>
      <c r="E1255" t="s">
        <v>8</v>
      </c>
      <c r="F1255" t="s">
        <v>1266</v>
      </c>
      <c r="G1255">
        <v>1</v>
      </c>
    </row>
    <row r="1256" spans="1:7" x14ac:dyDescent="0.25">
      <c r="A1256">
        <v>13</v>
      </c>
      <c r="B1256" t="s">
        <v>1181</v>
      </c>
      <c r="C1256">
        <v>6012800</v>
      </c>
      <c r="D1256" t="str">
        <f>"0716-4254"</f>
        <v>0716-4254</v>
      </c>
      <c r="E1256" t="s">
        <v>8</v>
      </c>
      <c r="F1256" t="s">
        <v>1267</v>
      </c>
      <c r="G1256">
        <v>1</v>
      </c>
    </row>
    <row r="1257" spans="1:7" x14ac:dyDescent="0.25">
      <c r="A1257">
        <v>13</v>
      </c>
      <c r="B1257" t="s">
        <v>1181</v>
      </c>
      <c r="C1257">
        <v>25307</v>
      </c>
      <c r="D1257" t="str">
        <f>"1875-0672"</f>
        <v>1875-0672</v>
      </c>
      <c r="E1257" t="s">
        <v>8</v>
      </c>
      <c r="F1257" t="s">
        <v>1268</v>
      </c>
      <c r="G1257">
        <v>1</v>
      </c>
    </row>
    <row r="1258" spans="1:7" x14ac:dyDescent="0.25">
      <c r="A1258">
        <v>13</v>
      </c>
      <c r="B1258" t="s">
        <v>1181</v>
      </c>
      <c r="C1258">
        <v>1100</v>
      </c>
      <c r="D1258" t="str">
        <f>"1051-3558"</f>
        <v>1051-3558</v>
      </c>
      <c r="E1258" t="s">
        <v>8</v>
      </c>
      <c r="F1258" t="s">
        <v>1269</v>
      </c>
      <c r="G1258">
        <v>1</v>
      </c>
    </row>
    <row r="1259" spans="1:7" x14ac:dyDescent="0.25">
      <c r="A1259">
        <v>13</v>
      </c>
      <c r="B1259" t="s">
        <v>1181</v>
      </c>
      <c r="C1259">
        <v>20010</v>
      </c>
      <c r="D1259" t="str">
        <f>"0194-3448"</f>
        <v>0194-3448</v>
      </c>
      <c r="E1259" t="s">
        <v>8</v>
      </c>
      <c r="F1259" t="s">
        <v>1270</v>
      </c>
      <c r="G1259">
        <v>1</v>
      </c>
    </row>
    <row r="1260" spans="1:7" x14ac:dyDescent="0.25">
      <c r="A1260">
        <v>13</v>
      </c>
      <c r="B1260" t="s">
        <v>1181</v>
      </c>
      <c r="C1260">
        <v>7701349</v>
      </c>
      <c r="D1260" t="str">
        <f>"1918-7351"</f>
        <v>1918-7351</v>
      </c>
      <c r="E1260" t="s">
        <v>8</v>
      </c>
      <c r="F1260" t="s">
        <v>1271</v>
      </c>
      <c r="G1260">
        <v>1</v>
      </c>
    </row>
    <row r="1261" spans="1:7" x14ac:dyDescent="0.25">
      <c r="A1261">
        <v>13</v>
      </c>
      <c r="B1261" t="s">
        <v>1181</v>
      </c>
      <c r="C1261">
        <v>5164</v>
      </c>
      <c r="D1261" t="str">
        <f>"0167-7276"</f>
        <v>0167-7276</v>
      </c>
      <c r="E1261" t="s">
        <v>15</v>
      </c>
      <c r="F1261" t="s">
        <v>1272</v>
      </c>
      <c r="G1261">
        <v>1</v>
      </c>
    </row>
    <row r="1262" spans="1:7" x14ac:dyDescent="0.25">
      <c r="A1262">
        <v>13</v>
      </c>
      <c r="B1262" t="s">
        <v>1181</v>
      </c>
      <c r="C1262">
        <v>41979</v>
      </c>
      <c r="D1262" t="str">
        <f>"0326-1301"</f>
        <v>0326-1301</v>
      </c>
      <c r="E1262" t="s">
        <v>8</v>
      </c>
      <c r="F1262" t="s">
        <v>1273</v>
      </c>
      <c r="G1262">
        <v>1</v>
      </c>
    </row>
    <row r="1263" spans="1:7" x14ac:dyDescent="0.25">
      <c r="A1263">
        <v>13</v>
      </c>
      <c r="B1263" t="s">
        <v>1181</v>
      </c>
      <c r="C1263">
        <v>6953</v>
      </c>
      <c r="D1263" t="str">
        <f>"0171-5860"</f>
        <v>0171-5860</v>
      </c>
      <c r="E1263" t="s">
        <v>8</v>
      </c>
      <c r="F1263" t="s">
        <v>1274</v>
      </c>
      <c r="G1263">
        <v>1</v>
      </c>
    </row>
    <row r="1264" spans="1:7" x14ac:dyDescent="0.25">
      <c r="A1264">
        <v>13</v>
      </c>
      <c r="B1264" t="s">
        <v>1181</v>
      </c>
      <c r="C1264">
        <v>7692246</v>
      </c>
      <c r="D1264" t="str">
        <f>"1584-8574"</f>
        <v>1584-8574</v>
      </c>
      <c r="E1264" t="s">
        <v>8</v>
      </c>
      <c r="F1264" t="s">
        <v>1275</v>
      </c>
      <c r="G1264">
        <v>1</v>
      </c>
    </row>
    <row r="1265" spans="1:7" x14ac:dyDescent="0.25">
      <c r="A1265">
        <v>13</v>
      </c>
      <c r="B1265" t="s">
        <v>1181</v>
      </c>
      <c r="C1265">
        <v>7725481</v>
      </c>
      <c r="D1265" t="str">
        <f>"2374-8257"</f>
        <v>2374-8257</v>
      </c>
      <c r="E1265" t="s">
        <v>8</v>
      </c>
      <c r="F1265" t="s">
        <v>1276</v>
      </c>
      <c r="G1265">
        <v>1</v>
      </c>
    </row>
    <row r="1266" spans="1:7" x14ac:dyDescent="0.25">
      <c r="A1266">
        <v>13</v>
      </c>
      <c r="B1266" t="s">
        <v>1181</v>
      </c>
      <c r="C1266">
        <v>269</v>
      </c>
      <c r="E1266" t="s">
        <v>8</v>
      </c>
      <c r="F1266" t="s">
        <v>1277</v>
      </c>
      <c r="G1266">
        <v>1</v>
      </c>
    </row>
    <row r="1267" spans="1:7" x14ac:dyDescent="0.25">
      <c r="A1267">
        <v>13</v>
      </c>
      <c r="B1267" t="s">
        <v>1181</v>
      </c>
      <c r="C1267">
        <v>48919</v>
      </c>
      <c r="D1267" t="str">
        <f>"0137-2025"</f>
        <v>0137-2025</v>
      </c>
      <c r="E1267" t="s">
        <v>8</v>
      </c>
      <c r="F1267" t="s">
        <v>1278</v>
      </c>
      <c r="G1267">
        <v>1</v>
      </c>
    </row>
    <row r="1268" spans="1:7" x14ac:dyDescent="0.25">
      <c r="A1268">
        <v>13</v>
      </c>
      <c r="B1268" t="s">
        <v>1181</v>
      </c>
      <c r="C1268">
        <v>17310</v>
      </c>
      <c r="D1268" t="str">
        <f>"0066-5215"</f>
        <v>0066-5215</v>
      </c>
      <c r="E1268" t="s">
        <v>8</v>
      </c>
      <c r="F1268" t="s">
        <v>1279</v>
      </c>
      <c r="G1268">
        <v>1</v>
      </c>
    </row>
    <row r="1269" spans="1:7" x14ac:dyDescent="0.25">
      <c r="A1269">
        <v>13</v>
      </c>
      <c r="B1269" t="s">
        <v>1181</v>
      </c>
      <c r="C1269">
        <v>9938</v>
      </c>
      <c r="D1269" t="str">
        <f>"1570-5838"</f>
        <v>1570-5838</v>
      </c>
      <c r="E1269" t="s">
        <v>8</v>
      </c>
      <c r="F1269" t="s">
        <v>1280</v>
      </c>
      <c r="G1269">
        <v>1</v>
      </c>
    </row>
    <row r="1270" spans="1:7" x14ac:dyDescent="0.25">
      <c r="A1270">
        <v>13</v>
      </c>
      <c r="B1270" t="s">
        <v>1181</v>
      </c>
      <c r="C1270">
        <v>170404</v>
      </c>
      <c r="D1270" t="str">
        <f>"2245-313X"</f>
        <v>2245-313X</v>
      </c>
      <c r="E1270" t="s">
        <v>15</v>
      </c>
      <c r="F1270" t="s">
        <v>1281</v>
      </c>
      <c r="G1270">
        <v>1</v>
      </c>
    </row>
    <row r="1271" spans="1:7" x14ac:dyDescent="0.25">
      <c r="A1271">
        <v>13</v>
      </c>
      <c r="B1271" t="s">
        <v>1181</v>
      </c>
      <c r="C1271">
        <v>382</v>
      </c>
      <c r="D1271" t="str">
        <f>"0957-4239"</f>
        <v>0957-4239</v>
      </c>
      <c r="E1271" t="s">
        <v>8</v>
      </c>
      <c r="F1271" t="s">
        <v>1282</v>
      </c>
      <c r="G1271">
        <v>1</v>
      </c>
    </row>
    <row r="1272" spans="1:7" x14ac:dyDescent="0.25">
      <c r="A1272">
        <v>13</v>
      </c>
      <c r="B1272" t="s">
        <v>1181</v>
      </c>
      <c r="C1272">
        <v>9561</v>
      </c>
      <c r="D1272" t="str">
        <f>"0003-8946"</f>
        <v>0003-8946</v>
      </c>
      <c r="E1272" t="s">
        <v>8</v>
      </c>
      <c r="F1272" t="s">
        <v>1283</v>
      </c>
      <c r="G1272">
        <v>1</v>
      </c>
    </row>
    <row r="1273" spans="1:7" x14ac:dyDescent="0.25">
      <c r="A1273">
        <v>13</v>
      </c>
      <c r="B1273" t="s">
        <v>1181</v>
      </c>
      <c r="C1273">
        <v>15347</v>
      </c>
      <c r="D1273" t="str">
        <f>"0001-2343"</f>
        <v>0001-2343</v>
      </c>
      <c r="E1273" t="s">
        <v>8</v>
      </c>
      <c r="F1273" t="s">
        <v>1284</v>
      </c>
      <c r="G1273">
        <v>1</v>
      </c>
    </row>
    <row r="1274" spans="1:7" x14ac:dyDescent="0.25">
      <c r="A1274">
        <v>13</v>
      </c>
      <c r="B1274" t="s">
        <v>1181</v>
      </c>
      <c r="C1274">
        <v>8242</v>
      </c>
      <c r="D1274" t="str">
        <f>"0003-9632"</f>
        <v>0003-9632</v>
      </c>
      <c r="E1274" t="s">
        <v>8</v>
      </c>
      <c r="F1274" t="s">
        <v>1285</v>
      </c>
      <c r="G1274">
        <v>1</v>
      </c>
    </row>
    <row r="1275" spans="1:7" x14ac:dyDescent="0.25">
      <c r="A1275">
        <v>13</v>
      </c>
      <c r="B1275" t="s">
        <v>1181</v>
      </c>
      <c r="C1275">
        <v>6021863</v>
      </c>
      <c r="D1275" t="str">
        <f>"1946-2166"</f>
        <v>1946-2166</v>
      </c>
      <c r="E1275" t="s">
        <v>8</v>
      </c>
      <c r="F1275" t="s">
        <v>1286</v>
      </c>
      <c r="G1275">
        <v>1</v>
      </c>
    </row>
    <row r="1276" spans="1:7" x14ac:dyDescent="0.25">
      <c r="A1276">
        <v>13</v>
      </c>
      <c r="B1276" t="s">
        <v>1181</v>
      </c>
      <c r="C1276">
        <v>7720191</v>
      </c>
      <c r="D1276" t="str">
        <f>"2210-6723"</f>
        <v>2210-6723</v>
      </c>
      <c r="E1276" t="s">
        <v>8</v>
      </c>
      <c r="F1276" t="s">
        <v>1287</v>
      </c>
      <c r="G1276">
        <v>1</v>
      </c>
    </row>
    <row r="1277" spans="1:7" x14ac:dyDescent="0.25">
      <c r="A1277">
        <v>13</v>
      </c>
      <c r="B1277" t="s">
        <v>1181</v>
      </c>
      <c r="C1277">
        <v>15301</v>
      </c>
      <c r="D1277" t="str">
        <f>"0955-2367"</f>
        <v>0955-2367</v>
      </c>
      <c r="E1277" t="s">
        <v>8</v>
      </c>
      <c r="F1277" t="s">
        <v>1288</v>
      </c>
      <c r="G1277">
        <v>1</v>
      </c>
    </row>
    <row r="1278" spans="1:7" x14ac:dyDescent="0.25">
      <c r="A1278">
        <v>13</v>
      </c>
      <c r="B1278" t="s">
        <v>1181</v>
      </c>
      <c r="C1278">
        <v>40445</v>
      </c>
      <c r="E1278" t="s">
        <v>8</v>
      </c>
      <c r="F1278" t="s">
        <v>1289</v>
      </c>
      <c r="G1278">
        <v>1</v>
      </c>
    </row>
    <row r="1279" spans="1:7" x14ac:dyDescent="0.25">
      <c r="A1279">
        <v>13</v>
      </c>
      <c r="B1279" t="s">
        <v>1181</v>
      </c>
      <c r="C1279">
        <v>3643</v>
      </c>
      <c r="D1279" t="str">
        <f>"0094-5323"</f>
        <v>0094-5323</v>
      </c>
      <c r="E1279" t="s">
        <v>8</v>
      </c>
      <c r="F1279" t="s">
        <v>1290</v>
      </c>
      <c r="G1279">
        <v>1</v>
      </c>
    </row>
    <row r="1280" spans="1:7" x14ac:dyDescent="0.25">
      <c r="A1280">
        <v>13</v>
      </c>
      <c r="B1280" t="s">
        <v>1181</v>
      </c>
      <c r="C1280">
        <v>14323</v>
      </c>
      <c r="D1280" t="str">
        <f>"0004-8011"</f>
        <v>0004-8011</v>
      </c>
      <c r="E1280" t="s">
        <v>8</v>
      </c>
      <c r="F1280" t="s">
        <v>1291</v>
      </c>
      <c r="G1280">
        <v>1</v>
      </c>
    </row>
    <row r="1281" spans="1:7" x14ac:dyDescent="0.25">
      <c r="A1281">
        <v>13</v>
      </c>
      <c r="B1281" t="s">
        <v>1181</v>
      </c>
      <c r="C1281">
        <v>63354</v>
      </c>
      <c r="D1281" t="str">
        <f>"1440-4982"</f>
        <v>1440-4982</v>
      </c>
      <c r="E1281" t="s">
        <v>8</v>
      </c>
      <c r="F1281" t="s">
        <v>1292</v>
      </c>
      <c r="G1281">
        <v>1</v>
      </c>
    </row>
    <row r="1282" spans="1:7" x14ac:dyDescent="0.25">
      <c r="A1282">
        <v>13</v>
      </c>
      <c r="B1282" t="s">
        <v>1181</v>
      </c>
      <c r="C1282">
        <v>170083</v>
      </c>
      <c r="D1282" t="str">
        <f>"2082-6710"</f>
        <v>2082-6710</v>
      </c>
      <c r="E1282" t="s">
        <v>8</v>
      </c>
      <c r="F1282" t="s">
        <v>1293</v>
      </c>
      <c r="G1282">
        <v>1</v>
      </c>
    </row>
    <row r="1283" spans="1:7" x14ac:dyDescent="0.25">
      <c r="A1283">
        <v>13</v>
      </c>
      <c r="B1283" t="s">
        <v>1181</v>
      </c>
      <c r="C1283">
        <v>74437</v>
      </c>
      <c r="D1283" t="str">
        <f>"0213-3563"</f>
        <v>0213-3563</v>
      </c>
      <c r="E1283" t="s">
        <v>8</v>
      </c>
      <c r="F1283" t="s">
        <v>1294</v>
      </c>
      <c r="G1283">
        <v>1</v>
      </c>
    </row>
    <row r="1284" spans="1:7" x14ac:dyDescent="0.25">
      <c r="A1284">
        <v>13</v>
      </c>
      <c r="B1284" t="s">
        <v>1181</v>
      </c>
      <c r="C1284">
        <v>8783592</v>
      </c>
      <c r="E1284" t="s">
        <v>15</v>
      </c>
      <c r="F1284" t="s">
        <v>1295</v>
      </c>
      <c r="G1284">
        <v>1</v>
      </c>
    </row>
    <row r="1285" spans="1:7" x14ac:dyDescent="0.25">
      <c r="A1285">
        <v>13</v>
      </c>
      <c r="B1285" t="s">
        <v>1181</v>
      </c>
      <c r="C1285">
        <v>24481</v>
      </c>
      <c r="D1285" t="str">
        <f>"1555-5542"</f>
        <v>1555-5542</v>
      </c>
      <c r="E1285" t="s">
        <v>8</v>
      </c>
      <c r="F1285" t="s">
        <v>1296</v>
      </c>
      <c r="G1285">
        <v>1</v>
      </c>
    </row>
    <row r="1286" spans="1:7" x14ac:dyDescent="0.25">
      <c r="A1286">
        <v>13</v>
      </c>
      <c r="B1286" t="s">
        <v>1181</v>
      </c>
      <c r="C1286">
        <v>8783593</v>
      </c>
      <c r="E1286" t="s">
        <v>15</v>
      </c>
      <c r="F1286" t="s">
        <v>1297</v>
      </c>
      <c r="G1286">
        <v>1</v>
      </c>
    </row>
    <row r="1287" spans="1:7" x14ac:dyDescent="0.25">
      <c r="A1287">
        <v>13</v>
      </c>
      <c r="B1287" t="s">
        <v>1181</v>
      </c>
      <c r="C1287">
        <v>14245</v>
      </c>
      <c r="D1287" t="str">
        <f>"1384-668X"</f>
        <v>1384-668X</v>
      </c>
      <c r="E1287" t="s">
        <v>15</v>
      </c>
      <c r="F1287" t="s">
        <v>1298</v>
      </c>
      <c r="G1287">
        <v>1</v>
      </c>
    </row>
    <row r="1288" spans="1:7" x14ac:dyDescent="0.25">
      <c r="A1288">
        <v>13</v>
      </c>
      <c r="B1288" t="s">
        <v>1181</v>
      </c>
      <c r="C1288">
        <v>47952</v>
      </c>
      <c r="D1288" t="str">
        <f>"1782-2041"</f>
        <v>1782-2041</v>
      </c>
      <c r="E1288" t="s">
        <v>8</v>
      </c>
      <c r="F1288" t="s">
        <v>1299</v>
      </c>
      <c r="G1288">
        <v>1</v>
      </c>
    </row>
    <row r="1289" spans="1:7" x14ac:dyDescent="0.25">
      <c r="A1289">
        <v>13</v>
      </c>
      <c r="B1289" t="s">
        <v>1181</v>
      </c>
      <c r="C1289">
        <v>144630</v>
      </c>
      <c r="D1289" t="str">
        <f>"0068-4023"</f>
        <v>0068-4023</v>
      </c>
      <c r="E1289" t="s">
        <v>8</v>
      </c>
      <c r="F1289" t="s">
        <v>1300</v>
      </c>
      <c r="G1289">
        <v>1</v>
      </c>
    </row>
    <row r="1290" spans="1:7" x14ac:dyDescent="0.25">
      <c r="A1290">
        <v>13</v>
      </c>
      <c r="B1290" t="s">
        <v>1181</v>
      </c>
      <c r="C1290">
        <v>27632</v>
      </c>
      <c r="D1290" t="str">
        <f>"0138-0680"</f>
        <v>0138-0680</v>
      </c>
      <c r="E1290" t="s">
        <v>8</v>
      </c>
      <c r="F1290" t="s">
        <v>1301</v>
      </c>
      <c r="G1290">
        <v>1</v>
      </c>
    </row>
    <row r="1291" spans="1:7" x14ac:dyDescent="0.25">
      <c r="A1291">
        <v>13</v>
      </c>
      <c r="B1291" t="s">
        <v>1181</v>
      </c>
      <c r="C1291">
        <v>7734264</v>
      </c>
      <c r="D1291" t="str">
        <f>"2178-5880"</f>
        <v>2178-5880</v>
      </c>
      <c r="E1291" t="s">
        <v>8</v>
      </c>
      <c r="F1291" t="s">
        <v>1302</v>
      </c>
      <c r="G1291">
        <v>1</v>
      </c>
    </row>
    <row r="1292" spans="1:7" x14ac:dyDescent="0.25">
      <c r="A1292">
        <v>13</v>
      </c>
      <c r="B1292" t="s">
        <v>1181</v>
      </c>
      <c r="C1292">
        <v>86185</v>
      </c>
      <c r="D1292" t="str">
        <f>"0753-6712"</f>
        <v>0753-6712</v>
      </c>
      <c r="E1292" t="s">
        <v>8</v>
      </c>
      <c r="F1292" t="s">
        <v>1303</v>
      </c>
      <c r="G1292">
        <v>1</v>
      </c>
    </row>
    <row r="1293" spans="1:7" x14ac:dyDescent="0.25">
      <c r="A1293">
        <v>13</v>
      </c>
      <c r="B1293" t="s">
        <v>1181</v>
      </c>
      <c r="C1293">
        <v>142777</v>
      </c>
      <c r="D1293" t="str">
        <f>"0950-6306"</f>
        <v>0950-6306</v>
      </c>
      <c r="E1293" t="s">
        <v>15</v>
      </c>
      <c r="F1293" t="s">
        <v>1304</v>
      </c>
      <c r="G1293">
        <v>1</v>
      </c>
    </row>
    <row r="1294" spans="1:7" x14ac:dyDescent="0.25">
      <c r="A1294">
        <v>13</v>
      </c>
      <c r="B1294" t="s">
        <v>1181</v>
      </c>
      <c r="C1294">
        <v>4966</v>
      </c>
      <c r="D1294" t="str">
        <f>"0229-7051"</f>
        <v>0229-7051</v>
      </c>
      <c r="E1294" t="s">
        <v>15</v>
      </c>
      <c r="F1294" t="s">
        <v>1305</v>
      </c>
      <c r="G1294">
        <v>1</v>
      </c>
    </row>
    <row r="1295" spans="1:7" x14ac:dyDescent="0.25">
      <c r="A1295">
        <v>13</v>
      </c>
      <c r="B1295" t="s">
        <v>1181</v>
      </c>
      <c r="C1295">
        <v>7751171</v>
      </c>
      <c r="D1295" t="str">
        <f>"1637-6757"</f>
        <v>1637-6757</v>
      </c>
      <c r="E1295" t="s">
        <v>8</v>
      </c>
      <c r="F1295" t="s">
        <v>1306</v>
      </c>
      <c r="G1295">
        <v>1</v>
      </c>
    </row>
    <row r="1296" spans="1:7" x14ac:dyDescent="0.25">
      <c r="A1296">
        <v>13</v>
      </c>
      <c r="B1296" t="s">
        <v>1181</v>
      </c>
      <c r="C1296">
        <v>78279</v>
      </c>
      <c r="D1296" t="str">
        <f>"1299-5495"</f>
        <v>1299-5495</v>
      </c>
      <c r="E1296" t="s">
        <v>8</v>
      </c>
      <c r="F1296" t="s">
        <v>1307</v>
      </c>
      <c r="G1296">
        <v>1</v>
      </c>
    </row>
    <row r="1297" spans="1:7" x14ac:dyDescent="0.25">
      <c r="A1297">
        <v>13</v>
      </c>
      <c r="B1297" t="s">
        <v>1181</v>
      </c>
      <c r="C1297">
        <v>153356</v>
      </c>
      <c r="D1297" t="str">
        <f>"1252-7017"</f>
        <v>1252-7017</v>
      </c>
      <c r="E1297" t="s">
        <v>8</v>
      </c>
      <c r="F1297" t="s">
        <v>1308</v>
      </c>
      <c r="G1297">
        <v>1</v>
      </c>
    </row>
    <row r="1298" spans="1:7" x14ac:dyDescent="0.25">
      <c r="A1298">
        <v>13</v>
      </c>
      <c r="B1298" t="s">
        <v>1181</v>
      </c>
      <c r="C1298">
        <v>83524</v>
      </c>
      <c r="D1298" t="str">
        <f>"1744-9413"</f>
        <v>1744-9413</v>
      </c>
      <c r="E1298" t="s">
        <v>8</v>
      </c>
      <c r="F1298" t="s">
        <v>1309</v>
      </c>
      <c r="G1298">
        <v>1</v>
      </c>
    </row>
    <row r="1299" spans="1:7" x14ac:dyDescent="0.25">
      <c r="A1299">
        <v>13</v>
      </c>
      <c r="B1299" t="s">
        <v>1181</v>
      </c>
      <c r="C1299">
        <v>1695</v>
      </c>
      <c r="D1299" t="str">
        <f>"0961-754X"</f>
        <v>0961-754X</v>
      </c>
      <c r="E1299" t="s">
        <v>8</v>
      </c>
      <c r="F1299" t="s">
        <v>1310</v>
      </c>
      <c r="G1299">
        <v>1</v>
      </c>
    </row>
    <row r="1300" spans="1:7" x14ac:dyDescent="0.25">
      <c r="A1300">
        <v>13</v>
      </c>
      <c r="B1300" t="s">
        <v>1181</v>
      </c>
      <c r="C1300">
        <v>6069960</v>
      </c>
      <c r="D1300" t="str">
        <f>"1757-0638"</f>
        <v>1757-0638</v>
      </c>
      <c r="E1300" t="s">
        <v>8</v>
      </c>
      <c r="F1300" t="s">
        <v>1311</v>
      </c>
      <c r="G1300">
        <v>1</v>
      </c>
    </row>
    <row r="1301" spans="1:7" x14ac:dyDescent="0.25">
      <c r="A1301">
        <v>13</v>
      </c>
      <c r="B1301" t="s">
        <v>1181</v>
      </c>
      <c r="C1301">
        <v>7690349</v>
      </c>
      <c r="D1301" t="str">
        <f>"2151-6014"</f>
        <v>2151-6014</v>
      </c>
      <c r="E1301" t="s">
        <v>8</v>
      </c>
      <c r="F1301" t="s">
        <v>1312</v>
      </c>
      <c r="G1301">
        <v>1</v>
      </c>
    </row>
    <row r="1302" spans="1:7" x14ac:dyDescent="0.25">
      <c r="A1302">
        <v>13</v>
      </c>
      <c r="B1302" t="s">
        <v>1181</v>
      </c>
      <c r="C1302">
        <v>7706346</v>
      </c>
      <c r="D1302" t="str">
        <f>"0103-1457"</f>
        <v>0103-1457</v>
      </c>
      <c r="E1302" t="s">
        <v>8</v>
      </c>
      <c r="F1302" t="s">
        <v>1313</v>
      </c>
      <c r="G1302">
        <v>1</v>
      </c>
    </row>
    <row r="1303" spans="1:7" x14ac:dyDescent="0.25">
      <c r="A1303">
        <v>13</v>
      </c>
      <c r="B1303" t="s">
        <v>1181</v>
      </c>
      <c r="C1303">
        <v>92135</v>
      </c>
      <c r="E1303" t="s">
        <v>8</v>
      </c>
      <c r="F1303" t="s">
        <v>1314</v>
      </c>
      <c r="G1303">
        <v>1</v>
      </c>
    </row>
    <row r="1304" spans="1:7" x14ac:dyDescent="0.25">
      <c r="A1304">
        <v>13</v>
      </c>
      <c r="B1304" t="s">
        <v>1181</v>
      </c>
      <c r="C1304">
        <v>26891</v>
      </c>
      <c r="D1304" t="str">
        <f>"1572-3429"</f>
        <v>1572-3429</v>
      </c>
      <c r="E1304" t="s">
        <v>8</v>
      </c>
      <c r="F1304" t="s">
        <v>1315</v>
      </c>
      <c r="G1304">
        <v>1</v>
      </c>
    </row>
    <row r="1305" spans="1:7" x14ac:dyDescent="0.25">
      <c r="A1305">
        <v>13</v>
      </c>
      <c r="B1305" t="s">
        <v>1181</v>
      </c>
      <c r="C1305">
        <v>8758279</v>
      </c>
      <c r="E1305" t="s">
        <v>8</v>
      </c>
      <c r="F1305" t="s">
        <v>1316</v>
      </c>
      <c r="G1305">
        <v>1</v>
      </c>
    </row>
    <row r="1306" spans="1:7" x14ac:dyDescent="0.25">
      <c r="A1306">
        <v>13</v>
      </c>
      <c r="B1306" t="s">
        <v>1181</v>
      </c>
      <c r="C1306">
        <v>8220</v>
      </c>
      <c r="D1306" t="str">
        <f>"1574-1583"</f>
        <v>1574-1583</v>
      </c>
      <c r="E1306" t="s">
        <v>15</v>
      </c>
      <c r="F1306" t="s">
        <v>1317</v>
      </c>
      <c r="G1306">
        <v>1</v>
      </c>
    </row>
    <row r="1307" spans="1:7" x14ac:dyDescent="0.25">
      <c r="A1307">
        <v>13</v>
      </c>
      <c r="B1307" t="s">
        <v>1181</v>
      </c>
      <c r="C1307">
        <v>148271</v>
      </c>
      <c r="D1307" t="str">
        <f>"0010-8235"</f>
        <v>0010-8235</v>
      </c>
      <c r="E1307" t="s">
        <v>8</v>
      </c>
      <c r="F1307" t="s">
        <v>1318</v>
      </c>
      <c r="G1307">
        <v>1</v>
      </c>
    </row>
    <row r="1308" spans="1:7" x14ac:dyDescent="0.25">
      <c r="A1308">
        <v>13</v>
      </c>
      <c r="B1308" t="s">
        <v>1181</v>
      </c>
      <c r="C1308">
        <v>58449</v>
      </c>
      <c r="E1308" t="s">
        <v>8</v>
      </c>
      <c r="F1308" t="s">
        <v>1319</v>
      </c>
      <c r="G1308">
        <v>1</v>
      </c>
    </row>
    <row r="1309" spans="1:7" x14ac:dyDescent="0.25">
      <c r="A1309">
        <v>13</v>
      </c>
      <c r="B1309" t="s">
        <v>1181</v>
      </c>
      <c r="C1309">
        <v>11917</v>
      </c>
      <c r="D1309" t="str">
        <f>"0731-129X"</f>
        <v>0731-129X</v>
      </c>
      <c r="E1309" t="s">
        <v>8</v>
      </c>
      <c r="F1309" t="s">
        <v>1320</v>
      </c>
      <c r="G1309">
        <v>1</v>
      </c>
    </row>
    <row r="1310" spans="1:7" x14ac:dyDescent="0.25">
      <c r="A1310">
        <v>13</v>
      </c>
      <c r="B1310" t="s">
        <v>1181</v>
      </c>
      <c r="C1310">
        <v>24896</v>
      </c>
      <c r="D1310" t="str">
        <f>"1871-9791"</f>
        <v>1871-9791</v>
      </c>
      <c r="E1310" t="s">
        <v>8</v>
      </c>
      <c r="F1310" t="s">
        <v>1321</v>
      </c>
      <c r="G1310">
        <v>1</v>
      </c>
    </row>
    <row r="1311" spans="1:7" x14ac:dyDescent="0.25">
      <c r="A1311">
        <v>13</v>
      </c>
      <c r="B1311" t="s">
        <v>1181</v>
      </c>
      <c r="C1311">
        <v>10579</v>
      </c>
      <c r="D1311" t="str">
        <f>"0011-1503"</f>
        <v>0011-1503</v>
      </c>
      <c r="E1311" t="s">
        <v>8</v>
      </c>
      <c r="F1311" t="s">
        <v>1322</v>
      </c>
      <c r="G1311">
        <v>1</v>
      </c>
    </row>
    <row r="1312" spans="1:7" x14ac:dyDescent="0.25">
      <c r="A1312">
        <v>13</v>
      </c>
      <c r="B1312" t="s">
        <v>1181</v>
      </c>
      <c r="C1312">
        <v>7739200</v>
      </c>
      <c r="D1312" t="str">
        <f>"2165-8684"</f>
        <v>2165-8684</v>
      </c>
      <c r="E1312" t="s">
        <v>8</v>
      </c>
      <c r="F1312" t="s">
        <v>1323</v>
      </c>
      <c r="G1312">
        <v>1</v>
      </c>
    </row>
    <row r="1313" spans="1:7" x14ac:dyDescent="0.25">
      <c r="A1313">
        <v>13</v>
      </c>
      <c r="B1313" t="s">
        <v>1181</v>
      </c>
      <c r="C1313">
        <v>3438</v>
      </c>
      <c r="D1313" t="str">
        <f>"1369-8230"</f>
        <v>1369-8230</v>
      </c>
      <c r="E1313" t="s">
        <v>8</v>
      </c>
      <c r="F1313" t="s">
        <v>1324</v>
      </c>
      <c r="G1313">
        <v>1</v>
      </c>
    </row>
    <row r="1314" spans="1:7" x14ac:dyDescent="0.25">
      <c r="A1314">
        <v>13</v>
      </c>
      <c r="B1314" t="s">
        <v>1181</v>
      </c>
      <c r="C1314">
        <v>27194</v>
      </c>
      <c r="D1314" t="str">
        <f>"1333-1108"</f>
        <v>1333-1108</v>
      </c>
      <c r="E1314" t="s">
        <v>8</v>
      </c>
      <c r="F1314" t="s">
        <v>1325</v>
      </c>
      <c r="G1314">
        <v>1</v>
      </c>
    </row>
    <row r="1315" spans="1:7" x14ac:dyDescent="0.25">
      <c r="A1315">
        <v>13</v>
      </c>
      <c r="B1315" t="s">
        <v>1181</v>
      </c>
      <c r="C1315">
        <v>127324</v>
      </c>
      <c r="D1315" t="str">
        <f>"1130-0507"</f>
        <v>1130-0507</v>
      </c>
      <c r="E1315" t="s">
        <v>15</v>
      </c>
      <c r="F1315" t="s">
        <v>1326</v>
      </c>
      <c r="G1315">
        <v>1</v>
      </c>
    </row>
    <row r="1316" spans="1:7" x14ac:dyDescent="0.25">
      <c r="A1316">
        <v>13</v>
      </c>
      <c r="B1316" t="s">
        <v>1181</v>
      </c>
      <c r="C1316">
        <v>11364</v>
      </c>
      <c r="D1316" t="str">
        <f>"0070-2749"</f>
        <v>0070-2749</v>
      </c>
      <c r="E1316" t="s">
        <v>8</v>
      </c>
      <c r="F1316" t="s">
        <v>1327</v>
      </c>
      <c r="G1316">
        <v>1</v>
      </c>
    </row>
    <row r="1317" spans="1:7" x14ac:dyDescent="0.25">
      <c r="A1317">
        <v>13</v>
      </c>
      <c r="B1317" t="s">
        <v>1181</v>
      </c>
      <c r="C1317">
        <v>21866</v>
      </c>
      <c r="D1317" t="str">
        <f>"1540-3009"</f>
        <v>1540-3009</v>
      </c>
      <c r="E1317" t="s">
        <v>8</v>
      </c>
      <c r="F1317" t="s">
        <v>1328</v>
      </c>
      <c r="G1317">
        <v>1</v>
      </c>
    </row>
    <row r="1318" spans="1:7" x14ac:dyDescent="0.25">
      <c r="A1318">
        <v>13</v>
      </c>
      <c r="B1318" t="s">
        <v>1181</v>
      </c>
      <c r="C1318">
        <v>18289</v>
      </c>
      <c r="D1318" t="str">
        <f>"0772-4381"</f>
        <v>0772-4381</v>
      </c>
      <c r="E1318" t="s">
        <v>8</v>
      </c>
      <c r="F1318" t="s">
        <v>1329</v>
      </c>
      <c r="G1318">
        <v>1</v>
      </c>
    </row>
    <row r="1319" spans="1:7" x14ac:dyDescent="0.25">
      <c r="A1319">
        <v>13</v>
      </c>
      <c r="B1319" t="s">
        <v>1181</v>
      </c>
      <c r="C1319">
        <v>27287</v>
      </c>
      <c r="D1319" t="str">
        <f>"1750-2241"</f>
        <v>1750-2241</v>
      </c>
      <c r="E1319" t="s">
        <v>8</v>
      </c>
      <c r="F1319" t="s">
        <v>1330</v>
      </c>
      <c r="G1319">
        <v>1</v>
      </c>
    </row>
    <row r="1320" spans="1:7" x14ac:dyDescent="0.25">
      <c r="A1320">
        <v>13</v>
      </c>
      <c r="B1320" t="s">
        <v>1181</v>
      </c>
      <c r="C1320">
        <v>151552</v>
      </c>
      <c r="D1320" t="str">
        <f>"0947-6563"</f>
        <v>0947-6563</v>
      </c>
      <c r="E1320" t="s">
        <v>8</v>
      </c>
      <c r="F1320" t="s">
        <v>1331</v>
      </c>
      <c r="G1320">
        <v>1</v>
      </c>
    </row>
    <row r="1321" spans="1:7" x14ac:dyDescent="0.25">
      <c r="A1321">
        <v>13</v>
      </c>
      <c r="B1321" t="s">
        <v>1181</v>
      </c>
      <c r="C1321">
        <v>26054</v>
      </c>
      <c r="D1321" t="str">
        <f>"1234-5792"</f>
        <v>1234-5792</v>
      </c>
      <c r="E1321" t="s">
        <v>8</v>
      </c>
      <c r="F1321" t="s">
        <v>1332</v>
      </c>
      <c r="G1321">
        <v>1</v>
      </c>
    </row>
    <row r="1322" spans="1:7" x14ac:dyDescent="0.25">
      <c r="A1322">
        <v>13</v>
      </c>
      <c r="B1322" t="s">
        <v>1181</v>
      </c>
      <c r="C1322">
        <v>13884</v>
      </c>
      <c r="D1322" t="str">
        <f>"0012-2173"</f>
        <v>0012-2173</v>
      </c>
      <c r="E1322" t="s">
        <v>8</v>
      </c>
      <c r="F1322" t="s">
        <v>1333</v>
      </c>
      <c r="G1322">
        <v>1</v>
      </c>
    </row>
    <row r="1323" spans="1:7" x14ac:dyDescent="0.25">
      <c r="A1323">
        <v>13</v>
      </c>
      <c r="B1323" t="s">
        <v>1181</v>
      </c>
      <c r="C1323">
        <v>7713120</v>
      </c>
      <c r="D1323" t="str">
        <f>"2035-0031"</f>
        <v>2035-0031</v>
      </c>
      <c r="E1323" t="s">
        <v>8</v>
      </c>
      <c r="F1323" t="s">
        <v>1334</v>
      </c>
      <c r="G1323">
        <v>1</v>
      </c>
    </row>
    <row r="1324" spans="1:7" x14ac:dyDescent="0.25">
      <c r="A1324">
        <v>13</v>
      </c>
      <c r="B1324" t="s">
        <v>1181</v>
      </c>
      <c r="C1324">
        <v>100393</v>
      </c>
      <c r="D1324" t="str">
        <f>"1733-5566"</f>
        <v>1733-5566</v>
      </c>
      <c r="E1324" t="s">
        <v>8</v>
      </c>
      <c r="F1324" t="s">
        <v>1335</v>
      </c>
      <c r="G1324">
        <v>1</v>
      </c>
    </row>
    <row r="1325" spans="1:7" x14ac:dyDescent="0.25">
      <c r="A1325">
        <v>13</v>
      </c>
      <c r="B1325" t="s">
        <v>1181</v>
      </c>
      <c r="C1325">
        <v>115208</v>
      </c>
      <c r="D1325" t="str">
        <f>"0185-2450"</f>
        <v>0185-2450</v>
      </c>
      <c r="E1325" t="s">
        <v>8</v>
      </c>
      <c r="F1325" t="s">
        <v>1336</v>
      </c>
      <c r="G1325">
        <v>1</v>
      </c>
    </row>
    <row r="1326" spans="1:7" x14ac:dyDescent="0.25">
      <c r="A1326">
        <v>13</v>
      </c>
      <c r="B1326" t="s">
        <v>1181</v>
      </c>
      <c r="C1326">
        <v>7701486</v>
      </c>
      <c r="D1326" t="str">
        <f>"1989-7022"</f>
        <v>1989-7022</v>
      </c>
      <c r="E1326" t="s">
        <v>8</v>
      </c>
      <c r="F1326" t="s">
        <v>1337</v>
      </c>
      <c r="G1326">
        <v>1</v>
      </c>
    </row>
    <row r="1327" spans="1:7" x14ac:dyDescent="0.25">
      <c r="A1327">
        <v>13</v>
      </c>
      <c r="B1327" t="s">
        <v>1181</v>
      </c>
      <c r="C1327">
        <v>7300593</v>
      </c>
      <c r="D1327" t="str">
        <f>"0419-1633"</f>
        <v>0419-1633</v>
      </c>
      <c r="E1327" t="s">
        <v>8</v>
      </c>
      <c r="F1327" t="s">
        <v>1338</v>
      </c>
      <c r="G1327">
        <v>1</v>
      </c>
    </row>
    <row r="1328" spans="1:7" x14ac:dyDescent="0.25">
      <c r="A1328">
        <v>13</v>
      </c>
      <c r="B1328" t="s">
        <v>1181</v>
      </c>
      <c r="C1328">
        <v>6072</v>
      </c>
      <c r="D1328" t="str">
        <f>"0392-1921"</f>
        <v>0392-1921</v>
      </c>
      <c r="E1328" t="s">
        <v>8</v>
      </c>
      <c r="F1328" t="s">
        <v>1339</v>
      </c>
      <c r="G1328">
        <v>1</v>
      </c>
    </row>
    <row r="1329" spans="1:7" x14ac:dyDescent="0.25">
      <c r="A1329">
        <v>13</v>
      </c>
      <c r="B1329" t="s">
        <v>1181</v>
      </c>
      <c r="C1329">
        <v>153896</v>
      </c>
      <c r="D1329" t="str">
        <f>"1290-3485"</f>
        <v>1290-3485</v>
      </c>
      <c r="E1329" t="s">
        <v>8</v>
      </c>
      <c r="F1329" t="s">
        <v>1340</v>
      </c>
      <c r="G1329">
        <v>1</v>
      </c>
    </row>
    <row r="1330" spans="1:7" x14ac:dyDescent="0.25">
      <c r="A1330">
        <v>13</v>
      </c>
      <c r="B1330" t="s">
        <v>1181</v>
      </c>
      <c r="C1330">
        <v>7731009</v>
      </c>
      <c r="D1330" t="str">
        <f>"1591-9625"</f>
        <v>1591-9625</v>
      </c>
      <c r="E1330" t="s">
        <v>8</v>
      </c>
      <c r="F1330" t="s">
        <v>1341</v>
      </c>
      <c r="G1330">
        <v>1</v>
      </c>
    </row>
    <row r="1331" spans="1:7" x14ac:dyDescent="0.25">
      <c r="A1331">
        <v>13</v>
      </c>
      <c r="B1331" t="s">
        <v>1181</v>
      </c>
      <c r="C1331">
        <v>7711047</v>
      </c>
      <c r="D1331" t="str">
        <f>"0124-6127"</f>
        <v>0124-6127</v>
      </c>
      <c r="E1331" t="s">
        <v>8</v>
      </c>
      <c r="F1331" t="s">
        <v>1342</v>
      </c>
      <c r="G1331">
        <v>1</v>
      </c>
    </row>
    <row r="1332" spans="1:7" x14ac:dyDescent="0.25">
      <c r="A1332">
        <v>13</v>
      </c>
      <c r="B1332" t="s">
        <v>1181</v>
      </c>
      <c r="C1332">
        <v>8370</v>
      </c>
      <c r="D1332" t="str">
        <f>"0873-626X"</f>
        <v>0873-626X</v>
      </c>
      <c r="E1332" t="s">
        <v>8</v>
      </c>
      <c r="F1332" t="s">
        <v>1343</v>
      </c>
      <c r="G1332">
        <v>1</v>
      </c>
    </row>
    <row r="1333" spans="1:7" x14ac:dyDescent="0.25">
      <c r="A1333">
        <v>13</v>
      </c>
      <c r="B1333" t="s">
        <v>1181</v>
      </c>
      <c r="C1333">
        <v>106134</v>
      </c>
      <c r="D1333" t="str">
        <f>"1807-3883"</f>
        <v>1807-3883</v>
      </c>
      <c r="E1333" t="s">
        <v>8</v>
      </c>
      <c r="F1333" t="s">
        <v>1344</v>
      </c>
      <c r="G1333">
        <v>1</v>
      </c>
    </row>
    <row r="1334" spans="1:7" x14ac:dyDescent="0.25">
      <c r="A1334">
        <v>13</v>
      </c>
      <c r="B1334" t="s">
        <v>1181</v>
      </c>
      <c r="C1334">
        <v>17092</v>
      </c>
      <c r="D1334" t="str">
        <f>"0211-9536"</f>
        <v>0211-9536</v>
      </c>
      <c r="E1334" t="s">
        <v>15</v>
      </c>
      <c r="F1334" t="s">
        <v>1345</v>
      </c>
      <c r="G1334">
        <v>1</v>
      </c>
    </row>
    <row r="1335" spans="1:7" x14ac:dyDescent="0.25">
      <c r="A1335">
        <v>13</v>
      </c>
      <c r="B1335" t="s">
        <v>1181</v>
      </c>
      <c r="C1335">
        <v>8782924</v>
      </c>
      <c r="D1335" t="str">
        <f>"2186-4802"</f>
        <v>2186-4802</v>
      </c>
      <c r="E1335" t="s">
        <v>8</v>
      </c>
      <c r="F1335" t="s">
        <v>1346</v>
      </c>
      <c r="G1335">
        <v>1</v>
      </c>
    </row>
    <row r="1336" spans="1:7" x14ac:dyDescent="0.25">
      <c r="A1336">
        <v>13</v>
      </c>
      <c r="B1336" t="s">
        <v>1181</v>
      </c>
      <c r="C1336">
        <v>16267</v>
      </c>
      <c r="D1336" t="str">
        <f>"0013-1857"</f>
        <v>0013-1857</v>
      </c>
      <c r="E1336" t="s">
        <v>8</v>
      </c>
      <c r="F1336" t="s">
        <v>1347</v>
      </c>
      <c r="G1336">
        <v>1</v>
      </c>
    </row>
    <row r="1337" spans="1:7" x14ac:dyDescent="0.25">
      <c r="A1337">
        <v>13</v>
      </c>
      <c r="B1337" t="s">
        <v>1181</v>
      </c>
      <c r="C1337">
        <v>64784</v>
      </c>
      <c r="D1337" t="str">
        <f>"0707-2287"</f>
        <v>0707-2287</v>
      </c>
      <c r="E1337" t="s">
        <v>8</v>
      </c>
      <c r="F1337" t="s">
        <v>1348</v>
      </c>
      <c r="G1337">
        <v>1</v>
      </c>
    </row>
    <row r="1338" spans="1:7" x14ac:dyDescent="0.25">
      <c r="A1338">
        <v>13</v>
      </c>
      <c r="B1338" t="s">
        <v>1181</v>
      </c>
      <c r="C1338">
        <v>809</v>
      </c>
      <c r="D1338" t="str">
        <f>"0392-7342"</f>
        <v>0392-7342</v>
      </c>
      <c r="E1338" t="s">
        <v>8</v>
      </c>
      <c r="F1338" t="s">
        <v>1349</v>
      </c>
      <c r="G1338">
        <v>1</v>
      </c>
    </row>
    <row r="1339" spans="1:7" x14ac:dyDescent="0.25">
      <c r="A1339">
        <v>13</v>
      </c>
      <c r="B1339" t="s">
        <v>1181</v>
      </c>
      <c r="C1339">
        <v>134573</v>
      </c>
      <c r="D1339" t="str">
        <f>"1211-0442"</f>
        <v>1211-0442</v>
      </c>
      <c r="E1339" t="s">
        <v>8</v>
      </c>
      <c r="F1339" t="s">
        <v>1350</v>
      </c>
      <c r="G1339">
        <v>1</v>
      </c>
    </row>
    <row r="1340" spans="1:7" x14ac:dyDescent="0.25">
      <c r="A1340">
        <v>13</v>
      </c>
      <c r="B1340" t="s">
        <v>1181</v>
      </c>
      <c r="C1340">
        <v>6099905</v>
      </c>
      <c r="D1340" t="str">
        <f>"1754-0739"</f>
        <v>1754-0739</v>
      </c>
      <c r="E1340" t="s">
        <v>8</v>
      </c>
      <c r="F1340" t="s">
        <v>1351</v>
      </c>
      <c r="G1340">
        <v>1</v>
      </c>
    </row>
    <row r="1341" spans="1:7" x14ac:dyDescent="0.25">
      <c r="A1341">
        <v>13</v>
      </c>
      <c r="B1341" t="s">
        <v>1181</v>
      </c>
      <c r="C1341">
        <v>6099919</v>
      </c>
      <c r="D1341" t="str">
        <f>"1757-1952"</f>
        <v>1757-1952</v>
      </c>
      <c r="E1341" t="s">
        <v>8</v>
      </c>
      <c r="F1341" t="s">
        <v>1352</v>
      </c>
      <c r="G1341">
        <v>1</v>
      </c>
    </row>
    <row r="1342" spans="1:7" x14ac:dyDescent="0.25">
      <c r="A1342">
        <v>13</v>
      </c>
      <c r="B1342" t="s">
        <v>1181</v>
      </c>
      <c r="C1342">
        <v>71432</v>
      </c>
      <c r="D1342" t="str">
        <f>"0211-402X"</f>
        <v>0211-402X</v>
      </c>
      <c r="E1342" t="s">
        <v>8</v>
      </c>
      <c r="F1342" t="s">
        <v>1353</v>
      </c>
      <c r="G1342">
        <v>1</v>
      </c>
    </row>
    <row r="1343" spans="1:7" x14ac:dyDescent="0.25">
      <c r="A1343">
        <v>13</v>
      </c>
      <c r="B1343" t="s">
        <v>1181</v>
      </c>
      <c r="C1343">
        <v>7690107</v>
      </c>
      <c r="D1343" t="str">
        <f>"2066-5377"</f>
        <v>2066-5377</v>
      </c>
      <c r="E1343" t="s">
        <v>8</v>
      </c>
      <c r="F1343" t="s">
        <v>1354</v>
      </c>
      <c r="G1343">
        <v>1</v>
      </c>
    </row>
    <row r="1344" spans="1:7" x14ac:dyDescent="0.25">
      <c r="A1344">
        <v>13</v>
      </c>
      <c r="B1344" t="s">
        <v>1181</v>
      </c>
      <c r="C1344">
        <v>178</v>
      </c>
      <c r="D1344" t="str">
        <f>"0163-4275"</f>
        <v>0163-4275</v>
      </c>
      <c r="E1344" t="s">
        <v>8</v>
      </c>
      <c r="F1344" t="s">
        <v>1355</v>
      </c>
      <c r="G1344">
        <v>1</v>
      </c>
    </row>
    <row r="1345" spans="1:7" x14ac:dyDescent="0.25">
      <c r="A1345">
        <v>13</v>
      </c>
      <c r="B1345" t="s">
        <v>1181</v>
      </c>
      <c r="C1345">
        <v>79387</v>
      </c>
      <c r="D1345" t="str">
        <f>"1718-0198"</f>
        <v>1718-0198</v>
      </c>
      <c r="E1345" t="s">
        <v>8</v>
      </c>
      <c r="F1345" t="s">
        <v>1356</v>
      </c>
      <c r="G1345">
        <v>1</v>
      </c>
    </row>
    <row r="1346" spans="1:7" x14ac:dyDescent="0.25">
      <c r="A1346">
        <v>13</v>
      </c>
      <c r="B1346" t="s">
        <v>1181</v>
      </c>
      <c r="C1346">
        <v>6102697</v>
      </c>
      <c r="D1346" t="str">
        <f>"1542-7072"</f>
        <v>1542-7072</v>
      </c>
      <c r="E1346" t="s">
        <v>8</v>
      </c>
      <c r="F1346" t="s">
        <v>1193</v>
      </c>
      <c r="G1346">
        <v>1</v>
      </c>
    </row>
    <row r="1347" spans="1:7" x14ac:dyDescent="0.25">
      <c r="A1347">
        <v>13</v>
      </c>
      <c r="B1347" t="s">
        <v>1181</v>
      </c>
      <c r="C1347">
        <v>23516</v>
      </c>
      <c r="D1347" t="str">
        <f>"0392-9760"</f>
        <v>0392-9760</v>
      </c>
      <c r="E1347" t="s">
        <v>8</v>
      </c>
      <c r="F1347" t="s">
        <v>1357</v>
      </c>
      <c r="G1347">
        <v>1</v>
      </c>
    </row>
    <row r="1348" spans="1:7" x14ac:dyDescent="0.25">
      <c r="A1348">
        <v>13</v>
      </c>
      <c r="B1348" t="s">
        <v>1181</v>
      </c>
      <c r="C1348">
        <v>153657</v>
      </c>
      <c r="D1348" t="str">
        <f>"1085-1968"</f>
        <v>1085-1968</v>
      </c>
      <c r="E1348" t="s">
        <v>8</v>
      </c>
      <c r="F1348" t="s">
        <v>1358</v>
      </c>
      <c r="G1348">
        <v>1</v>
      </c>
    </row>
    <row r="1349" spans="1:7" x14ac:dyDescent="0.25">
      <c r="A1349">
        <v>13</v>
      </c>
      <c r="B1349" t="s">
        <v>1181</v>
      </c>
      <c r="C1349">
        <v>154512</v>
      </c>
      <c r="E1349" t="s">
        <v>8</v>
      </c>
      <c r="F1349" t="s">
        <v>1359</v>
      </c>
      <c r="G1349">
        <v>1</v>
      </c>
    </row>
    <row r="1350" spans="1:7" x14ac:dyDescent="0.25">
      <c r="A1350">
        <v>13</v>
      </c>
      <c r="B1350" t="s">
        <v>1181</v>
      </c>
      <c r="C1350">
        <v>14292</v>
      </c>
      <c r="E1350" t="s">
        <v>8</v>
      </c>
      <c r="F1350" t="s">
        <v>1360</v>
      </c>
      <c r="G1350">
        <v>1</v>
      </c>
    </row>
    <row r="1351" spans="1:7" x14ac:dyDescent="0.25">
      <c r="A1351">
        <v>13</v>
      </c>
      <c r="B1351" t="s">
        <v>1181</v>
      </c>
      <c r="C1351">
        <v>150684</v>
      </c>
      <c r="D1351" t="str">
        <f>"1522-7340"</f>
        <v>1522-7340</v>
      </c>
      <c r="E1351" t="s">
        <v>8</v>
      </c>
      <c r="F1351" t="s">
        <v>1361</v>
      </c>
      <c r="G1351">
        <v>1</v>
      </c>
    </row>
    <row r="1352" spans="1:7" x14ac:dyDescent="0.25">
      <c r="A1352">
        <v>13</v>
      </c>
      <c r="B1352" t="s">
        <v>1181</v>
      </c>
      <c r="C1352">
        <v>8494</v>
      </c>
      <c r="D1352" t="str">
        <f>"0014-1291"</f>
        <v>0014-1291</v>
      </c>
      <c r="E1352" t="s">
        <v>8</v>
      </c>
      <c r="F1352" t="s">
        <v>1362</v>
      </c>
      <c r="G1352">
        <v>1</v>
      </c>
    </row>
    <row r="1353" spans="1:7" x14ac:dyDescent="0.25">
      <c r="A1353">
        <v>13</v>
      </c>
      <c r="B1353" t="s">
        <v>1181</v>
      </c>
      <c r="C1353">
        <v>42879</v>
      </c>
      <c r="D1353" t="str">
        <f>"0121-3628"</f>
        <v>0121-3628</v>
      </c>
      <c r="E1353" t="s">
        <v>8</v>
      </c>
      <c r="F1353" t="s">
        <v>1363</v>
      </c>
      <c r="G1353">
        <v>1</v>
      </c>
    </row>
    <row r="1354" spans="1:7" x14ac:dyDescent="0.25">
      <c r="A1354">
        <v>13</v>
      </c>
      <c r="B1354" t="s">
        <v>1181</v>
      </c>
      <c r="C1354">
        <v>117624</v>
      </c>
      <c r="D1354" t="str">
        <f>"1578-6676"</f>
        <v>1578-6676</v>
      </c>
      <c r="E1354" t="s">
        <v>8</v>
      </c>
      <c r="F1354" t="s">
        <v>1364</v>
      </c>
      <c r="G1354">
        <v>1</v>
      </c>
    </row>
    <row r="1355" spans="1:7" x14ac:dyDescent="0.25">
      <c r="A1355">
        <v>13</v>
      </c>
      <c r="B1355" t="s">
        <v>1181</v>
      </c>
      <c r="C1355">
        <v>2605</v>
      </c>
      <c r="E1355" t="s">
        <v>8</v>
      </c>
      <c r="F1355" t="s">
        <v>1365</v>
      </c>
      <c r="G1355">
        <v>1</v>
      </c>
    </row>
    <row r="1356" spans="1:7" x14ac:dyDescent="0.25">
      <c r="A1356">
        <v>13</v>
      </c>
      <c r="B1356" t="s">
        <v>1181</v>
      </c>
      <c r="C1356">
        <v>8782843</v>
      </c>
      <c r="D1356" t="str">
        <f>"2211-2707"</f>
        <v>2211-2707</v>
      </c>
      <c r="E1356" t="s">
        <v>15</v>
      </c>
      <c r="F1356" t="s">
        <v>1366</v>
      </c>
      <c r="G1356">
        <v>1</v>
      </c>
    </row>
    <row r="1357" spans="1:7" x14ac:dyDescent="0.25">
      <c r="A1357">
        <v>13</v>
      </c>
      <c r="B1357" t="s">
        <v>1181</v>
      </c>
      <c r="C1357">
        <v>21321</v>
      </c>
      <c r="D1357" t="str">
        <f>"1370-0049"</f>
        <v>1370-0049</v>
      </c>
      <c r="E1357" t="s">
        <v>8</v>
      </c>
      <c r="F1357" t="s">
        <v>1367</v>
      </c>
      <c r="G1357">
        <v>1</v>
      </c>
    </row>
    <row r="1358" spans="1:7" x14ac:dyDescent="0.25">
      <c r="A1358">
        <v>13</v>
      </c>
      <c r="B1358" t="s">
        <v>1181</v>
      </c>
      <c r="C1358">
        <v>12429</v>
      </c>
      <c r="D1358" t="str">
        <f>"1085-6633"</f>
        <v>1085-6633</v>
      </c>
      <c r="E1358" t="s">
        <v>8</v>
      </c>
      <c r="F1358" t="s">
        <v>1368</v>
      </c>
      <c r="G1358">
        <v>1</v>
      </c>
    </row>
    <row r="1359" spans="1:7" x14ac:dyDescent="0.25">
      <c r="A1359">
        <v>13</v>
      </c>
      <c r="B1359" t="s">
        <v>1181</v>
      </c>
      <c r="C1359">
        <v>18559</v>
      </c>
      <c r="D1359" t="str">
        <f>"1749-6535"</f>
        <v>1749-6535</v>
      </c>
      <c r="E1359" t="s">
        <v>8</v>
      </c>
      <c r="F1359" t="s">
        <v>1369</v>
      </c>
      <c r="G1359">
        <v>1</v>
      </c>
    </row>
    <row r="1360" spans="1:7" x14ac:dyDescent="0.25">
      <c r="A1360">
        <v>13</v>
      </c>
      <c r="B1360" t="s">
        <v>1181</v>
      </c>
      <c r="C1360">
        <v>5827</v>
      </c>
      <c r="D1360" t="str">
        <f>"1863-5415"</f>
        <v>1863-5415</v>
      </c>
      <c r="E1360" t="s">
        <v>8</v>
      </c>
      <c r="F1360" t="s">
        <v>1370</v>
      </c>
      <c r="G1360">
        <v>1</v>
      </c>
    </row>
    <row r="1361" spans="1:7" x14ac:dyDescent="0.25">
      <c r="A1361">
        <v>13</v>
      </c>
      <c r="B1361" t="s">
        <v>1181</v>
      </c>
      <c r="C1361">
        <v>6104430</v>
      </c>
      <c r="D1361" t="str">
        <f>"1860-4803"</f>
        <v>1860-4803</v>
      </c>
      <c r="E1361" t="s">
        <v>15</v>
      </c>
      <c r="F1361" t="s">
        <v>1371</v>
      </c>
      <c r="G1361">
        <v>1</v>
      </c>
    </row>
    <row r="1362" spans="1:7" x14ac:dyDescent="0.25">
      <c r="A1362">
        <v>13</v>
      </c>
      <c r="B1362" t="s">
        <v>1181</v>
      </c>
      <c r="C1362">
        <v>15332</v>
      </c>
      <c r="D1362" t="str">
        <f>"2155-0085"</f>
        <v>2155-0085</v>
      </c>
      <c r="E1362" t="s">
        <v>8</v>
      </c>
      <c r="F1362" t="s">
        <v>1372</v>
      </c>
      <c r="G1362">
        <v>1</v>
      </c>
    </row>
    <row r="1363" spans="1:7" x14ac:dyDescent="0.25">
      <c r="A1363">
        <v>13</v>
      </c>
      <c r="B1363" t="s">
        <v>1181</v>
      </c>
      <c r="C1363">
        <v>25596</v>
      </c>
      <c r="D1363" t="str">
        <f>"1370-0049"</f>
        <v>1370-0049</v>
      </c>
      <c r="E1363" t="s">
        <v>8</v>
      </c>
      <c r="F1363" t="s">
        <v>1373</v>
      </c>
      <c r="G1363">
        <v>1</v>
      </c>
    </row>
    <row r="1364" spans="1:7" x14ac:dyDescent="0.25">
      <c r="A1364">
        <v>13</v>
      </c>
      <c r="B1364" t="s">
        <v>1181</v>
      </c>
      <c r="C1364">
        <v>6823</v>
      </c>
      <c r="D1364" t="str">
        <f>"1890-3991"</f>
        <v>1890-3991</v>
      </c>
      <c r="E1364" t="s">
        <v>8</v>
      </c>
      <c r="F1364" t="s">
        <v>1374</v>
      </c>
      <c r="G1364">
        <v>1</v>
      </c>
    </row>
    <row r="1365" spans="1:7" x14ac:dyDescent="0.25">
      <c r="A1365">
        <v>13</v>
      </c>
      <c r="B1365" t="s">
        <v>1181</v>
      </c>
      <c r="C1365">
        <v>8782557</v>
      </c>
      <c r="D1365" t="str">
        <f>"0773-7912"</f>
        <v>0773-7912</v>
      </c>
      <c r="E1365" t="s">
        <v>8</v>
      </c>
      <c r="F1365" t="s">
        <v>1375</v>
      </c>
      <c r="G1365">
        <v>1</v>
      </c>
    </row>
    <row r="1366" spans="1:7" x14ac:dyDescent="0.25">
      <c r="A1366">
        <v>13</v>
      </c>
      <c r="B1366" t="s">
        <v>1181</v>
      </c>
      <c r="C1366">
        <v>7707533</v>
      </c>
      <c r="E1366" t="s">
        <v>8</v>
      </c>
      <c r="F1366" t="s">
        <v>1376</v>
      </c>
      <c r="G1366">
        <v>1</v>
      </c>
    </row>
    <row r="1367" spans="1:7" x14ac:dyDescent="0.25">
      <c r="A1367">
        <v>13</v>
      </c>
      <c r="B1367" t="s">
        <v>1181</v>
      </c>
      <c r="C1367">
        <v>180019</v>
      </c>
      <c r="D1367" t="str">
        <f>"1845-8475"</f>
        <v>1845-8475</v>
      </c>
      <c r="E1367" t="s">
        <v>8</v>
      </c>
      <c r="F1367" t="s">
        <v>1377</v>
      </c>
      <c r="G1367">
        <v>1</v>
      </c>
    </row>
    <row r="1368" spans="1:7" x14ac:dyDescent="0.25">
      <c r="A1368">
        <v>13</v>
      </c>
      <c r="B1368" t="s">
        <v>1181</v>
      </c>
      <c r="C1368">
        <v>7698187</v>
      </c>
      <c r="E1368" t="s">
        <v>8</v>
      </c>
      <c r="F1368" t="s">
        <v>1378</v>
      </c>
      <c r="G1368">
        <v>1</v>
      </c>
    </row>
    <row r="1369" spans="1:7" x14ac:dyDescent="0.25">
      <c r="A1369">
        <v>13</v>
      </c>
      <c r="B1369" t="s">
        <v>1181</v>
      </c>
      <c r="C1369">
        <v>8782842</v>
      </c>
      <c r="D1369" t="str">
        <f>"2365-4228"</f>
        <v>2365-4228</v>
      </c>
      <c r="E1369" t="s">
        <v>15</v>
      </c>
      <c r="F1369" t="s">
        <v>1379</v>
      </c>
      <c r="G1369">
        <v>1</v>
      </c>
    </row>
    <row r="1370" spans="1:7" x14ac:dyDescent="0.25">
      <c r="A1370">
        <v>13</v>
      </c>
      <c r="B1370" t="s">
        <v>1181</v>
      </c>
      <c r="C1370">
        <v>27231</v>
      </c>
      <c r="D1370" t="str">
        <f>"1215-5950"</f>
        <v>1215-5950</v>
      </c>
      <c r="E1370" t="s">
        <v>8</v>
      </c>
      <c r="F1370" t="s">
        <v>1380</v>
      </c>
      <c r="G1370">
        <v>1</v>
      </c>
    </row>
    <row r="1371" spans="1:7" x14ac:dyDescent="0.25">
      <c r="A1371">
        <v>13</v>
      </c>
      <c r="B1371" t="s">
        <v>1181</v>
      </c>
      <c r="C1371">
        <v>16829</v>
      </c>
      <c r="D1371" t="str">
        <f>"0739-7046"</f>
        <v>0739-7046</v>
      </c>
      <c r="E1371" t="s">
        <v>8</v>
      </c>
      <c r="F1371" t="s">
        <v>1381</v>
      </c>
      <c r="G1371">
        <v>1</v>
      </c>
    </row>
    <row r="1372" spans="1:7" x14ac:dyDescent="0.25">
      <c r="A1372">
        <v>13</v>
      </c>
      <c r="B1372" t="s">
        <v>1181</v>
      </c>
      <c r="C1372">
        <v>36687</v>
      </c>
      <c r="D1372" t="str">
        <f>"0925-0166"</f>
        <v>0925-0166</v>
      </c>
      <c r="E1372" t="s">
        <v>15</v>
      </c>
      <c r="F1372" t="s">
        <v>1382</v>
      </c>
      <c r="G1372">
        <v>1</v>
      </c>
    </row>
    <row r="1373" spans="1:7" x14ac:dyDescent="0.25">
      <c r="A1373">
        <v>13</v>
      </c>
      <c r="B1373" t="s">
        <v>1181</v>
      </c>
      <c r="C1373">
        <v>7703489</v>
      </c>
      <c r="D1373" t="str">
        <f>"2177-1383"</f>
        <v>2177-1383</v>
      </c>
      <c r="E1373" t="s">
        <v>8</v>
      </c>
      <c r="F1373" t="s">
        <v>1383</v>
      </c>
      <c r="G1373">
        <v>1</v>
      </c>
    </row>
    <row r="1374" spans="1:7" x14ac:dyDescent="0.25">
      <c r="A1374">
        <v>13</v>
      </c>
      <c r="B1374" t="s">
        <v>1181</v>
      </c>
      <c r="C1374">
        <v>153812</v>
      </c>
      <c r="D1374" t="str">
        <f>"1466-4615"</f>
        <v>1466-4615</v>
      </c>
      <c r="E1374" t="s">
        <v>8</v>
      </c>
      <c r="F1374" t="s">
        <v>1384</v>
      </c>
      <c r="G1374">
        <v>1</v>
      </c>
    </row>
    <row r="1375" spans="1:7" x14ac:dyDescent="0.25">
      <c r="A1375">
        <v>13</v>
      </c>
      <c r="B1375" t="s">
        <v>1181</v>
      </c>
      <c r="C1375">
        <v>12991</v>
      </c>
      <c r="D1375" t="str">
        <f>"0015-1831"</f>
        <v>0015-1831</v>
      </c>
      <c r="E1375" t="s">
        <v>8</v>
      </c>
      <c r="F1375" t="s">
        <v>1385</v>
      </c>
      <c r="G1375">
        <v>1</v>
      </c>
    </row>
    <row r="1376" spans="1:7" x14ac:dyDescent="0.25">
      <c r="A1376">
        <v>13</v>
      </c>
      <c r="B1376" t="s">
        <v>1181</v>
      </c>
      <c r="C1376">
        <v>10438</v>
      </c>
      <c r="D1376" t="str">
        <f>"0348-7482"</f>
        <v>0348-7482</v>
      </c>
      <c r="E1376" t="s">
        <v>8</v>
      </c>
      <c r="F1376" t="s">
        <v>1386</v>
      </c>
      <c r="G1376">
        <v>1</v>
      </c>
    </row>
    <row r="1377" spans="1:7" x14ac:dyDescent="0.25">
      <c r="A1377">
        <v>13</v>
      </c>
      <c r="B1377" t="s">
        <v>1181</v>
      </c>
      <c r="C1377">
        <v>718</v>
      </c>
      <c r="D1377" t="str">
        <f>"0046-385X"</f>
        <v>0046-385X</v>
      </c>
      <c r="E1377" t="s">
        <v>8</v>
      </c>
      <c r="F1377" t="s">
        <v>1387</v>
      </c>
      <c r="G1377">
        <v>1</v>
      </c>
    </row>
    <row r="1378" spans="1:7" x14ac:dyDescent="0.25">
      <c r="A1378">
        <v>13</v>
      </c>
      <c r="B1378" t="s">
        <v>1181</v>
      </c>
      <c r="C1378">
        <v>99222</v>
      </c>
      <c r="D1378" t="str">
        <f>"1578-4576"</f>
        <v>1578-4576</v>
      </c>
      <c r="E1378" t="s">
        <v>8</v>
      </c>
      <c r="F1378" t="s">
        <v>1388</v>
      </c>
      <c r="G1378">
        <v>1</v>
      </c>
    </row>
    <row r="1379" spans="1:7" x14ac:dyDescent="0.25">
      <c r="A1379">
        <v>13</v>
      </c>
      <c r="B1379" t="s">
        <v>1181</v>
      </c>
      <c r="C1379">
        <v>74745</v>
      </c>
      <c r="D1379" t="str">
        <f>"1426-1898"</f>
        <v>1426-1898</v>
      </c>
      <c r="E1379" t="s">
        <v>8</v>
      </c>
      <c r="F1379" t="s">
        <v>1389</v>
      </c>
      <c r="G1379">
        <v>1</v>
      </c>
    </row>
    <row r="1380" spans="1:7" x14ac:dyDescent="0.25">
      <c r="A1380">
        <v>13</v>
      </c>
      <c r="B1380" t="s">
        <v>1181</v>
      </c>
      <c r="C1380">
        <v>27595</v>
      </c>
      <c r="E1380" t="s">
        <v>8</v>
      </c>
      <c r="F1380" t="s">
        <v>1390</v>
      </c>
      <c r="G1380">
        <v>1</v>
      </c>
    </row>
    <row r="1381" spans="1:7" x14ac:dyDescent="0.25">
      <c r="A1381">
        <v>13</v>
      </c>
      <c r="B1381" t="s">
        <v>1181</v>
      </c>
      <c r="C1381">
        <v>95033</v>
      </c>
      <c r="D1381" t="str">
        <f>"0080-5459"</f>
        <v>0080-5459</v>
      </c>
      <c r="E1381" t="s">
        <v>8</v>
      </c>
      <c r="F1381" t="s">
        <v>1391</v>
      </c>
      <c r="G1381">
        <v>1</v>
      </c>
    </row>
    <row r="1382" spans="1:7" x14ac:dyDescent="0.25">
      <c r="A1382">
        <v>13</v>
      </c>
      <c r="B1382" t="s">
        <v>1181</v>
      </c>
      <c r="C1382">
        <v>58538</v>
      </c>
      <c r="D1382" t="str">
        <f>"1315-6268"</f>
        <v>1315-6268</v>
      </c>
      <c r="E1382" t="s">
        <v>8</v>
      </c>
      <c r="F1382" t="s">
        <v>1392</v>
      </c>
      <c r="G1382">
        <v>1</v>
      </c>
    </row>
    <row r="1383" spans="1:7" x14ac:dyDescent="0.25">
      <c r="A1383">
        <v>13</v>
      </c>
      <c r="B1383" t="s">
        <v>1181</v>
      </c>
      <c r="C1383">
        <v>23982</v>
      </c>
      <c r="D1383" t="str">
        <f>"1673-3436"</f>
        <v>1673-3436</v>
      </c>
      <c r="E1383" t="s">
        <v>8</v>
      </c>
      <c r="F1383" t="s">
        <v>1393</v>
      </c>
      <c r="G1383">
        <v>1</v>
      </c>
    </row>
    <row r="1384" spans="1:7" x14ac:dyDescent="0.25">
      <c r="A1384">
        <v>13</v>
      </c>
      <c r="B1384" t="s">
        <v>1181</v>
      </c>
      <c r="C1384">
        <v>4097</v>
      </c>
      <c r="D1384" t="str">
        <f>"0017-0089"</f>
        <v>0017-0089</v>
      </c>
      <c r="E1384" t="s">
        <v>8</v>
      </c>
      <c r="F1384" t="s">
        <v>1394</v>
      </c>
      <c r="G1384">
        <v>1</v>
      </c>
    </row>
    <row r="1385" spans="1:7" x14ac:dyDescent="0.25">
      <c r="A1385">
        <v>13</v>
      </c>
      <c r="B1385" t="s">
        <v>1181</v>
      </c>
      <c r="C1385">
        <v>8776318</v>
      </c>
      <c r="D1385" t="str">
        <f>"2380-1883"</f>
        <v>2380-1883</v>
      </c>
      <c r="E1385" t="s">
        <v>8</v>
      </c>
      <c r="F1385" t="s">
        <v>1395</v>
      </c>
      <c r="G1385">
        <v>1</v>
      </c>
    </row>
    <row r="1386" spans="1:7" x14ac:dyDescent="0.25">
      <c r="A1386">
        <v>13</v>
      </c>
      <c r="B1386" t="s">
        <v>1181</v>
      </c>
      <c r="C1386">
        <v>8783125</v>
      </c>
      <c r="E1386" t="s">
        <v>8</v>
      </c>
      <c r="F1386" t="s">
        <v>1396</v>
      </c>
      <c r="G1386">
        <v>1</v>
      </c>
    </row>
    <row r="1387" spans="1:7" x14ac:dyDescent="0.25">
      <c r="A1387">
        <v>13</v>
      </c>
      <c r="B1387" t="s">
        <v>1181</v>
      </c>
      <c r="C1387">
        <v>113789</v>
      </c>
      <c r="D1387" t="str">
        <f>"0316-618X"</f>
        <v>0316-618X</v>
      </c>
      <c r="E1387" t="s">
        <v>8</v>
      </c>
      <c r="F1387" t="s">
        <v>1397</v>
      </c>
      <c r="G1387">
        <v>1</v>
      </c>
    </row>
    <row r="1388" spans="1:7" x14ac:dyDescent="0.25">
      <c r="A1388">
        <v>13</v>
      </c>
      <c r="B1388" t="s">
        <v>1181</v>
      </c>
      <c r="C1388">
        <v>20339</v>
      </c>
      <c r="D1388" t="str">
        <f>"0093-4240"</f>
        <v>0093-4240</v>
      </c>
      <c r="E1388" t="s">
        <v>8</v>
      </c>
      <c r="F1388" t="s">
        <v>1398</v>
      </c>
      <c r="G1388">
        <v>1</v>
      </c>
    </row>
    <row r="1389" spans="1:7" x14ac:dyDescent="0.25">
      <c r="A1389">
        <v>13</v>
      </c>
      <c r="B1389" t="s">
        <v>1181</v>
      </c>
      <c r="C1389">
        <v>14676</v>
      </c>
      <c r="D1389" t="str">
        <f>"0165-9227"</f>
        <v>0165-9227</v>
      </c>
      <c r="E1389" t="s">
        <v>15</v>
      </c>
      <c r="F1389" t="s">
        <v>1399</v>
      </c>
      <c r="G1389">
        <v>1</v>
      </c>
    </row>
    <row r="1390" spans="1:7" x14ac:dyDescent="0.25">
      <c r="A1390">
        <v>13</v>
      </c>
      <c r="B1390" t="s">
        <v>1181</v>
      </c>
      <c r="C1390">
        <v>110002</v>
      </c>
      <c r="D1390" t="str">
        <f>"0167-3831"</f>
        <v>0167-3831</v>
      </c>
      <c r="E1390" t="s">
        <v>8</v>
      </c>
      <c r="F1390" t="s">
        <v>1400</v>
      </c>
      <c r="G1390">
        <v>1</v>
      </c>
    </row>
    <row r="1391" spans="1:7" x14ac:dyDescent="0.25">
      <c r="A1391">
        <v>13</v>
      </c>
      <c r="B1391" t="s">
        <v>1181</v>
      </c>
      <c r="C1391">
        <v>74372</v>
      </c>
      <c r="D1391" t="str">
        <f>"2051-5367"</f>
        <v>2051-5367</v>
      </c>
      <c r="E1391" t="s">
        <v>8</v>
      </c>
      <c r="F1391" t="s">
        <v>1401</v>
      </c>
      <c r="G1391">
        <v>1</v>
      </c>
    </row>
    <row r="1392" spans="1:7" x14ac:dyDescent="0.25">
      <c r="A1392">
        <v>13</v>
      </c>
      <c r="B1392" t="s">
        <v>1181</v>
      </c>
      <c r="C1392">
        <v>66285</v>
      </c>
      <c r="D1392" t="str">
        <f>"0885-4580"</f>
        <v>0885-4580</v>
      </c>
      <c r="E1392" t="s">
        <v>8</v>
      </c>
      <c r="F1392" t="s">
        <v>1402</v>
      </c>
      <c r="G1392">
        <v>1</v>
      </c>
    </row>
    <row r="1393" spans="1:7" x14ac:dyDescent="0.25">
      <c r="A1393">
        <v>13</v>
      </c>
      <c r="B1393" t="s">
        <v>1181</v>
      </c>
      <c r="C1393">
        <v>8782464</v>
      </c>
      <c r="D1393" t="str">
        <f>"1724-6121"</f>
        <v>1724-6121</v>
      </c>
      <c r="E1393" t="s">
        <v>8</v>
      </c>
      <c r="F1393" t="s">
        <v>1403</v>
      </c>
      <c r="G1393">
        <v>1</v>
      </c>
    </row>
    <row r="1394" spans="1:7" x14ac:dyDescent="0.25">
      <c r="A1394">
        <v>13</v>
      </c>
      <c r="B1394" t="s">
        <v>1181</v>
      </c>
      <c r="C1394">
        <v>71421</v>
      </c>
      <c r="D1394" t="str">
        <f>"1572-1914"</f>
        <v>1572-1914</v>
      </c>
      <c r="E1394" t="s">
        <v>15</v>
      </c>
      <c r="F1394" t="s">
        <v>1404</v>
      </c>
      <c r="G1394">
        <v>1</v>
      </c>
    </row>
    <row r="1395" spans="1:7" x14ac:dyDescent="0.25">
      <c r="A1395">
        <v>13</v>
      </c>
      <c r="B1395" t="s">
        <v>1181</v>
      </c>
      <c r="C1395">
        <v>7756412</v>
      </c>
      <c r="D1395" t="str">
        <f>"2211-1948"</f>
        <v>2211-1948</v>
      </c>
      <c r="E1395" t="s">
        <v>15</v>
      </c>
      <c r="F1395" t="s">
        <v>1405</v>
      </c>
      <c r="G1395">
        <v>1</v>
      </c>
    </row>
    <row r="1396" spans="1:7" x14ac:dyDescent="0.25">
      <c r="A1396">
        <v>13</v>
      </c>
      <c r="B1396" t="s">
        <v>1181</v>
      </c>
      <c r="C1396">
        <v>25017</v>
      </c>
      <c r="D1396" t="str">
        <f>"0921-5891"</f>
        <v>0921-5891</v>
      </c>
      <c r="E1396" t="s">
        <v>8</v>
      </c>
      <c r="F1396" t="s">
        <v>1406</v>
      </c>
      <c r="G1396">
        <v>1</v>
      </c>
    </row>
    <row r="1397" spans="1:7" x14ac:dyDescent="0.25">
      <c r="A1397">
        <v>13</v>
      </c>
      <c r="B1397" t="s">
        <v>1181</v>
      </c>
      <c r="C1397">
        <v>7706465</v>
      </c>
      <c r="D1397" t="str">
        <f>"1727-8120"</f>
        <v>1727-8120</v>
      </c>
      <c r="E1397" t="s">
        <v>8</v>
      </c>
      <c r="F1397" t="s">
        <v>1407</v>
      </c>
      <c r="G1397">
        <v>1</v>
      </c>
    </row>
    <row r="1398" spans="1:7" x14ac:dyDescent="0.25">
      <c r="A1398">
        <v>13</v>
      </c>
      <c r="B1398" t="s">
        <v>1181</v>
      </c>
      <c r="C1398">
        <v>7720167</v>
      </c>
      <c r="D1398" t="str">
        <f>"2158-3846"</f>
        <v>2158-3846</v>
      </c>
      <c r="E1398" t="s">
        <v>8</v>
      </c>
      <c r="F1398" t="s">
        <v>1408</v>
      </c>
      <c r="G1398">
        <v>1</v>
      </c>
    </row>
    <row r="1399" spans="1:7" x14ac:dyDescent="0.25">
      <c r="A1399">
        <v>13</v>
      </c>
      <c r="B1399" t="s">
        <v>1181</v>
      </c>
      <c r="C1399">
        <v>4030</v>
      </c>
      <c r="D1399" t="str">
        <f>"0319-7336"</f>
        <v>0319-7336</v>
      </c>
      <c r="E1399" t="s">
        <v>8</v>
      </c>
      <c r="F1399" t="s">
        <v>1409</v>
      </c>
      <c r="G1399">
        <v>1</v>
      </c>
    </row>
    <row r="1400" spans="1:7" x14ac:dyDescent="0.25">
      <c r="A1400">
        <v>13</v>
      </c>
      <c r="B1400" t="s">
        <v>1181</v>
      </c>
      <c r="C1400">
        <v>16787</v>
      </c>
      <c r="D1400" t="str">
        <f>"0167-9848"</f>
        <v>0167-9848</v>
      </c>
      <c r="E1400" t="s">
        <v>8</v>
      </c>
      <c r="F1400" t="s">
        <v>1410</v>
      </c>
      <c r="G1400">
        <v>1</v>
      </c>
    </row>
    <row r="1401" spans="1:7" x14ac:dyDescent="0.25">
      <c r="A1401">
        <v>13</v>
      </c>
      <c r="B1401" t="s">
        <v>1181</v>
      </c>
      <c r="C1401">
        <v>2189</v>
      </c>
      <c r="D1401" t="str">
        <f>"0046-8541"</f>
        <v>0046-8541</v>
      </c>
      <c r="E1401" t="s">
        <v>8</v>
      </c>
      <c r="F1401" t="s">
        <v>1411</v>
      </c>
      <c r="G1401">
        <v>1</v>
      </c>
    </row>
    <row r="1402" spans="1:7" x14ac:dyDescent="0.25">
      <c r="A1402">
        <v>13</v>
      </c>
      <c r="B1402" t="s">
        <v>1181</v>
      </c>
      <c r="C1402">
        <v>79524</v>
      </c>
      <c r="D1402" t="str">
        <f>"0120-0062"</f>
        <v>0120-0062</v>
      </c>
      <c r="E1402" t="s">
        <v>8</v>
      </c>
      <c r="F1402" t="s">
        <v>1412</v>
      </c>
      <c r="G1402">
        <v>1</v>
      </c>
    </row>
    <row r="1403" spans="1:7" x14ac:dyDescent="0.25">
      <c r="A1403">
        <v>13</v>
      </c>
      <c r="B1403" t="s">
        <v>1181</v>
      </c>
      <c r="C1403">
        <v>170076</v>
      </c>
      <c r="E1403" t="s">
        <v>15</v>
      </c>
      <c r="F1403" t="s">
        <v>1413</v>
      </c>
      <c r="G1403">
        <v>1</v>
      </c>
    </row>
    <row r="1404" spans="1:7" x14ac:dyDescent="0.25">
      <c r="A1404">
        <v>13</v>
      </c>
      <c r="B1404" t="s">
        <v>1181</v>
      </c>
      <c r="C1404">
        <v>22542</v>
      </c>
      <c r="D1404" t="str">
        <f>"0824-2577"</f>
        <v>0824-2577</v>
      </c>
      <c r="E1404" t="s">
        <v>8</v>
      </c>
      <c r="F1404" t="s">
        <v>1414</v>
      </c>
      <c r="G1404">
        <v>1</v>
      </c>
    </row>
    <row r="1405" spans="1:7" x14ac:dyDescent="0.25">
      <c r="A1405">
        <v>13</v>
      </c>
      <c r="B1405" t="s">
        <v>1181</v>
      </c>
      <c r="C1405">
        <v>7174</v>
      </c>
      <c r="E1405" t="s">
        <v>8</v>
      </c>
      <c r="F1405" t="s">
        <v>1415</v>
      </c>
      <c r="G1405">
        <v>1</v>
      </c>
    </row>
    <row r="1406" spans="1:7" x14ac:dyDescent="0.25">
      <c r="A1406">
        <v>13</v>
      </c>
      <c r="B1406" t="s">
        <v>1181</v>
      </c>
      <c r="C1406">
        <v>7705789</v>
      </c>
      <c r="D1406" t="str">
        <f>"2157-1694"</f>
        <v>2157-1694</v>
      </c>
      <c r="E1406" t="s">
        <v>8</v>
      </c>
      <c r="F1406" t="s">
        <v>1416</v>
      </c>
      <c r="G1406">
        <v>1</v>
      </c>
    </row>
    <row r="1407" spans="1:7" x14ac:dyDescent="0.25">
      <c r="A1407">
        <v>13</v>
      </c>
      <c r="B1407" t="s">
        <v>1181</v>
      </c>
      <c r="C1407">
        <v>8782886</v>
      </c>
      <c r="D1407" t="str">
        <f>"2468-7227"</f>
        <v>2468-7227</v>
      </c>
      <c r="E1407" t="s">
        <v>15</v>
      </c>
      <c r="F1407" t="s">
        <v>1417</v>
      </c>
      <c r="G1407">
        <v>1</v>
      </c>
    </row>
    <row r="1408" spans="1:7" x14ac:dyDescent="0.25">
      <c r="A1408">
        <v>13</v>
      </c>
      <c r="B1408" t="s">
        <v>1181</v>
      </c>
      <c r="C1408">
        <v>7703989</v>
      </c>
      <c r="D1408" t="str">
        <f>"2210-5697"</f>
        <v>2210-5697</v>
      </c>
      <c r="E1408" t="s">
        <v>8</v>
      </c>
      <c r="F1408" t="s">
        <v>1418</v>
      </c>
      <c r="G1408">
        <v>1</v>
      </c>
    </row>
    <row r="1409" spans="1:7" x14ac:dyDescent="0.25">
      <c r="A1409">
        <v>13</v>
      </c>
      <c r="B1409" t="s">
        <v>1181</v>
      </c>
      <c r="C1409">
        <v>21450</v>
      </c>
      <c r="D1409" t="str">
        <f>"0739-098X"</f>
        <v>0739-098X</v>
      </c>
      <c r="E1409" t="s">
        <v>8</v>
      </c>
      <c r="F1409" t="s">
        <v>1419</v>
      </c>
      <c r="G1409">
        <v>1</v>
      </c>
    </row>
    <row r="1410" spans="1:7" x14ac:dyDescent="0.25">
      <c r="A1410">
        <v>13</v>
      </c>
      <c r="B1410" t="s">
        <v>1181</v>
      </c>
      <c r="C1410">
        <v>20605</v>
      </c>
      <c r="D1410" t="str">
        <f>"1478-1484"</f>
        <v>1478-1484</v>
      </c>
      <c r="E1410" t="s">
        <v>8</v>
      </c>
      <c r="F1410" t="s">
        <v>1420</v>
      </c>
      <c r="G1410">
        <v>1</v>
      </c>
    </row>
    <row r="1411" spans="1:7" x14ac:dyDescent="0.25">
      <c r="A1411">
        <v>13</v>
      </c>
      <c r="B1411" t="s">
        <v>1181</v>
      </c>
      <c r="C1411">
        <v>304</v>
      </c>
      <c r="D1411" t="str">
        <f>"0967-2559"</f>
        <v>0967-2559</v>
      </c>
      <c r="E1411" t="s">
        <v>8</v>
      </c>
      <c r="F1411" t="s">
        <v>1421</v>
      </c>
      <c r="G1411">
        <v>1</v>
      </c>
    </row>
    <row r="1412" spans="1:7" x14ac:dyDescent="0.25">
      <c r="A1412">
        <v>13</v>
      </c>
      <c r="B1412" t="s">
        <v>1181</v>
      </c>
      <c r="C1412">
        <v>21905</v>
      </c>
      <c r="D1412" t="str">
        <f>"2169-2327"</f>
        <v>2169-2327</v>
      </c>
      <c r="E1412" t="s">
        <v>8</v>
      </c>
      <c r="F1412" t="s">
        <v>1422</v>
      </c>
      <c r="G1412">
        <v>1</v>
      </c>
    </row>
    <row r="1413" spans="1:7" x14ac:dyDescent="0.25">
      <c r="A1413">
        <v>13</v>
      </c>
      <c r="B1413" t="s">
        <v>1181</v>
      </c>
      <c r="C1413">
        <v>26826</v>
      </c>
      <c r="D1413" t="str">
        <f>"1872-5082"</f>
        <v>1872-5082</v>
      </c>
      <c r="E1413" t="s">
        <v>8</v>
      </c>
      <c r="F1413" t="s">
        <v>1423</v>
      </c>
      <c r="G1413">
        <v>1</v>
      </c>
    </row>
    <row r="1414" spans="1:7" x14ac:dyDescent="0.25">
      <c r="A1414">
        <v>13</v>
      </c>
      <c r="B1414" t="s">
        <v>1181</v>
      </c>
      <c r="C1414">
        <v>27073</v>
      </c>
      <c r="E1414" t="s">
        <v>8</v>
      </c>
      <c r="F1414" t="s">
        <v>1424</v>
      </c>
      <c r="G1414">
        <v>1</v>
      </c>
    </row>
    <row r="1415" spans="1:7" x14ac:dyDescent="0.25">
      <c r="A1415">
        <v>13</v>
      </c>
      <c r="B1415" t="s">
        <v>1181</v>
      </c>
      <c r="C1415">
        <v>8238</v>
      </c>
      <c r="D1415" t="str">
        <f>"0019-0365"</f>
        <v>0019-0365</v>
      </c>
      <c r="E1415" t="s">
        <v>8</v>
      </c>
      <c r="F1415" t="s">
        <v>1425</v>
      </c>
      <c r="G1415">
        <v>1</v>
      </c>
    </row>
    <row r="1416" spans="1:7" x14ac:dyDescent="0.25">
      <c r="A1416">
        <v>13</v>
      </c>
      <c r="B1416" t="s">
        <v>1181</v>
      </c>
      <c r="C1416">
        <v>153864</v>
      </c>
      <c r="E1416" t="s">
        <v>8</v>
      </c>
      <c r="F1416" t="s">
        <v>1426</v>
      </c>
      <c r="G1416">
        <v>1</v>
      </c>
    </row>
    <row r="1417" spans="1:7" x14ac:dyDescent="0.25">
      <c r="A1417">
        <v>13</v>
      </c>
      <c r="B1417" t="s">
        <v>1181</v>
      </c>
      <c r="C1417">
        <v>33767</v>
      </c>
      <c r="D1417" t="str">
        <f>"1613-0472"</f>
        <v>1613-0472</v>
      </c>
      <c r="E1417" t="s">
        <v>15</v>
      </c>
      <c r="F1417" t="s">
        <v>1427</v>
      </c>
      <c r="G1417">
        <v>1</v>
      </c>
    </row>
    <row r="1418" spans="1:7" x14ac:dyDescent="0.25">
      <c r="A1418">
        <v>13</v>
      </c>
      <c r="B1418" t="s">
        <v>1181</v>
      </c>
      <c r="C1418">
        <v>7713012</v>
      </c>
      <c r="D1418" t="str">
        <f>"2196-534X"</f>
        <v>2196-534X</v>
      </c>
      <c r="E1418" t="s">
        <v>15</v>
      </c>
      <c r="F1418" t="s">
        <v>1428</v>
      </c>
      <c r="G1418">
        <v>1</v>
      </c>
    </row>
    <row r="1419" spans="1:7" x14ac:dyDescent="0.25">
      <c r="A1419">
        <v>13</v>
      </c>
      <c r="B1419" t="s">
        <v>1181</v>
      </c>
      <c r="C1419">
        <v>8782739</v>
      </c>
      <c r="E1419" t="s">
        <v>15</v>
      </c>
      <c r="F1419" t="s">
        <v>1429</v>
      </c>
      <c r="G1419">
        <v>1</v>
      </c>
    </row>
    <row r="1420" spans="1:7" x14ac:dyDescent="0.25">
      <c r="A1420">
        <v>13</v>
      </c>
      <c r="B1420" t="s">
        <v>1181</v>
      </c>
      <c r="C1420">
        <v>11602</v>
      </c>
      <c r="D1420" t="str">
        <f>"0020-9635"</f>
        <v>0020-9635</v>
      </c>
      <c r="E1420" t="s">
        <v>8</v>
      </c>
      <c r="F1420" t="s">
        <v>1430</v>
      </c>
      <c r="G1420">
        <v>1</v>
      </c>
    </row>
    <row r="1421" spans="1:7" x14ac:dyDescent="0.25">
      <c r="A1421">
        <v>13</v>
      </c>
      <c r="B1421" t="s">
        <v>1181</v>
      </c>
      <c r="C1421">
        <v>7751632</v>
      </c>
      <c r="D1421" t="str">
        <f>"1137-2400"</f>
        <v>1137-2400</v>
      </c>
      <c r="E1421" t="s">
        <v>8</v>
      </c>
      <c r="F1421" t="s">
        <v>1431</v>
      </c>
      <c r="G1421">
        <v>1</v>
      </c>
    </row>
    <row r="1422" spans="1:7" x14ac:dyDescent="0.25">
      <c r="A1422">
        <v>13</v>
      </c>
      <c r="B1422" t="s">
        <v>1181</v>
      </c>
      <c r="C1422">
        <v>20389</v>
      </c>
      <c r="D1422" t="str">
        <f>"0193-7758"</f>
        <v>0193-7758</v>
      </c>
      <c r="E1422" t="s">
        <v>8</v>
      </c>
      <c r="F1422" t="s">
        <v>1432</v>
      </c>
      <c r="G1422">
        <v>1</v>
      </c>
    </row>
    <row r="1423" spans="1:7" x14ac:dyDescent="0.25">
      <c r="A1423">
        <v>13</v>
      </c>
      <c r="B1423" t="s">
        <v>1181</v>
      </c>
      <c r="C1423">
        <v>23764</v>
      </c>
      <c r="D1423" t="str">
        <f>"1122-7893"</f>
        <v>1122-7893</v>
      </c>
      <c r="E1423" t="s">
        <v>8</v>
      </c>
      <c r="F1423" t="s">
        <v>1433</v>
      </c>
      <c r="G1423">
        <v>1</v>
      </c>
    </row>
    <row r="1424" spans="1:7" x14ac:dyDescent="0.25">
      <c r="A1424">
        <v>13</v>
      </c>
      <c r="B1424" t="s">
        <v>1181</v>
      </c>
      <c r="C1424">
        <v>66946</v>
      </c>
      <c r="D1424" t="str">
        <f>"1130-2097"</f>
        <v>1130-2097</v>
      </c>
      <c r="E1424" t="s">
        <v>8</v>
      </c>
      <c r="F1424" t="s">
        <v>1434</v>
      </c>
      <c r="G1424">
        <v>1</v>
      </c>
    </row>
    <row r="1425" spans="1:7" x14ac:dyDescent="0.25">
      <c r="A1425">
        <v>13</v>
      </c>
      <c r="B1425" t="s">
        <v>1181</v>
      </c>
      <c r="C1425">
        <v>11519</v>
      </c>
      <c r="D1425" t="str">
        <f>"0169-8729"</f>
        <v>0169-8729</v>
      </c>
      <c r="E1425" t="s">
        <v>15</v>
      </c>
      <c r="F1425" t="s">
        <v>1435</v>
      </c>
      <c r="G1425">
        <v>1</v>
      </c>
    </row>
    <row r="1426" spans="1:7" x14ac:dyDescent="0.25">
      <c r="A1426">
        <v>13</v>
      </c>
      <c r="B1426" t="s">
        <v>1181</v>
      </c>
      <c r="C1426">
        <v>8758280</v>
      </c>
      <c r="D1426" t="str">
        <f>"2408-4751"</f>
        <v>2408-4751</v>
      </c>
      <c r="E1426" t="s">
        <v>8</v>
      </c>
      <c r="F1426" t="s">
        <v>1436</v>
      </c>
      <c r="G1426">
        <v>1</v>
      </c>
    </row>
    <row r="1427" spans="1:7" x14ac:dyDescent="0.25">
      <c r="A1427">
        <v>13</v>
      </c>
      <c r="B1427" t="s">
        <v>1181</v>
      </c>
      <c r="C1427">
        <v>105616</v>
      </c>
      <c r="D1427" t="str">
        <f>"0021-3306"</f>
        <v>0021-3306</v>
      </c>
      <c r="E1427" t="s">
        <v>8</v>
      </c>
      <c r="F1427" t="s">
        <v>1437</v>
      </c>
      <c r="G1427">
        <v>1</v>
      </c>
    </row>
    <row r="1428" spans="1:7" x14ac:dyDescent="0.25">
      <c r="A1428">
        <v>13</v>
      </c>
      <c r="B1428" t="s">
        <v>1181</v>
      </c>
      <c r="C1428">
        <v>31465</v>
      </c>
      <c r="D1428" t="str">
        <f>"1430-9017"</f>
        <v>1430-9017</v>
      </c>
      <c r="E1428" t="s">
        <v>8</v>
      </c>
      <c r="F1428" t="s">
        <v>1438</v>
      </c>
      <c r="G1428">
        <v>1</v>
      </c>
    </row>
    <row r="1429" spans="1:7" x14ac:dyDescent="0.25">
      <c r="A1429">
        <v>13</v>
      </c>
      <c r="B1429" t="s">
        <v>1181</v>
      </c>
      <c r="C1429">
        <v>27111</v>
      </c>
      <c r="D1429" t="str">
        <f>"1524-2269"</f>
        <v>1524-2269</v>
      </c>
      <c r="E1429" t="s">
        <v>8</v>
      </c>
      <c r="F1429" t="s">
        <v>1439</v>
      </c>
      <c r="G1429">
        <v>1</v>
      </c>
    </row>
    <row r="1430" spans="1:7" x14ac:dyDescent="0.25">
      <c r="A1430">
        <v>13</v>
      </c>
      <c r="B1430" t="s">
        <v>1181</v>
      </c>
      <c r="C1430">
        <v>6167230</v>
      </c>
      <c r="D1430" t="str">
        <f>"1948-352X"</f>
        <v>1948-352X</v>
      </c>
      <c r="E1430" t="s">
        <v>8</v>
      </c>
      <c r="F1430" t="s">
        <v>1440</v>
      </c>
      <c r="G1430">
        <v>1</v>
      </c>
    </row>
    <row r="1431" spans="1:7" x14ac:dyDescent="0.25">
      <c r="A1431">
        <v>13</v>
      </c>
      <c r="B1431" t="s">
        <v>1181</v>
      </c>
      <c r="C1431">
        <v>123642</v>
      </c>
      <c r="D1431" t="str">
        <f>"1093-6831"</f>
        <v>1093-6831</v>
      </c>
      <c r="E1431" t="s">
        <v>8</v>
      </c>
      <c r="F1431" t="s">
        <v>1441</v>
      </c>
      <c r="G1431">
        <v>1</v>
      </c>
    </row>
    <row r="1432" spans="1:7" x14ac:dyDescent="0.25">
      <c r="A1432">
        <v>13</v>
      </c>
      <c r="B1432" t="s">
        <v>1181</v>
      </c>
      <c r="C1432">
        <v>7749525</v>
      </c>
      <c r="E1432" t="s">
        <v>8</v>
      </c>
      <c r="F1432" t="s">
        <v>1442</v>
      </c>
      <c r="G1432">
        <v>1</v>
      </c>
    </row>
    <row r="1433" spans="1:7" x14ac:dyDescent="0.25">
      <c r="A1433">
        <v>13</v>
      </c>
      <c r="B1433" t="s">
        <v>1181</v>
      </c>
      <c r="C1433">
        <v>23607</v>
      </c>
      <c r="D1433" t="str">
        <f>"1570-1727"</f>
        <v>1570-1727</v>
      </c>
      <c r="E1433" t="s">
        <v>8</v>
      </c>
      <c r="F1433" t="s">
        <v>1443</v>
      </c>
      <c r="G1433">
        <v>1</v>
      </c>
    </row>
    <row r="1434" spans="1:7" x14ac:dyDescent="0.25">
      <c r="A1434">
        <v>13</v>
      </c>
      <c r="B1434" t="s">
        <v>1181</v>
      </c>
      <c r="C1434">
        <v>7717361</v>
      </c>
      <c r="D1434" t="str">
        <f>"2211-4742"</f>
        <v>2211-4742</v>
      </c>
      <c r="E1434" t="s">
        <v>8</v>
      </c>
      <c r="F1434" t="s">
        <v>1444</v>
      </c>
      <c r="G1434">
        <v>1</v>
      </c>
    </row>
    <row r="1435" spans="1:7" x14ac:dyDescent="0.25">
      <c r="A1435">
        <v>13</v>
      </c>
      <c r="B1435" t="s">
        <v>1181</v>
      </c>
      <c r="C1435">
        <v>4149</v>
      </c>
      <c r="D1435" t="str">
        <f>"1526-1018"</f>
        <v>1526-1018</v>
      </c>
      <c r="E1435" t="s">
        <v>8</v>
      </c>
      <c r="F1435" t="s">
        <v>1445</v>
      </c>
      <c r="G1435">
        <v>1</v>
      </c>
    </row>
    <row r="1436" spans="1:7" x14ac:dyDescent="0.25">
      <c r="A1436">
        <v>13</v>
      </c>
      <c r="B1436" t="s">
        <v>1181</v>
      </c>
      <c r="C1436">
        <v>4168</v>
      </c>
      <c r="D1436" t="str">
        <f>"1361-7672"</f>
        <v>1361-7672</v>
      </c>
      <c r="E1436" t="s">
        <v>8</v>
      </c>
      <c r="F1436" t="s">
        <v>1446</v>
      </c>
      <c r="G1436">
        <v>1</v>
      </c>
    </row>
    <row r="1437" spans="1:7" x14ac:dyDescent="0.25">
      <c r="A1437">
        <v>13</v>
      </c>
      <c r="B1437" t="s">
        <v>1181</v>
      </c>
      <c r="C1437">
        <v>7746209</v>
      </c>
      <c r="D1437" t="str">
        <f>"2193-3677"</f>
        <v>2193-3677</v>
      </c>
      <c r="E1437" t="s">
        <v>8</v>
      </c>
      <c r="F1437" t="s">
        <v>1447</v>
      </c>
      <c r="G1437">
        <v>1</v>
      </c>
    </row>
    <row r="1438" spans="1:7" x14ac:dyDescent="0.25">
      <c r="A1438">
        <v>13</v>
      </c>
      <c r="B1438" t="s">
        <v>1181</v>
      </c>
      <c r="C1438">
        <v>12058</v>
      </c>
      <c r="D1438" t="str">
        <f>"1355-8250"</f>
        <v>1355-8250</v>
      </c>
      <c r="E1438" t="s">
        <v>8</v>
      </c>
      <c r="F1438" t="s">
        <v>1448</v>
      </c>
      <c r="G1438">
        <v>1</v>
      </c>
    </row>
    <row r="1439" spans="1:7" x14ac:dyDescent="0.25">
      <c r="A1439">
        <v>13</v>
      </c>
      <c r="B1439" t="s">
        <v>1181</v>
      </c>
      <c r="C1439">
        <v>86766</v>
      </c>
      <c r="D1439" t="str">
        <f>"1559-3061"</f>
        <v>1559-3061</v>
      </c>
      <c r="E1439" t="s">
        <v>8</v>
      </c>
      <c r="F1439" t="s">
        <v>1449</v>
      </c>
      <c r="G1439">
        <v>1</v>
      </c>
    </row>
    <row r="1440" spans="1:7" x14ac:dyDescent="0.25">
      <c r="A1440">
        <v>13</v>
      </c>
      <c r="B1440" t="s">
        <v>1181</v>
      </c>
      <c r="C1440">
        <v>140740</v>
      </c>
      <c r="D1440" t="str">
        <f>"1936-6280"</f>
        <v>1936-6280</v>
      </c>
      <c r="E1440" t="s">
        <v>8</v>
      </c>
      <c r="F1440" t="s">
        <v>1450</v>
      </c>
      <c r="G1440">
        <v>1</v>
      </c>
    </row>
    <row r="1441" spans="1:7" x14ac:dyDescent="0.25">
      <c r="A1441">
        <v>13</v>
      </c>
      <c r="B1441" t="s">
        <v>1181</v>
      </c>
      <c r="C1441">
        <v>18317</v>
      </c>
      <c r="D1441" t="str">
        <f>"1744-9626"</f>
        <v>1744-9626</v>
      </c>
      <c r="E1441" t="s">
        <v>8</v>
      </c>
      <c r="F1441" t="s">
        <v>1451</v>
      </c>
      <c r="G1441">
        <v>1</v>
      </c>
    </row>
    <row r="1442" spans="1:7" x14ac:dyDescent="0.25">
      <c r="A1442">
        <v>13</v>
      </c>
      <c r="B1442" t="s">
        <v>1181</v>
      </c>
      <c r="C1442">
        <v>3724</v>
      </c>
      <c r="D1442" t="str">
        <f>"0971-6858"</f>
        <v>0971-6858</v>
      </c>
      <c r="E1442" t="s">
        <v>8</v>
      </c>
      <c r="F1442" t="s">
        <v>1452</v>
      </c>
      <c r="G1442">
        <v>1</v>
      </c>
    </row>
    <row r="1443" spans="1:7" x14ac:dyDescent="0.25">
      <c r="A1443">
        <v>13</v>
      </c>
      <c r="B1443" t="s">
        <v>1181</v>
      </c>
      <c r="C1443">
        <v>100726</v>
      </c>
      <c r="D1443" t="str">
        <f>"1536-4569"</f>
        <v>1536-4569</v>
      </c>
      <c r="E1443" t="s">
        <v>8</v>
      </c>
      <c r="F1443" t="s">
        <v>1453</v>
      </c>
      <c r="G1443">
        <v>1</v>
      </c>
    </row>
    <row r="1444" spans="1:7" x14ac:dyDescent="0.25">
      <c r="A1444">
        <v>13</v>
      </c>
      <c r="B1444" t="s">
        <v>1181</v>
      </c>
      <c r="C1444">
        <v>655</v>
      </c>
      <c r="D1444" t="str">
        <f>"1502-7570"</f>
        <v>1502-7570</v>
      </c>
      <c r="E1444" t="s">
        <v>8</v>
      </c>
      <c r="F1444" t="s">
        <v>1454</v>
      </c>
      <c r="G1444">
        <v>1</v>
      </c>
    </row>
    <row r="1445" spans="1:7" x14ac:dyDescent="0.25">
      <c r="A1445">
        <v>13</v>
      </c>
      <c r="B1445" t="s">
        <v>1181</v>
      </c>
      <c r="C1445">
        <v>13482</v>
      </c>
      <c r="D1445" t="str">
        <f>"0968-8005"</f>
        <v>0968-8005</v>
      </c>
      <c r="E1445" t="s">
        <v>8</v>
      </c>
      <c r="F1445" t="s">
        <v>1455</v>
      </c>
      <c r="G1445">
        <v>1</v>
      </c>
    </row>
    <row r="1446" spans="1:7" x14ac:dyDescent="0.25">
      <c r="A1446">
        <v>13</v>
      </c>
      <c r="B1446" t="s">
        <v>1181</v>
      </c>
      <c r="C1446">
        <v>13329</v>
      </c>
      <c r="D1446" t="str">
        <f>"1053-8364"</f>
        <v>1053-8364</v>
      </c>
      <c r="E1446" t="s">
        <v>8</v>
      </c>
      <c r="F1446" t="s">
        <v>1456</v>
      </c>
      <c r="G1446">
        <v>1</v>
      </c>
    </row>
    <row r="1447" spans="1:7" x14ac:dyDescent="0.25">
      <c r="A1447">
        <v>13</v>
      </c>
      <c r="B1447" t="s">
        <v>1181</v>
      </c>
      <c r="C1447">
        <v>7692117</v>
      </c>
      <c r="D1447" t="str">
        <f>"2072-036X"</f>
        <v>2072-036X</v>
      </c>
      <c r="E1447" t="s">
        <v>8</v>
      </c>
      <c r="F1447" t="s">
        <v>1457</v>
      </c>
      <c r="G1447">
        <v>1</v>
      </c>
    </row>
    <row r="1448" spans="1:7" x14ac:dyDescent="0.25">
      <c r="A1448">
        <v>13</v>
      </c>
      <c r="B1448" t="s">
        <v>1181</v>
      </c>
      <c r="C1448">
        <v>7730193</v>
      </c>
      <c r="D1448" t="str">
        <f>"2185-4505"</f>
        <v>2185-4505</v>
      </c>
      <c r="E1448" t="s">
        <v>8</v>
      </c>
      <c r="F1448" t="s">
        <v>1458</v>
      </c>
      <c r="G1448">
        <v>1</v>
      </c>
    </row>
    <row r="1449" spans="1:7" x14ac:dyDescent="0.25">
      <c r="A1449">
        <v>13</v>
      </c>
      <c r="B1449" t="s">
        <v>1181</v>
      </c>
      <c r="C1449">
        <v>9008</v>
      </c>
      <c r="D1449" t="str">
        <f>"1479-6651"</f>
        <v>1479-6651</v>
      </c>
      <c r="E1449" t="s">
        <v>8</v>
      </c>
      <c r="F1449" t="s">
        <v>1459</v>
      </c>
      <c r="G1449">
        <v>1</v>
      </c>
    </row>
    <row r="1450" spans="1:7" x14ac:dyDescent="0.25">
      <c r="A1450">
        <v>13</v>
      </c>
      <c r="B1450" t="s">
        <v>1181</v>
      </c>
      <c r="C1450">
        <v>2224</v>
      </c>
      <c r="D1450" t="str">
        <f>"0047-2786"</f>
        <v>0047-2786</v>
      </c>
      <c r="E1450" t="s">
        <v>8</v>
      </c>
      <c r="F1450" t="s">
        <v>1460</v>
      </c>
      <c r="G1450">
        <v>1</v>
      </c>
    </row>
    <row r="1451" spans="1:7" x14ac:dyDescent="0.25">
      <c r="A1451">
        <v>13</v>
      </c>
      <c r="B1451" t="s">
        <v>1181</v>
      </c>
      <c r="C1451">
        <v>8782797</v>
      </c>
      <c r="E1451" t="s">
        <v>8</v>
      </c>
      <c r="F1451" t="s">
        <v>1461</v>
      </c>
      <c r="G1451">
        <v>1</v>
      </c>
    </row>
    <row r="1452" spans="1:7" x14ac:dyDescent="0.25">
      <c r="A1452">
        <v>13</v>
      </c>
      <c r="B1452" t="s">
        <v>1181</v>
      </c>
      <c r="C1452">
        <v>8102</v>
      </c>
      <c r="D1452" t="str">
        <f>"0891-625X"</f>
        <v>0891-625X</v>
      </c>
      <c r="E1452" t="s">
        <v>8</v>
      </c>
      <c r="F1452" t="s">
        <v>1462</v>
      </c>
      <c r="G1452">
        <v>1</v>
      </c>
    </row>
    <row r="1453" spans="1:7" x14ac:dyDescent="0.25">
      <c r="A1453">
        <v>13</v>
      </c>
      <c r="B1453" t="s">
        <v>1181</v>
      </c>
      <c r="C1453">
        <v>15773</v>
      </c>
      <c r="D1453" t="str">
        <f>"0007-1773"</f>
        <v>0007-1773</v>
      </c>
      <c r="E1453" t="s">
        <v>8</v>
      </c>
      <c r="F1453" t="s">
        <v>1463</v>
      </c>
      <c r="G1453">
        <v>1</v>
      </c>
    </row>
    <row r="1454" spans="1:7" x14ac:dyDescent="0.25">
      <c r="A1454">
        <v>13</v>
      </c>
      <c r="B1454" t="s">
        <v>1181</v>
      </c>
      <c r="C1454">
        <v>22034</v>
      </c>
      <c r="D1454" t="str">
        <f>"1872-261X"</f>
        <v>1872-261X</v>
      </c>
      <c r="E1454" t="s">
        <v>8</v>
      </c>
      <c r="F1454" t="s">
        <v>1464</v>
      </c>
      <c r="G1454">
        <v>1</v>
      </c>
    </row>
    <row r="1455" spans="1:7" x14ac:dyDescent="0.25">
      <c r="A1455">
        <v>13</v>
      </c>
      <c r="B1455" t="s">
        <v>1181</v>
      </c>
      <c r="C1455">
        <v>8782737</v>
      </c>
      <c r="E1455" t="s">
        <v>8</v>
      </c>
      <c r="F1455" t="s">
        <v>1465</v>
      </c>
      <c r="G1455">
        <v>1</v>
      </c>
    </row>
    <row r="1456" spans="1:7" x14ac:dyDescent="0.25">
      <c r="A1456">
        <v>13</v>
      </c>
      <c r="B1456" t="s">
        <v>1181</v>
      </c>
      <c r="C1456">
        <v>7722553</v>
      </c>
      <c r="D1456" t="str">
        <f>"2182-2824"</f>
        <v>2182-2824</v>
      </c>
      <c r="E1456" t="s">
        <v>8</v>
      </c>
      <c r="F1456" t="s">
        <v>1466</v>
      </c>
      <c r="G1456">
        <v>1</v>
      </c>
    </row>
    <row r="1457" spans="1:7" x14ac:dyDescent="0.25">
      <c r="A1457">
        <v>13</v>
      </c>
      <c r="B1457" t="s">
        <v>1181</v>
      </c>
      <c r="C1457">
        <v>154180</v>
      </c>
      <c r="D1457" t="str">
        <f>"1868-4599"</f>
        <v>1868-4599</v>
      </c>
      <c r="E1457" t="s">
        <v>8</v>
      </c>
      <c r="F1457" t="s">
        <v>1467</v>
      </c>
      <c r="G1457">
        <v>1</v>
      </c>
    </row>
    <row r="1458" spans="1:7" x14ac:dyDescent="0.25">
      <c r="A1458">
        <v>13</v>
      </c>
      <c r="B1458" t="s">
        <v>1181</v>
      </c>
      <c r="C1458">
        <v>5069</v>
      </c>
      <c r="D1458" t="str">
        <f>"1369-4154"</f>
        <v>1369-4154</v>
      </c>
      <c r="E1458" t="s">
        <v>8</v>
      </c>
      <c r="F1458" t="s">
        <v>1468</v>
      </c>
      <c r="G1458">
        <v>1</v>
      </c>
    </row>
    <row r="1459" spans="1:7" x14ac:dyDescent="0.25">
      <c r="A1459">
        <v>13</v>
      </c>
      <c r="B1459" t="s">
        <v>1181</v>
      </c>
      <c r="C1459">
        <v>6952</v>
      </c>
      <c r="D1459" t="str">
        <f>"1054-6863"</f>
        <v>1054-6863</v>
      </c>
      <c r="E1459" t="s">
        <v>8</v>
      </c>
      <c r="F1459" t="s">
        <v>1469</v>
      </c>
      <c r="G1459">
        <v>1</v>
      </c>
    </row>
    <row r="1460" spans="1:7" x14ac:dyDescent="0.25">
      <c r="A1460">
        <v>13</v>
      </c>
      <c r="B1460" t="s">
        <v>1181</v>
      </c>
      <c r="C1460">
        <v>7222</v>
      </c>
      <c r="D1460" t="str">
        <f>"1430-5372"</f>
        <v>1430-5372</v>
      </c>
      <c r="E1460" t="s">
        <v>8</v>
      </c>
      <c r="F1460" t="s">
        <v>1470</v>
      </c>
      <c r="G1460">
        <v>1</v>
      </c>
    </row>
    <row r="1461" spans="1:7" x14ac:dyDescent="0.25">
      <c r="A1461">
        <v>13</v>
      </c>
      <c r="B1461" t="s">
        <v>1181</v>
      </c>
      <c r="C1461">
        <v>154105</v>
      </c>
      <c r="D1461" t="str">
        <f>"1875-7103"</f>
        <v>1875-7103</v>
      </c>
      <c r="E1461" t="s">
        <v>8</v>
      </c>
      <c r="F1461" t="s">
        <v>1471</v>
      </c>
      <c r="G1461">
        <v>1</v>
      </c>
    </row>
    <row r="1462" spans="1:7" x14ac:dyDescent="0.25">
      <c r="A1462">
        <v>13</v>
      </c>
      <c r="B1462" t="s">
        <v>1181</v>
      </c>
      <c r="C1462">
        <v>153920</v>
      </c>
      <c r="D1462" t="str">
        <f>"0100-512X"</f>
        <v>0100-512X</v>
      </c>
      <c r="E1462" t="s">
        <v>8</v>
      </c>
      <c r="F1462" t="s">
        <v>1472</v>
      </c>
      <c r="G1462">
        <v>1</v>
      </c>
    </row>
    <row r="1463" spans="1:7" x14ac:dyDescent="0.25">
      <c r="A1463">
        <v>13</v>
      </c>
      <c r="B1463" t="s">
        <v>1181</v>
      </c>
      <c r="C1463">
        <v>147623</v>
      </c>
      <c r="D1463" t="str">
        <f>"1019-8288"</f>
        <v>1019-8288</v>
      </c>
      <c r="E1463" t="s">
        <v>8</v>
      </c>
      <c r="F1463" t="s">
        <v>1472</v>
      </c>
      <c r="G1463">
        <v>1</v>
      </c>
    </row>
    <row r="1464" spans="1:7" x14ac:dyDescent="0.25">
      <c r="A1464">
        <v>13</v>
      </c>
      <c r="B1464" t="s">
        <v>1181</v>
      </c>
      <c r="C1464">
        <v>56656</v>
      </c>
      <c r="D1464" t="str">
        <f>"1908-7330"</f>
        <v>1908-7330</v>
      </c>
      <c r="E1464" t="s">
        <v>8</v>
      </c>
      <c r="F1464" t="s">
        <v>1473</v>
      </c>
      <c r="G1464">
        <v>1</v>
      </c>
    </row>
    <row r="1465" spans="1:7" x14ac:dyDescent="0.25">
      <c r="A1465">
        <v>13</v>
      </c>
      <c r="B1465" t="s">
        <v>1181</v>
      </c>
      <c r="C1465">
        <v>8782559</v>
      </c>
      <c r="D1465" t="str">
        <f>"2445-8074"</f>
        <v>2445-8074</v>
      </c>
      <c r="E1465" t="s">
        <v>8</v>
      </c>
      <c r="F1465" t="s">
        <v>1474</v>
      </c>
      <c r="G1465">
        <v>1</v>
      </c>
    </row>
    <row r="1466" spans="1:7" x14ac:dyDescent="0.25">
      <c r="A1466">
        <v>13</v>
      </c>
      <c r="B1466" t="s">
        <v>1181</v>
      </c>
      <c r="C1466">
        <v>42527</v>
      </c>
      <c r="D1466" t="str">
        <f>"1938-2545"</f>
        <v>1938-2545</v>
      </c>
      <c r="E1466" t="s">
        <v>8</v>
      </c>
      <c r="F1466" t="s">
        <v>1475</v>
      </c>
      <c r="G1466">
        <v>1</v>
      </c>
    </row>
    <row r="1467" spans="1:7" x14ac:dyDescent="0.25">
      <c r="A1467">
        <v>13</v>
      </c>
      <c r="B1467" t="s">
        <v>1181</v>
      </c>
      <c r="C1467">
        <v>8782558</v>
      </c>
      <c r="E1467" t="s">
        <v>8</v>
      </c>
      <c r="F1467" t="s">
        <v>1476</v>
      </c>
      <c r="G1467">
        <v>1</v>
      </c>
    </row>
    <row r="1468" spans="1:7" x14ac:dyDescent="0.25">
      <c r="A1468">
        <v>13</v>
      </c>
      <c r="B1468" t="s">
        <v>1181</v>
      </c>
      <c r="C1468">
        <v>21116</v>
      </c>
      <c r="D1468" t="str">
        <f>"1460-728X"</f>
        <v>1460-728X</v>
      </c>
      <c r="E1468" t="s">
        <v>8</v>
      </c>
      <c r="F1468" t="s">
        <v>1477</v>
      </c>
      <c r="G1468">
        <v>1</v>
      </c>
    </row>
    <row r="1469" spans="1:7" x14ac:dyDescent="0.25">
      <c r="A1469">
        <v>13</v>
      </c>
      <c r="B1469" t="s">
        <v>1181</v>
      </c>
      <c r="C1469">
        <v>139661</v>
      </c>
      <c r="E1469" t="s">
        <v>8</v>
      </c>
      <c r="F1469" t="s">
        <v>1478</v>
      </c>
      <c r="G1469">
        <v>1</v>
      </c>
    </row>
    <row r="1470" spans="1:7" x14ac:dyDescent="0.25">
      <c r="A1470">
        <v>13</v>
      </c>
      <c r="B1470" t="s">
        <v>1181</v>
      </c>
      <c r="C1470">
        <v>11864</v>
      </c>
      <c r="D1470" t="str">
        <f>"0014-2166"</f>
        <v>0014-2166</v>
      </c>
      <c r="E1470" t="s">
        <v>8</v>
      </c>
      <c r="F1470" t="s">
        <v>1479</v>
      </c>
      <c r="G1470">
        <v>1</v>
      </c>
    </row>
    <row r="1471" spans="1:7" x14ac:dyDescent="0.25">
      <c r="A1471">
        <v>13</v>
      </c>
      <c r="B1471" t="s">
        <v>1181</v>
      </c>
      <c r="C1471">
        <v>7482</v>
      </c>
      <c r="D1471" t="str">
        <f>"0040-3075"</f>
        <v>0040-3075</v>
      </c>
      <c r="E1471" t="s">
        <v>8</v>
      </c>
      <c r="F1471" t="s">
        <v>1480</v>
      </c>
      <c r="G1471">
        <v>1</v>
      </c>
    </row>
    <row r="1472" spans="1:7" x14ac:dyDescent="0.25">
      <c r="A1472">
        <v>13</v>
      </c>
      <c r="B1472" t="s">
        <v>1181</v>
      </c>
      <c r="C1472">
        <v>16486</v>
      </c>
      <c r="D1472" t="str">
        <f>"0304-0003"</f>
        <v>0304-0003</v>
      </c>
      <c r="E1472" t="s">
        <v>8</v>
      </c>
      <c r="F1472" t="s">
        <v>1481</v>
      </c>
      <c r="G1472">
        <v>1</v>
      </c>
    </row>
    <row r="1473" spans="1:7" x14ac:dyDescent="0.25">
      <c r="A1473">
        <v>13</v>
      </c>
      <c r="B1473" t="s">
        <v>1181</v>
      </c>
      <c r="C1473">
        <v>154468</v>
      </c>
      <c r="D1473" t="str">
        <f>"1947-6949"</f>
        <v>1947-6949</v>
      </c>
      <c r="E1473" t="s">
        <v>8</v>
      </c>
      <c r="F1473" t="s">
        <v>1482</v>
      </c>
      <c r="G1473">
        <v>1</v>
      </c>
    </row>
    <row r="1474" spans="1:7" x14ac:dyDescent="0.25">
      <c r="A1474">
        <v>13</v>
      </c>
      <c r="B1474" t="s">
        <v>1181</v>
      </c>
      <c r="C1474">
        <v>110904</v>
      </c>
      <c r="D1474" t="str">
        <f>"1387-6678"</f>
        <v>1387-6678</v>
      </c>
      <c r="E1474" t="s">
        <v>15</v>
      </c>
      <c r="F1474" t="s">
        <v>1483</v>
      </c>
      <c r="G1474">
        <v>1</v>
      </c>
    </row>
    <row r="1475" spans="1:7" x14ac:dyDescent="0.25">
      <c r="A1475">
        <v>13</v>
      </c>
      <c r="B1475" t="s">
        <v>1181</v>
      </c>
      <c r="C1475">
        <v>7692248</v>
      </c>
      <c r="D1475" t="str">
        <f>"1841-2394"</f>
        <v>1841-2394</v>
      </c>
      <c r="E1475" t="s">
        <v>8</v>
      </c>
      <c r="F1475" t="s">
        <v>1484</v>
      </c>
      <c r="G1475">
        <v>1</v>
      </c>
    </row>
    <row r="1476" spans="1:7" x14ac:dyDescent="0.25">
      <c r="A1476">
        <v>13</v>
      </c>
      <c r="B1476" t="s">
        <v>1181</v>
      </c>
      <c r="C1476">
        <v>12724</v>
      </c>
      <c r="D1476" t="str">
        <f>"1476-0290"</f>
        <v>1476-0290</v>
      </c>
      <c r="E1476" t="s">
        <v>8</v>
      </c>
      <c r="F1476" t="s">
        <v>1485</v>
      </c>
      <c r="G1476">
        <v>1</v>
      </c>
    </row>
    <row r="1477" spans="1:7" x14ac:dyDescent="0.25">
      <c r="A1477">
        <v>13</v>
      </c>
      <c r="B1477" t="s">
        <v>1181</v>
      </c>
      <c r="C1477">
        <v>26981</v>
      </c>
      <c r="D1477" t="str">
        <f>"1425-3305"</f>
        <v>1425-3305</v>
      </c>
      <c r="E1477" t="s">
        <v>8</v>
      </c>
      <c r="F1477" t="s">
        <v>1486</v>
      </c>
      <c r="G1477">
        <v>1</v>
      </c>
    </row>
    <row r="1478" spans="1:7" x14ac:dyDescent="0.25">
      <c r="A1478">
        <v>13</v>
      </c>
      <c r="B1478" t="s">
        <v>1181</v>
      </c>
      <c r="C1478">
        <v>8782738</v>
      </c>
      <c r="E1478" t="s">
        <v>15</v>
      </c>
      <c r="F1478" t="s">
        <v>1487</v>
      </c>
      <c r="G1478">
        <v>1</v>
      </c>
    </row>
    <row r="1479" spans="1:7" x14ac:dyDescent="0.25">
      <c r="A1479">
        <v>13</v>
      </c>
      <c r="B1479" t="s">
        <v>1181</v>
      </c>
      <c r="C1479">
        <v>134791</v>
      </c>
      <c r="D1479" t="str">
        <f>"1617-3473"</f>
        <v>1617-3473</v>
      </c>
      <c r="E1479" t="s">
        <v>15</v>
      </c>
      <c r="F1479" t="s">
        <v>1488</v>
      </c>
      <c r="G1479">
        <v>1</v>
      </c>
    </row>
    <row r="1480" spans="1:7" x14ac:dyDescent="0.25">
      <c r="A1480">
        <v>13</v>
      </c>
      <c r="B1480" t="s">
        <v>1181</v>
      </c>
      <c r="C1480">
        <v>7706847</v>
      </c>
      <c r="D1480" t="str">
        <f>"2069-0533"</f>
        <v>2069-0533</v>
      </c>
      <c r="E1480" t="s">
        <v>8</v>
      </c>
      <c r="F1480" t="s">
        <v>1489</v>
      </c>
      <c r="G1480">
        <v>1</v>
      </c>
    </row>
    <row r="1481" spans="1:7" x14ac:dyDescent="0.25">
      <c r="A1481">
        <v>13</v>
      </c>
      <c r="B1481" t="s">
        <v>1181</v>
      </c>
      <c r="C1481">
        <v>8783594</v>
      </c>
      <c r="E1481" t="s">
        <v>15</v>
      </c>
      <c r="F1481" t="s">
        <v>1490</v>
      </c>
      <c r="G1481">
        <v>1</v>
      </c>
    </row>
    <row r="1482" spans="1:7" x14ac:dyDescent="0.25">
      <c r="A1482">
        <v>13</v>
      </c>
      <c r="B1482" t="s">
        <v>1181</v>
      </c>
      <c r="C1482">
        <v>7706853</v>
      </c>
      <c r="E1482" t="s">
        <v>8</v>
      </c>
      <c r="F1482" t="s">
        <v>1491</v>
      </c>
      <c r="G1482">
        <v>1</v>
      </c>
    </row>
    <row r="1483" spans="1:7" x14ac:dyDescent="0.25">
      <c r="A1483">
        <v>13</v>
      </c>
      <c r="B1483" t="s">
        <v>1181</v>
      </c>
      <c r="C1483">
        <v>10246</v>
      </c>
      <c r="D1483" t="str">
        <f>"1437-2053"</f>
        <v>1437-2053</v>
      </c>
      <c r="E1483" t="s">
        <v>8</v>
      </c>
      <c r="F1483" t="s">
        <v>1492</v>
      </c>
      <c r="G1483">
        <v>1</v>
      </c>
    </row>
    <row r="1484" spans="1:7" x14ac:dyDescent="0.25">
      <c r="A1484">
        <v>13</v>
      </c>
      <c r="B1484" t="s">
        <v>1181</v>
      </c>
      <c r="C1484">
        <v>10587</v>
      </c>
      <c r="D1484" t="str">
        <f>"0363-6550"</f>
        <v>0363-6550</v>
      </c>
      <c r="E1484" t="s">
        <v>15</v>
      </c>
      <c r="F1484" t="s">
        <v>1493</v>
      </c>
      <c r="G1484">
        <v>1</v>
      </c>
    </row>
    <row r="1485" spans="1:7" x14ac:dyDescent="0.25">
      <c r="A1485">
        <v>13</v>
      </c>
      <c r="B1485" t="s">
        <v>1181</v>
      </c>
      <c r="C1485">
        <v>16566</v>
      </c>
      <c r="D1485" t="str">
        <f>"0076-9258"</f>
        <v>0076-9258</v>
      </c>
      <c r="E1485" t="s">
        <v>15</v>
      </c>
      <c r="F1485" t="s">
        <v>1494</v>
      </c>
      <c r="G1485">
        <v>1</v>
      </c>
    </row>
    <row r="1486" spans="1:7" x14ac:dyDescent="0.25">
      <c r="A1486">
        <v>13</v>
      </c>
      <c r="B1486" t="s">
        <v>1181</v>
      </c>
      <c r="C1486">
        <v>7716704</v>
      </c>
      <c r="D1486" t="str">
        <f>"1862-1260"</f>
        <v>1862-1260</v>
      </c>
      <c r="E1486" t="s">
        <v>15</v>
      </c>
      <c r="F1486" t="s">
        <v>1495</v>
      </c>
      <c r="G1486">
        <v>1</v>
      </c>
    </row>
    <row r="1487" spans="1:7" x14ac:dyDescent="0.25">
      <c r="A1487">
        <v>13</v>
      </c>
      <c r="B1487" t="s">
        <v>1181</v>
      </c>
      <c r="C1487">
        <v>7751953</v>
      </c>
      <c r="D1487" t="str">
        <f>"2194-5616"</f>
        <v>2194-5616</v>
      </c>
      <c r="E1487" t="s">
        <v>8</v>
      </c>
      <c r="F1487" t="s">
        <v>1496</v>
      </c>
      <c r="G1487">
        <v>1</v>
      </c>
    </row>
    <row r="1488" spans="1:7" x14ac:dyDescent="0.25">
      <c r="A1488">
        <v>13</v>
      </c>
      <c r="B1488" t="s">
        <v>1181</v>
      </c>
      <c r="C1488">
        <v>24937</v>
      </c>
      <c r="D1488" t="str">
        <f>"2213-0713"</f>
        <v>2213-0713</v>
      </c>
      <c r="E1488" t="s">
        <v>8</v>
      </c>
      <c r="F1488" t="s">
        <v>1497</v>
      </c>
      <c r="G1488">
        <v>1</v>
      </c>
    </row>
    <row r="1489" spans="1:7" x14ac:dyDescent="0.25">
      <c r="A1489">
        <v>13</v>
      </c>
      <c r="B1489" t="s">
        <v>1181</v>
      </c>
      <c r="C1489">
        <v>24452</v>
      </c>
      <c r="D1489" t="str">
        <f>"1874-5490"</f>
        <v>1874-5490</v>
      </c>
      <c r="E1489" t="s">
        <v>8</v>
      </c>
      <c r="F1489" t="s">
        <v>1498</v>
      </c>
      <c r="G1489">
        <v>1</v>
      </c>
    </row>
    <row r="1490" spans="1:7" x14ac:dyDescent="0.25">
      <c r="A1490">
        <v>13</v>
      </c>
      <c r="B1490" t="s">
        <v>1181</v>
      </c>
      <c r="C1490">
        <v>87912</v>
      </c>
      <c r="D1490" t="str">
        <f>"1091-0239"</f>
        <v>1091-0239</v>
      </c>
      <c r="E1490" t="s">
        <v>8</v>
      </c>
      <c r="F1490" t="s">
        <v>1499</v>
      </c>
      <c r="G1490">
        <v>1</v>
      </c>
    </row>
    <row r="1491" spans="1:7" x14ac:dyDescent="0.25">
      <c r="A1491">
        <v>13</v>
      </c>
      <c r="B1491" t="s">
        <v>1181</v>
      </c>
      <c r="C1491">
        <v>11583</v>
      </c>
      <c r="D1491" t="str">
        <f>"0342-1422"</f>
        <v>0342-1422</v>
      </c>
      <c r="E1491" t="s">
        <v>8</v>
      </c>
      <c r="F1491" t="s">
        <v>1500</v>
      </c>
      <c r="G1491">
        <v>1</v>
      </c>
    </row>
    <row r="1492" spans="1:7" x14ac:dyDescent="0.25">
      <c r="A1492">
        <v>13</v>
      </c>
      <c r="B1492" t="s">
        <v>1181</v>
      </c>
      <c r="C1492">
        <v>7723008</v>
      </c>
      <c r="D1492" t="str">
        <f>"2239-5474"</f>
        <v>2239-5474</v>
      </c>
      <c r="E1492" t="s">
        <v>8</v>
      </c>
      <c r="F1492" t="s">
        <v>1501</v>
      </c>
      <c r="G1492">
        <v>1</v>
      </c>
    </row>
    <row r="1493" spans="1:7" x14ac:dyDescent="0.25">
      <c r="A1493">
        <v>13</v>
      </c>
      <c r="B1493" t="s">
        <v>1181</v>
      </c>
      <c r="C1493">
        <v>7736047</v>
      </c>
      <c r="D1493" t="str">
        <f>"2194-6825"</f>
        <v>2194-6825</v>
      </c>
      <c r="E1493" t="s">
        <v>8</v>
      </c>
      <c r="F1493" t="s">
        <v>1502</v>
      </c>
      <c r="G1493">
        <v>1</v>
      </c>
    </row>
    <row r="1494" spans="1:7" x14ac:dyDescent="0.25">
      <c r="A1494">
        <v>13</v>
      </c>
      <c r="B1494" t="s">
        <v>1181</v>
      </c>
      <c r="C1494">
        <v>8761943</v>
      </c>
      <c r="E1494" t="s">
        <v>8</v>
      </c>
      <c r="F1494" t="s">
        <v>1503</v>
      </c>
      <c r="G1494">
        <v>1</v>
      </c>
    </row>
    <row r="1495" spans="1:7" x14ac:dyDescent="0.25">
      <c r="A1495">
        <v>13</v>
      </c>
      <c r="B1495" t="s">
        <v>1181</v>
      </c>
      <c r="C1495">
        <v>11066</v>
      </c>
      <c r="D1495" t="str">
        <f>"0029-1943"</f>
        <v>0029-1943</v>
      </c>
      <c r="E1495" t="s">
        <v>8</v>
      </c>
      <c r="F1495" t="s">
        <v>1504</v>
      </c>
      <c r="G1495">
        <v>1</v>
      </c>
    </row>
    <row r="1496" spans="1:7" x14ac:dyDescent="0.25">
      <c r="A1496">
        <v>13</v>
      </c>
      <c r="B1496" t="s">
        <v>1181</v>
      </c>
      <c r="C1496">
        <v>19697</v>
      </c>
      <c r="D1496" t="str">
        <f>"0883-3648"</f>
        <v>0883-3648</v>
      </c>
      <c r="E1496" t="s">
        <v>8</v>
      </c>
      <c r="F1496" t="s">
        <v>1505</v>
      </c>
      <c r="G1496">
        <v>1</v>
      </c>
    </row>
    <row r="1497" spans="1:7" x14ac:dyDescent="0.25">
      <c r="A1497">
        <v>13</v>
      </c>
      <c r="B1497" t="s">
        <v>1181</v>
      </c>
      <c r="C1497">
        <v>129052</v>
      </c>
      <c r="E1497" t="s">
        <v>8</v>
      </c>
      <c r="F1497" t="s">
        <v>1506</v>
      </c>
      <c r="G1497">
        <v>1</v>
      </c>
    </row>
    <row r="1498" spans="1:7" x14ac:dyDescent="0.25">
      <c r="A1498">
        <v>13</v>
      </c>
      <c r="B1498" t="s">
        <v>1181</v>
      </c>
      <c r="C1498">
        <v>153386</v>
      </c>
      <c r="E1498" t="s">
        <v>15</v>
      </c>
      <c r="F1498" t="s">
        <v>1507</v>
      </c>
      <c r="G1498">
        <v>1</v>
      </c>
    </row>
    <row r="1499" spans="1:7" x14ac:dyDescent="0.25">
      <c r="A1499">
        <v>13</v>
      </c>
      <c r="B1499" t="s">
        <v>1181</v>
      </c>
      <c r="C1499">
        <v>7721375</v>
      </c>
      <c r="D1499" t="str">
        <f>"2163-9434"</f>
        <v>2163-9434</v>
      </c>
      <c r="E1499" t="s">
        <v>8</v>
      </c>
      <c r="F1499" t="s">
        <v>1508</v>
      </c>
      <c r="G1499">
        <v>1</v>
      </c>
    </row>
    <row r="1500" spans="1:7" x14ac:dyDescent="0.25">
      <c r="A1500">
        <v>13</v>
      </c>
      <c r="B1500" t="s">
        <v>1181</v>
      </c>
      <c r="C1500">
        <v>17743</v>
      </c>
      <c r="D1500" t="str">
        <f>"1335-0668"</f>
        <v>1335-0668</v>
      </c>
      <c r="E1500" t="s">
        <v>8</v>
      </c>
      <c r="F1500" t="s">
        <v>1509</v>
      </c>
      <c r="G1500">
        <v>1</v>
      </c>
    </row>
    <row r="1501" spans="1:7" x14ac:dyDescent="0.25">
      <c r="A1501">
        <v>13</v>
      </c>
      <c r="B1501" t="s">
        <v>1181</v>
      </c>
      <c r="C1501">
        <v>8782887</v>
      </c>
      <c r="D1501" t="str">
        <f>"2211-2758"</f>
        <v>2211-2758</v>
      </c>
      <c r="E1501" t="s">
        <v>15</v>
      </c>
      <c r="F1501" t="s">
        <v>1510</v>
      </c>
      <c r="G1501">
        <v>1</v>
      </c>
    </row>
    <row r="1502" spans="1:7" x14ac:dyDescent="0.25">
      <c r="A1502">
        <v>13</v>
      </c>
      <c r="B1502" t="s">
        <v>1181</v>
      </c>
      <c r="C1502">
        <v>3048</v>
      </c>
      <c r="D1502" t="str">
        <f>"0305-1498"</f>
        <v>0305-1498</v>
      </c>
      <c r="E1502" t="s">
        <v>8</v>
      </c>
      <c r="F1502" t="s">
        <v>1511</v>
      </c>
      <c r="G1502">
        <v>1</v>
      </c>
    </row>
    <row r="1503" spans="1:7" x14ac:dyDescent="0.25">
      <c r="A1503">
        <v>13</v>
      </c>
      <c r="B1503" t="s">
        <v>1181</v>
      </c>
      <c r="C1503">
        <v>15036</v>
      </c>
      <c r="D1503" t="str">
        <f>"0265-7651"</f>
        <v>0265-7651</v>
      </c>
      <c r="E1503" t="s">
        <v>15</v>
      </c>
      <c r="F1503" t="s">
        <v>1512</v>
      </c>
      <c r="G1503">
        <v>1</v>
      </c>
    </row>
    <row r="1504" spans="1:7" x14ac:dyDescent="0.25">
      <c r="A1504">
        <v>13</v>
      </c>
      <c r="B1504" t="s">
        <v>1181</v>
      </c>
      <c r="C1504">
        <v>81380</v>
      </c>
      <c r="D1504" t="str">
        <f>"1754-7873"</f>
        <v>1754-7873</v>
      </c>
      <c r="E1504" t="s">
        <v>15</v>
      </c>
      <c r="F1504" t="s">
        <v>1513</v>
      </c>
      <c r="G1504">
        <v>1</v>
      </c>
    </row>
    <row r="1505" spans="1:7" x14ac:dyDescent="0.25">
      <c r="A1505">
        <v>13</v>
      </c>
      <c r="B1505" t="s">
        <v>1181</v>
      </c>
      <c r="C1505">
        <v>5665</v>
      </c>
      <c r="D1505" t="str">
        <f>"1353-4645"</f>
        <v>1353-4645</v>
      </c>
      <c r="E1505" t="s">
        <v>8</v>
      </c>
      <c r="F1505" t="s">
        <v>1514</v>
      </c>
      <c r="G1505">
        <v>1</v>
      </c>
    </row>
    <row r="1506" spans="1:7" x14ac:dyDescent="0.25">
      <c r="A1506">
        <v>13</v>
      </c>
      <c r="B1506" t="s">
        <v>1181</v>
      </c>
      <c r="C1506">
        <v>103096</v>
      </c>
      <c r="D1506" t="str">
        <f>"1834-3287"</f>
        <v>1834-3287</v>
      </c>
      <c r="E1506" t="s">
        <v>8</v>
      </c>
      <c r="F1506" t="s">
        <v>1515</v>
      </c>
      <c r="G1506">
        <v>1</v>
      </c>
    </row>
    <row r="1507" spans="1:7" x14ac:dyDescent="0.25">
      <c r="A1507">
        <v>13</v>
      </c>
      <c r="B1507" t="s">
        <v>1181</v>
      </c>
      <c r="C1507">
        <v>15168</v>
      </c>
      <c r="D1507" t="str">
        <f>"0031-4749"</f>
        <v>0031-4749</v>
      </c>
      <c r="E1507" t="s">
        <v>8</v>
      </c>
      <c r="F1507" t="s">
        <v>1516</v>
      </c>
      <c r="G1507">
        <v>1</v>
      </c>
    </row>
    <row r="1508" spans="1:7" x14ac:dyDescent="0.25">
      <c r="A1508">
        <v>13</v>
      </c>
      <c r="B1508" t="s">
        <v>1181</v>
      </c>
      <c r="C1508">
        <v>43738</v>
      </c>
      <c r="D1508" t="str">
        <f>"0394-4131"</f>
        <v>0394-4131</v>
      </c>
      <c r="E1508" t="s">
        <v>8</v>
      </c>
      <c r="F1508" t="s">
        <v>1517</v>
      </c>
      <c r="G1508">
        <v>1</v>
      </c>
    </row>
    <row r="1509" spans="1:7" x14ac:dyDescent="0.25">
      <c r="A1509">
        <v>13</v>
      </c>
      <c r="B1509" t="s">
        <v>1181</v>
      </c>
      <c r="C1509">
        <v>170077</v>
      </c>
      <c r="D1509" t="str">
        <f>"1089-3938"</f>
        <v>1089-3938</v>
      </c>
      <c r="E1509" t="s">
        <v>15</v>
      </c>
      <c r="F1509" t="s">
        <v>1518</v>
      </c>
      <c r="G1509">
        <v>1</v>
      </c>
    </row>
    <row r="1510" spans="1:7" x14ac:dyDescent="0.25">
      <c r="A1510">
        <v>13</v>
      </c>
      <c r="B1510" t="s">
        <v>1181</v>
      </c>
      <c r="C1510">
        <v>8782888</v>
      </c>
      <c r="D1510" t="str">
        <f>"2214-3807"</f>
        <v>2214-3807</v>
      </c>
      <c r="E1510" t="s">
        <v>15</v>
      </c>
      <c r="F1510" t="s">
        <v>1519</v>
      </c>
      <c r="G1510">
        <v>1</v>
      </c>
    </row>
    <row r="1511" spans="1:7" x14ac:dyDescent="0.25">
      <c r="A1511">
        <v>13</v>
      </c>
      <c r="B1511" t="s">
        <v>1181</v>
      </c>
      <c r="C1511">
        <v>6239649</v>
      </c>
      <c r="D1511" t="str">
        <f>"2365-1598"</f>
        <v>2365-1598</v>
      </c>
      <c r="E1511" t="s">
        <v>15</v>
      </c>
      <c r="F1511" t="s">
        <v>1520</v>
      </c>
      <c r="G1511">
        <v>1</v>
      </c>
    </row>
    <row r="1512" spans="1:7" x14ac:dyDescent="0.25">
      <c r="A1512">
        <v>13</v>
      </c>
      <c r="B1512" t="s">
        <v>1181</v>
      </c>
      <c r="C1512">
        <v>29957</v>
      </c>
      <c r="D1512" t="str">
        <f>"1911-1576"</f>
        <v>1911-1576</v>
      </c>
      <c r="E1512" t="s">
        <v>8</v>
      </c>
      <c r="F1512" t="s">
        <v>1521</v>
      </c>
      <c r="G1512">
        <v>1</v>
      </c>
    </row>
    <row r="1513" spans="1:7" x14ac:dyDescent="0.25">
      <c r="A1513">
        <v>13</v>
      </c>
      <c r="B1513" t="s">
        <v>1181</v>
      </c>
      <c r="C1513">
        <v>11493</v>
      </c>
      <c r="D1513" t="str">
        <f>"0342-8117"</f>
        <v>0342-8117</v>
      </c>
      <c r="E1513" t="s">
        <v>8</v>
      </c>
      <c r="F1513" t="s">
        <v>1522</v>
      </c>
      <c r="G1513">
        <v>1</v>
      </c>
    </row>
    <row r="1514" spans="1:7" x14ac:dyDescent="0.25">
      <c r="A1514">
        <v>13</v>
      </c>
      <c r="B1514" t="s">
        <v>1181</v>
      </c>
      <c r="C1514">
        <v>153749</v>
      </c>
      <c r="D1514" t="str">
        <f>"1318-3362"</f>
        <v>1318-3362</v>
      </c>
      <c r="E1514" t="s">
        <v>8</v>
      </c>
      <c r="F1514" t="s">
        <v>1523</v>
      </c>
      <c r="G1514">
        <v>1</v>
      </c>
    </row>
    <row r="1515" spans="1:7" x14ac:dyDescent="0.25">
      <c r="A1515">
        <v>13</v>
      </c>
      <c r="B1515" t="s">
        <v>1181</v>
      </c>
      <c r="C1515">
        <v>13293</v>
      </c>
      <c r="E1515" t="s">
        <v>8</v>
      </c>
      <c r="F1515" t="s">
        <v>1524</v>
      </c>
      <c r="G1515">
        <v>1</v>
      </c>
    </row>
    <row r="1516" spans="1:7" x14ac:dyDescent="0.25">
      <c r="A1516">
        <v>13</v>
      </c>
      <c r="B1516" t="s">
        <v>1181</v>
      </c>
      <c r="C1516">
        <v>3486</v>
      </c>
      <c r="D1516" t="str">
        <f>"0048-3893"</f>
        <v>0048-3893</v>
      </c>
      <c r="E1516" t="s">
        <v>8</v>
      </c>
      <c r="F1516" t="s">
        <v>1525</v>
      </c>
      <c r="G1516">
        <v>1</v>
      </c>
    </row>
    <row r="1517" spans="1:7" x14ac:dyDescent="0.25">
      <c r="A1517">
        <v>13</v>
      </c>
      <c r="B1517" t="s">
        <v>1181</v>
      </c>
      <c r="C1517">
        <v>17246</v>
      </c>
      <c r="D1517" t="str">
        <f>"1539-8250"</f>
        <v>1539-8250</v>
      </c>
      <c r="E1517" t="s">
        <v>8</v>
      </c>
      <c r="F1517" t="s">
        <v>1526</v>
      </c>
      <c r="G1517">
        <v>1</v>
      </c>
    </row>
    <row r="1518" spans="1:7" x14ac:dyDescent="0.25">
      <c r="A1518">
        <v>13</v>
      </c>
      <c r="B1518" t="s">
        <v>1181</v>
      </c>
      <c r="C1518">
        <v>827</v>
      </c>
      <c r="D1518" t="str">
        <f>"0079-1687"</f>
        <v>0079-1687</v>
      </c>
      <c r="E1518" t="s">
        <v>15</v>
      </c>
      <c r="F1518" t="s">
        <v>1527</v>
      </c>
      <c r="G1518">
        <v>1</v>
      </c>
    </row>
    <row r="1519" spans="1:7" x14ac:dyDescent="0.25">
      <c r="A1519">
        <v>13</v>
      </c>
      <c r="B1519" t="s">
        <v>1181</v>
      </c>
      <c r="C1519">
        <v>24047</v>
      </c>
      <c r="D1519" t="str">
        <f>"0031-8035"</f>
        <v>0031-8035</v>
      </c>
      <c r="E1519" t="s">
        <v>8</v>
      </c>
      <c r="F1519" t="s">
        <v>1528</v>
      </c>
      <c r="G1519">
        <v>1</v>
      </c>
    </row>
    <row r="1520" spans="1:7" x14ac:dyDescent="0.25">
      <c r="A1520">
        <v>13</v>
      </c>
      <c r="B1520" t="s">
        <v>1181</v>
      </c>
      <c r="C1520">
        <v>60295</v>
      </c>
      <c r="D1520" t="str">
        <f>"0379-8402"</f>
        <v>0379-8402</v>
      </c>
      <c r="E1520" t="s">
        <v>8</v>
      </c>
      <c r="F1520" t="s">
        <v>1529</v>
      </c>
      <c r="G1520">
        <v>1</v>
      </c>
    </row>
    <row r="1521" spans="1:7" x14ac:dyDescent="0.25">
      <c r="A1521">
        <v>13</v>
      </c>
      <c r="B1521" t="s">
        <v>1181</v>
      </c>
      <c r="C1521">
        <v>9661</v>
      </c>
      <c r="D1521" t="str">
        <f>"1386-9795"</f>
        <v>1386-9795</v>
      </c>
      <c r="E1521" t="s">
        <v>8</v>
      </c>
      <c r="F1521" t="s">
        <v>1530</v>
      </c>
      <c r="G1521">
        <v>1</v>
      </c>
    </row>
    <row r="1522" spans="1:7" x14ac:dyDescent="0.25">
      <c r="A1522">
        <v>13</v>
      </c>
      <c r="B1522" t="s">
        <v>1181</v>
      </c>
      <c r="C1522">
        <v>8782798</v>
      </c>
      <c r="D1522" t="str">
        <f>" 2282-0248"</f>
        <v xml:space="preserve"> 2282-0248</v>
      </c>
      <c r="E1522" t="s">
        <v>8</v>
      </c>
      <c r="F1522" t="s">
        <v>1531</v>
      </c>
      <c r="G1522">
        <v>1</v>
      </c>
    </row>
    <row r="1523" spans="1:7" x14ac:dyDescent="0.25">
      <c r="A1523">
        <v>13</v>
      </c>
      <c r="B1523" t="s">
        <v>1181</v>
      </c>
      <c r="C1523">
        <v>14885</v>
      </c>
      <c r="D1523" t="str">
        <f>"1105-235X"</f>
        <v>1105-235X</v>
      </c>
      <c r="E1523" t="s">
        <v>8</v>
      </c>
      <c r="F1523" t="s">
        <v>1532</v>
      </c>
      <c r="G1523">
        <v>1</v>
      </c>
    </row>
    <row r="1524" spans="1:7" x14ac:dyDescent="0.25">
      <c r="A1524">
        <v>13</v>
      </c>
      <c r="B1524" t="s">
        <v>1181</v>
      </c>
      <c r="C1524">
        <v>9219</v>
      </c>
      <c r="D1524" t="str">
        <f>"0190-0536"</f>
        <v>0190-0536</v>
      </c>
      <c r="E1524" t="s">
        <v>8</v>
      </c>
      <c r="F1524" t="s">
        <v>1533</v>
      </c>
      <c r="G1524">
        <v>1</v>
      </c>
    </row>
    <row r="1525" spans="1:7" x14ac:dyDescent="0.25">
      <c r="A1525">
        <v>13</v>
      </c>
      <c r="B1525" t="s">
        <v>1181</v>
      </c>
      <c r="C1525">
        <v>1787</v>
      </c>
      <c r="D1525" t="str">
        <f>"0556-8641"</f>
        <v>0556-8641</v>
      </c>
      <c r="E1525" t="s">
        <v>8</v>
      </c>
      <c r="F1525" t="s">
        <v>1534</v>
      </c>
      <c r="G1525">
        <v>1</v>
      </c>
    </row>
    <row r="1526" spans="1:7" x14ac:dyDescent="0.25">
      <c r="A1526">
        <v>13</v>
      </c>
      <c r="B1526" t="s">
        <v>1181</v>
      </c>
      <c r="C1526">
        <v>18481</v>
      </c>
      <c r="D1526" t="str">
        <f>"1742-8173"</f>
        <v>1742-8173</v>
      </c>
      <c r="E1526" t="s">
        <v>8</v>
      </c>
      <c r="F1526" t="s">
        <v>1535</v>
      </c>
      <c r="G1526">
        <v>1</v>
      </c>
    </row>
    <row r="1527" spans="1:7" x14ac:dyDescent="0.25">
      <c r="A1527">
        <v>13</v>
      </c>
      <c r="B1527" t="s">
        <v>1181</v>
      </c>
      <c r="C1527">
        <v>8773192</v>
      </c>
      <c r="E1527" t="s">
        <v>8</v>
      </c>
      <c r="F1527" t="s">
        <v>1536</v>
      </c>
      <c r="G1527">
        <v>1</v>
      </c>
    </row>
    <row r="1528" spans="1:7" x14ac:dyDescent="0.25">
      <c r="A1528">
        <v>13</v>
      </c>
      <c r="B1528" t="s">
        <v>1181</v>
      </c>
      <c r="C1528">
        <v>130867</v>
      </c>
      <c r="D1528" t="str">
        <f>"0160-7561"</f>
        <v>0160-7561</v>
      </c>
      <c r="E1528" t="s">
        <v>8</v>
      </c>
      <c r="F1528" t="s">
        <v>1537</v>
      </c>
      <c r="G1528">
        <v>1</v>
      </c>
    </row>
    <row r="1529" spans="1:7" x14ac:dyDescent="0.25">
      <c r="A1529">
        <v>13</v>
      </c>
      <c r="B1529" t="s">
        <v>1181</v>
      </c>
      <c r="C1529">
        <v>97122</v>
      </c>
      <c r="D1529" t="str">
        <f>"0921-8599"</f>
        <v>0921-8599</v>
      </c>
      <c r="E1529" t="s">
        <v>15</v>
      </c>
      <c r="F1529" t="s">
        <v>1538</v>
      </c>
      <c r="G1529">
        <v>1</v>
      </c>
    </row>
    <row r="1530" spans="1:7" x14ac:dyDescent="0.25">
      <c r="A1530">
        <v>13</v>
      </c>
      <c r="B1530" t="s">
        <v>1181</v>
      </c>
      <c r="C1530">
        <v>13761</v>
      </c>
      <c r="D1530" t="str">
        <f>"1634-4561"</f>
        <v>1634-4561</v>
      </c>
      <c r="E1530" t="s">
        <v>8</v>
      </c>
      <c r="F1530" t="s">
        <v>1539</v>
      </c>
      <c r="G1530">
        <v>1</v>
      </c>
    </row>
    <row r="1531" spans="1:7" x14ac:dyDescent="0.25">
      <c r="A1531">
        <v>13</v>
      </c>
      <c r="B1531" t="s">
        <v>1181</v>
      </c>
      <c r="C1531">
        <v>26214</v>
      </c>
      <c r="D1531" t="str">
        <f>"0316-2923"</f>
        <v>0316-2923</v>
      </c>
      <c r="E1531" t="s">
        <v>8</v>
      </c>
      <c r="F1531" t="s">
        <v>1540</v>
      </c>
      <c r="G1531">
        <v>1</v>
      </c>
    </row>
    <row r="1532" spans="1:7" x14ac:dyDescent="0.25">
      <c r="A1532">
        <v>13</v>
      </c>
      <c r="B1532" t="s">
        <v>1181</v>
      </c>
      <c r="C1532">
        <v>1477</v>
      </c>
      <c r="D1532" t="str">
        <f>"0031-8159"</f>
        <v>0031-8159</v>
      </c>
      <c r="E1532" t="s">
        <v>8</v>
      </c>
      <c r="F1532" t="s">
        <v>1541</v>
      </c>
      <c r="G1532">
        <v>1</v>
      </c>
    </row>
    <row r="1533" spans="1:7" x14ac:dyDescent="0.25">
      <c r="A1533">
        <v>13</v>
      </c>
      <c r="B1533" t="s">
        <v>1181</v>
      </c>
      <c r="C1533">
        <v>7713015</v>
      </c>
      <c r="D1533" t="str">
        <f>"1434-2650"</f>
        <v>1434-2650</v>
      </c>
      <c r="E1533" t="s">
        <v>15</v>
      </c>
      <c r="F1533" t="s">
        <v>1542</v>
      </c>
      <c r="G1533">
        <v>1</v>
      </c>
    </row>
    <row r="1534" spans="1:7" x14ac:dyDescent="0.25">
      <c r="A1534">
        <v>13</v>
      </c>
      <c r="B1534" t="s">
        <v>1181</v>
      </c>
      <c r="C1534">
        <v>13891</v>
      </c>
      <c r="D1534" t="str">
        <f>"0031-8183"</f>
        <v>0031-8183</v>
      </c>
      <c r="E1534" t="s">
        <v>8</v>
      </c>
      <c r="F1534" t="s">
        <v>1543</v>
      </c>
      <c r="G1534">
        <v>1</v>
      </c>
    </row>
    <row r="1535" spans="1:7" x14ac:dyDescent="0.25">
      <c r="A1535">
        <v>13</v>
      </c>
      <c r="B1535" t="s">
        <v>1181</v>
      </c>
      <c r="C1535">
        <v>13657</v>
      </c>
      <c r="D1535" t="str">
        <f>"0031-8191"</f>
        <v>0031-8191</v>
      </c>
      <c r="E1535" t="s">
        <v>8</v>
      </c>
      <c r="F1535" t="s">
        <v>1544</v>
      </c>
      <c r="G1535">
        <v>1</v>
      </c>
    </row>
    <row r="1536" spans="1:7" x14ac:dyDescent="0.25">
      <c r="A1536">
        <v>13</v>
      </c>
      <c r="B1536" t="s">
        <v>1181</v>
      </c>
      <c r="C1536">
        <v>25100</v>
      </c>
      <c r="D1536" t="str">
        <f>"0890-2461"</f>
        <v>0890-2461</v>
      </c>
      <c r="E1536" t="s">
        <v>8</v>
      </c>
      <c r="F1536" t="s">
        <v>1545</v>
      </c>
      <c r="G1536">
        <v>1</v>
      </c>
    </row>
    <row r="1537" spans="1:7" x14ac:dyDescent="0.25">
      <c r="A1537">
        <v>13</v>
      </c>
      <c r="B1537" t="s">
        <v>1181</v>
      </c>
      <c r="C1537">
        <v>20326</v>
      </c>
      <c r="D1537" t="str">
        <f>"0376-7418"</f>
        <v>0376-7418</v>
      </c>
      <c r="E1537" t="s">
        <v>15</v>
      </c>
      <c r="F1537" t="s">
        <v>1546</v>
      </c>
      <c r="G1537">
        <v>1</v>
      </c>
    </row>
    <row r="1538" spans="1:7" x14ac:dyDescent="0.25">
      <c r="A1538">
        <v>13</v>
      </c>
      <c r="B1538" t="s">
        <v>1181</v>
      </c>
      <c r="C1538">
        <v>16196</v>
      </c>
      <c r="D1538" t="str">
        <f>"0031-8213"</f>
        <v>0031-8213</v>
      </c>
      <c r="E1538" t="s">
        <v>8</v>
      </c>
      <c r="F1538" t="s">
        <v>1547</v>
      </c>
      <c r="G1538">
        <v>1</v>
      </c>
    </row>
    <row r="1539" spans="1:7" x14ac:dyDescent="0.25">
      <c r="A1539">
        <v>13</v>
      </c>
      <c r="B1539" t="s">
        <v>1181</v>
      </c>
      <c r="C1539">
        <v>6241071</v>
      </c>
      <c r="D1539" t="str">
        <f>"1949-0739"</f>
        <v>1949-0739</v>
      </c>
      <c r="E1539" t="s">
        <v>8</v>
      </c>
      <c r="F1539" t="s">
        <v>1548</v>
      </c>
      <c r="G1539">
        <v>1</v>
      </c>
    </row>
    <row r="1540" spans="1:7" x14ac:dyDescent="0.25">
      <c r="A1540">
        <v>13</v>
      </c>
      <c r="B1540" t="s">
        <v>1181</v>
      </c>
      <c r="C1540">
        <v>31280</v>
      </c>
      <c r="D1540" t="str">
        <f>"1747-9991"</f>
        <v>1747-9991</v>
      </c>
      <c r="E1540" t="s">
        <v>8</v>
      </c>
      <c r="F1540" t="s">
        <v>1549</v>
      </c>
      <c r="G1540">
        <v>1</v>
      </c>
    </row>
    <row r="1541" spans="1:7" x14ac:dyDescent="0.25">
      <c r="A1541">
        <v>13</v>
      </c>
      <c r="B1541" t="s">
        <v>1181</v>
      </c>
      <c r="C1541">
        <v>11887</v>
      </c>
      <c r="D1541" t="str">
        <f>"0031-8221"</f>
        <v>0031-8221</v>
      </c>
      <c r="E1541" t="s">
        <v>8</v>
      </c>
      <c r="F1541" t="s">
        <v>1550</v>
      </c>
      <c r="G1541">
        <v>1</v>
      </c>
    </row>
    <row r="1542" spans="1:7" x14ac:dyDescent="0.25">
      <c r="A1542">
        <v>13</v>
      </c>
      <c r="B1542" t="s">
        <v>1181</v>
      </c>
      <c r="C1542">
        <v>44945</v>
      </c>
      <c r="D1542" t="str">
        <f>"1077-1999"</f>
        <v>1077-1999</v>
      </c>
      <c r="E1542" t="s">
        <v>8</v>
      </c>
      <c r="F1542" t="s">
        <v>1551</v>
      </c>
      <c r="G1542">
        <v>1</v>
      </c>
    </row>
    <row r="1543" spans="1:7" x14ac:dyDescent="0.25">
      <c r="A1543">
        <v>13</v>
      </c>
      <c r="B1543" t="s">
        <v>1181</v>
      </c>
      <c r="C1543">
        <v>7698903</v>
      </c>
      <c r="D1543" t="str">
        <f>"1879-7202"</f>
        <v>1879-7202</v>
      </c>
      <c r="E1543" t="s">
        <v>15</v>
      </c>
      <c r="F1543" t="s">
        <v>1552</v>
      </c>
      <c r="G1543">
        <v>1</v>
      </c>
    </row>
    <row r="1544" spans="1:7" x14ac:dyDescent="0.25">
      <c r="A1544">
        <v>13</v>
      </c>
      <c r="B1544" t="s">
        <v>1181</v>
      </c>
      <c r="C1544">
        <v>639</v>
      </c>
      <c r="D1544" t="str">
        <f>"0031-8256"</f>
        <v>0031-8256</v>
      </c>
      <c r="E1544" t="s">
        <v>8</v>
      </c>
      <c r="F1544" t="s">
        <v>1553</v>
      </c>
      <c r="G1544">
        <v>1</v>
      </c>
    </row>
    <row r="1545" spans="1:7" x14ac:dyDescent="0.25">
      <c r="A1545">
        <v>13</v>
      </c>
      <c r="B1545" t="s">
        <v>1181</v>
      </c>
      <c r="C1545">
        <v>62123</v>
      </c>
      <c r="E1545" t="s">
        <v>8</v>
      </c>
      <c r="F1545" t="s">
        <v>1554</v>
      </c>
      <c r="G1545">
        <v>1</v>
      </c>
    </row>
    <row r="1546" spans="1:7" x14ac:dyDescent="0.25">
      <c r="A1546">
        <v>13</v>
      </c>
      <c r="B1546" t="s">
        <v>1181</v>
      </c>
      <c r="C1546">
        <v>8126</v>
      </c>
      <c r="D1546" t="str">
        <f>"1071-6076"</f>
        <v>1071-6076</v>
      </c>
      <c r="E1546" t="s">
        <v>8</v>
      </c>
      <c r="F1546" t="s">
        <v>1555</v>
      </c>
      <c r="G1546">
        <v>1</v>
      </c>
    </row>
    <row r="1547" spans="1:7" x14ac:dyDescent="0.25">
      <c r="A1547">
        <v>13</v>
      </c>
      <c r="B1547" t="s">
        <v>1181</v>
      </c>
      <c r="C1547">
        <v>8782465</v>
      </c>
      <c r="D1547" t="str">
        <f>"2183-4105"</f>
        <v>2183-4105</v>
      </c>
      <c r="E1547" t="s">
        <v>8</v>
      </c>
      <c r="F1547" t="s">
        <v>1556</v>
      </c>
      <c r="G1547">
        <v>1</v>
      </c>
    </row>
    <row r="1548" spans="1:7" x14ac:dyDescent="0.25">
      <c r="A1548">
        <v>13</v>
      </c>
      <c r="B1548" t="s">
        <v>1181</v>
      </c>
      <c r="C1548">
        <v>15311</v>
      </c>
      <c r="D1548" t="str">
        <f>"0142-257X"</f>
        <v>0142-257X</v>
      </c>
      <c r="E1548" t="s">
        <v>8</v>
      </c>
      <c r="F1548" t="s">
        <v>1557</v>
      </c>
      <c r="G1548">
        <v>1</v>
      </c>
    </row>
    <row r="1549" spans="1:7" x14ac:dyDescent="0.25">
      <c r="A1549">
        <v>13</v>
      </c>
      <c r="B1549" t="s">
        <v>1181</v>
      </c>
      <c r="C1549">
        <v>156504</v>
      </c>
      <c r="D1549" t="str">
        <f>"1897-1652"</f>
        <v>1897-1652</v>
      </c>
      <c r="E1549" t="s">
        <v>8</v>
      </c>
      <c r="F1549" t="s">
        <v>1558</v>
      </c>
      <c r="G1549">
        <v>1</v>
      </c>
    </row>
    <row r="1550" spans="1:7" x14ac:dyDescent="0.25">
      <c r="A1550">
        <v>13</v>
      </c>
      <c r="B1550" t="s">
        <v>1181</v>
      </c>
      <c r="C1550">
        <v>8783595</v>
      </c>
      <c r="E1550" t="s">
        <v>15</v>
      </c>
      <c r="F1550" t="s">
        <v>1559</v>
      </c>
      <c r="G1550">
        <v>1</v>
      </c>
    </row>
    <row r="1551" spans="1:7" x14ac:dyDescent="0.25">
      <c r="A1551">
        <v>13</v>
      </c>
      <c r="B1551" t="s">
        <v>1181</v>
      </c>
      <c r="C1551">
        <v>26185</v>
      </c>
      <c r="D1551" t="str">
        <f>"0303-8157"</f>
        <v>0303-8157</v>
      </c>
      <c r="E1551" t="s">
        <v>15</v>
      </c>
      <c r="F1551" t="s">
        <v>1560</v>
      </c>
      <c r="G1551">
        <v>1</v>
      </c>
    </row>
    <row r="1552" spans="1:7" x14ac:dyDescent="0.25">
      <c r="A1552">
        <v>13</v>
      </c>
      <c r="B1552" t="s">
        <v>1181</v>
      </c>
      <c r="C1552">
        <v>112261</v>
      </c>
      <c r="D1552" t="str">
        <f>"0065-7638"</f>
        <v>0065-7638</v>
      </c>
      <c r="E1552" t="s">
        <v>8</v>
      </c>
      <c r="F1552" t="s">
        <v>1561</v>
      </c>
      <c r="G1552">
        <v>1</v>
      </c>
    </row>
    <row r="1553" spans="1:7" x14ac:dyDescent="0.25">
      <c r="A1553">
        <v>13</v>
      </c>
      <c r="B1553" t="s">
        <v>1181</v>
      </c>
      <c r="C1553">
        <v>13717</v>
      </c>
      <c r="D1553" t="str">
        <f>"0003-049X"</f>
        <v>0003-049X</v>
      </c>
      <c r="E1553" t="s">
        <v>8</v>
      </c>
      <c r="F1553" t="s">
        <v>1562</v>
      </c>
      <c r="G1553">
        <v>1</v>
      </c>
    </row>
    <row r="1554" spans="1:7" x14ac:dyDescent="0.25">
      <c r="A1554">
        <v>13</v>
      </c>
      <c r="B1554" t="s">
        <v>1181</v>
      </c>
      <c r="C1554">
        <v>27671</v>
      </c>
      <c r="D1554" t="str">
        <f>"1059-986X"</f>
        <v>1059-986X</v>
      </c>
      <c r="E1554" t="s">
        <v>8</v>
      </c>
      <c r="F1554" t="s">
        <v>1563</v>
      </c>
      <c r="G1554">
        <v>1</v>
      </c>
    </row>
    <row r="1555" spans="1:7" x14ac:dyDescent="0.25">
      <c r="A1555">
        <v>13</v>
      </c>
      <c r="B1555" t="s">
        <v>1181</v>
      </c>
      <c r="C1555">
        <v>154182</v>
      </c>
      <c r="D1555" t="str">
        <f>"1757-9430"</f>
        <v>1757-9430</v>
      </c>
      <c r="E1555" t="s">
        <v>8</v>
      </c>
      <c r="F1555" t="s">
        <v>1564</v>
      </c>
      <c r="G1555">
        <v>1</v>
      </c>
    </row>
    <row r="1556" spans="1:7" x14ac:dyDescent="0.25">
      <c r="A1556">
        <v>13</v>
      </c>
      <c r="B1556" t="s">
        <v>1181</v>
      </c>
      <c r="C1556">
        <v>17710</v>
      </c>
      <c r="D1556" t="str">
        <f>"0360-6503"</f>
        <v>0360-6503</v>
      </c>
      <c r="E1556" t="s">
        <v>8</v>
      </c>
      <c r="F1556" t="s">
        <v>1565</v>
      </c>
      <c r="G1556">
        <v>1</v>
      </c>
    </row>
    <row r="1557" spans="1:7" x14ac:dyDescent="0.25">
      <c r="A1557">
        <v>13</v>
      </c>
      <c r="B1557" t="s">
        <v>1181</v>
      </c>
      <c r="C1557">
        <v>9436</v>
      </c>
      <c r="D1557" t="str">
        <f>"1333-4395"</f>
        <v>1333-4395</v>
      </c>
      <c r="E1557" t="s">
        <v>8</v>
      </c>
      <c r="F1557" t="s">
        <v>1566</v>
      </c>
      <c r="G1557">
        <v>1</v>
      </c>
    </row>
    <row r="1558" spans="1:7" x14ac:dyDescent="0.25">
      <c r="A1558">
        <v>13</v>
      </c>
      <c r="B1558" t="s">
        <v>1181</v>
      </c>
      <c r="C1558">
        <v>6250871</v>
      </c>
      <c r="E1558" t="s">
        <v>8</v>
      </c>
      <c r="F1558" t="s">
        <v>1567</v>
      </c>
      <c r="G1558">
        <v>1</v>
      </c>
    </row>
    <row r="1559" spans="1:7" x14ac:dyDescent="0.25">
      <c r="A1559">
        <v>13</v>
      </c>
      <c r="B1559" t="s">
        <v>1181</v>
      </c>
      <c r="C1559">
        <v>154052</v>
      </c>
      <c r="D1559" t="str">
        <f>"1754-9973"</f>
        <v>1754-9973</v>
      </c>
      <c r="E1559" t="s">
        <v>8</v>
      </c>
      <c r="F1559" t="s">
        <v>1568</v>
      </c>
      <c r="G1559">
        <v>1</v>
      </c>
    </row>
    <row r="1560" spans="1:7" x14ac:dyDescent="0.25">
      <c r="A1560">
        <v>13</v>
      </c>
      <c r="B1560" t="s">
        <v>1181</v>
      </c>
      <c r="C1560">
        <v>6251940</v>
      </c>
      <c r="D1560" t="str">
        <f>"2065-7285"</f>
        <v>2065-7285</v>
      </c>
      <c r="E1560" t="s">
        <v>8</v>
      </c>
      <c r="F1560" t="s">
        <v>1569</v>
      </c>
      <c r="G1560">
        <v>1</v>
      </c>
    </row>
    <row r="1561" spans="1:7" x14ac:dyDescent="0.25">
      <c r="A1561">
        <v>13</v>
      </c>
      <c r="B1561" t="s">
        <v>1181</v>
      </c>
      <c r="C1561">
        <v>8758281</v>
      </c>
      <c r="E1561" t="s">
        <v>15</v>
      </c>
      <c r="F1561" t="s">
        <v>1570</v>
      </c>
      <c r="G1561">
        <v>1</v>
      </c>
    </row>
    <row r="1562" spans="1:7" x14ac:dyDescent="0.25">
      <c r="A1562">
        <v>13</v>
      </c>
      <c r="B1562" t="s">
        <v>1181</v>
      </c>
      <c r="C1562">
        <v>107010</v>
      </c>
      <c r="D1562" t="str">
        <f>"1379-2547"</f>
        <v>1379-2547</v>
      </c>
      <c r="E1562" t="s">
        <v>8</v>
      </c>
      <c r="F1562" t="s">
        <v>1571</v>
      </c>
      <c r="G1562">
        <v>1</v>
      </c>
    </row>
    <row r="1563" spans="1:7" x14ac:dyDescent="0.25">
      <c r="A1563">
        <v>13</v>
      </c>
      <c r="B1563" t="s">
        <v>1181</v>
      </c>
      <c r="C1563">
        <v>147030</v>
      </c>
      <c r="D1563" t="str">
        <f>"1541-4760"</f>
        <v>1541-4760</v>
      </c>
      <c r="E1563" t="s">
        <v>8</v>
      </c>
      <c r="F1563" t="s">
        <v>1572</v>
      </c>
      <c r="G1563">
        <v>1</v>
      </c>
    </row>
    <row r="1564" spans="1:7" x14ac:dyDescent="0.25">
      <c r="A1564">
        <v>13</v>
      </c>
      <c r="B1564" t="s">
        <v>1181</v>
      </c>
      <c r="C1564">
        <v>9454</v>
      </c>
      <c r="D1564" t="str">
        <f>"0300-211X"</f>
        <v>0300-211X</v>
      </c>
      <c r="E1564" t="s">
        <v>8</v>
      </c>
      <c r="F1564" t="s">
        <v>1573</v>
      </c>
      <c r="G1564">
        <v>1</v>
      </c>
    </row>
    <row r="1565" spans="1:7" x14ac:dyDescent="0.25">
      <c r="A1565">
        <v>13</v>
      </c>
      <c r="B1565" t="s">
        <v>1181</v>
      </c>
      <c r="C1565">
        <v>73792</v>
      </c>
      <c r="D1565" t="str">
        <f>"1388-4441"</f>
        <v>1388-4441</v>
      </c>
      <c r="E1565" t="s">
        <v>8</v>
      </c>
      <c r="F1565" t="s">
        <v>1574</v>
      </c>
      <c r="G1565">
        <v>1</v>
      </c>
    </row>
    <row r="1566" spans="1:7" x14ac:dyDescent="0.25">
      <c r="A1566">
        <v>13</v>
      </c>
      <c r="B1566" t="s">
        <v>1181</v>
      </c>
      <c r="C1566">
        <v>7708761</v>
      </c>
      <c r="D1566" t="str">
        <f>"2013-8393"</f>
        <v>2013-8393</v>
      </c>
      <c r="E1566" t="s">
        <v>8</v>
      </c>
      <c r="F1566" t="s">
        <v>1575</v>
      </c>
      <c r="G1566">
        <v>1</v>
      </c>
    </row>
    <row r="1567" spans="1:7" x14ac:dyDescent="0.25">
      <c r="A1567">
        <v>13</v>
      </c>
      <c r="B1567" t="s">
        <v>1181</v>
      </c>
      <c r="C1567">
        <v>17369</v>
      </c>
      <c r="D1567" t="str">
        <f>"1370-7493"</f>
        <v>1370-7493</v>
      </c>
      <c r="E1567" t="s">
        <v>8</v>
      </c>
      <c r="F1567" t="s">
        <v>1576</v>
      </c>
      <c r="G1567">
        <v>1</v>
      </c>
    </row>
    <row r="1568" spans="1:7" x14ac:dyDescent="0.25">
      <c r="A1568">
        <v>13</v>
      </c>
      <c r="B1568" t="s">
        <v>1181</v>
      </c>
      <c r="C1568">
        <v>11875</v>
      </c>
      <c r="D1568" t="str">
        <f>"1462-3943"</f>
        <v>1462-3943</v>
      </c>
      <c r="E1568" t="s">
        <v>8</v>
      </c>
      <c r="F1568" t="s">
        <v>1577</v>
      </c>
      <c r="G1568">
        <v>1</v>
      </c>
    </row>
    <row r="1569" spans="1:7" x14ac:dyDescent="0.25">
      <c r="A1569">
        <v>13</v>
      </c>
      <c r="B1569" t="s">
        <v>1181</v>
      </c>
      <c r="C1569">
        <v>27034</v>
      </c>
      <c r="D1569" t="str">
        <f>"1603-8509"</f>
        <v>1603-8509</v>
      </c>
      <c r="E1569" t="s">
        <v>8</v>
      </c>
      <c r="F1569" t="s">
        <v>1578</v>
      </c>
      <c r="G1569">
        <v>1</v>
      </c>
    </row>
    <row r="1570" spans="1:7" x14ac:dyDescent="0.25">
      <c r="A1570">
        <v>13</v>
      </c>
      <c r="B1570" t="s">
        <v>1181</v>
      </c>
      <c r="C1570">
        <v>137827</v>
      </c>
      <c r="D1570" t="str">
        <f>"1747-0161"</f>
        <v>1747-0161</v>
      </c>
      <c r="E1570" t="s">
        <v>8</v>
      </c>
      <c r="F1570" t="s">
        <v>1579</v>
      </c>
      <c r="G1570">
        <v>1</v>
      </c>
    </row>
    <row r="1571" spans="1:7" x14ac:dyDescent="0.25">
      <c r="A1571">
        <v>13</v>
      </c>
      <c r="B1571" t="s">
        <v>1181</v>
      </c>
      <c r="C1571">
        <v>13084</v>
      </c>
      <c r="D1571" t="str">
        <f>"0085-5553"</f>
        <v>0085-5553</v>
      </c>
      <c r="E1571" t="s">
        <v>8</v>
      </c>
      <c r="F1571" t="s">
        <v>1580</v>
      </c>
      <c r="G1571">
        <v>1</v>
      </c>
    </row>
    <row r="1572" spans="1:7" x14ac:dyDescent="0.25">
      <c r="A1572">
        <v>13</v>
      </c>
      <c r="B1572" t="s">
        <v>1181</v>
      </c>
      <c r="C1572">
        <v>7717</v>
      </c>
      <c r="D1572" t="str">
        <f>"0893-5696"</f>
        <v>0893-5696</v>
      </c>
      <c r="E1572" t="s">
        <v>8</v>
      </c>
      <c r="F1572" t="s">
        <v>1581</v>
      </c>
      <c r="G1572">
        <v>1</v>
      </c>
    </row>
    <row r="1573" spans="1:7" x14ac:dyDescent="0.25">
      <c r="A1573">
        <v>13</v>
      </c>
      <c r="B1573" t="s">
        <v>1181</v>
      </c>
      <c r="C1573">
        <v>156232</v>
      </c>
      <c r="D1573" t="str">
        <f>"1841-5261"</f>
        <v>1841-5261</v>
      </c>
      <c r="E1573" t="s">
        <v>8</v>
      </c>
      <c r="F1573" t="s">
        <v>1582</v>
      </c>
      <c r="G1573">
        <v>1</v>
      </c>
    </row>
    <row r="1574" spans="1:7" x14ac:dyDescent="0.25">
      <c r="A1574">
        <v>13</v>
      </c>
      <c r="B1574" t="s">
        <v>1181</v>
      </c>
      <c r="C1574">
        <v>6261722</v>
      </c>
      <c r="D1574" t="str">
        <f>"1878-5158"</f>
        <v>1878-5158</v>
      </c>
      <c r="E1574" t="s">
        <v>8</v>
      </c>
      <c r="F1574" t="s">
        <v>1583</v>
      </c>
      <c r="G1574">
        <v>1</v>
      </c>
    </row>
    <row r="1575" spans="1:7" x14ac:dyDescent="0.25">
      <c r="A1575">
        <v>13</v>
      </c>
      <c r="B1575" t="s">
        <v>1181</v>
      </c>
      <c r="C1575">
        <v>6262755</v>
      </c>
      <c r="D1575" t="str">
        <f>"0034-8244"</f>
        <v>0034-8244</v>
      </c>
      <c r="E1575" t="s">
        <v>8</v>
      </c>
      <c r="F1575" t="s">
        <v>1584</v>
      </c>
      <c r="G1575">
        <v>1</v>
      </c>
    </row>
    <row r="1576" spans="1:7" x14ac:dyDescent="0.25">
      <c r="A1576">
        <v>13</v>
      </c>
      <c r="B1576" t="s">
        <v>1181</v>
      </c>
      <c r="C1576">
        <v>19906</v>
      </c>
      <c r="D1576" t="str">
        <f>"0325-0725"</f>
        <v>0325-0725</v>
      </c>
      <c r="E1576" t="s">
        <v>8</v>
      </c>
      <c r="F1576" t="s">
        <v>1585</v>
      </c>
      <c r="G1576">
        <v>1</v>
      </c>
    </row>
    <row r="1577" spans="1:7" x14ac:dyDescent="0.25">
      <c r="A1577">
        <v>13</v>
      </c>
      <c r="B1577" t="s">
        <v>1181</v>
      </c>
      <c r="C1577">
        <v>38086</v>
      </c>
      <c r="D1577" t="str">
        <f>"0870-5283"</f>
        <v>0870-5283</v>
      </c>
      <c r="E1577" t="s">
        <v>8</v>
      </c>
      <c r="F1577" t="s">
        <v>1586</v>
      </c>
      <c r="G1577">
        <v>1</v>
      </c>
    </row>
    <row r="1578" spans="1:7" x14ac:dyDescent="0.25">
      <c r="A1578">
        <v>13</v>
      </c>
      <c r="B1578" t="s">
        <v>1181</v>
      </c>
      <c r="C1578">
        <v>13775</v>
      </c>
      <c r="D1578" t="str">
        <f>"0035-1571"</f>
        <v>0035-1571</v>
      </c>
      <c r="E1578" t="s">
        <v>8</v>
      </c>
      <c r="F1578" t="s">
        <v>1587</v>
      </c>
      <c r="G1578">
        <v>1</v>
      </c>
    </row>
    <row r="1579" spans="1:7" x14ac:dyDescent="0.25">
      <c r="A1579">
        <v>13</v>
      </c>
      <c r="B1579" t="s">
        <v>1181</v>
      </c>
      <c r="C1579">
        <v>21685</v>
      </c>
      <c r="D1579" t="str">
        <f>"0035-1776"</f>
        <v>0035-1776</v>
      </c>
      <c r="E1579" t="s">
        <v>8</v>
      </c>
      <c r="F1579" t="s">
        <v>1588</v>
      </c>
      <c r="G1579">
        <v>1</v>
      </c>
    </row>
    <row r="1580" spans="1:7" x14ac:dyDescent="0.25">
      <c r="A1580">
        <v>13</v>
      </c>
      <c r="B1580" t="s">
        <v>1181</v>
      </c>
      <c r="C1580">
        <v>21216</v>
      </c>
      <c r="D1580" t="str">
        <f>"0035-1784"</f>
        <v>0035-1784</v>
      </c>
      <c r="E1580" t="s">
        <v>8</v>
      </c>
      <c r="F1580" t="s">
        <v>1589</v>
      </c>
      <c r="G1580">
        <v>1</v>
      </c>
    </row>
    <row r="1581" spans="1:7" x14ac:dyDescent="0.25">
      <c r="A1581">
        <v>13</v>
      </c>
      <c r="B1581" t="s">
        <v>1181</v>
      </c>
      <c r="C1581">
        <v>13192</v>
      </c>
      <c r="D1581" t="str">
        <f>"0035-2209"</f>
        <v>0035-2209</v>
      </c>
      <c r="E1581" t="s">
        <v>8</v>
      </c>
      <c r="F1581" t="s">
        <v>1590</v>
      </c>
      <c r="G1581">
        <v>1</v>
      </c>
    </row>
    <row r="1582" spans="1:7" x14ac:dyDescent="0.25">
      <c r="A1582">
        <v>13</v>
      </c>
      <c r="B1582" t="s">
        <v>1181</v>
      </c>
      <c r="C1582">
        <v>16290</v>
      </c>
      <c r="D1582" t="str">
        <f>"0035-2292"</f>
        <v>0035-2292</v>
      </c>
      <c r="E1582" t="s">
        <v>8</v>
      </c>
      <c r="F1582" t="s">
        <v>1591</v>
      </c>
      <c r="G1582">
        <v>1</v>
      </c>
    </row>
    <row r="1583" spans="1:7" x14ac:dyDescent="0.25">
      <c r="A1583">
        <v>13</v>
      </c>
      <c r="B1583" t="s">
        <v>1181</v>
      </c>
      <c r="C1583">
        <v>7710251</v>
      </c>
      <c r="D1583" t="str">
        <f>"1760-7507"</f>
        <v>1760-7507</v>
      </c>
      <c r="E1583" t="s">
        <v>8</v>
      </c>
      <c r="F1583" t="s">
        <v>1592</v>
      </c>
      <c r="G1583">
        <v>1</v>
      </c>
    </row>
    <row r="1584" spans="1:7" x14ac:dyDescent="0.25">
      <c r="A1584">
        <v>13</v>
      </c>
      <c r="B1584" t="s">
        <v>1181</v>
      </c>
      <c r="C1584">
        <v>8450</v>
      </c>
      <c r="D1584" t="str">
        <f>"0048-8143"</f>
        <v>0048-8143</v>
      </c>
      <c r="E1584" t="s">
        <v>8</v>
      </c>
      <c r="F1584" t="s">
        <v>1593</v>
      </c>
      <c r="G1584">
        <v>1</v>
      </c>
    </row>
    <row r="1585" spans="1:7" x14ac:dyDescent="0.25">
      <c r="A1585">
        <v>13</v>
      </c>
      <c r="B1585" t="s">
        <v>1181</v>
      </c>
      <c r="C1585">
        <v>8579</v>
      </c>
      <c r="D1585" t="str">
        <f>"0035-3833"</f>
        <v>0035-3833</v>
      </c>
      <c r="E1585" t="s">
        <v>8</v>
      </c>
      <c r="F1585" t="s">
        <v>1594</v>
      </c>
      <c r="G1585">
        <v>1</v>
      </c>
    </row>
    <row r="1586" spans="1:7" x14ac:dyDescent="0.25">
      <c r="A1586">
        <v>13</v>
      </c>
      <c r="B1586" t="s">
        <v>1181</v>
      </c>
      <c r="C1586">
        <v>15302</v>
      </c>
      <c r="D1586" t="str">
        <f>"0035-3841"</f>
        <v>0035-3841</v>
      </c>
      <c r="E1586" t="s">
        <v>8</v>
      </c>
      <c r="F1586" t="s">
        <v>1595</v>
      </c>
      <c r="G1586">
        <v>1</v>
      </c>
    </row>
    <row r="1587" spans="1:7" x14ac:dyDescent="0.25">
      <c r="A1587">
        <v>13</v>
      </c>
      <c r="B1587" t="s">
        <v>1181</v>
      </c>
      <c r="C1587">
        <v>7751965</v>
      </c>
      <c r="D1587" t="str">
        <f>"2196-5102"</f>
        <v>2196-5102</v>
      </c>
      <c r="E1587" t="s">
        <v>8</v>
      </c>
      <c r="F1587" t="s">
        <v>1596</v>
      </c>
      <c r="G1587">
        <v>1</v>
      </c>
    </row>
    <row r="1588" spans="1:7" x14ac:dyDescent="0.25">
      <c r="A1588">
        <v>13</v>
      </c>
      <c r="B1588" t="s">
        <v>1181</v>
      </c>
      <c r="C1588">
        <v>19883</v>
      </c>
      <c r="D1588" t="str">
        <f>"0035-6212"</f>
        <v>0035-6212</v>
      </c>
      <c r="E1588" t="s">
        <v>8</v>
      </c>
      <c r="F1588" t="s">
        <v>1597</v>
      </c>
      <c r="G1588">
        <v>1</v>
      </c>
    </row>
    <row r="1589" spans="1:7" x14ac:dyDescent="0.25">
      <c r="A1589">
        <v>13</v>
      </c>
      <c r="B1589" t="s">
        <v>1181</v>
      </c>
      <c r="C1589">
        <v>6597</v>
      </c>
      <c r="D1589" t="str">
        <f>"0035-6247"</f>
        <v>0035-6247</v>
      </c>
      <c r="E1589" t="s">
        <v>8</v>
      </c>
      <c r="F1589" t="s">
        <v>1598</v>
      </c>
      <c r="G1589">
        <v>1</v>
      </c>
    </row>
    <row r="1590" spans="1:7" x14ac:dyDescent="0.25">
      <c r="A1590">
        <v>13</v>
      </c>
      <c r="B1590" t="s">
        <v>1181</v>
      </c>
      <c r="C1590">
        <v>8573</v>
      </c>
      <c r="D1590" t="str">
        <f>"0393-2516"</f>
        <v>0393-2516</v>
      </c>
      <c r="E1590" t="s">
        <v>8</v>
      </c>
      <c r="F1590" t="s">
        <v>1599</v>
      </c>
      <c r="G1590">
        <v>1</v>
      </c>
    </row>
    <row r="1591" spans="1:7" x14ac:dyDescent="0.25">
      <c r="A1591">
        <v>13</v>
      </c>
      <c r="B1591" t="s">
        <v>1181</v>
      </c>
      <c r="C1591">
        <v>7748261</v>
      </c>
      <c r="D1591" t="str">
        <f>"2039-4667"</f>
        <v>2039-4667</v>
      </c>
      <c r="E1591" t="s">
        <v>8</v>
      </c>
      <c r="F1591" t="s">
        <v>1600</v>
      </c>
      <c r="G1591">
        <v>1</v>
      </c>
    </row>
    <row r="1592" spans="1:7" x14ac:dyDescent="0.25">
      <c r="A1592">
        <v>13</v>
      </c>
      <c r="B1592" t="s">
        <v>1181</v>
      </c>
      <c r="C1592">
        <v>8783596</v>
      </c>
      <c r="E1592" t="s">
        <v>15</v>
      </c>
      <c r="F1592" t="s">
        <v>1601</v>
      </c>
      <c r="G1592">
        <v>1</v>
      </c>
    </row>
    <row r="1593" spans="1:7" x14ac:dyDescent="0.25">
      <c r="A1593">
        <v>13</v>
      </c>
      <c r="B1593" t="s">
        <v>1181</v>
      </c>
      <c r="C1593">
        <v>4154</v>
      </c>
      <c r="D1593" t="str">
        <f>"0036-0163"</f>
        <v>0036-0163</v>
      </c>
      <c r="E1593" t="s">
        <v>8</v>
      </c>
      <c r="F1593" t="s">
        <v>1602</v>
      </c>
      <c r="G1593">
        <v>1</v>
      </c>
    </row>
    <row r="1594" spans="1:7" x14ac:dyDescent="0.25">
      <c r="A1594">
        <v>13</v>
      </c>
      <c r="B1594" t="s">
        <v>1181</v>
      </c>
      <c r="C1594">
        <v>13977</v>
      </c>
      <c r="D1594" t="str">
        <f>"1061-1967"</f>
        <v>1061-1967</v>
      </c>
      <c r="E1594" t="s">
        <v>8</v>
      </c>
      <c r="F1594" t="s">
        <v>1603</v>
      </c>
      <c r="G1594">
        <v>1</v>
      </c>
    </row>
    <row r="1595" spans="1:7" x14ac:dyDescent="0.25">
      <c r="A1595">
        <v>13</v>
      </c>
      <c r="B1595" t="s">
        <v>1181</v>
      </c>
      <c r="C1595">
        <v>6978</v>
      </c>
      <c r="D1595" t="str">
        <f>"1357-1559"</f>
        <v>1357-1559</v>
      </c>
      <c r="E1595" t="s">
        <v>8</v>
      </c>
      <c r="F1595" t="s">
        <v>1604</v>
      </c>
      <c r="G1595">
        <v>1</v>
      </c>
    </row>
    <row r="1596" spans="1:7" x14ac:dyDescent="0.25">
      <c r="A1596">
        <v>13</v>
      </c>
      <c r="B1596" t="s">
        <v>1181</v>
      </c>
      <c r="C1596">
        <v>885</v>
      </c>
      <c r="D1596" t="str">
        <f>"1600-1974"</f>
        <v>1600-1974</v>
      </c>
      <c r="E1596" t="s">
        <v>8</v>
      </c>
      <c r="F1596" t="s">
        <v>1605</v>
      </c>
      <c r="G1596">
        <v>1</v>
      </c>
    </row>
    <row r="1597" spans="1:7" x14ac:dyDescent="0.25">
      <c r="A1597">
        <v>13</v>
      </c>
      <c r="B1597" t="s">
        <v>1181</v>
      </c>
      <c r="C1597">
        <v>8760799</v>
      </c>
      <c r="D1597" t="str">
        <f>"2196-4521"</f>
        <v>2196-4521</v>
      </c>
      <c r="E1597" t="s">
        <v>8</v>
      </c>
      <c r="F1597" t="s">
        <v>1606</v>
      </c>
      <c r="G1597">
        <v>1</v>
      </c>
    </row>
    <row r="1598" spans="1:7" x14ac:dyDescent="0.25">
      <c r="A1598">
        <v>13</v>
      </c>
      <c r="B1598" t="s">
        <v>1181</v>
      </c>
      <c r="C1598">
        <v>8783597</v>
      </c>
      <c r="E1598" t="s">
        <v>15</v>
      </c>
      <c r="F1598" t="s">
        <v>1607</v>
      </c>
      <c r="G1598">
        <v>1</v>
      </c>
    </row>
    <row r="1599" spans="1:7" x14ac:dyDescent="0.25">
      <c r="A1599">
        <v>13</v>
      </c>
      <c r="B1599" t="s">
        <v>1181</v>
      </c>
      <c r="C1599">
        <v>69250</v>
      </c>
      <c r="D1599" t="str">
        <f>"0924-4697"</f>
        <v>0924-4697</v>
      </c>
      <c r="E1599" t="s">
        <v>15</v>
      </c>
      <c r="F1599" t="s">
        <v>1608</v>
      </c>
      <c r="G1599">
        <v>1</v>
      </c>
    </row>
    <row r="1600" spans="1:7" x14ac:dyDescent="0.25">
      <c r="A1600">
        <v>13</v>
      </c>
      <c r="B1600" t="s">
        <v>1181</v>
      </c>
      <c r="C1600">
        <v>7748504</v>
      </c>
      <c r="D1600" t="str">
        <f>"1825-9618"</f>
        <v>1825-9618</v>
      </c>
      <c r="E1600" t="s">
        <v>8</v>
      </c>
      <c r="F1600" t="s">
        <v>1609</v>
      </c>
      <c r="G1600">
        <v>1</v>
      </c>
    </row>
    <row r="1601" spans="1:7" x14ac:dyDescent="0.25">
      <c r="A1601">
        <v>13</v>
      </c>
      <c r="B1601" t="s">
        <v>1181</v>
      </c>
      <c r="C1601">
        <v>170084</v>
      </c>
      <c r="D1601" t="str">
        <f>"2245-3091"</f>
        <v>2245-3091</v>
      </c>
      <c r="E1601" t="s">
        <v>15</v>
      </c>
      <c r="F1601" t="s">
        <v>1610</v>
      </c>
      <c r="G1601">
        <v>1</v>
      </c>
    </row>
    <row r="1602" spans="1:7" x14ac:dyDescent="0.25">
      <c r="A1602">
        <v>13</v>
      </c>
      <c r="B1602" t="s">
        <v>1181</v>
      </c>
      <c r="C1602">
        <v>27593</v>
      </c>
      <c r="D1602" t="str">
        <f>"0108-8084"</f>
        <v>0108-8084</v>
      </c>
      <c r="E1602" t="s">
        <v>8</v>
      </c>
      <c r="F1602" t="s">
        <v>1611</v>
      </c>
      <c r="G1602">
        <v>1</v>
      </c>
    </row>
    <row r="1603" spans="1:7" x14ac:dyDescent="0.25">
      <c r="A1603">
        <v>13</v>
      </c>
      <c r="B1603" t="s">
        <v>1181</v>
      </c>
      <c r="C1603">
        <v>73092</v>
      </c>
      <c r="D1603" t="str">
        <f>"1543-4044"</f>
        <v>1543-4044</v>
      </c>
      <c r="E1603" t="s">
        <v>8</v>
      </c>
      <c r="F1603" t="s">
        <v>1612</v>
      </c>
      <c r="G1603">
        <v>1</v>
      </c>
    </row>
    <row r="1604" spans="1:7" x14ac:dyDescent="0.25">
      <c r="A1604">
        <v>13</v>
      </c>
      <c r="B1604" t="s">
        <v>1181</v>
      </c>
      <c r="C1604">
        <v>21607</v>
      </c>
      <c r="D1604" t="str">
        <f>"0038-1527"</f>
        <v>0038-1527</v>
      </c>
      <c r="E1604" t="s">
        <v>8</v>
      </c>
      <c r="F1604" t="s">
        <v>1613</v>
      </c>
      <c r="G1604">
        <v>1</v>
      </c>
    </row>
    <row r="1605" spans="1:7" x14ac:dyDescent="0.25">
      <c r="A1605">
        <v>13</v>
      </c>
      <c r="B1605" t="s">
        <v>1181</v>
      </c>
      <c r="C1605">
        <v>9236</v>
      </c>
      <c r="D1605" t="str">
        <f>"0258-0136"</f>
        <v>0258-0136</v>
      </c>
      <c r="E1605" t="s">
        <v>8</v>
      </c>
      <c r="F1605" t="s">
        <v>1614</v>
      </c>
      <c r="G1605">
        <v>1</v>
      </c>
    </row>
    <row r="1606" spans="1:7" x14ac:dyDescent="0.25">
      <c r="A1606">
        <v>13</v>
      </c>
      <c r="B1606" t="s">
        <v>1181</v>
      </c>
      <c r="C1606">
        <v>120485</v>
      </c>
      <c r="D1606" t="str">
        <f>"0897-2346"</f>
        <v>0897-2346</v>
      </c>
      <c r="E1606" t="s">
        <v>8</v>
      </c>
      <c r="F1606" t="s">
        <v>1615</v>
      </c>
      <c r="G1606">
        <v>1</v>
      </c>
    </row>
    <row r="1607" spans="1:7" x14ac:dyDescent="0.25">
      <c r="A1607">
        <v>13</v>
      </c>
      <c r="B1607" t="s">
        <v>1181</v>
      </c>
      <c r="C1607">
        <v>152015</v>
      </c>
      <c r="D1607" t="str">
        <f>"1751-1321"</f>
        <v>1751-1321</v>
      </c>
      <c r="E1607" t="s">
        <v>8</v>
      </c>
      <c r="F1607" t="s">
        <v>1616</v>
      </c>
      <c r="G1607">
        <v>1</v>
      </c>
    </row>
    <row r="1608" spans="1:7" x14ac:dyDescent="0.25">
      <c r="A1608">
        <v>13</v>
      </c>
      <c r="B1608" t="s">
        <v>1181</v>
      </c>
      <c r="C1608">
        <v>7727022</v>
      </c>
      <c r="D1608" t="str">
        <f>"2211-8101"</f>
        <v>2211-8101</v>
      </c>
      <c r="E1608" t="s">
        <v>15</v>
      </c>
      <c r="F1608" t="s">
        <v>1617</v>
      </c>
      <c r="G1608">
        <v>1</v>
      </c>
    </row>
    <row r="1609" spans="1:7" x14ac:dyDescent="0.25">
      <c r="A1609">
        <v>13</v>
      </c>
      <c r="B1609" t="s">
        <v>1181</v>
      </c>
      <c r="C1609">
        <v>11631</v>
      </c>
      <c r="D1609" t="str">
        <f>"0039-3185"</f>
        <v>0039-3185</v>
      </c>
      <c r="E1609" t="s">
        <v>8</v>
      </c>
      <c r="F1609" t="s">
        <v>1618</v>
      </c>
      <c r="G1609">
        <v>1</v>
      </c>
    </row>
    <row r="1610" spans="1:7" x14ac:dyDescent="0.25">
      <c r="A1610">
        <v>13</v>
      </c>
      <c r="B1610" t="s">
        <v>1181</v>
      </c>
      <c r="C1610">
        <v>7709361</v>
      </c>
      <c r="D1610" t="str">
        <f>"1214-8407"</f>
        <v>1214-8407</v>
      </c>
      <c r="E1610" t="s">
        <v>8</v>
      </c>
      <c r="F1610" t="s">
        <v>1619</v>
      </c>
      <c r="G1610">
        <v>1</v>
      </c>
    </row>
    <row r="1611" spans="1:7" x14ac:dyDescent="0.25">
      <c r="A1611">
        <v>13</v>
      </c>
      <c r="B1611" t="s">
        <v>1181</v>
      </c>
      <c r="C1611">
        <v>154597</v>
      </c>
      <c r="D1611" t="str">
        <f>"2228-110X"</f>
        <v>2228-110X</v>
      </c>
      <c r="E1611" t="s">
        <v>8</v>
      </c>
      <c r="F1611" t="s">
        <v>1620</v>
      </c>
      <c r="G1611">
        <v>1</v>
      </c>
    </row>
    <row r="1612" spans="1:7" x14ac:dyDescent="0.25">
      <c r="A1612">
        <v>13</v>
      </c>
      <c r="B1612" t="s">
        <v>1181</v>
      </c>
      <c r="C1612">
        <v>17509</v>
      </c>
      <c r="D1612" t="str">
        <f>"1582-5647"</f>
        <v>1582-5647</v>
      </c>
      <c r="E1612" t="s">
        <v>8</v>
      </c>
      <c r="F1612" t="s">
        <v>1621</v>
      </c>
      <c r="G1612">
        <v>1</v>
      </c>
    </row>
    <row r="1613" spans="1:7" x14ac:dyDescent="0.25">
      <c r="A1613">
        <v>13</v>
      </c>
      <c r="B1613" t="s">
        <v>1181</v>
      </c>
      <c r="C1613">
        <v>9657</v>
      </c>
      <c r="D1613" t="str">
        <f>"0167-4102"</f>
        <v>0167-4102</v>
      </c>
      <c r="E1613" t="s">
        <v>15</v>
      </c>
      <c r="F1613" t="s">
        <v>1622</v>
      </c>
      <c r="G1613">
        <v>1</v>
      </c>
    </row>
    <row r="1614" spans="1:7" x14ac:dyDescent="0.25">
      <c r="A1614">
        <v>13</v>
      </c>
      <c r="B1614" t="s">
        <v>1181</v>
      </c>
      <c r="C1614">
        <v>8782849</v>
      </c>
      <c r="D1614" t="str">
        <f>"2192-6255"</f>
        <v>2192-6255</v>
      </c>
      <c r="E1614" t="s">
        <v>15</v>
      </c>
      <c r="F1614" t="s">
        <v>1623</v>
      </c>
      <c r="G1614">
        <v>1</v>
      </c>
    </row>
    <row r="1615" spans="1:7" x14ac:dyDescent="0.25">
      <c r="A1615">
        <v>13</v>
      </c>
      <c r="B1615" t="s">
        <v>1181</v>
      </c>
      <c r="C1615">
        <v>8783617</v>
      </c>
      <c r="D1615" t="str">
        <f>"1573-4536"</f>
        <v>1573-4536</v>
      </c>
      <c r="E1615" t="s">
        <v>15</v>
      </c>
      <c r="F1615" t="s">
        <v>1624</v>
      </c>
      <c r="G1615">
        <v>1</v>
      </c>
    </row>
    <row r="1616" spans="1:7" x14ac:dyDescent="0.25">
      <c r="A1616">
        <v>13</v>
      </c>
      <c r="B1616" t="s">
        <v>1181</v>
      </c>
      <c r="C1616">
        <v>170075</v>
      </c>
      <c r="E1616" t="s">
        <v>15</v>
      </c>
      <c r="F1616" t="s">
        <v>1625</v>
      </c>
      <c r="G1616">
        <v>1</v>
      </c>
    </row>
    <row r="1617" spans="1:7" x14ac:dyDescent="0.25">
      <c r="A1617">
        <v>13</v>
      </c>
      <c r="B1617" t="s">
        <v>1181</v>
      </c>
      <c r="C1617">
        <v>15985</v>
      </c>
      <c r="D1617" t="str">
        <f>"0925-9392"</f>
        <v>0925-9392</v>
      </c>
      <c r="E1617" t="s">
        <v>8</v>
      </c>
      <c r="F1617" t="s">
        <v>1626</v>
      </c>
      <c r="G1617">
        <v>1</v>
      </c>
    </row>
    <row r="1618" spans="1:7" x14ac:dyDescent="0.25">
      <c r="A1618">
        <v>13</v>
      </c>
      <c r="B1618" t="s">
        <v>1181</v>
      </c>
      <c r="C1618">
        <v>152830</v>
      </c>
      <c r="D1618" t="str">
        <f>"1871-7381"</f>
        <v>1871-7381</v>
      </c>
      <c r="E1618" t="s">
        <v>15</v>
      </c>
      <c r="F1618" t="s">
        <v>1627</v>
      </c>
      <c r="G1618">
        <v>1</v>
      </c>
    </row>
    <row r="1619" spans="1:7" x14ac:dyDescent="0.25">
      <c r="A1619">
        <v>13</v>
      </c>
      <c r="B1619" t="s">
        <v>1181</v>
      </c>
      <c r="C1619">
        <v>135095</v>
      </c>
      <c r="D1619" t="str">
        <f>"0924-4662"</f>
        <v>0924-4662</v>
      </c>
      <c r="E1619" t="s">
        <v>15</v>
      </c>
      <c r="F1619" t="s">
        <v>1628</v>
      </c>
      <c r="G1619">
        <v>1</v>
      </c>
    </row>
    <row r="1620" spans="1:7" x14ac:dyDescent="0.25">
      <c r="A1620">
        <v>13</v>
      </c>
      <c r="B1620" t="s">
        <v>1181</v>
      </c>
      <c r="C1620">
        <v>27211</v>
      </c>
      <c r="D1620" t="str">
        <f>"0860-150X"</f>
        <v>0860-150X</v>
      </c>
      <c r="E1620" t="s">
        <v>8</v>
      </c>
      <c r="F1620" t="s">
        <v>1629</v>
      </c>
      <c r="G1620">
        <v>1</v>
      </c>
    </row>
    <row r="1621" spans="1:7" x14ac:dyDescent="0.25">
      <c r="A1621">
        <v>13</v>
      </c>
      <c r="B1621" t="s">
        <v>1181</v>
      </c>
      <c r="C1621">
        <v>170074</v>
      </c>
      <c r="E1621" t="s">
        <v>15</v>
      </c>
      <c r="F1621" t="s">
        <v>1630</v>
      </c>
      <c r="G1621">
        <v>1</v>
      </c>
    </row>
    <row r="1622" spans="1:7" x14ac:dyDescent="0.25">
      <c r="A1622">
        <v>13</v>
      </c>
      <c r="B1622" t="s">
        <v>1181</v>
      </c>
      <c r="C1622">
        <v>31646</v>
      </c>
      <c r="D1622" t="str">
        <f>"1911-4788"</f>
        <v>1911-4788</v>
      </c>
      <c r="E1622" t="s">
        <v>8</v>
      </c>
      <c r="F1622" t="s">
        <v>1631</v>
      </c>
      <c r="G1622">
        <v>1</v>
      </c>
    </row>
    <row r="1623" spans="1:7" x14ac:dyDescent="0.25">
      <c r="A1623">
        <v>13</v>
      </c>
      <c r="B1623" t="s">
        <v>1181</v>
      </c>
      <c r="C1623">
        <v>27480</v>
      </c>
      <c r="D1623" t="str">
        <f>"1480-2333"</f>
        <v>1480-2333</v>
      </c>
      <c r="E1623" t="s">
        <v>8</v>
      </c>
      <c r="F1623" t="s">
        <v>1632</v>
      </c>
      <c r="G1623">
        <v>1</v>
      </c>
    </row>
    <row r="1624" spans="1:7" x14ac:dyDescent="0.25">
      <c r="A1624">
        <v>13</v>
      </c>
      <c r="B1624" t="s">
        <v>1181</v>
      </c>
      <c r="C1624">
        <v>38404</v>
      </c>
      <c r="D1624" t="str">
        <f>"0166-6991"</f>
        <v>0166-6991</v>
      </c>
      <c r="E1624" t="s">
        <v>15</v>
      </c>
      <c r="F1624" t="s">
        <v>1633</v>
      </c>
      <c r="G1624">
        <v>1</v>
      </c>
    </row>
    <row r="1625" spans="1:7" x14ac:dyDescent="0.25">
      <c r="A1625">
        <v>13</v>
      </c>
      <c r="B1625" t="s">
        <v>1181</v>
      </c>
      <c r="C1625">
        <v>17614</v>
      </c>
      <c r="D1625" t="str">
        <f>"0352-7875"</f>
        <v>0352-7875</v>
      </c>
      <c r="E1625" t="s">
        <v>8</v>
      </c>
      <c r="F1625" t="s">
        <v>1634</v>
      </c>
      <c r="G1625">
        <v>1</v>
      </c>
    </row>
    <row r="1626" spans="1:7" x14ac:dyDescent="0.25">
      <c r="A1626">
        <v>13</v>
      </c>
      <c r="B1626" t="s">
        <v>1181</v>
      </c>
      <c r="C1626">
        <v>8783355</v>
      </c>
      <c r="E1626" t="s">
        <v>8</v>
      </c>
      <c r="F1626" t="s">
        <v>1635</v>
      </c>
      <c r="G1626">
        <v>1</v>
      </c>
    </row>
    <row r="1627" spans="1:7" x14ac:dyDescent="0.25">
      <c r="A1627">
        <v>13</v>
      </c>
      <c r="B1627" t="s">
        <v>1181</v>
      </c>
      <c r="C1627">
        <v>7691964</v>
      </c>
      <c r="D1627" t="str">
        <f>"1544-4031"</f>
        <v>1544-4031</v>
      </c>
      <c r="E1627" t="s">
        <v>8</v>
      </c>
      <c r="F1627" t="s">
        <v>1636</v>
      </c>
      <c r="G1627">
        <v>1</v>
      </c>
    </row>
    <row r="1628" spans="1:7" x14ac:dyDescent="0.25">
      <c r="A1628">
        <v>13</v>
      </c>
      <c r="B1628" t="s">
        <v>1181</v>
      </c>
      <c r="C1628">
        <v>3263</v>
      </c>
      <c r="D1628" t="str">
        <f>"0145-5788"</f>
        <v>0145-5788</v>
      </c>
      <c r="E1628" t="s">
        <v>8</v>
      </c>
      <c r="F1628" t="s">
        <v>1637</v>
      </c>
      <c r="G1628">
        <v>1</v>
      </c>
    </row>
    <row r="1629" spans="1:7" x14ac:dyDescent="0.25">
      <c r="A1629">
        <v>13</v>
      </c>
      <c r="B1629" t="s">
        <v>1181</v>
      </c>
      <c r="C1629">
        <v>5268</v>
      </c>
      <c r="D1629" t="str">
        <f>"0210-1602"</f>
        <v>0210-1602</v>
      </c>
      <c r="E1629" t="s">
        <v>8</v>
      </c>
      <c r="F1629" t="s">
        <v>1638</v>
      </c>
      <c r="G1629">
        <v>1</v>
      </c>
    </row>
    <row r="1630" spans="1:7" x14ac:dyDescent="0.25">
      <c r="A1630">
        <v>13</v>
      </c>
      <c r="B1630" t="s">
        <v>1181</v>
      </c>
      <c r="C1630">
        <v>22598</v>
      </c>
      <c r="D1630" t="str">
        <f>"0065-8995"</f>
        <v>0065-8995</v>
      </c>
      <c r="E1630" t="s">
        <v>8</v>
      </c>
      <c r="F1630" t="s">
        <v>1639</v>
      </c>
      <c r="G1630">
        <v>1</v>
      </c>
    </row>
    <row r="1631" spans="1:7" x14ac:dyDescent="0.25">
      <c r="A1631">
        <v>13</v>
      </c>
      <c r="B1631" t="s">
        <v>1181</v>
      </c>
      <c r="C1631">
        <v>1217</v>
      </c>
      <c r="D1631" t="str">
        <f>"1448-5052"</f>
        <v>1448-5052</v>
      </c>
      <c r="E1631" t="s">
        <v>8</v>
      </c>
      <c r="F1631" t="s">
        <v>1640</v>
      </c>
      <c r="G1631">
        <v>1</v>
      </c>
    </row>
    <row r="1632" spans="1:7" x14ac:dyDescent="0.25">
      <c r="A1632">
        <v>13</v>
      </c>
      <c r="B1632" t="s">
        <v>1181</v>
      </c>
      <c r="C1632">
        <v>6032791</v>
      </c>
      <c r="E1632" t="s">
        <v>8</v>
      </c>
      <c r="F1632" t="s">
        <v>1641</v>
      </c>
      <c r="G1632">
        <v>1</v>
      </c>
    </row>
    <row r="1633" spans="1:7" x14ac:dyDescent="0.25">
      <c r="A1633">
        <v>13</v>
      </c>
      <c r="B1633" t="s">
        <v>1181</v>
      </c>
      <c r="C1633">
        <v>50389</v>
      </c>
      <c r="D1633" t="str">
        <f>"1041-5548"</f>
        <v>1041-5548</v>
      </c>
      <c r="E1633" t="s">
        <v>8</v>
      </c>
      <c r="F1633" t="s">
        <v>1642</v>
      </c>
      <c r="G1633">
        <v>1</v>
      </c>
    </row>
    <row r="1634" spans="1:7" x14ac:dyDescent="0.25">
      <c r="A1634">
        <v>13</v>
      </c>
      <c r="B1634" t="s">
        <v>1181</v>
      </c>
      <c r="C1634">
        <v>124159</v>
      </c>
      <c r="D1634" t="str">
        <f>"1062-6239"</f>
        <v>1062-6239</v>
      </c>
      <c r="E1634" t="s">
        <v>8</v>
      </c>
      <c r="F1634" t="s">
        <v>1643</v>
      </c>
      <c r="G1634">
        <v>1</v>
      </c>
    </row>
    <row r="1635" spans="1:7" x14ac:dyDescent="0.25">
      <c r="A1635">
        <v>13</v>
      </c>
      <c r="B1635" t="s">
        <v>1181</v>
      </c>
      <c r="C1635">
        <v>2415</v>
      </c>
      <c r="D1635" t="str">
        <f>"0018-1196"</f>
        <v>0018-1196</v>
      </c>
      <c r="E1635" t="s">
        <v>8</v>
      </c>
      <c r="F1635" t="s">
        <v>1644</v>
      </c>
      <c r="G1635">
        <v>1</v>
      </c>
    </row>
    <row r="1636" spans="1:7" x14ac:dyDescent="0.25">
      <c r="A1636">
        <v>13</v>
      </c>
      <c r="B1636" t="s">
        <v>1181</v>
      </c>
      <c r="C1636">
        <v>139179</v>
      </c>
      <c r="D1636" t="str">
        <f>"2079-7222"</f>
        <v>2079-7222</v>
      </c>
      <c r="E1636" t="s">
        <v>8</v>
      </c>
      <c r="F1636" t="s">
        <v>1645</v>
      </c>
      <c r="G1636">
        <v>1</v>
      </c>
    </row>
    <row r="1637" spans="1:7" x14ac:dyDescent="0.25">
      <c r="A1637">
        <v>13</v>
      </c>
      <c r="B1637" t="s">
        <v>1181</v>
      </c>
      <c r="C1637">
        <v>939</v>
      </c>
      <c r="D1637" t="str">
        <f>"1053-699X"</f>
        <v>1053-699X</v>
      </c>
      <c r="E1637" t="s">
        <v>8</v>
      </c>
      <c r="F1637" t="s">
        <v>1646</v>
      </c>
      <c r="G1637">
        <v>1</v>
      </c>
    </row>
    <row r="1638" spans="1:7" x14ac:dyDescent="0.25">
      <c r="A1638">
        <v>13</v>
      </c>
      <c r="B1638" t="s">
        <v>1181</v>
      </c>
      <c r="C1638">
        <v>130928</v>
      </c>
      <c r="D1638" t="str">
        <f>"1549-8549"</f>
        <v>1549-8549</v>
      </c>
      <c r="E1638" t="s">
        <v>8</v>
      </c>
      <c r="F1638" t="s">
        <v>1647</v>
      </c>
      <c r="G1638">
        <v>1</v>
      </c>
    </row>
    <row r="1639" spans="1:7" x14ac:dyDescent="0.25">
      <c r="A1639">
        <v>13</v>
      </c>
      <c r="B1639" t="s">
        <v>1181</v>
      </c>
      <c r="C1639">
        <v>1059</v>
      </c>
      <c r="D1639" t="str">
        <f>"0022-5363"</f>
        <v>0022-5363</v>
      </c>
      <c r="E1639" t="s">
        <v>8</v>
      </c>
      <c r="F1639" t="s">
        <v>1648</v>
      </c>
      <c r="G1639">
        <v>1</v>
      </c>
    </row>
    <row r="1640" spans="1:7" x14ac:dyDescent="0.25">
      <c r="A1640">
        <v>13</v>
      </c>
      <c r="B1640" t="s">
        <v>1181</v>
      </c>
      <c r="C1640">
        <v>106537</v>
      </c>
      <c r="D1640" t="str">
        <f>"1524-1556"</f>
        <v>1524-1556</v>
      </c>
      <c r="E1640" t="s">
        <v>8</v>
      </c>
      <c r="F1640" t="s">
        <v>1649</v>
      </c>
      <c r="G1640">
        <v>1</v>
      </c>
    </row>
    <row r="1641" spans="1:7" x14ac:dyDescent="0.25">
      <c r="A1641">
        <v>13</v>
      </c>
      <c r="B1641" t="s">
        <v>1181</v>
      </c>
      <c r="C1641">
        <v>7924</v>
      </c>
      <c r="D1641" t="str">
        <f>"0026-3451"</f>
        <v>0026-3451</v>
      </c>
      <c r="E1641" t="s">
        <v>8</v>
      </c>
      <c r="F1641" t="s">
        <v>1650</v>
      </c>
      <c r="G1641">
        <v>1</v>
      </c>
    </row>
    <row r="1642" spans="1:7" x14ac:dyDescent="0.25">
      <c r="A1642">
        <v>13</v>
      </c>
      <c r="B1642" t="s">
        <v>1181</v>
      </c>
      <c r="C1642">
        <v>22574</v>
      </c>
      <c r="D1642" t="str">
        <f>"2050-2877"</f>
        <v>2050-2877</v>
      </c>
      <c r="E1642" t="s">
        <v>8</v>
      </c>
      <c r="F1642" t="s">
        <v>1651</v>
      </c>
      <c r="G1642">
        <v>1</v>
      </c>
    </row>
    <row r="1643" spans="1:7" x14ac:dyDescent="0.25">
      <c r="A1643">
        <v>13</v>
      </c>
      <c r="B1643" t="s">
        <v>1181</v>
      </c>
      <c r="C1643">
        <v>51275</v>
      </c>
      <c r="D1643" t="str">
        <f>"1533-7472"</f>
        <v>1533-7472</v>
      </c>
      <c r="E1643" t="s">
        <v>8</v>
      </c>
      <c r="F1643" t="s">
        <v>1652</v>
      </c>
      <c r="G1643">
        <v>1</v>
      </c>
    </row>
    <row r="1644" spans="1:7" x14ac:dyDescent="0.25">
      <c r="A1644">
        <v>13</v>
      </c>
      <c r="B1644" t="s">
        <v>1181</v>
      </c>
      <c r="C1644">
        <v>17293</v>
      </c>
      <c r="D1644" t="str">
        <f>"0030-7580"</f>
        <v>0030-7580</v>
      </c>
      <c r="E1644" t="s">
        <v>8</v>
      </c>
      <c r="F1644" t="s">
        <v>1653</v>
      </c>
      <c r="G1644">
        <v>1</v>
      </c>
    </row>
    <row r="1645" spans="1:7" x14ac:dyDescent="0.25">
      <c r="A1645">
        <v>13</v>
      </c>
      <c r="B1645" t="s">
        <v>1181</v>
      </c>
      <c r="C1645">
        <v>2355</v>
      </c>
      <c r="D1645" t="str">
        <f>"0031-806X"</f>
        <v>0031-806X</v>
      </c>
      <c r="E1645" t="s">
        <v>8</v>
      </c>
      <c r="F1645" t="s">
        <v>1654</v>
      </c>
      <c r="G1645">
        <v>1</v>
      </c>
    </row>
    <row r="1646" spans="1:7" x14ac:dyDescent="0.25">
      <c r="A1646">
        <v>13</v>
      </c>
      <c r="B1646" t="s">
        <v>1181</v>
      </c>
      <c r="C1646">
        <v>146384</v>
      </c>
      <c r="D1646" t="str">
        <f>"1930-7365"</f>
        <v>1930-7365</v>
      </c>
      <c r="E1646" t="s">
        <v>8</v>
      </c>
      <c r="F1646" t="s">
        <v>1655</v>
      </c>
      <c r="G1646">
        <v>1</v>
      </c>
    </row>
    <row r="1647" spans="1:7" x14ac:dyDescent="0.25">
      <c r="A1647">
        <v>13</v>
      </c>
      <c r="B1647" t="s">
        <v>1181</v>
      </c>
      <c r="C1647">
        <v>4684</v>
      </c>
      <c r="D1647" t="str">
        <f>"0034-6632"</f>
        <v>0034-6632</v>
      </c>
      <c r="E1647" t="s">
        <v>8</v>
      </c>
      <c r="F1647" t="s">
        <v>1656</v>
      </c>
      <c r="G1647">
        <v>1</v>
      </c>
    </row>
    <row r="1648" spans="1:7" x14ac:dyDescent="0.25">
      <c r="A1648">
        <v>13</v>
      </c>
      <c r="B1648" t="s">
        <v>1181</v>
      </c>
      <c r="C1648">
        <v>3852</v>
      </c>
      <c r="D1648" t="str">
        <f>"0038-4283"</f>
        <v>0038-4283</v>
      </c>
      <c r="E1648" t="s">
        <v>8</v>
      </c>
      <c r="F1648" t="s">
        <v>1657</v>
      </c>
      <c r="G1648">
        <v>1</v>
      </c>
    </row>
    <row r="1649" spans="1:7" x14ac:dyDescent="0.25">
      <c r="A1649">
        <v>13</v>
      </c>
      <c r="B1649" t="s">
        <v>1181</v>
      </c>
      <c r="C1649">
        <v>104973</v>
      </c>
      <c r="D1649" t="str">
        <f>"0212-8365"</f>
        <v>0212-8365</v>
      </c>
      <c r="E1649" t="s">
        <v>8</v>
      </c>
      <c r="F1649" t="s">
        <v>1658</v>
      </c>
      <c r="G1649">
        <v>1</v>
      </c>
    </row>
    <row r="1650" spans="1:7" x14ac:dyDescent="0.25">
      <c r="A1650">
        <v>13</v>
      </c>
      <c r="B1650" t="s">
        <v>1181</v>
      </c>
      <c r="C1650">
        <v>146626</v>
      </c>
      <c r="D1650" t="str">
        <f>"1565-1509"</f>
        <v>1565-1509</v>
      </c>
      <c r="E1650" t="s">
        <v>8</v>
      </c>
      <c r="F1650" t="s">
        <v>1659</v>
      </c>
      <c r="G1650">
        <v>1</v>
      </c>
    </row>
    <row r="1651" spans="1:7" x14ac:dyDescent="0.25">
      <c r="A1651">
        <v>13</v>
      </c>
      <c r="B1651" t="s">
        <v>1181</v>
      </c>
      <c r="C1651">
        <v>6302874</v>
      </c>
      <c r="D1651" t="str">
        <f>"1665-6415"</f>
        <v>1665-6415</v>
      </c>
      <c r="E1651" t="s">
        <v>8</v>
      </c>
      <c r="F1651" t="s">
        <v>1660</v>
      </c>
      <c r="G1651">
        <v>1</v>
      </c>
    </row>
    <row r="1652" spans="1:7" x14ac:dyDescent="0.25">
      <c r="A1652">
        <v>13</v>
      </c>
      <c r="B1652" t="s">
        <v>1181</v>
      </c>
      <c r="C1652">
        <v>686</v>
      </c>
      <c r="D1652" t="str">
        <f>"0040-6325"</f>
        <v>0040-6325</v>
      </c>
      <c r="E1652" t="s">
        <v>8</v>
      </c>
      <c r="F1652" t="s">
        <v>1661</v>
      </c>
      <c r="G1652">
        <v>1</v>
      </c>
    </row>
    <row r="1653" spans="1:7" x14ac:dyDescent="0.25">
      <c r="A1653">
        <v>13</v>
      </c>
      <c r="B1653" t="s">
        <v>1181</v>
      </c>
      <c r="C1653">
        <v>9725</v>
      </c>
      <c r="D1653" t="str">
        <f>"1402-2710"</f>
        <v>1402-2710</v>
      </c>
      <c r="E1653" t="s">
        <v>8</v>
      </c>
      <c r="F1653" t="s">
        <v>1662</v>
      </c>
      <c r="G1653">
        <v>1</v>
      </c>
    </row>
    <row r="1654" spans="1:7" x14ac:dyDescent="0.25">
      <c r="A1654">
        <v>13</v>
      </c>
      <c r="B1654" t="s">
        <v>1181</v>
      </c>
      <c r="C1654">
        <v>13036</v>
      </c>
      <c r="D1654" t="str">
        <f>"1370-575X"</f>
        <v>1370-575X</v>
      </c>
      <c r="E1654" t="s">
        <v>8</v>
      </c>
      <c r="F1654" t="s">
        <v>1663</v>
      </c>
      <c r="G1654">
        <v>1</v>
      </c>
    </row>
    <row r="1655" spans="1:7" x14ac:dyDescent="0.25">
      <c r="A1655">
        <v>13</v>
      </c>
      <c r="B1655" t="s">
        <v>1181</v>
      </c>
      <c r="C1655">
        <v>14453</v>
      </c>
      <c r="D1655" t="str">
        <f>"0167-7411"</f>
        <v>0167-7411</v>
      </c>
      <c r="E1655" t="s">
        <v>8</v>
      </c>
      <c r="F1655" t="s">
        <v>1664</v>
      </c>
      <c r="G1655">
        <v>1</v>
      </c>
    </row>
    <row r="1656" spans="1:7" x14ac:dyDescent="0.25">
      <c r="A1656">
        <v>13</v>
      </c>
      <c r="B1656" t="s">
        <v>1181</v>
      </c>
      <c r="C1656">
        <v>99249</v>
      </c>
      <c r="D1656" t="str">
        <f>"1057-1027"</f>
        <v>1057-1027</v>
      </c>
      <c r="E1656" t="s">
        <v>8</v>
      </c>
      <c r="F1656" t="s">
        <v>1665</v>
      </c>
      <c r="G1656">
        <v>1</v>
      </c>
    </row>
    <row r="1657" spans="1:7" x14ac:dyDescent="0.25">
      <c r="A1657">
        <v>13</v>
      </c>
      <c r="B1657" t="s">
        <v>1181</v>
      </c>
      <c r="C1657">
        <v>77302</v>
      </c>
      <c r="D1657" t="str">
        <f>"0101-3173"</f>
        <v>0101-3173</v>
      </c>
      <c r="E1657" t="s">
        <v>8</v>
      </c>
      <c r="F1657" t="s">
        <v>1666</v>
      </c>
      <c r="G1657">
        <v>1</v>
      </c>
    </row>
    <row r="1658" spans="1:7" x14ac:dyDescent="0.25">
      <c r="A1658">
        <v>13</v>
      </c>
      <c r="B1658" t="s">
        <v>1181</v>
      </c>
      <c r="C1658">
        <v>16559</v>
      </c>
      <c r="D1658" t="str">
        <f>"0065-9746"</f>
        <v>0065-9746</v>
      </c>
      <c r="E1658" t="s">
        <v>15</v>
      </c>
      <c r="F1658" t="s">
        <v>1667</v>
      </c>
      <c r="G1658">
        <v>1</v>
      </c>
    </row>
    <row r="1659" spans="1:7" x14ac:dyDescent="0.25">
      <c r="A1659">
        <v>13</v>
      </c>
      <c r="B1659" t="s">
        <v>1181</v>
      </c>
      <c r="C1659">
        <v>7700681</v>
      </c>
      <c r="D1659" t="str">
        <f>"2036-542X"</f>
        <v>2036-542X</v>
      </c>
      <c r="E1659" t="s">
        <v>8</v>
      </c>
      <c r="F1659" t="s">
        <v>1668</v>
      </c>
      <c r="G1659">
        <v>1</v>
      </c>
    </row>
    <row r="1660" spans="1:7" x14ac:dyDescent="0.25">
      <c r="A1660">
        <v>13</v>
      </c>
      <c r="B1660" t="s">
        <v>1181</v>
      </c>
      <c r="C1660">
        <v>4152</v>
      </c>
      <c r="D1660" t="str">
        <f>"0709-549X"</f>
        <v>0709-549X</v>
      </c>
      <c r="E1660" t="s">
        <v>8</v>
      </c>
      <c r="F1660" t="s">
        <v>1669</v>
      </c>
      <c r="G1660">
        <v>1</v>
      </c>
    </row>
    <row r="1661" spans="1:7" x14ac:dyDescent="0.25">
      <c r="A1661">
        <v>13</v>
      </c>
      <c r="B1661" t="s">
        <v>1181</v>
      </c>
      <c r="C1661">
        <v>148717</v>
      </c>
      <c r="D1661" t="str">
        <f>"0120-5323"</f>
        <v>0120-5323</v>
      </c>
      <c r="E1661" t="s">
        <v>8</v>
      </c>
      <c r="F1661" t="s">
        <v>1670</v>
      </c>
      <c r="G1661">
        <v>1</v>
      </c>
    </row>
    <row r="1662" spans="1:7" x14ac:dyDescent="0.25">
      <c r="A1662">
        <v>13</v>
      </c>
      <c r="B1662" t="s">
        <v>1181</v>
      </c>
      <c r="C1662">
        <v>650</v>
      </c>
      <c r="D1662" t="str">
        <f>"0391-4186"</f>
        <v>0391-4186</v>
      </c>
      <c r="E1662" t="s">
        <v>8</v>
      </c>
      <c r="F1662" t="s">
        <v>1671</v>
      </c>
      <c r="G1662">
        <v>1</v>
      </c>
    </row>
    <row r="1663" spans="1:7" x14ac:dyDescent="0.25">
      <c r="A1663">
        <v>13</v>
      </c>
      <c r="B1663" t="s">
        <v>1181</v>
      </c>
      <c r="C1663">
        <v>16660</v>
      </c>
      <c r="D1663" t="str">
        <f>"0083-999X"</f>
        <v>0083-999X</v>
      </c>
      <c r="E1663" t="s">
        <v>15</v>
      </c>
      <c r="F1663" t="s">
        <v>1672</v>
      </c>
      <c r="G1663">
        <v>1</v>
      </c>
    </row>
    <row r="1664" spans="1:7" x14ac:dyDescent="0.25">
      <c r="A1664">
        <v>13</v>
      </c>
      <c r="B1664" t="s">
        <v>1181</v>
      </c>
      <c r="C1664">
        <v>6330225</v>
      </c>
      <c r="D1664" t="str">
        <f>"1868-7431"</f>
        <v>1868-7431</v>
      </c>
      <c r="E1664" t="s">
        <v>8</v>
      </c>
      <c r="F1664" t="s">
        <v>1673</v>
      </c>
      <c r="G1664">
        <v>1</v>
      </c>
    </row>
    <row r="1665" spans="1:7" x14ac:dyDescent="0.25">
      <c r="A1665">
        <v>13</v>
      </c>
      <c r="B1665" t="s">
        <v>1181</v>
      </c>
      <c r="C1665">
        <v>147554</v>
      </c>
      <c r="D1665" t="str">
        <f>"1863-8937"</f>
        <v>1863-8937</v>
      </c>
      <c r="E1665" t="s">
        <v>8</v>
      </c>
      <c r="F1665" t="s">
        <v>1674</v>
      </c>
      <c r="G1665">
        <v>1</v>
      </c>
    </row>
    <row r="1666" spans="1:7" x14ac:dyDescent="0.25">
      <c r="A1666">
        <v>13</v>
      </c>
      <c r="B1666" t="s">
        <v>1181</v>
      </c>
      <c r="C1666">
        <v>15427</v>
      </c>
      <c r="D1666" t="str">
        <f>"0044-3301"</f>
        <v>0044-3301</v>
      </c>
      <c r="E1666" t="s">
        <v>8</v>
      </c>
      <c r="F1666" t="s">
        <v>1675</v>
      </c>
      <c r="G1666">
        <v>1</v>
      </c>
    </row>
    <row r="1667" spans="1:7" x14ac:dyDescent="0.25">
      <c r="A1667">
        <v>14</v>
      </c>
      <c r="B1667" t="s">
        <v>1676</v>
      </c>
      <c r="C1667">
        <v>2895</v>
      </c>
      <c r="D1667" t="str">
        <f>"0002-1490"</f>
        <v>0002-1490</v>
      </c>
      <c r="E1667" t="s">
        <v>8</v>
      </c>
      <c r="F1667" t="s">
        <v>1677</v>
      </c>
      <c r="G1667">
        <v>2</v>
      </c>
    </row>
    <row r="1668" spans="1:7" x14ac:dyDescent="0.25">
      <c r="A1668">
        <v>14</v>
      </c>
      <c r="B1668" t="s">
        <v>1676</v>
      </c>
      <c r="C1668">
        <v>15329</v>
      </c>
      <c r="D1668" t="str">
        <f>"0395-2649"</f>
        <v>0395-2649</v>
      </c>
      <c r="E1668" t="s">
        <v>8</v>
      </c>
      <c r="F1668" t="s">
        <v>1678</v>
      </c>
      <c r="G1668">
        <v>2</v>
      </c>
    </row>
    <row r="1669" spans="1:7" x14ac:dyDescent="0.25">
      <c r="A1669">
        <v>14</v>
      </c>
      <c r="B1669" t="s">
        <v>1676</v>
      </c>
      <c r="C1669">
        <v>11552</v>
      </c>
      <c r="D1669" t="str">
        <f>"0066-6505"</f>
        <v>0066-6505</v>
      </c>
      <c r="E1669" t="s">
        <v>8</v>
      </c>
      <c r="F1669" t="s">
        <v>1679</v>
      </c>
      <c r="G1669">
        <v>2</v>
      </c>
    </row>
    <row r="1670" spans="1:7" x14ac:dyDescent="0.25">
      <c r="A1670">
        <v>14</v>
      </c>
      <c r="B1670" t="s">
        <v>1676</v>
      </c>
      <c r="C1670">
        <v>2650</v>
      </c>
      <c r="D1670" t="str">
        <f>"2325-7962"</f>
        <v>2325-7962</v>
      </c>
      <c r="E1670" t="s">
        <v>8</v>
      </c>
      <c r="F1670" t="s">
        <v>1680</v>
      </c>
      <c r="G1670">
        <v>2</v>
      </c>
    </row>
    <row r="1671" spans="1:7" x14ac:dyDescent="0.25">
      <c r="A1671">
        <v>14</v>
      </c>
      <c r="B1671" t="s">
        <v>1676</v>
      </c>
      <c r="C1671">
        <v>5769</v>
      </c>
      <c r="D1671" t="str">
        <f>"0007-5140"</f>
        <v>0007-5140</v>
      </c>
      <c r="E1671" t="s">
        <v>8</v>
      </c>
      <c r="F1671" t="s">
        <v>1681</v>
      </c>
      <c r="G1671">
        <v>2</v>
      </c>
    </row>
    <row r="1672" spans="1:7" x14ac:dyDescent="0.25">
      <c r="A1672">
        <v>14</v>
      </c>
      <c r="B1672" t="s">
        <v>1676</v>
      </c>
      <c r="C1672">
        <v>4296</v>
      </c>
      <c r="D1672" t="str">
        <f>"0007-6791"</f>
        <v>0007-6791</v>
      </c>
      <c r="E1672" t="s">
        <v>8</v>
      </c>
      <c r="F1672" t="s">
        <v>1682</v>
      </c>
      <c r="G1672">
        <v>2</v>
      </c>
    </row>
    <row r="1673" spans="1:7" x14ac:dyDescent="0.25">
      <c r="A1673">
        <v>14</v>
      </c>
      <c r="B1673" t="s">
        <v>1676</v>
      </c>
      <c r="C1673">
        <v>7602</v>
      </c>
      <c r="D1673" t="str">
        <f>"0007-6805"</f>
        <v>0007-6805</v>
      </c>
      <c r="E1673" t="s">
        <v>8</v>
      </c>
      <c r="F1673" t="s">
        <v>1683</v>
      </c>
      <c r="G1673">
        <v>2</v>
      </c>
    </row>
    <row r="1674" spans="1:7" x14ac:dyDescent="0.25">
      <c r="A1674">
        <v>14</v>
      </c>
      <c r="B1674" t="s">
        <v>1676</v>
      </c>
      <c r="C1674">
        <v>9926</v>
      </c>
      <c r="D1674" t="str">
        <f>"0008-9389"</f>
        <v>0008-9389</v>
      </c>
      <c r="E1674" t="s">
        <v>8</v>
      </c>
      <c r="F1674" t="s">
        <v>1684</v>
      </c>
      <c r="G1674">
        <v>2</v>
      </c>
    </row>
    <row r="1675" spans="1:7" x14ac:dyDescent="0.25">
      <c r="A1675">
        <v>14</v>
      </c>
      <c r="B1675" t="s">
        <v>1676</v>
      </c>
      <c r="C1675">
        <v>1139</v>
      </c>
      <c r="D1675" t="str">
        <f>"0106-5815"</f>
        <v>0106-5815</v>
      </c>
      <c r="E1675" t="s">
        <v>8</v>
      </c>
      <c r="F1675" t="s">
        <v>1685</v>
      </c>
      <c r="G1675">
        <v>2</v>
      </c>
    </row>
    <row r="1676" spans="1:7" x14ac:dyDescent="0.25">
      <c r="A1676">
        <v>14</v>
      </c>
      <c r="B1676" t="s">
        <v>1676</v>
      </c>
      <c r="C1676">
        <v>4761</v>
      </c>
      <c r="D1676" t="str">
        <f>"1468-2745"</f>
        <v>1468-2745</v>
      </c>
      <c r="E1676" t="s">
        <v>8</v>
      </c>
      <c r="F1676" t="s">
        <v>1686</v>
      </c>
      <c r="G1676">
        <v>2</v>
      </c>
    </row>
    <row r="1677" spans="1:7" x14ac:dyDescent="0.25">
      <c r="A1677">
        <v>14</v>
      </c>
      <c r="B1677" t="s">
        <v>1676</v>
      </c>
      <c r="C1677">
        <v>15273</v>
      </c>
      <c r="D1677" t="str">
        <f>"0010-4175"</f>
        <v>0010-4175</v>
      </c>
      <c r="E1677" t="s">
        <v>8</v>
      </c>
      <c r="F1677" t="s">
        <v>1687</v>
      </c>
      <c r="G1677">
        <v>2</v>
      </c>
    </row>
    <row r="1678" spans="1:7" x14ac:dyDescent="0.25">
      <c r="A1678">
        <v>14</v>
      </c>
      <c r="B1678" t="s">
        <v>1676</v>
      </c>
      <c r="C1678">
        <v>2735</v>
      </c>
      <c r="D1678" t="str">
        <f>"0960-7773"</f>
        <v>0960-7773</v>
      </c>
      <c r="E1678" t="s">
        <v>8</v>
      </c>
      <c r="F1678" t="s">
        <v>1688</v>
      </c>
      <c r="G1678">
        <v>2</v>
      </c>
    </row>
    <row r="1679" spans="1:7" x14ac:dyDescent="0.25">
      <c r="A1679">
        <v>14</v>
      </c>
      <c r="B1679" t="s">
        <v>1676</v>
      </c>
      <c r="C1679">
        <v>3357</v>
      </c>
      <c r="D1679" t="str">
        <f>"0012-1223"</f>
        <v>0012-1223</v>
      </c>
      <c r="E1679" t="s">
        <v>8</v>
      </c>
      <c r="F1679" t="s">
        <v>1689</v>
      </c>
      <c r="G1679">
        <v>2</v>
      </c>
    </row>
    <row r="1680" spans="1:7" x14ac:dyDescent="0.25">
      <c r="A1680">
        <v>14</v>
      </c>
      <c r="B1680" t="s">
        <v>1676</v>
      </c>
      <c r="C1680">
        <v>745</v>
      </c>
      <c r="D1680" t="str">
        <f>"0145-2096"</f>
        <v>0145-2096</v>
      </c>
      <c r="E1680" t="s">
        <v>8</v>
      </c>
      <c r="F1680" t="s">
        <v>1690</v>
      </c>
      <c r="G1680">
        <v>2</v>
      </c>
    </row>
    <row r="1681" spans="1:7" x14ac:dyDescent="0.25">
      <c r="A1681">
        <v>14</v>
      </c>
      <c r="B1681" t="s">
        <v>1676</v>
      </c>
      <c r="C1681">
        <v>6505</v>
      </c>
      <c r="D1681" t="str">
        <f>"0963-9462"</f>
        <v>0963-9462</v>
      </c>
      <c r="E1681" t="s">
        <v>8</v>
      </c>
      <c r="F1681" t="s">
        <v>1691</v>
      </c>
      <c r="G1681">
        <v>2</v>
      </c>
    </row>
    <row r="1682" spans="1:7" x14ac:dyDescent="0.25">
      <c r="A1682">
        <v>14</v>
      </c>
      <c r="B1682" t="s">
        <v>1676</v>
      </c>
      <c r="C1682">
        <v>7677</v>
      </c>
      <c r="D1682" t="str">
        <f>"1467-2227"</f>
        <v>1467-2227</v>
      </c>
      <c r="E1682" t="s">
        <v>8</v>
      </c>
      <c r="F1682" t="s">
        <v>1692</v>
      </c>
      <c r="G1682">
        <v>2</v>
      </c>
    </row>
    <row r="1683" spans="1:7" x14ac:dyDescent="0.25">
      <c r="A1683">
        <v>14</v>
      </c>
      <c r="B1683" t="s">
        <v>1676</v>
      </c>
      <c r="C1683">
        <v>5857</v>
      </c>
      <c r="D1683" t="str">
        <f>"1084-5453"</f>
        <v>1084-5453</v>
      </c>
      <c r="E1683" t="s">
        <v>8</v>
      </c>
      <c r="F1683" t="s">
        <v>1693</v>
      </c>
      <c r="G1683">
        <v>2</v>
      </c>
    </row>
    <row r="1684" spans="1:7" x14ac:dyDescent="0.25">
      <c r="A1684">
        <v>14</v>
      </c>
      <c r="B1684" t="s">
        <v>1676</v>
      </c>
      <c r="C1684">
        <v>6100</v>
      </c>
      <c r="D1684" t="str">
        <f>"1780-3187"</f>
        <v>1780-3187</v>
      </c>
      <c r="E1684" t="s">
        <v>8</v>
      </c>
      <c r="F1684" t="s">
        <v>1694</v>
      </c>
      <c r="G1684">
        <v>2</v>
      </c>
    </row>
    <row r="1685" spans="1:7" x14ac:dyDescent="0.25">
      <c r="A1685">
        <v>14</v>
      </c>
      <c r="B1685" t="s">
        <v>1676</v>
      </c>
      <c r="C1685">
        <v>10434</v>
      </c>
      <c r="E1685" t="s">
        <v>8</v>
      </c>
      <c r="F1685" t="s">
        <v>1695</v>
      </c>
      <c r="G1685">
        <v>2</v>
      </c>
    </row>
    <row r="1686" spans="1:7" x14ac:dyDescent="0.25">
      <c r="A1686">
        <v>14</v>
      </c>
      <c r="B1686" t="s">
        <v>1676</v>
      </c>
      <c r="C1686">
        <v>16677</v>
      </c>
      <c r="D1686" t="str">
        <f>"0340-613X"</f>
        <v>0340-613X</v>
      </c>
      <c r="E1686" t="s">
        <v>8</v>
      </c>
      <c r="F1686" t="s">
        <v>1696</v>
      </c>
      <c r="G1686">
        <v>2</v>
      </c>
    </row>
    <row r="1687" spans="1:7" x14ac:dyDescent="0.25">
      <c r="A1687">
        <v>14</v>
      </c>
      <c r="B1687" t="s">
        <v>1676</v>
      </c>
      <c r="C1687">
        <v>11307</v>
      </c>
      <c r="D1687" t="str">
        <f>"0018-2311"</f>
        <v>0018-2311</v>
      </c>
      <c r="E1687" t="s">
        <v>8</v>
      </c>
      <c r="F1687" t="s">
        <v>1697</v>
      </c>
      <c r="G1687">
        <v>2</v>
      </c>
    </row>
    <row r="1688" spans="1:7" x14ac:dyDescent="0.25">
      <c r="A1688">
        <v>14</v>
      </c>
      <c r="B1688" t="s">
        <v>1676</v>
      </c>
      <c r="C1688">
        <v>15088</v>
      </c>
      <c r="D1688" t="str">
        <f>"0161-5440"</f>
        <v>0161-5440</v>
      </c>
      <c r="E1688" t="s">
        <v>8</v>
      </c>
      <c r="F1688" t="s">
        <v>1698</v>
      </c>
      <c r="G1688">
        <v>2</v>
      </c>
    </row>
    <row r="1689" spans="1:7" x14ac:dyDescent="0.25">
      <c r="A1689">
        <v>14</v>
      </c>
      <c r="B1689" t="s">
        <v>1676</v>
      </c>
      <c r="C1689">
        <v>5584</v>
      </c>
      <c r="D1689" t="str">
        <f>"0018-2613"</f>
        <v>0018-2613</v>
      </c>
      <c r="E1689" t="s">
        <v>8</v>
      </c>
      <c r="F1689" t="s">
        <v>1699</v>
      </c>
      <c r="G1689">
        <v>2</v>
      </c>
    </row>
    <row r="1690" spans="1:7" x14ac:dyDescent="0.25">
      <c r="A1690">
        <v>14</v>
      </c>
      <c r="B1690" t="s">
        <v>1676</v>
      </c>
      <c r="C1690">
        <v>2841</v>
      </c>
      <c r="D1690" t="str">
        <f>"0345-469X"</f>
        <v>0345-469X</v>
      </c>
      <c r="E1690" t="s">
        <v>8</v>
      </c>
      <c r="F1690" t="s">
        <v>1700</v>
      </c>
      <c r="G1690">
        <v>2</v>
      </c>
    </row>
    <row r="1691" spans="1:7" x14ac:dyDescent="0.25">
      <c r="A1691">
        <v>14</v>
      </c>
      <c r="B1691" t="s">
        <v>1676</v>
      </c>
      <c r="C1691">
        <v>4415</v>
      </c>
      <c r="D1691" t="str">
        <f>"0106-4991"</f>
        <v>0106-4991</v>
      </c>
      <c r="E1691" t="s">
        <v>8</v>
      </c>
      <c r="F1691" t="s">
        <v>1701</v>
      </c>
      <c r="G1691">
        <v>2</v>
      </c>
    </row>
    <row r="1692" spans="1:7" x14ac:dyDescent="0.25">
      <c r="A1692">
        <v>14</v>
      </c>
      <c r="B1692" t="s">
        <v>1676</v>
      </c>
      <c r="C1692">
        <v>9</v>
      </c>
      <c r="D1692" t="str">
        <f>"0018-263X"</f>
        <v>0018-263X</v>
      </c>
      <c r="E1692" t="s">
        <v>8</v>
      </c>
      <c r="F1692" t="s">
        <v>1701</v>
      </c>
      <c r="G1692">
        <v>2</v>
      </c>
    </row>
    <row r="1693" spans="1:7" x14ac:dyDescent="0.25">
      <c r="A1693">
        <v>14</v>
      </c>
      <c r="B1693" t="s">
        <v>1676</v>
      </c>
      <c r="C1693">
        <v>2203</v>
      </c>
      <c r="D1693" t="str">
        <f>"0018-2648"</f>
        <v>0018-2648</v>
      </c>
      <c r="E1693" t="s">
        <v>8</v>
      </c>
      <c r="F1693" t="s">
        <v>1702</v>
      </c>
      <c r="G1693">
        <v>2</v>
      </c>
    </row>
    <row r="1694" spans="1:7" x14ac:dyDescent="0.25">
      <c r="A1694">
        <v>14</v>
      </c>
      <c r="B1694" t="s">
        <v>1676</v>
      </c>
      <c r="C1694">
        <v>7400</v>
      </c>
      <c r="D1694" t="str">
        <f>"0935-560X"</f>
        <v>0935-560X</v>
      </c>
      <c r="E1694" t="s">
        <v>8</v>
      </c>
      <c r="F1694" t="s">
        <v>1703</v>
      </c>
      <c r="G1694">
        <v>2</v>
      </c>
    </row>
    <row r="1695" spans="1:7" x14ac:dyDescent="0.25">
      <c r="A1695">
        <v>14</v>
      </c>
      <c r="B1695" t="s">
        <v>1676</v>
      </c>
      <c r="C1695">
        <v>10019</v>
      </c>
      <c r="D1695" t="str">
        <f>"0018-2656"</f>
        <v>0018-2656</v>
      </c>
      <c r="E1695" t="s">
        <v>8</v>
      </c>
      <c r="F1695" t="s">
        <v>1704</v>
      </c>
      <c r="G1695">
        <v>2</v>
      </c>
    </row>
    <row r="1696" spans="1:7" x14ac:dyDescent="0.25">
      <c r="A1696">
        <v>14</v>
      </c>
      <c r="B1696" t="s">
        <v>1676</v>
      </c>
      <c r="C1696">
        <v>1280</v>
      </c>
      <c r="D1696" t="str">
        <f>"0018-2702"</f>
        <v>0018-2702</v>
      </c>
      <c r="E1696" t="s">
        <v>8</v>
      </c>
      <c r="F1696" t="s">
        <v>1705</v>
      </c>
      <c r="G1696">
        <v>2</v>
      </c>
    </row>
    <row r="1697" spans="1:7" x14ac:dyDescent="0.25">
      <c r="A1697">
        <v>14</v>
      </c>
      <c r="B1697" t="s">
        <v>1676</v>
      </c>
      <c r="C1697">
        <v>1648</v>
      </c>
      <c r="D1697" t="str">
        <f>"0307-5451"</f>
        <v>0307-5451</v>
      </c>
      <c r="E1697" t="s">
        <v>8</v>
      </c>
      <c r="F1697" t="s">
        <v>1706</v>
      </c>
      <c r="G1697">
        <v>2</v>
      </c>
    </row>
    <row r="1698" spans="1:7" x14ac:dyDescent="0.25">
      <c r="A1698">
        <v>14</v>
      </c>
      <c r="B1698" t="s">
        <v>1676</v>
      </c>
      <c r="C1698">
        <v>14028</v>
      </c>
      <c r="D1698" t="str">
        <f>"1385-7827"</f>
        <v>1385-7827</v>
      </c>
      <c r="E1698" t="s">
        <v>15</v>
      </c>
      <c r="F1698" t="s">
        <v>1707</v>
      </c>
      <c r="G1698">
        <v>2</v>
      </c>
    </row>
    <row r="1699" spans="1:7" x14ac:dyDescent="0.25">
      <c r="A1699">
        <v>14</v>
      </c>
      <c r="B1699" t="s">
        <v>1676</v>
      </c>
      <c r="C1699">
        <v>11911</v>
      </c>
      <c r="D1699" t="str">
        <f>"1363-3554"</f>
        <v>1363-3554</v>
      </c>
      <c r="E1699" t="s">
        <v>8</v>
      </c>
      <c r="F1699" t="s">
        <v>1708</v>
      </c>
      <c r="G1699">
        <v>2</v>
      </c>
    </row>
    <row r="1700" spans="1:7" x14ac:dyDescent="0.25">
      <c r="A1700">
        <v>14</v>
      </c>
      <c r="B1700" t="s">
        <v>1676</v>
      </c>
      <c r="C1700">
        <v>9751</v>
      </c>
      <c r="D1700" t="str">
        <f>"0361-7882"</f>
        <v>0361-7882</v>
      </c>
      <c r="E1700" t="s">
        <v>8</v>
      </c>
      <c r="F1700" t="s">
        <v>1709</v>
      </c>
      <c r="G1700">
        <v>2</v>
      </c>
    </row>
    <row r="1701" spans="1:7" x14ac:dyDescent="0.25">
      <c r="A1701">
        <v>14</v>
      </c>
      <c r="B1701" t="s">
        <v>1676</v>
      </c>
      <c r="C1701">
        <v>910</v>
      </c>
      <c r="D1701" t="str">
        <f>"0843-8714"</f>
        <v>0843-8714</v>
      </c>
      <c r="E1701" t="s">
        <v>8</v>
      </c>
      <c r="F1701" t="s">
        <v>1710</v>
      </c>
      <c r="G1701">
        <v>2</v>
      </c>
    </row>
    <row r="1702" spans="1:7" x14ac:dyDescent="0.25">
      <c r="A1702">
        <v>14</v>
      </c>
      <c r="B1702" t="s">
        <v>1676</v>
      </c>
      <c r="C1702">
        <v>12416</v>
      </c>
      <c r="D1702" t="str">
        <f>"0020-8590"</f>
        <v>0020-8590</v>
      </c>
      <c r="E1702" t="s">
        <v>8</v>
      </c>
      <c r="F1702" t="s">
        <v>1711</v>
      </c>
      <c r="G1702">
        <v>2</v>
      </c>
    </row>
    <row r="1703" spans="1:7" x14ac:dyDescent="0.25">
      <c r="A1703">
        <v>14</v>
      </c>
      <c r="B1703" t="s">
        <v>1676</v>
      </c>
      <c r="C1703">
        <v>12223</v>
      </c>
      <c r="D1703" t="str">
        <f>"0929-2403"</f>
        <v>0929-2403</v>
      </c>
      <c r="E1703" t="s">
        <v>15</v>
      </c>
      <c r="F1703" t="s">
        <v>1712</v>
      </c>
      <c r="G1703">
        <v>2</v>
      </c>
    </row>
    <row r="1704" spans="1:7" x14ac:dyDescent="0.25">
      <c r="A1704">
        <v>14</v>
      </c>
      <c r="B1704" t="s">
        <v>1676</v>
      </c>
      <c r="C1704">
        <v>7274</v>
      </c>
      <c r="D1704" t="str">
        <f>"0021-4019"</f>
        <v>0021-4019</v>
      </c>
      <c r="E1704" t="s">
        <v>8</v>
      </c>
      <c r="F1704" t="s">
        <v>1713</v>
      </c>
      <c r="G1704">
        <v>2</v>
      </c>
    </row>
    <row r="1705" spans="1:7" x14ac:dyDescent="0.25">
      <c r="A1705">
        <v>14</v>
      </c>
      <c r="B1705" t="s">
        <v>1676</v>
      </c>
      <c r="C1705">
        <v>15918</v>
      </c>
      <c r="D1705" t="str">
        <f>"0021-910X"</f>
        <v>0021-910X</v>
      </c>
      <c r="E1705" t="s">
        <v>8</v>
      </c>
      <c r="F1705" t="s">
        <v>1714</v>
      </c>
      <c r="G1705">
        <v>2</v>
      </c>
    </row>
    <row r="1706" spans="1:7" x14ac:dyDescent="0.25">
      <c r="A1706">
        <v>14</v>
      </c>
      <c r="B1706" t="s">
        <v>1676</v>
      </c>
      <c r="C1706">
        <v>8679</v>
      </c>
      <c r="D1706" t="str">
        <f>"1520-3972"</f>
        <v>1520-3972</v>
      </c>
      <c r="E1706" t="s">
        <v>8</v>
      </c>
      <c r="F1706" t="s">
        <v>1715</v>
      </c>
      <c r="G1706">
        <v>2</v>
      </c>
    </row>
    <row r="1707" spans="1:7" x14ac:dyDescent="0.25">
      <c r="A1707">
        <v>14</v>
      </c>
      <c r="B1707" t="s">
        <v>1676</v>
      </c>
      <c r="C1707">
        <v>9289</v>
      </c>
      <c r="D1707" t="str">
        <f>"0022-0094"</f>
        <v>0022-0094</v>
      </c>
      <c r="E1707" t="s">
        <v>8</v>
      </c>
      <c r="F1707" t="s">
        <v>1716</v>
      </c>
      <c r="G1707">
        <v>2</v>
      </c>
    </row>
    <row r="1708" spans="1:7" x14ac:dyDescent="0.25">
      <c r="A1708">
        <v>14</v>
      </c>
      <c r="B1708" t="s">
        <v>1676</v>
      </c>
      <c r="C1708">
        <v>14834</v>
      </c>
      <c r="D1708" t="str">
        <f>"1385-3783"</f>
        <v>1385-3783</v>
      </c>
      <c r="E1708" t="s">
        <v>8</v>
      </c>
      <c r="F1708" t="s">
        <v>1717</v>
      </c>
      <c r="G1708">
        <v>2</v>
      </c>
    </row>
    <row r="1709" spans="1:7" x14ac:dyDescent="0.25">
      <c r="A1709">
        <v>14</v>
      </c>
      <c r="B1709" t="s">
        <v>1676</v>
      </c>
      <c r="C1709">
        <v>10557</v>
      </c>
      <c r="D1709" t="str">
        <f>"0947-9511"</f>
        <v>0947-9511</v>
      </c>
      <c r="E1709" t="s">
        <v>8</v>
      </c>
      <c r="F1709" t="s">
        <v>1718</v>
      </c>
      <c r="G1709">
        <v>2</v>
      </c>
    </row>
    <row r="1710" spans="1:7" x14ac:dyDescent="0.25">
      <c r="A1710">
        <v>14</v>
      </c>
      <c r="B1710" t="s">
        <v>1676</v>
      </c>
      <c r="C1710">
        <v>8688</v>
      </c>
      <c r="D1710" t="str">
        <f>"0363-1990"</f>
        <v>0363-1990</v>
      </c>
      <c r="E1710" t="s">
        <v>8</v>
      </c>
      <c r="F1710" t="s">
        <v>1719</v>
      </c>
      <c r="G1710">
        <v>2</v>
      </c>
    </row>
    <row r="1711" spans="1:7" x14ac:dyDescent="0.25">
      <c r="A1711">
        <v>14</v>
      </c>
      <c r="B1711" t="s">
        <v>1676</v>
      </c>
      <c r="C1711">
        <v>7642</v>
      </c>
      <c r="D1711" t="str">
        <f>"1082-9636"</f>
        <v>1082-9636</v>
      </c>
      <c r="E1711" t="s">
        <v>8</v>
      </c>
      <c r="F1711" t="s">
        <v>1720</v>
      </c>
      <c r="G1711">
        <v>2</v>
      </c>
    </row>
    <row r="1712" spans="1:7" x14ac:dyDescent="0.25">
      <c r="A1712">
        <v>14</v>
      </c>
      <c r="B1712" t="s">
        <v>1676</v>
      </c>
      <c r="C1712">
        <v>11710</v>
      </c>
      <c r="D1712" t="str">
        <f>"0304-4181"</f>
        <v>0304-4181</v>
      </c>
      <c r="E1712" t="s">
        <v>8</v>
      </c>
      <c r="F1712" t="s">
        <v>1721</v>
      </c>
      <c r="G1712">
        <v>2</v>
      </c>
    </row>
    <row r="1713" spans="1:7" x14ac:dyDescent="0.25">
      <c r="A1713">
        <v>14</v>
      </c>
      <c r="B1713" t="s">
        <v>1676</v>
      </c>
      <c r="C1713">
        <v>7764</v>
      </c>
      <c r="D1713" t="str">
        <f>"0898-0306"</f>
        <v>0898-0306</v>
      </c>
      <c r="E1713" t="s">
        <v>8</v>
      </c>
      <c r="F1713" t="s">
        <v>1722</v>
      </c>
      <c r="G1713">
        <v>2</v>
      </c>
    </row>
    <row r="1714" spans="1:7" x14ac:dyDescent="0.25">
      <c r="A1714">
        <v>14</v>
      </c>
      <c r="B1714" t="s">
        <v>1676</v>
      </c>
      <c r="C1714">
        <v>7704</v>
      </c>
      <c r="D1714" t="str">
        <f>"0022-4529"</f>
        <v>0022-4529</v>
      </c>
      <c r="E1714" t="s">
        <v>8</v>
      </c>
      <c r="F1714" t="s">
        <v>1723</v>
      </c>
      <c r="G1714">
        <v>2</v>
      </c>
    </row>
    <row r="1715" spans="1:7" x14ac:dyDescent="0.25">
      <c r="A1715">
        <v>14</v>
      </c>
      <c r="B1715" t="s">
        <v>1676</v>
      </c>
      <c r="C1715">
        <v>15973</v>
      </c>
      <c r="D1715" t="str">
        <f>"1042-7961"</f>
        <v>1042-7961</v>
      </c>
      <c r="E1715" t="s">
        <v>8</v>
      </c>
      <c r="F1715" t="s">
        <v>1724</v>
      </c>
      <c r="G1715">
        <v>2</v>
      </c>
    </row>
    <row r="1716" spans="1:7" x14ac:dyDescent="0.25">
      <c r="A1716">
        <v>14</v>
      </c>
      <c r="B1716" t="s">
        <v>1676</v>
      </c>
      <c r="C1716">
        <v>4940</v>
      </c>
      <c r="D1716" t="str">
        <f>"1045-6007"</f>
        <v>1045-6007</v>
      </c>
      <c r="E1716" t="s">
        <v>8</v>
      </c>
      <c r="F1716" t="s">
        <v>1725</v>
      </c>
      <c r="G1716">
        <v>2</v>
      </c>
    </row>
    <row r="1717" spans="1:7" x14ac:dyDescent="0.25">
      <c r="A1717">
        <v>14</v>
      </c>
      <c r="B1717" t="s">
        <v>1676</v>
      </c>
      <c r="C1717">
        <v>15546</v>
      </c>
      <c r="D1717" t="str">
        <f>"0023-656X"</f>
        <v>0023-656X</v>
      </c>
      <c r="E1717" t="s">
        <v>8</v>
      </c>
      <c r="F1717" t="s">
        <v>1726</v>
      </c>
      <c r="G1717">
        <v>2</v>
      </c>
    </row>
    <row r="1718" spans="1:7" x14ac:dyDescent="0.25">
      <c r="A1718">
        <v>14</v>
      </c>
      <c r="B1718" t="s">
        <v>1676</v>
      </c>
      <c r="C1718">
        <v>12142</v>
      </c>
      <c r="D1718" t="str">
        <f>"0951-8967"</f>
        <v>0951-8967</v>
      </c>
      <c r="E1718" t="s">
        <v>8</v>
      </c>
      <c r="F1718" t="s">
        <v>1727</v>
      </c>
      <c r="G1718">
        <v>2</v>
      </c>
    </row>
    <row r="1719" spans="1:7" x14ac:dyDescent="0.25">
      <c r="A1719">
        <v>14</v>
      </c>
      <c r="B1719" t="s">
        <v>1676</v>
      </c>
      <c r="C1719">
        <v>6746</v>
      </c>
      <c r="D1719" t="str">
        <f>"0031-2746"</f>
        <v>0031-2746</v>
      </c>
      <c r="E1719" t="s">
        <v>8</v>
      </c>
      <c r="F1719" t="s">
        <v>1728</v>
      </c>
      <c r="G1719">
        <v>2</v>
      </c>
    </row>
    <row r="1720" spans="1:7" x14ac:dyDescent="0.25">
      <c r="A1720">
        <v>14</v>
      </c>
      <c r="B1720" t="s">
        <v>1676</v>
      </c>
      <c r="C1720">
        <v>16761</v>
      </c>
      <c r="D1720" t="str">
        <f>"1364-2529"</f>
        <v>1364-2529</v>
      </c>
      <c r="E1720" t="s">
        <v>8</v>
      </c>
      <c r="F1720" t="s">
        <v>1729</v>
      </c>
      <c r="G1720">
        <v>2</v>
      </c>
    </row>
    <row r="1721" spans="1:7" x14ac:dyDescent="0.25">
      <c r="A1721">
        <v>14</v>
      </c>
      <c r="B1721" t="s">
        <v>1676</v>
      </c>
      <c r="C1721">
        <v>8790</v>
      </c>
      <c r="D1721" t="str">
        <f>"0358-5522"</f>
        <v>0358-5522</v>
      </c>
      <c r="E1721" t="s">
        <v>8</v>
      </c>
      <c r="F1721" t="s">
        <v>1730</v>
      </c>
      <c r="G1721">
        <v>2</v>
      </c>
    </row>
    <row r="1722" spans="1:7" x14ac:dyDescent="0.25">
      <c r="A1722">
        <v>14</v>
      </c>
      <c r="B1722" t="s">
        <v>1676</v>
      </c>
      <c r="C1722">
        <v>14127</v>
      </c>
      <c r="D1722" t="str">
        <f>"0346-8755"</f>
        <v>0346-8755</v>
      </c>
      <c r="E1722" t="s">
        <v>8</v>
      </c>
      <c r="F1722" t="s">
        <v>1731</v>
      </c>
      <c r="G1722">
        <v>2</v>
      </c>
    </row>
    <row r="1723" spans="1:7" x14ac:dyDescent="0.25">
      <c r="A1723">
        <v>14</v>
      </c>
      <c r="B1723" t="s">
        <v>1676</v>
      </c>
      <c r="C1723">
        <v>11679</v>
      </c>
      <c r="D1723" t="str">
        <f>"0307-1022"</f>
        <v>0307-1022</v>
      </c>
      <c r="E1723" t="s">
        <v>8</v>
      </c>
      <c r="F1723" t="s">
        <v>1732</v>
      </c>
      <c r="G1723">
        <v>2</v>
      </c>
    </row>
    <row r="1724" spans="1:7" x14ac:dyDescent="0.25">
      <c r="A1724">
        <v>14</v>
      </c>
      <c r="B1724" t="s">
        <v>1676</v>
      </c>
      <c r="C1724">
        <v>9941</v>
      </c>
      <c r="D1724" t="str">
        <f>"0951-631X"</f>
        <v>0951-631X</v>
      </c>
      <c r="E1724" t="s">
        <v>8</v>
      </c>
      <c r="F1724" t="s">
        <v>1733</v>
      </c>
      <c r="G1724">
        <v>2</v>
      </c>
    </row>
    <row r="1725" spans="1:7" x14ac:dyDescent="0.25">
      <c r="A1725">
        <v>14</v>
      </c>
      <c r="B1725" t="s">
        <v>1676</v>
      </c>
      <c r="C1725">
        <v>3713</v>
      </c>
      <c r="D1725" t="str">
        <f>"0040-165X"</f>
        <v>0040-165X</v>
      </c>
      <c r="E1725" t="s">
        <v>8</v>
      </c>
      <c r="F1725" t="s">
        <v>1734</v>
      </c>
      <c r="G1725">
        <v>2</v>
      </c>
    </row>
    <row r="1726" spans="1:7" x14ac:dyDescent="0.25">
      <c r="A1726">
        <v>14</v>
      </c>
      <c r="B1726" t="s">
        <v>1676</v>
      </c>
      <c r="C1726">
        <v>160043</v>
      </c>
      <c r="D1726" t="str">
        <f>"1904-5565"</f>
        <v>1904-5565</v>
      </c>
      <c r="E1726" t="s">
        <v>8</v>
      </c>
      <c r="F1726" t="s">
        <v>1735</v>
      </c>
      <c r="G1726">
        <v>2</v>
      </c>
    </row>
    <row r="1727" spans="1:7" x14ac:dyDescent="0.25">
      <c r="A1727">
        <v>14</v>
      </c>
      <c r="B1727" t="s">
        <v>1676</v>
      </c>
      <c r="C1727">
        <v>777</v>
      </c>
      <c r="D1727" t="str">
        <f>"0002-8762"</f>
        <v>0002-8762</v>
      </c>
      <c r="E1727" t="s">
        <v>8</v>
      </c>
      <c r="F1727" t="s">
        <v>1736</v>
      </c>
      <c r="G1727">
        <v>2</v>
      </c>
    </row>
    <row r="1728" spans="1:7" x14ac:dyDescent="0.25">
      <c r="A1728">
        <v>14</v>
      </c>
      <c r="B1728" t="s">
        <v>1676</v>
      </c>
      <c r="C1728">
        <v>10393</v>
      </c>
      <c r="D1728" t="str">
        <f>"0013-0117"</f>
        <v>0013-0117</v>
      </c>
      <c r="E1728" t="s">
        <v>8</v>
      </c>
      <c r="F1728" t="s">
        <v>1737</v>
      </c>
      <c r="G1728">
        <v>2</v>
      </c>
    </row>
    <row r="1729" spans="1:7" x14ac:dyDescent="0.25">
      <c r="A1729">
        <v>14</v>
      </c>
      <c r="B1729" t="s">
        <v>1676</v>
      </c>
      <c r="C1729">
        <v>16061</v>
      </c>
      <c r="D1729" t="str">
        <f>"0013-8266"</f>
        <v>0013-8266</v>
      </c>
      <c r="E1729" t="s">
        <v>8</v>
      </c>
      <c r="F1729" t="s">
        <v>1738</v>
      </c>
      <c r="G1729">
        <v>2</v>
      </c>
    </row>
    <row r="1730" spans="1:7" x14ac:dyDescent="0.25">
      <c r="A1730">
        <v>14</v>
      </c>
      <c r="B1730" t="s">
        <v>1676</v>
      </c>
      <c r="C1730">
        <v>2808</v>
      </c>
      <c r="D1730" t="str">
        <f>"0707-5332"</f>
        <v>0707-5332</v>
      </c>
      <c r="E1730" t="s">
        <v>8</v>
      </c>
      <c r="F1730" t="s">
        <v>1739</v>
      </c>
      <c r="G1730">
        <v>2</v>
      </c>
    </row>
    <row r="1731" spans="1:7" x14ac:dyDescent="0.25">
      <c r="A1731">
        <v>14</v>
      </c>
      <c r="B1731" t="s">
        <v>1676</v>
      </c>
      <c r="C1731">
        <v>4857</v>
      </c>
      <c r="D1731" t="str">
        <f>"0021-8537"</f>
        <v>0021-8537</v>
      </c>
      <c r="E1731" t="s">
        <v>8</v>
      </c>
      <c r="F1731" t="s">
        <v>1740</v>
      </c>
      <c r="G1731">
        <v>2</v>
      </c>
    </row>
    <row r="1732" spans="1:7" x14ac:dyDescent="0.25">
      <c r="A1732">
        <v>14</v>
      </c>
      <c r="B1732" t="s">
        <v>1676</v>
      </c>
      <c r="C1732">
        <v>15085</v>
      </c>
      <c r="D1732" t="str">
        <f>"0021-8723"</f>
        <v>0021-8723</v>
      </c>
      <c r="E1732" t="s">
        <v>8</v>
      </c>
      <c r="F1732" t="s">
        <v>1741</v>
      </c>
      <c r="G1732">
        <v>2</v>
      </c>
    </row>
    <row r="1733" spans="1:7" x14ac:dyDescent="0.25">
      <c r="A1733">
        <v>14</v>
      </c>
      <c r="B1733" t="s">
        <v>1676</v>
      </c>
      <c r="C1733">
        <v>14029</v>
      </c>
      <c r="D1733" t="str">
        <f>"0022-2801"</f>
        <v>0022-2801</v>
      </c>
      <c r="E1733" t="s">
        <v>8</v>
      </c>
      <c r="F1733" t="s">
        <v>1742</v>
      </c>
      <c r="G1733">
        <v>2</v>
      </c>
    </row>
    <row r="1734" spans="1:7" x14ac:dyDescent="0.25">
      <c r="A1734">
        <v>14</v>
      </c>
      <c r="B1734" t="s">
        <v>1676</v>
      </c>
      <c r="C1734">
        <v>2138</v>
      </c>
      <c r="D1734" t="str">
        <f>"0361-0160"</f>
        <v>0361-0160</v>
      </c>
      <c r="E1734" t="s">
        <v>8</v>
      </c>
      <c r="F1734" t="s">
        <v>1743</v>
      </c>
      <c r="G1734">
        <v>2</v>
      </c>
    </row>
    <row r="1735" spans="1:7" x14ac:dyDescent="0.25">
      <c r="A1735">
        <v>14</v>
      </c>
      <c r="B1735" t="s">
        <v>1676</v>
      </c>
      <c r="C1735">
        <v>8858</v>
      </c>
      <c r="D1735" t="str">
        <f>"0080-4401"</f>
        <v>0080-4401</v>
      </c>
      <c r="E1735" t="s">
        <v>8</v>
      </c>
      <c r="F1735" t="s">
        <v>1744</v>
      </c>
      <c r="G1735">
        <v>2</v>
      </c>
    </row>
    <row r="1736" spans="1:7" x14ac:dyDescent="0.25">
      <c r="A1736">
        <v>14</v>
      </c>
      <c r="B1736" t="s">
        <v>1676</v>
      </c>
      <c r="C1736">
        <v>7897</v>
      </c>
      <c r="D1736" t="str">
        <f>"0340-8728"</f>
        <v>0340-8728</v>
      </c>
      <c r="E1736" t="s">
        <v>8</v>
      </c>
      <c r="F1736" t="s">
        <v>1745</v>
      </c>
      <c r="G1736">
        <v>2</v>
      </c>
    </row>
    <row r="1737" spans="1:7" x14ac:dyDescent="0.25">
      <c r="A1737">
        <v>14</v>
      </c>
      <c r="B1737" t="s">
        <v>1676</v>
      </c>
      <c r="C1737">
        <v>14830</v>
      </c>
      <c r="D1737" t="str">
        <f>"0042-5702"</f>
        <v>0042-5702</v>
      </c>
      <c r="E1737" t="s">
        <v>8</v>
      </c>
      <c r="F1737" t="s">
        <v>1746</v>
      </c>
      <c r="G1737">
        <v>2</v>
      </c>
    </row>
    <row r="1738" spans="1:7" x14ac:dyDescent="0.25">
      <c r="A1738">
        <v>14</v>
      </c>
      <c r="B1738" t="s">
        <v>1676</v>
      </c>
      <c r="C1738">
        <v>8783598</v>
      </c>
      <c r="E1738" t="s">
        <v>15</v>
      </c>
      <c r="F1738" t="s">
        <v>1747</v>
      </c>
      <c r="G1738">
        <v>1</v>
      </c>
    </row>
    <row r="1739" spans="1:7" x14ac:dyDescent="0.25">
      <c r="A1739">
        <v>14</v>
      </c>
      <c r="B1739" t="s">
        <v>1676</v>
      </c>
      <c r="C1739">
        <v>5863</v>
      </c>
      <c r="D1739" t="str">
        <f>"1065-3112"</f>
        <v>1065-3112</v>
      </c>
      <c r="E1739" t="s">
        <v>8</v>
      </c>
      <c r="F1739" t="s">
        <v>1748</v>
      </c>
      <c r="G1739">
        <v>1</v>
      </c>
    </row>
    <row r="1740" spans="1:7" x14ac:dyDescent="0.25">
      <c r="A1740">
        <v>14</v>
      </c>
      <c r="B1740" t="s">
        <v>1676</v>
      </c>
      <c r="C1740">
        <v>6691</v>
      </c>
      <c r="D1740" t="str">
        <f>"0044-5851"</f>
        <v>0044-5851</v>
      </c>
      <c r="E1740" t="s">
        <v>8</v>
      </c>
      <c r="F1740" t="s">
        <v>1749</v>
      </c>
      <c r="G1740">
        <v>1</v>
      </c>
    </row>
    <row r="1741" spans="1:7" x14ac:dyDescent="0.25">
      <c r="A1741">
        <v>14</v>
      </c>
      <c r="B1741" t="s">
        <v>1676</v>
      </c>
      <c r="C1741">
        <v>701</v>
      </c>
      <c r="D1741" t="str">
        <f>"0145-2258"</f>
        <v>0145-2258</v>
      </c>
      <c r="E1741" t="s">
        <v>8</v>
      </c>
      <c r="F1741" t="s">
        <v>1750</v>
      </c>
      <c r="G1741">
        <v>1</v>
      </c>
    </row>
    <row r="1742" spans="1:7" x14ac:dyDescent="0.25">
      <c r="A1742">
        <v>14</v>
      </c>
      <c r="B1742" t="s">
        <v>1676</v>
      </c>
      <c r="C1742">
        <v>3824</v>
      </c>
      <c r="D1742" t="str">
        <f>"0002-1482"</f>
        <v>0002-1482</v>
      </c>
      <c r="E1742" t="s">
        <v>8</v>
      </c>
      <c r="F1742" t="s">
        <v>1751</v>
      </c>
      <c r="G1742">
        <v>1</v>
      </c>
    </row>
    <row r="1743" spans="1:7" x14ac:dyDescent="0.25">
      <c r="A1743">
        <v>14</v>
      </c>
      <c r="B1743" t="s">
        <v>1676</v>
      </c>
      <c r="C1743">
        <v>8758276</v>
      </c>
      <c r="D1743" t="str">
        <f>"1799-4160"</f>
        <v>1799-4160</v>
      </c>
      <c r="E1743" t="s">
        <v>15</v>
      </c>
      <c r="F1743" t="s">
        <v>1752</v>
      </c>
      <c r="G1743">
        <v>1</v>
      </c>
    </row>
    <row r="1744" spans="1:7" x14ac:dyDescent="0.25">
      <c r="A1744">
        <v>14</v>
      </c>
      <c r="B1744" t="s">
        <v>1676</v>
      </c>
      <c r="C1744">
        <v>393</v>
      </c>
      <c r="D1744" t="str">
        <f>"0002-6980"</f>
        <v>0002-6980</v>
      </c>
      <c r="E1744" t="s">
        <v>8</v>
      </c>
      <c r="F1744" t="s">
        <v>1753</v>
      </c>
      <c r="G1744">
        <v>1</v>
      </c>
    </row>
    <row r="1745" spans="1:7" x14ac:dyDescent="0.25">
      <c r="A1745">
        <v>14</v>
      </c>
      <c r="B1745" t="s">
        <v>1676</v>
      </c>
      <c r="C1745">
        <v>4328</v>
      </c>
      <c r="D1745" t="str">
        <f>"1474-3892"</f>
        <v>1474-3892</v>
      </c>
      <c r="E1745" t="s">
        <v>8</v>
      </c>
      <c r="F1745" t="s">
        <v>1754</v>
      </c>
      <c r="G1745">
        <v>1</v>
      </c>
    </row>
    <row r="1746" spans="1:7" x14ac:dyDescent="0.25">
      <c r="A1746">
        <v>14</v>
      </c>
      <c r="B1746" t="s">
        <v>1676</v>
      </c>
      <c r="C1746">
        <v>6413</v>
      </c>
      <c r="D1746" t="str">
        <f>"1076-8866"</f>
        <v>1076-8866</v>
      </c>
      <c r="E1746" t="s">
        <v>8</v>
      </c>
      <c r="F1746" t="s">
        <v>1755</v>
      </c>
      <c r="G1746">
        <v>1</v>
      </c>
    </row>
    <row r="1747" spans="1:7" x14ac:dyDescent="0.25">
      <c r="A1747">
        <v>14</v>
      </c>
      <c r="B1747" t="s">
        <v>1676</v>
      </c>
      <c r="C1747">
        <v>5067</v>
      </c>
      <c r="D1747" t="str">
        <f>"0164-0178"</f>
        <v>0164-0178</v>
      </c>
      <c r="E1747" t="s">
        <v>8</v>
      </c>
      <c r="F1747" t="s">
        <v>1756</v>
      </c>
      <c r="G1747">
        <v>1</v>
      </c>
    </row>
    <row r="1748" spans="1:7" x14ac:dyDescent="0.25">
      <c r="A1748">
        <v>14</v>
      </c>
      <c r="B1748" t="s">
        <v>1676</v>
      </c>
      <c r="C1748">
        <v>11513</v>
      </c>
      <c r="D1748" t="str">
        <f>"1466-4658"</f>
        <v>1466-4658</v>
      </c>
      <c r="E1748" t="s">
        <v>8</v>
      </c>
      <c r="F1748" t="s">
        <v>1757</v>
      </c>
      <c r="G1748">
        <v>1</v>
      </c>
    </row>
    <row r="1749" spans="1:7" x14ac:dyDescent="0.25">
      <c r="A1749">
        <v>14</v>
      </c>
      <c r="B1749" t="s">
        <v>1676</v>
      </c>
      <c r="C1749">
        <v>6979</v>
      </c>
      <c r="D1749" t="str">
        <f>"1101-4148"</f>
        <v>1101-4148</v>
      </c>
      <c r="E1749" t="s">
        <v>15</v>
      </c>
      <c r="F1749" t="s">
        <v>1758</v>
      </c>
      <c r="G1749">
        <v>1</v>
      </c>
    </row>
    <row r="1750" spans="1:7" x14ac:dyDescent="0.25">
      <c r="A1750">
        <v>14</v>
      </c>
      <c r="B1750" t="s">
        <v>1676</v>
      </c>
      <c r="C1750">
        <v>15592</v>
      </c>
      <c r="D1750" t="str">
        <f>"0835-3638"</f>
        <v>0835-3638</v>
      </c>
      <c r="E1750" t="s">
        <v>8</v>
      </c>
      <c r="F1750" t="s">
        <v>1759</v>
      </c>
      <c r="G1750">
        <v>1</v>
      </c>
    </row>
    <row r="1751" spans="1:7" x14ac:dyDescent="0.25">
      <c r="A1751">
        <v>14</v>
      </c>
      <c r="B1751" t="s">
        <v>1676</v>
      </c>
      <c r="C1751">
        <v>16930</v>
      </c>
      <c r="D1751" t="str">
        <f>"0263-6751"</f>
        <v>0263-6751</v>
      </c>
      <c r="E1751" t="s">
        <v>15</v>
      </c>
      <c r="F1751" t="s">
        <v>1760</v>
      </c>
      <c r="G1751">
        <v>1</v>
      </c>
    </row>
    <row r="1752" spans="1:7" x14ac:dyDescent="0.25">
      <c r="A1752">
        <v>14</v>
      </c>
      <c r="B1752" t="s">
        <v>1676</v>
      </c>
      <c r="C1752">
        <v>24820</v>
      </c>
      <c r="D1752" t="str">
        <f>"0003-3901"</f>
        <v>0003-3901</v>
      </c>
      <c r="E1752" t="s">
        <v>8</v>
      </c>
      <c r="F1752" t="s">
        <v>1761</v>
      </c>
      <c r="G1752">
        <v>1</v>
      </c>
    </row>
    <row r="1753" spans="1:7" x14ac:dyDescent="0.25">
      <c r="A1753">
        <v>14</v>
      </c>
      <c r="B1753" t="s">
        <v>1676</v>
      </c>
      <c r="C1753">
        <v>12062</v>
      </c>
      <c r="D1753" t="str">
        <f>"0066-2062"</f>
        <v>0066-2062</v>
      </c>
      <c r="E1753" t="s">
        <v>8</v>
      </c>
      <c r="F1753" t="s">
        <v>1762</v>
      </c>
      <c r="G1753">
        <v>1</v>
      </c>
    </row>
    <row r="1754" spans="1:7" x14ac:dyDescent="0.25">
      <c r="A1754">
        <v>14</v>
      </c>
      <c r="B1754" t="s">
        <v>1676</v>
      </c>
      <c r="C1754">
        <v>10046</v>
      </c>
      <c r="D1754" t="str">
        <f>"0003-4436"</f>
        <v>0003-4436</v>
      </c>
      <c r="E1754" t="s">
        <v>8</v>
      </c>
      <c r="F1754" t="s">
        <v>1763</v>
      </c>
      <c r="G1754">
        <v>1</v>
      </c>
    </row>
    <row r="1755" spans="1:7" x14ac:dyDescent="0.25">
      <c r="A1755">
        <v>14</v>
      </c>
      <c r="B1755" t="s">
        <v>1676</v>
      </c>
      <c r="C1755">
        <v>58</v>
      </c>
      <c r="D1755" t="str">
        <f>"0391-7010"</f>
        <v>0391-7010</v>
      </c>
      <c r="E1755" t="s">
        <v>15</v>
      </c>
      <c r="F1755" t="s">
        <v>1764</v>
      </c>
      <c r="G1755">
        <v>1</v>
      </c>
    </row>
    <row r="1756" spans="1:7" x14ac:dyDescent="0.25">
      <c r="A1756">
        <v>14</v>
      </c>
      <c r="B1756" t="s">
        <v>1676</v>
      </c>
      <c r="C1756">
        <v>5180</v>
      </c>
      <c r="D1756" t="str">
        <f>"0304-4319"</f>
        <v>0304-4319</v>
      </c>
      <c r="E1756" t="s">
        <v>15</v>
      </c>
      <c r="F1756" t="s">
        <v>1765</v>
      </c>
      <c r="G1756">
        <v>1</v>
      </c>
    </row>
    <row r="1757" spans="1:7" x14ac:dyDescent="0.25">
      <c r="A1757">
        <v>14</v>
      </c>
      <c r="B1757" t="s">
        <v>1676</v>
      </c>
      <c r="C1757">
        <v>15861</v>
      </c>
      <c r="D1757" t="str">
        <f>"0801-7778"</f>
        <v>0801-7778</v>
      </c>
      <c r="E1757" t="s">
        <v>8</v>
      </c>
      <c r="F1757" t="s">
        <v>1766</v>
      </c>
      <c r="G1757">
        <v>1</v>
      </c>
    </row>
    <row r="1758" spans="1:7" x14ac:dyDescent="0.25">
      <c r="A1758">
        <v>14</v>
      </c>
      <c r="B1758" t="s">
        <v>1676</v>
      </c>
      <c r="C1758">
        <v>311</v>
      </c>
      <c r="D1758" t="str">
        <f>"0107-8461"</f>
        <v>0107-8461</v>
      </c>
      <c r="E1758" t="s">
        <v>8</v>
      </c>
      <c r="F1758" t="s">
        <v>1767</v>
      </c>
      <c r="G1758">
        <v>1</v>
      </c>
    </row>
    <row r="1759" spans="1:7" x14ac:dyDescent="0.25">
      <c r="A1759">
        <v>14</v>
      </c>
      <c r="B1759" t="s">
        <v>1676</v>
      </c>
      <c r="C1759">
        <v>461</v>
      </c>
      <c r="D1759" t="str">
        <f>"0281-7446"</f>
        <v>0281-7446</v>
      </c>
      <c r="E1759" t="s">
        <v>8</v>
      </c>
      <c r="F1759" t="s">
        <v>1768</v>
      </c>
      <c r="G1759">
        <v>1</v>
      </c>
    </row>
    <row r="1760" spans="1:7" x14ac:dyDescent="0.25">
      <c r="A1760">
        <v>14</v>
      </c>
      <c r="B1760" t="s">
        <v>1676</v>
      </c>
      <c r="C1760">
        <v>6971</v>
      </c>
      <c r="D1760" t="str">
        <f>"0260-9541"</f>
        <v>0260-9541</v>
      </c>
      <c r="E1760" t="s">
        <v>8</v>
      </c>
      <c r="F1760" t="s">
        <v>1769</v>
      </c>
      <c r="G1760">
        <v>1</v>
      </c>
    </row>
    <row r="1761" spans="1:7" x14ac:dyDescent="0.25">
      <c r="A1761">
        <v>14</v>
      </c>
      <c r="B1761" t="s">
        <v>1676</v>
      </c>
      <c r="C1761">
        <v>10718</v>
      </c>
      <c r="D1761" t="str">
        <f>"0391-7770"</f>
        <v>0391-7770</v>
      </c>
      <c r="E1761" t="s">
        <v>8</v>
      </c>
      <c r="F1761" t="s">
        <v>1770</v>
      </c>
      <c r="G1761">
        <v>1</v>
      </c>
    </row>
    <row r="1762" spans="1:7" x14ac:dyDescent="0.25">
      <c r="A1762">
        <v>14</v>
      </c>
      <c r="B1762" t="s">
        <v>1676</v>
      </c>
      <c r="C1762">
        <v>21330</v>
      </c>
      <c r="D1762" t="str">
        <f>"1741-6124"</f>
        <v>1741-6124</v>
      </c>
      <c r="E1762" t="s">
        <v>8</v>
      </c>
      <c r="F1762" t="s">
        <v>1771</v>
      </c>
      <c r="G1762">
        <v>1</v>
      </c>
    </row>
    <row r="1763" spans="1:7" x14ac:dyDescent="0.25">
      <c r="A1763">
        <v>14</v>
      </c>
      <c r="B1763" t="s">
        <v>1676</v>
      </c>
      <c r="C1763">
        <v>63014</v>
      </c>
      <c r="D1763" t="str">
        <f>"1933-2882"</f>
        <v>1933-2882</v>
      </c>
      <c r="E1763" t="s">
        <v>8</v>
      </c>
      <c r="F1763" t="s">
        <v>1772</v>
      </c>
      <c r="G1763">
        <v>1</v>
      </c>
    </row>
    <row r="1764" spans="1:7" x14ac:dyDescent="0.25">
      <c r="A1764">
        <v>14</v>
      </c>
      <c r="B1764" t="s">
        <v>1676</v>
      </c>
      <c r="C1764">
        <v>151987</v>
      </c>
      <c r="D1764" t="str">
        <f>"0178-7128"</f>
        <v>0178-7128</v>
      </c>
      <c r="E1764" t="s">
        <v>8</v>
      </c>
      <c r="F1764" t="s">
        <v>1773</v>
      </c>
      <c r="G1764">
        <v>1</v>
      </c>
    </row>
    <row r="1765" spans="1:7" x14ac:dyDescent="0.25">
      <c r="A1765">
        <v>14</v>
      </c>
      <c r="B1765" t="s">
        <v>1676</v>
      </c>
      <c r="C1765">
        <v>4192</v>
      </c>
      <c r="D1765" t="str">
        <f>"0004-8992"</f>
        <v>0004-8992</v>
      </c>
      <c r="E1765" t="s">
        <v>8</v>
      </c>
      <c r="F1765" t="s">
        <v>1774</v>
      </c>
      <c r="G1765">
        <v>1</v>
      </c>
    </row>
    <row r="1766" spans="1:7" x14ac:dyDescent="0.25">
      <c r="A1766">
        <v>14</v>
      </c>
      <c r="B1766" t="s">
        <v>1676</v>
      </c>
      <c r="C1766">
        <v>3563</v>
      </c>
      <c r="D1766" t="str">
        <f>"1031-461X"</f>
        <v>1031-461X</v>
      </c>
      <c r="E1766" t="s">
        <v>8</v>
      </c>
      <c r="F1766" t="s">
        <v>1775</v>
      </c>
      <c r="G1766">
        <v>1</v>
      </c>
    </row>
    <row r="1767" spans="1:7" x14ac:dyDescent="0.25">
      <c r="A1767">
        <v>14</v>
      </c>
      <c r="B1767" t="s">
        <v>1676</v>
      </c>
      <c r="C1767">
        <v>3111</v>
      </c>
      <c r="D1767" t="str">
        <f>"0004-9522"</f>
        <v>0004-9522</v>
      </c>
      <c r="E1767" t="s">
        <v>8</v>
      </c>
      <c r="F1767" t="s">
        <v>1776</v>
      </c>
      <c r="G1767">
        <v>1</v>
      </c>
    </row>
    <row r="1768" spans="1:7" x14ac:dyDescent="0.25">
      <c r="A1768">
        <v>14</v>
      </c>
      <c r="B1768" t="s">
        <v>1676</v>
      </c>
      <c r="C1768">
        <v>13447</v>
      </c>
      <c r="D1768" t="str">
        <f>"1238-3503"</f>
        <v>1238-3503</v>
      </c>
      <c r="E1768" t="s">
        <v>15</v>
      </c>
      <c r="F1768" t="s">
        <v>1777</v>
      </c>
      <c r="G1768">
        <v>1</v>
      </c>
    </row>
    <row r="1769" spans="1:7" x14ac:dyDescent="0.25">
      <c r="A1769">
        <v>14</v>
      </c>
      <c r="B1769" t="s">
        <v>1676</v>
      </c>
      <c r="C1769">
        <v>8783599</v>
      </c>
      <c r="D1769" t="str">
        <f>"2190-2038"</f>
        <v>2190-2038</v>
      </c>
      <c r="E1769" t="s">
        <v>15</v>
      </c>
      <c r="F1769" t="s">
        <v>1778</v>
      </c>
      <c r="G1769">
        <v>1</v>
      </c>
    </row>
    <row r="1770" spans="1:7" x14ac:dyDescent="0.25">
      <c r="A1770">
        <v>14</v>
      </c>
      <c r="B1770" t="s">
        <v>1676</v>
      </c>
      <c r="C1770">
        <v>19218</v>
      </c>
      <c r="D1770" t="str">
        <f>"0165-0505"</f>
        <v>0165-0505</v>
      </c>
      <c r="E1770" t="s">
        <v>8</v>
      </c>
      <c r="F1770" t="s">
        <v>1779</v>
      </c>
      <c r="G1770">
        <v>1</v>
      </c>
    </row>
    <row r="1771" spans="1:7" x14ac:dyDescent="0.25">
      <c r="A1771">
        <v>14</v>
      </c>
      <c r="B1771" t="s">
        <v>1676</v>
      </c>
      <c r="C1771">
        <v>16711</v>
      </c>
      <c r="D1771" t="str">
        <f>"0920-8607"</f>
        <v>0920-8607</v>
      </c>
      <c r="E1771" t="s">
        <v>15</v>
      </c>
      <c r="F1771" t="s">
        <v>1780</v>
      </c>
      <c r="G1771">
        <v>1</v>
      </c>
    </row>
    <row r="1772" spans="1:7" x14ac:dyDescent="0.25">
      <c r="A1772">
        <v>14</v>
      </c>
      <c r="B1772" t="s">
        <v>1676</v>
      </c>
      <c r="C1772">
        <v>27737</v>
      </c>
      <c r="D1772" t="str">
        <f>"0068-113X"</f>
        <v>0068-113X</v>
      </c>
      <c r="E1772" t="s">
        <v>8</v>
      </c>
      <c r="F1772" t="s">
        <v>1781</v>
      </c>
      <c r="G1772">
        <v>1</v>
      </c>
    </row>
    <row r="1773" spans="1:7" x14ac:dyDescent="0.25">
      <c r="A1773">
        <v>14</v>
      </c>
      <c r="B1773" t="s">
        <v>1676</v>
      </c>
      <c r="C1773">
        <v>10009</v>
      </c>
      <c r="D1773" t="str">
        <f>"0317-5065"</f>
        <v>0317-5065</v>
      </c>
      <c r="E1773" t="s">
        <v>8</v>
      </c>
      <c r="F1773" t="s">
        <v>1782</v>
      </c>
      <c r="G1773">
        <v>1</v>
      </c>
    </row>
    <row r="1774" spans="1:7" x14ac:dyDescent="0.25">
      <c r="A1774">
        <v>14</v>
      </c>
      <c r="B1774" t="s">
        <v>1676</v>
      </c>
      <c r="C1774">
        <v>12293</v>
      </c>
      <c r="D1774" t="str">
        <f>"0220-5610"</f>
        <v>0220-5610</v>
      </c>
      <c r="E1774" t="s">
        <v>8</v>
      </c>
      <c r="F1774" t="s">
        <v>1783</v>
      </c>
      <c r="G1774">
        <v>1</v>
      </c>
    </row>
    <row r="1775" spans="1:7" x14ac:dyDescent="0.25">
      <c r="A1775">
        <v>14</v>
      </c>
      <c r="B1775" t="s">
        <v>1676</v>
      </c>
      <c r="C1775">
        <v>3131</v>
      </c>
      <c r="D1775" t="str">
        <f>"0162-2897"</f>
        <v>0162-2897</v>
      </c>
      <c r="E1775" t="s">
        <v>8</v>
      </c>
      <c r="F1775" t="s">
        <v>1784</v>
      </c>
      <c r="G1775">
        <v>1</v>
      </c>
    </row>
    <row r="1776" spans="1:7" x14ac:dyDescent="0.25">
      <c r="A1776">
        <v>14</v>
      </c>
      <c r="B1776" t="s">
        <v>1676</v>
      </c>
      <c r="C1776">
        <v>8783600</v>
      </c>
      <c r="E1776" t="s">
        <v>15</v>
      </c>
      <c r="F1776" t="s">
        <v>1785</v>
      </c>
      <c r="G1776">
        <v>1</v>
      </c>
    </row>
    <row r="1777" spans="1:7" x14ac:dyDescent="0.25">
      <c r="A1777">
        <v>14</v>
      </c>
      <c r="B1777" t="s">
        <v>1676</v>
      </c>
      <c r="C1777">
        <v>14890</v>
      </c>
      <c r="D1777" t="str">
        <f>"0008-3755"</f>
        <v>0008-3755</v>
      </c>
      <c r="E1777" t="s">
        <v>8</v>
      </c>
      <c r="F1777" t="s">
        <v>1786</v>
      </c>
      <c r="G1777">
        <v>1</v>
      </c>
    </row>
    <row r="1778" spans="1:7" x14ac:dyDescent="0.25">
      <c r="A1778">
        <v>14</v>
      </c>
      <c r="B1778" t="s">
        <v>1676</v>
      </c>
      <c r="C1778">
        <v>8176</v>
      </c>
      <c r="D1778" t="str">
        <f>"0008-4107"</f>
        <v>0008-4107</v>
      </c>
      <c r="E1778" t="s">
        <v>8</v>
      </c>
      <c r="F1778" t="s">
        <v>1787</v>
      </c>
      <c r="G1778">
        <v>1</v>
      </c>
    </row>
    <row r="1779" spans="1:7" x14ac:dyDescent="0.25">
      <c r="A1779">
        <v>14</v>
      </c>
      <c r="B1779" t="s">
        <v>1676</v>
      </c>
      <c r="C1779">
        <v>8783601</v>
      </c>
      <c r="E1779" t="s">
        <v>15</v>
      </c>
      <c r="F1779" t="s">
        <v>1788</v>
      </c>
      <c r="G1779">
        <v>1</v>
      </c>
    </row>
    <row r="1780" spans="1:7" x14ac:dyDescent="0.25">
      <c r="A1780">
        <v>14</v>
      </c>
      <c r="B1780" t="s">
        <v>1676</v>
      </c>
      <c r="C1780">
        <v>13881</v>
      </c>
      <c r="D1780" t="str">
        <f>"0009-4633"</f>
        <v>0009-4633</v>
      </c>
      <c r="E1780" t="s">
        <v>8</v>
      </c>
      <c r="F1780" t="s">
        <v>1789</v>
      </c>
      <c r="G1780">
        <v>1</v>
      </c>
    </row>
    <row r="1781" spans="1:7" x14ac:dyDescent="0.25">
      <c r="A1781">
        <v>14</v>
      </c>
      <c r="B1781" t="s">
        <v>1676</v>
      </c>
      <c r="C1781">
        <v>8782561</v>
      </c>
      <c r="E1781" t="s">
        <v>15</v>
      </c>
      <c r="F1781" t="s">
        <v>1790</v>
      </c>
      <c r="G1781">
        <v>1</v>
      </c>
    </row>
    <row r="1782" spans="1:7" x14ac:dyDescent="0.25">
      <c r="A1782">
        <v>14</v>
      </c>
      <c r="B1782" t="s">
        <v>1676</v>
      </c>
      <c r="C1782">
        <v>11505</v>
      </c>
      <c r="D1782" t="str">
        <f>"0009-8078"</f>
        <v>0009-8078</v>
      </c>
      <c r="E1782" t="s">
        <v>8</v>
      </c>
      <c r="F1782" t="s">
        <v>1791</v>
      </c>
      <c r="G1782">
        <v>1</v>
      </c>
    </row>
    <row r="1783" spans="1:7" x14ac:dyDescent="0.25">
      <c r="A1783">
        <v>14</v>
      </c>
      <c r="B1783" t="s">
        <v>1676</v>
      </c>
      <c r="C1783">
        <v>14659</v>
      </c>
      <c r="D1783" t="str">
        <f>"0801-9282"</f>
        <v>0801-9282</v>
      </c>
      <c r="E1783" t="s">
        <v>8</v>
      </c>
      <c r="F1783" t="s">
        <v>1792</v>
      </c>
      <c r="G1783">
        <v>1</v>
      </c>
    </row>
    <row r="1784" spans="1:7" x14ac:dyDescent="0.25">
      <c r="A1784">
        <v>14</v>
      </c>
      <c r="B1784" t="s">
        <v>1676</v>
      </c>
      <c r="C1784">
        <v>118134</v>
      </c>
      <c r="D1784" t="str">
        <f>"0940-3566"</f>
        <v>0940-3566</v>
      </c>
      <c r="E1784" t="s">
        <v>8</v>
      </c>
      <c r="F1784" t="s">
        <v>1793</v>
      </c>
      <c r="G1784">
        <v>1</v>
      </c>
    </row>
    <row r="1785" spans="1:7" x14ac:dyDescent="0.25">
      <c r="A1785">
        <v>14</v>
      </c>
      <c r="B1785" t="s">
        <v>1676</v>
      </c>
      <c r="C1785">
        <v>13544</v>
      </c>
      <c r="D1785" t="str">
        <f>"1361-9462"</f>
        <v>1361-9462</v>
      </c>
      <c r="E1785" t="s">
        <v>8</v>
      </c>
      <c r="F1785" t="s">
        <v>1794</v>
      </c>
      <c r="G1785">
        <v>1</v>
      </c>
    </row>
    <row r="1786" spans="1:7" x14ac:dyDescent="0.25">
      <c r="A1786">
        <v>14</v>
      </c>
      <c r="B1786" t="s">
        <v>1676</v>
      </c>
      <c r="C1786">
        <v>5084</v>
      </c>
      <c r="D1786" t="str">
        <f>"0268-4160"</f>
        <v>0268-4160</v>
      </c>
      <c r="E1786" t="s">
        <v>8</v>
      </c>
      <c r="F1786" t="s">
        <v>1795</v>
      </c>
      <c r="G1786">
        <v>1</v>
      </c>
    </row>
    <row r="1787" spans="1:7" x14ac:dyDescent="0.25">
      <c r="A1787">
        <v>14</v>
      </c>
      <c r="B1787" t="s">
        <v>1676</v>
      </c>
      <c r="C1787">
        <v>23327</v>
      </c>
      <c r="D1787" t="str">
        <f>"1807-9326"</f>
        <v>1807-9326</v>
      </c>
      <c r="E1787" t="s">
        <v>8</v>
      </c>
      <c r="F1787" t="s">
        <v>1796</v>
      </c>
      <c r="G1787">
        <v>1</v>
      </c>
    </row>
    <row r="1788" spans="1:7" x14ac:dyDescent="0.25">
      <c r="A1788">
        <v>14</v>
      </c>
      <c r="B1788" t="s">
        <v>1676</v>
      </c>
      <c r="C1788">
        <v>19992</v>
      </c>
      <c r="D1788" t="str">
        <f>"1422-0857"</f>
        <v>1422-0857</v>
      </c>
      <c r="E1788" t="s">
        <v>8</v>
      </c>
      <c r="F1788" t="s">
        <v>1797</v>
      </c>
      <c r="G1788">
        <v>1</v>
      </c>
    </row>
    <row r="1789" spans="1:7" x14ac:dyDescent="0.25">
      <c r="A1789">
        <v>14</v>
      </c>
      <c r="B1789" t="s">
        <v>1676</v>
      </c>
      <c r="C1789">
        <v>8758282</v>
      </c>
      <c r="D1789" t="str">
        <f>"1663-4837"</f>
        <v>1663-4837</v>
      </c>
      <c r="E1789" t="s">
        <v>8</v>
      </c>
      <c r="F1789" t="s">
        <v>1798</v>
      </c>
      <c r="G1789">
        <v>1</v>
      </c>
    </row>
    <row r="1790" spans="1:7" x14ac:dyDescent="0.25">
      <c r="A1790">
        <v>14</v>
      </c>
      <c r="B1790" t="s">
        <v>1676</v>
      </c>
      <c r="C1790">
        <v>7751461</v>
      </c>
      <c r="D1790" t="str">
        <f>"2326-4462"</f>
        <v>2326-4462</v>
      </c>
      <c r="E1790" t="s">
        <v>8</v>
      </c>
      <c r="F1790" t="s">
        <v>1799</v>
      </c>
      <c r="G1790">
        <v>1</v>
      </c>
    </row>
    <row r="1791" spans="1:7" x14ac:dyDescent="0.25">
      <c r="A1791">
        <v>14</v>
      </c>
      <c r="B1791" t="s">
        <v>1676</v>
      </c>
      <c r="C1791">
        <v>8783602</v>
      </c>
      <c r="E1791" t="s">
        <v>15</v>
      </c>
      <c r="F1791" t="s">
        <v>1800</v>
      </c>
      <c r="G1791">
        <v>1</v>
      </c>
    </row>
    <row r="1792" spans="1:7" x14ac:dyDescent="0.25">
      <c r="A1792">
        <v>14</v>
      </c>
      <c r="B1792" t="s">
        <v>1676</v>
      </c>
      <c r="C1792">
        <v>145884</v>
      </c>
      <c r="D1792" t="str">
        <f>"1476-5276"</f>
        <v>1476-5276</v>
      </c>
      <c r="E1792" t="s">
        <v>8</v>
      </c>
      <c r="F1792" t="s">
        <v>1801</v>
      </c>
      <c r="G1792">
        <v>1</v>
      </c>
    </row>
    <row r="1793" spans="1:7" x14ac:dyDescent="0.25">
      <c r="A1793">
        <v>14</v>
      </c>
      <c r="B1793" t="s">
        <v>1676</v>
      </c>
      <c r="C1793">
        <v>13646</v>
      </c>
      <c r="D1793" t="str">
        <f>"1133-7613"</f>
        <v>1133-7613</v>
      </c>
      <c r="E1793" t="s">
        <v>8</v>
      </c>
      <c r="F1793" t="s">
        <v>1802</v>
      </c>
      <c r="G1793">
        <v>1</v>
      </c>
    </row>
    <row r="1794" spans="1:7" x14ac:dyDescent="0.25">
      <c r="A1794">
        <v>14</v>
      </c>
      <c r="B1794" t="s">
        <v>1676</v>
      </c>
      <c r="C1794">
        <v>8353</v>
      </c>
      <c r="D1794" t="str">
        <f>"0214-4018"</f>
        <v>0214-4018</v>
      </c>
      <c r="E1794" t="s">
        <v>8</v>
      </c>
      <c r="F1794" t="s">
        <v>1803</v>
      </c>
      <c r="G1794">
        <v>1</v>
      </c>
    </row>
    <row r="1795" spans="1:7" x14ac:dyDescent="0.25">
      <c r="A1795">
        <v>14</v>
      </c>
      <c r="B1795" t="s">
        <v>1676</v>
      </c>
      <c r="C1795">
        <v>11226</v>
      </c>
      <c r="D1795" t="str">
        <f>"1478-0038"</f>
        <v>1478-0038</v>
      </c>
      <c r="E1795" t="s">
        <v>8</v>
      </c>
      <c r="F1795" t="s">
        <v>1804</v>
      </c>
      <c r="G1795">
        <v>1</v>
      </c>
    </row>
    <row r="1796" spans="1:7" x14ac:dyDescent="0.25">
      <c r="A1796">
        <v>14</v>
      </c>
      <c r="B1796" t="s">
        <v>1676</v>
      </c>
      <c r="C1796">
        <v>106976</v>
      </c>
      <c r="D1796" t="str">
        <f>"0070-2846"</f>
        <v>0070-2846</v>
      </c>
      <c r="E1796" t="s">
        <v>8</v>
      </c>
      <c r="F1796" t="s">
        <v>1805</v>
      </c>
      <c r="G1796">
        <v>1</v>
      </c>
    </row>
    <row r="1797" spans="1:7" x14ac:dyDescent="0.25">
      <c r="A1797">
        <v>14</v>
      </c>
      <c r="B1797" t="s">
        <v>1676</v>
      </c>
      <c r="C1797">
        <v>111894</v>
      </c>
      <c r="D1797" t="str">
        <f>"0932-1632"</f>
        <v>0932-1632</v>
      </c>
      <c r="E1797" t="s">
        <v>8</v>
      </c>
      <c r="F1797" t="s">
        <v>1806</v>
      </c>
      <c r="G1797">
        <v>1</v>
      </c>
    </row>
    <row r="1798" spans="1:7" x14ac:dyDescent="0.25">
      <c r="A1798">
        <v>14</v>
      </c>
      <c r="B1798" t="s">
        <v>1676</v>
      </c>
      <c r="C1798">
        <v>5856</v>
      </c>
      <c r="D1798" t="str">
        <f>"0343-3668"</f>
        <v>0343-3668</v>
      </c>
      <c r="E1798" t="s">
        <v>8</v>
      </c>
      <c r="F1798" t="s">
        <v>1807</v>
      </c>
      <c r="G1798">
        <v>1</v>
      </c>
    </row>
    <row r="1799" spans="1:7" x14ac:dyDescent="0.25">
      <c r="A1799">
        <v>14</v>
      </c>
      <c r="B1799" t="s">
        <v>1676</v>
      </c>
      <c r="C1799">
        <v>22437</v>
      </c>
      <c r="D1799" t="str">
        <f>"0755-7256"</f>
        <v>0755-7256</v>
      </c>
      <c r="E1799" t="s">
        <v>8</v>
      </c>
      <c r="F1799" t="s">
        <v>1808</v>
      </c>
      <c r="G1799">
        <v>1</v>
      </c>
    </row>
    <row r="1800" spans="1:7" x14ac:dyDescent="0.25">
      <c r="A1800">
        <v>14</v>
      </c>
      <c r="B1800" t="s">
        <v>1676</v>
      </c>
      <c r="C1800">
        <v>2246</v>
      </c>
      <c r="D1800" t="str">
        <f>"0070-6760"</f>
        <v>0070-6760</v>
      </c>
      <c r="E1800" t="s">
        <v>8</v>
      </c>
      <c r="F1800" t="s">
        <v>1809</v>
      </c>
      <c r="G1800">
        <v>1</v>
      </c>
    </row>
    <row r="1801" spans="1:7" x14ac:dyDescent="0.25">
      <c r="A1801">
        <v>14</v>
      </c>
      <c r="B1801" t="s">
        <v>1676</v>
      </c>
      <c r="C1801">
        <v>15670</v>
      </c>
      <c r="D1801" t="str">
        <f>"0419-8824"</f>
        <v>0419-8824</v>
      </c>
      <c r="E1801" t="s">
        <v>8</v>
      </c>
      <c r="F1801" t="s">
        <v>1810</v>
      </c>
      <c r="G1801">
        <v>1</v>
      </c>
    </row>
    <row r="1802" spans="1:7" x14ac:dyDescent="0.25">
      <c r="A1802">
        <v>14</v>
      </c>
      <c r="B1802" t="s">
        <v>1676</v>
      </c>
      <c r="C1802">
        <v>7962</v>
      </c>
      <c r="D1802" t="str">
        <f>"1320-3606"</f>
        <v>1320-3606</v>
      </c>
      <c r="E1802" t="s">
        <v>8</v>
      </c>
      <c r="F1802" t="s">
        <v>1811</v>
      </c>
      <c r="G1802">
        <v>1</v>
      </c>
    </row>
    <row r="1803" spans="1:7" x14ac:dyDescent="0.25">
      <c r="A1803">
        <v>14</v>
      </c>
      <c r="B1803" t="s">
        <v>1676</v>
      </c>
      <c r="C1803">
        <v>8783603</v>
      </c>
      <c r="E1803" t="s">
        <v>15</v>
      </c>
      <c r="F1803" t="s">
        <v>1812</v>
      </c>
      <c r="G1803">
        <v>1</v>
      </c>
    </row>
    <row r="1804" spans="1:7" x14ac:dyDescent="0.25">
      <c r="A1804">
        <v>14</v>
      </c>
      <c r="B1804" t="s">
        <v>1676</v>
      </c>
      <c r="C1804">
        <v>9073</v>
      </c>
      <c r="D1804" t="str">
        <f>"1161-2770"</f>
        <v>1161-2770</v>
      </c>
      <c r="E1804" t="s">
        <v>8</v>
      </c>
      <c r="F1804" t="s">
        <v>1813</v>
      </c>
      <c r="G1804">
        <v>1</v>
      </c>
    </row>
    <row r="1805" spans="1:7" x14ac:dyDescent="0.25">
      <c r="A1805">
        <v>14</v>
      </c>
      <c r="B1805" t="s">
        <v>1676</v>
      </c>
      <c r="C1805">
        <v>9143</v>
      </c>
      <c r="D1805" t="str">
        <f>"0967-3407"</f>
        <v>0967-3407</v>
      </c>
      <c r="E1805" t="s">
        <v>8</v>
      </c>
      <c r="F1805" t="s">
        <v>1814</v>
      </c>
      <c r="G1805">
        <v>1</v>
      </c>
    </row>
    <row r="1806" spans="1:7" x14ac:dyDescent="0.25">
      <c r="A1806">
        <v>14</v>
      </c>
      <c r="B1806" t="s">
        <v>1676</v>
      </c>
      <c r="C1806">
        <v>83217</v>
      </c>
      <c r="D1806" t="str">
        <f>"0174-6545"</f>
        <v>0174-6545</v>
      </c>
      <c r="E1806" t="s">
        <v>15</v>
      </c>
      <c r="F1806" t="s">
        <v>1815</v>
      </c>
      <c r="G1806">
        <v>1</v>
      </c>
    </row>
    <row r="1807" spans="1:7" x14ac:dyDescent="0.25">
      <c r="A1807">
        <v>14</v>
      </c>
      <c r="B1807" t="s">
        <v>1676</v>
      </c>
      <c r="C1807">
        <v>78486</v>
      </c>
      <c r="D1807" t="str">
        <f>"0071-1152"</f>
        <v>0071-1152</v>
      </c>
      <c r="E1807" t="s">
        <v>8</v>
      </c>
      <c r="F1807" t="s">
        <v>1816</v>
      </c>
      <c r="G1807">
        <v>1</v>
      </c>
    </row>
    <row r="1808" spans="1:7" x14ac:dyDescent="0.25">
      <c r="A1808">
        <v>14</v>
      </c>
      <c r="B1808" t="s">
        <v>1676</v>
      </c>
      <c r="C1808">
        <v>13726</v>
      </c>
      <c r="D1808" t="str">
        <f>"1538-4608"</f>
        <v>1538-4608</v>
      </c>
      <c r="E1808" t="s">
        <v>8</v>
      </c>
      <c r="F1808" t="s">
        <v>1817</v>
      </c>
      <c r="G1808">
        <v>1</v>
      </c>
    </row>
    <row r="1809" spans="1:7" x14ac:dyDescent="0.25">
      <c r="A1809">
        <v>14</v>
      </c>
      <c r="B1809" t="s">
        <v>1676</v>
      </c>
      <c r="C1809">
        <v>81</v>
      </c>
      <c r="D1809" t="str">
        <f>"0210-9093"</f>
        <v>0210-9093</v>
      </c>
      <c r="E1809" t="s">
        <v>8</v>
      </c>
      <c r="F1809" t="s">
        <v>1818</v>
      </c>
      <c r="G1809">
        <v>1</v>
      </c>
    </row>
    <row r="1810" spans="1:7" x14ac:dyDescent="0.25">
      <c r="A1810">
        <v>14</v>
      </c>
      <c r="B1810" t="s">
        <v>1676</v>
      </c>
      <c r="C1810">
        <v>3648</v>
      </c>
      <c r="D1810" t="str">
        <f>"0265-6914"</f>
        <v>0265-6914</v>
      </c>
      <c r="E1810" t="s">
        <v>8</v>
      </c>
      <c r="F1810" t="s">
        <v>1819</v>
      </c>
      <c r="G1810">
        <v>1</v>
      </c>
    </row>
    <row r="1811" spans="1:7" x14ac:dyDescent="0.25">
      <c r="A1811">
        <v>14</v>
      </c>
      <c r="B1811" t="s">
        <v>1676</v>
      </c>
      <c r="C1811">
        <v>26000</v>
      </c>
      <c r="D1811" t="str">
        <f>"1025-9996"</f>
        <v>1025-9996</v>
      </c>
      <c r="E1811" t="s">
        <v>8</v>
      </c>
      <c r="F1811" t="s">
        <v>1820</v>
      </c>
      <c r="G1811">
        <v>1</v>
      </c>
    </row>
    <row r="1812" spans="1:7" x14ac:dyDescent="0.25">
      <c r="A1812">
        <v>14</v>
      </c>
      <c r="B1812" t="s">
        <v>1676</v>
      </c>
      <c r="C1812">
        <v>5151</v>
      </c>
      <c r="D1812" t="str">
        <f>"0967-2567"</f>
        <v>0967-2567</v>
      </c>
      <c r="E1812" t="s">
        <v>8</v>
      </c>
      <c r="F1812" t="s">
        <v>1821</v>
      </c>
      <c r="G1812">
        <v>1</v>
      </c>
    </row>
    <row r="1813" spans="1:7" x14ac:dyDescent="0.25">
      <c r="A1813">
        <v>14</v>
      </c>
      <c r="B1813" t="s">
        <v>1676</v>
      </c>
      <c r="C1813">
        <v>16565</v>
      </c>
      <c r="D1813" t="str">
        <f>"1041-2573"</f>
        <v>1041-2573</v>
      </c>
      <c r="E1813" t="s">
        <v>8</v>
      </c>
      <c r="F1813" t="s">
        <v>1822</v>
      </c>
      <c r="G1813">
        <v>1</v>
      </c>
    </row>
    <row r="1814" spans="1:7" x14ac:dyDescent="0.25">
      <c r="A1814">
        <v>14</v>
      </c>
      <c r="B1814" t="s">
        <v>1676</v>
      </c>
      <c r="C1814">
        <v>3780</v>
      </c>
      <c r="D1814" t="str">
        <f>"0175-3347"</f>
        <v>0175-3347</v>
      </c>
      <c r="E1814" t="s">
        <v>8</v>
      </c>
      <c r="F1814" t="s">
        <v>1823</v>
      </c>
      <c r="G1814">
        <v>1</v>
      </c>
    </row>
    <row r="1815" spans="1:7" x14ac:dyDescent="0.25">
      <c r="A1815">
        <v>14</v>
      </c>
      <c r="B1815" t="s">
        <v>1676</v>
      </c>
      <c r="C1815">
        <v>14849</v>
      </c>
      <c r="D1815" t="str">
        <f>"0098-2474"</f>
        <v>0098-2474</v>
      </c>
      <c r="E1815" t="s">
        <v>8</v>
      </c>
      <c r="F1815" t="s">
        <v>1824</v>
      </c>
      <c r="G1815">
        <v>1</v>
      </c>
    </row>
    <row r="1816" spans="1:7" x14ac:dyDescent="0.25">
      <c r="A1816">
        <v>14</v>
      </c>
      <c r="B1816" t="s">
        <v>1676</v>
      </c>
      <c r="C1816">
        <v>25203</v>
      </c>
      <c r="D1816" t="str">
        <f>"0106-3324"</f>
        <v>0106-3324</v>
      </c>
      <c r="E1816" t="s">
        <v>8</v>
      </c>
      <c r="F1816" t="s">
        <v>1825</v>
      </c>
      <c r="G1816">
        <v>1</v>
      </c>
    </row>
    <row r="1817" spans="1:7" x14ac:dyDescent="0.25">
      <c r="A1817">
        <v>14</v>
      </c>
      <c r="B1817" t="s">
        <v>1676</v>
      </c>
      <c r="C1817">
        <v>19854</v>
      </c>
      <c r="D1817" t="str">
        <f>"1463-1180"</f>
        <v>1463-1180</v>
      </c>
      <c r="E1817" t="s">
        <v>8</v>
      </c>
      <c r="F1817" t="s">
        <v>1826</v>
      </c>
      <c r="G1817">
        <v>1</v>
      </c>
    </row>
    <row r="1818" spans="1:7" x14ac:dyDescent="0.25">
      <c r="A1818">
        <v>14</v>
      </c>
      <c r="B1818" t="s">
        <v>1676</v>
      </c>
      <c r="C1818">
        <v>1657</v>
      </c>
      <c r="D1818" t="str">
        <f>"0968-5650"</f>
        <v>0968-5650</v>
      </c>
      <c r="E1818" t="s">
        <v>8</v>
      </c>
      <c r="F1818" t="s">
        <v>1827</v>
      </c>
      <c r="G1818">
        <v>1</v>
      </c>
    </row>
    <row r="1819" spans="1:7" x14ac:dyDescent="0.25">
      <c r="A1819">
        <v>14</v>
      </c>
      <c r="B1819" t="s">
        <v>1676</v>
      </c>
      <c r="C1819">
        <v>6113954</v>
      </c>
      <c r="D1819" t="str">
        <f>"1947-5020"</f>
        <v>1947-5020</v>
      </c>
      <c r="E1819" t="s">
        <v>8</v>
      </c>
      <c r="F1819" t="s">
        <v>1828</v>
      </c>
      <c r="G1819">
        <v>1</v>
      </c>
    </row>
    <row r="1820" spans="1:7" x14ac:dyDescent="0.25">
      <c r="A1820">
        <v>14</v>
      </c>
      <c r="B1820" t="s">
        <v>1676</v>
      </c>
      <c r="C1820">
        <v>7758224</v>
      </c>
      <c r="D1820" t="str">
        <f>"2246-3070"</f>
        <v>2246-3070</v>
      </c>
      <c r="E1820" t="s">
        <v>8</v>
      </c>
      <c r="F1820" t="s">
        <v>1829</v>
      </c>
      <c r="G1820">
        <v>1</v>
      </c>
    </row>
    <row r="1821" spans="1:7" x14ac:dyDescent="0.25">
      <c r="A1821">
        <v>14</v>
      </c>
      <c r="B1821" t="s">
        <v>1676</v>
      </c>
      <c r="C1821">
        <v>1515</v>
      </c>
      <c r="D1821" t="str">
        <f>"1539-3402"</f>
        <v>1539-3402</v>
      </c>
      <c r="E1821" t="s">
        <v>8</v>
      </c>
      <c r="F1821" t="s">
        <v>1830</v>
      </c>
      <c r="G1821">
        <v>1</v>
      </c>
    </row>
    <row r="1822" spans="1:7" x14ac:dyDescent="0.25">
      <c r="A1822">
        <v>14</v>
      </c>
      <c r="B1822" t="s">
        <v>1676</v>
      </c>
      <c r="C1822">
        <v>3319</v>
      </c>
      <c r="D1822" t="str">
        <f>"0016-1071"</f>
        <v>0016-1071</v>
      </c>
      <c r="E1822" t="s">
        <v>8</v>
      </c>
      <c r="F1822" t="s">
        <v>1831</v>
      </c>
      <c r="G1822">
        <v>1</v>
      </c>
    </row>
    <row r="1823" spans="1:7" x14ac:dyDescent="0.25">
      <c r="A1823">
        <v>14</v>
      </c>
      <c r="B1823" t="s">
        <v>1676</v>
      </c>
      <c r="C1823">
        <v>14232</v>
      </c>
      <c r="D1823" t="str">
        <f>"0269-1191"</f>
        <v>0269-1191</v>
      </c>
      <c r="E1823" t="s">
        <v>8</v>
      </c>
      <c r="F1823" t="s">
        <v>1832</v>
      </c>
      <c r="G1823">
        <v>1</v>
      </c>
    </row>
    <row r="1824" spans="1:7" x14ac:dyDescent="0.25">
      <c r="A1824">
        <v>14</v>
      </c>
      <c r="B1824" t="s">
        <v>1676</v>
      </c>
      <c r="C1824">
        <v>4463</v>
      </c>
      <c r="D1824" t="str">
        <f>"0071-9706"</f>
        <v>0071-9706</v>
      </c>
      <c r="E1824" t="s">
        <v>8</v>
      </c>
      <c r="F1824" t="s">
        <v>1833</v>
      </c>
      <c r="G1824">
        <v>1</v>
      </c>
    </row>
    <row r="1825" spans="1:7" x14ac:dyDescent="0.25">
      <c r="A1825">
        <v>14</v>
      </c>
      <c r="B1825" t="s">
        <v>1676</v>
      </c>
      <c r="C1825">
        <v>8781978</v>
      </c>
      <c r="D1825" t="str">
        <f>"0069-9896"</f>
        <v>0069-9896</v>
      </c>
      <c r="E1825" t="s">
        <v>8</v>
      </c>
      <c r="F1825" t="s">
        <v>1834</v>
      </c>
      <c r="G1825">
        <v>1</v>
      </c>
    </row>
    <row r="1826" spans="1:7" x14ac:dyDescent="0.25">
      <c r="A1826">
        <v>14</v>
      </c>
      <c r="B1826" t="s">
        <v>1676</v>
      </c>
      <c r="C1826">
        <v>7716597</v>
      </c>
      <c r="D1826" t="str">
        <f>"1864-3396"</f>
        <v>1864-3396</v>
      </c>
      <c r="E1826" t="s">
        <v>15</v>
      </c>
      <c r="F1826" t="s">
        <v>1835</v>
      </c>
      <c r="G1826">
        <v>1</v>
      </c>
    </row>
    <row r="1827" spans="1:7" x14ac:dyDescent="0.25">
      <c r="A1827">
        <v>14</v>
      </c>
      <c r="B1827" t="s">
        <v>1676</v>
      </c>
      <c r="C1827">
        <v>8783604</v>
      </c>
      <c r="D1827" t="str">
        <f>"1381-0472"</f>
        <v>1381-0472</v>
      </c>
      <c r="E1827" t="s">
        <v>15</v>
      </c>
      <c r="F1827" t="s">
        <v>1836</v>
      </c>
      <c r="G1827">
        <v>1</v>
      </c>
    </row>
    <row r="1828" spans="1:7" x14ac:dyDescent="0.25">
      <c r="A1828">
        <v>14</v>
      </c>
      <c r="B1828" t="s">
        <v>1676</v>
      </c>
      <c r="C1828">
        <v>27378</v>
      </c>
      <c r="D1828" t="str">
        <f>"1121-8940"</f>
        <v>1121-8940</v>
      </c>
      <c r="E1828" t="s">
        <v>8</v>
      </c>
      <c r="F1828" t="s">
        <v>1837</v>
      </c>
      <c r="G1828">
        <v>1</v>
      </c>
    </row>
    <row r="1829" spans="1:7" x14ac:dyDescent="0.25">
      <c r="A1829">
        <v>14</v>
      </c>
      <c r="B1829" t="s">
        <v>1676</v>
      </c>
      <c r="C1829">
        <v>530</v>
      </c>
      <c r="D1829" t="str">
        <f>"0266-3554"</f>
        <v>0266-3554</v>
      </c>
      <c r="E1829" t="s">
        <v>8</v>
      </c>
      <c r="F1829" t="s">
        <v>1838</v>
      </c>
      <c r="G1829">
        <v>1</v>
      </c>
    </row>
    <row r="1830" spans="1:7" x14ac:dyDescent="0.25">
      <c r="A1830">
        <v>14</v>
      </c>
      <c r="B1830" t="s">
        <v>1676</v>
      </c>
      <c r="C1830">
        <v>3340</v>
      </c>
      <c r="D1830" t="str">
        <f>"0933-3096"</f>
        <v>0933-3096</v>
      </c>
      <c r="E1830" t="s">
        <v>8</v>
      </c>
      <c r="F1830" t="s">
        <v>1839</v>
      </c>
      <c r="G1830">
        <v>1</v>
      </c>
    </row>
    <row r="1831" spans="1:7" x14ac:dyDescent="0.25">
      <c r="A1831">
        <v>14</v>
      </c>
      <c r="B1831" t="s">
        <v>1676</v>
      </c>
      <c r="C1831">
        <v>25985</v>
      </c>
      <c r="D1831" t="str">
        <f>"0073-0327"</f>
        <v>0073-0327</v>
      </c>
      <c r="E1831" t="s">
        <v>8</v>
      </c>
      <c r="F1831" t="s">
        <v>1840</v>
      </c>
      <c r="G1831">
        <v>1</v>
      </c>
    </row>
    <row r="1832" spans="1:7" x14ac:dyDescent="0.25">
      <c r="A1832">
        <v>14</v>
      </c>
      <c r="B1832" t="s">
        <v>1676</v>
      </c>
      <c r="C1832">
        <v>8783605</v>
      </c>
      <c r="E1832" t="s">
        <v>15</v>
      </c>
      <c r="F1832" t="s">
        <v>1841</v>
      </c>
      <c r="G1832">
        <v>1</v>
      </c>
    </row>
    <row r="1833" spans="1:7" x14ac:dyDescent="0.25">
      <c r="A1833">
        <v>14</v>
      </c>
      <c r="B1833" t="s">
        <v>1676</v>
      </c>
      <c r="C1833">
        <v>13609</v>
      </c>
      <c r="D1833" t="str">
        <f>"0017-9841"</f>
        <v>0017-9841</v>
      </c>
      <c r="E1833" t="s">
        <v>8</v>
      </c>
      <c r="F1833" t="s">
        <v>1842</v>
      </c>
      <c r="G1833">
        <v>1</v>
      </c>
    </row>
    <row r="1834" spans="1:7" x14ac:dyDescent="0.25">
      <c r="A1834">
        <v>14</v>
      </c>
      <c r="B1834" t="s">
        <v>1676</v>
      </c>
      <c r="C1834">
        <v>24469</v>
      </c>
      <c r="D1834" t="str">
        <f>"0018-0270"</f>
        <v>0018-0270</v>
      </c>
      <c r="E1834" t="s">
        <v>8</v>
      </c>
      <c r="F1834" t="s">
        <v>1843</v>
      </c>
      <c r="G1834">
        <v>1</v>
      </c>
    </row>
    <row r="1835" spans="1:7" x14ac:dyDescent="0.25">
      <c r="A1835">
        <v>14</v>
      </c>
      <c r="B1835" t="s">
        <v>1676</v>
      </c>
      <c r="C1835">
        <v>8783606</v>
      </c>
      <c r="D1835" t="str">
        <f>"2033-7469"</f>
        <v>2033-7469</v>
      </c>
      <c r="E1835" t="s">
        <v>15</v>
      </c>
      <c r="F1835" t="s">
        <v>1844</v>
      </c>
      <c r="G1835">
        <v>1</v>
      </c>
    </row>
    <row r="1836" spans="1:7" x14ac:dyDescent="0.25">
      <c r="A1836">
        <v>14</v>
      </c>
      <c r="B1836" t="s">
        <v>1676</v>
      </c>
      <c r="C1836">
        <v>493</v>
      </c>
      <c r="D1836" t="str">
        <f>"0018-2257"</f>
        <v>0018-2257</v>
      </c>
      <c r="E1836" t="s">
        <v>8</v>
      </c>
      <c r="F1836" t="s">
        <v>1845</v>
      </c>
      <c r="G1836">
        <v>1</v>
      </c>
    </row>
    <row r="1837" spans="1:7" x14ac:dyDescent="0.25">
      <c r="A1837">
        <v>14</v>
      </c>
      <c r="B1837" t="s">
        <v>1676</v>
      </c>
      <c r="C1837">
        <v>12453</v>
      </c>
      <c r="D1837" t="str">
        <f>"0752-5702"</f>
        <v>0752-5702</v>
      </c>
      <c r="E1837" t="s">
        <v>8</v>
      </c>
      <c r="F1837" t="s">
        <v>1846</v>
      </c>
      <c r="G1837">
        <v>1</v>
      </c>
    </row>
    <row r="1838" spans="1:7" x14ac:dyDescent="0.25">
      <c r="A1838">
        <v>14</v>
      </c>
      <c r="B1838" t="s">
        <v>1676</v>
      </c>
      <c r="C1838">
        <v>6870</v>
      </c>
      <c r="D1838" t="str">
        <f>"1270-0835"</f>
        <v>1270-0835</v>
      </c>
      <c r="E1838" t="s">
        <v>8</v>
      </c>
      <c r="F1838" t="s">
        <v>1697</v>
      </c>
      <c r="G1838">
        <v>1</v>
      </c>
    </row>
    <row r="1839" spans="1:7" x14ac:dyDescent="0.25">
      <c r="A1839">
        <v>14</v>
      </c>
      <c r="B1839" t="s">
        <v>1676</v>
      </c>
      <c r="C1839">
        <v>27195</v>
      </c>
      <c r="D1839" t="str">
        <f>"1519-3314"</f>
        <v>1519-3314</v>
      </c>
      <c r="E1839" t="s">
        <v>8</v>
      </c>
      <c r="F1839" t="s">
        <v>1847</v>
      </c>
      <c r="G1839">
        <v>1</v>
      </c>
    </row>
    <row r="1840" spans="1:7" x14ac:dyDescent="0.25">
      <c r="A1840">
        <v>14</v>
      </c>
      <c r="B1840" t="s">
        <v>1676</v>
      </c>
      <c r="C1840">
        <v>8630</v>
      </c>
      <c r="D1840" t="str">
        <f>"0018-246X"</f>
        <v>0018-246X</v>
      </c>
      <c r="E1840" t="s">
        <v>8</v>
      </c>
      <c r="F1840" t="s">
        <v>1848</v>
      </c>
      <c r="G1840">
        <v>1</v>
      </c>
    </row>
    <row r="1841" spans="1:7" x14ac:dyDescent="0.25">
      <c r="A1841">
        <v>14</v>
      </c>
      <c r="B1841" t="s">
        <v>1676</v>
      </c>
      <c r="C1841">
        <v>4253</v>
      </c>
      <c r="D1841" t="str">
        <f>"1465-4466"</f>
        <v>1465-4466</v>
      </c>
      <c r="E1841" t="s">
        <v>8</v>
      </c>
      <c r="F1841" t="s">
        <v>1849</v>
      </c>
      <c r="G1841">
        <v>1</v>
      </c>
    </row>
    <row r="1842" spans="1:7" x14ac:dyDescent="0.25">
      <c r="A1842">
        <v>14</v>
      </c>
      <c r="B1842" t="s">
        <v>1676</v>
      </c>
      <c r="C1842">
        <v>3626</v>
      </c>
      <c r="D1842" t="str">
        <f>"0315-7997"</f>
        <v>0315-7997</v>
      </c>
      <c r="E1842" t="s">
        <v>8</v>
      </c>
      <c r="F1842" t="s">
        <v>1850</v>
      </c>
      <c r="G1842">
        <v>1</v>
      </c>
    </row>
    <row r="1843" spans="1:7" x14ac:dyDescent="0.25">
      <c r="A1843">
        <v>14</v>
      </c>
      <c r="B1843" t="s">
        <v>1676</v>
      </c>
      <c r="C1843">
        <v>3145</v>
      </c>
      <c r="D1843" t="str">
        <f>"0950-3471"</f>
        <v>0950-3471</v>
      </c>
      <c r="E1843" t="s">
        <v>8</v>
      </c>
      <c r="F1843" t="s">
        <v>1851</v>
      </c>
      <c r="G1843">
        <v>1</v>
      </c>
    </row>
    <row r="1844" spans="1:7" x14ac:dyDescent="0.25">
      <c r="A1844">
        <v>14</v>
      </c>
      <c r="B1844" t="s">
        <v>1676</v>
      </c>
      <c r="C1844">
        <v>18089</v>
      </c>
      <c r="D1844" t="str">
        <f>"0172-6404"</f>
        <v>0172-6404</v>
      </c>
      <c r="E1844" t="s">
        <v>8</v>
      </c>
      <c r="F1844" t="s">
        <v>1852</v>
      </c>
      <c r="G1844">
        <v>1</v>
      </c>
    </row>
    <row r="1845" spans="1:7" x14ac:dyDescent="0.25">
      <c r="A1845">
        <v>14</v>
      </c>
      <c r="B1845" t="s">
        <v>1676</v>
      </c>
      <c r="C1845">
        <v>24409</v>
      </c>
      <c r="D1845" t="str">
        <f>"1362-1572"</f>
        <v>1362-1572</v>
      </c>
      <c r="E1845" t="s">
        <v>8</v>
      </c>
      <c r="F1845" t="s">
        <v>1853</v>
      </c>
      <c r="G1845">
        <v>1</v>
      </c>
    </row>
    <row r="1846" spans="1:7" x14ac:dyDescent="0.25">
      <c r="A1846">
        <v>14</v>
      </c>
      <c r="B1846" t="s">
        <v>1676</v>
      </c>
      <c r="C1846">
        <v>8783607</v>
      </c>
      <c r="E1846" t="s">
        <v>15</v>
      </c>
      <c r="F1846" t="s">
        <v>1854</v>
      </c>
      <c r="G1846">
        <v>1</v>
      </c>
    </row>
    <row r="1847" spans="1:7" x14ac:dyDescent="0.25">
      <c r="A1847">
        <v>14</v>
      </c>
      <c r="B1847" t="s">
        <v>1676</v>
      </c>
      <c r="C1847">
        <v>27431</v>
      </c>
      <c r="D1847" t="str">
        <f>"0939-5385"</f>
        <v>0939-5385</v>
      </c>
      <c r="E1847" t="s">
        <v>15</v>
      </c>
      <c r="F1847" t="s">
        <v>1855</v>
      </c>
      <c r="G1847">
        <v>1</v>
      </c>
    </row>
    <row r="1848" spans="1:7" x14ac:dyDescent="0.25">
      <c r="A1848">
        <v>14</v>
      </c>
      <c r="B1848" t="s">
        <v>1676</v>
      </c>
      <c r="C1848">
        <v>15792</v>
      </c>
      <c r="D1848" t="str">
        <f>"0018-2621"</f>
        <v>0018-2621</v>
      </c>
      <c r="E1848" t="s">
        <v>8</v>
      </c>
      <c r="F1848" t="s">
        <v>1856</v>
      </c>
      <c r="G1848">
        <v>1</v>
      </c>
    </row>
    <row r="1849" spans="1:7" x14ac:dyDescent="0.25">
      <c r="A1849">
        <v>14</v>
      </c>
      <c r="B1849" t="s">
        <v>1676</v>
      </c>
      <c r="C1849">
        <v>7139</v>
      </c>
      <c r="D1849" t="str">
        <f>"0046-7596"</f>
        <v>0046-7596</v>
      </c>
      <c r="E1849" t="s">
        <v>8</v>
      </c>
      <c r="F1849" t="s">
        <v>1857</v>
      </c>
      <c r="G1849">
        <v>1</v>
      </c>
    </row>
    <row r="1850" spans="1:7" x14ac:dyDescent="0.25">
      <c r="A1850">
        <v>14</v>
      </c>
      <c r="B1850" t="s">
        <v>1676</v>
      </c>
      <c r="C1850">
        <v>3711</v>
      </c>
      <c r="D1850" t="str">
        <f>"0734-1512"</f>
        <v>0734-1512</v>
      </c>
      <c r="E1850" t="s">
        <v>8</v>
      </c>
      <c r="F1850" t="s">
        <v>1858</v>
      </c>
      <c r="G1850">
        <v>1</v>
      </c>
    </row>
    <row r="1851" spans="1:7" x14ac:dyDescent="0.25">
      <c r="A1851">
        <v>14</v>
      </c>
      <c r="B1851" t="s">
        <v>1676</v>
      </c>
      <c r="C1851">
        <v>27620</v>
      </c>
      <c r="E1851" t="s">
        <v>8</v>
      </c>
      <c r="F1851" t="s">
        <v>1859</v>
      </c>
      <c r="G1851">
        <v>1</v>
      </c>
    </row>
    <row r="1852" spans="1:7" x14ac:dyDescent="0.25">
      <c r="A1852">
        <v>14</v>
      </c>
      <c r="B1852" t="s">
        <v>1676</v>
      </c>
      <c r="C1852">
        <v>11735</v>
      </c>
      <c r="D1852" t="str">
        <f>"1122-8792"</f>
        <v>1122-8792</v>
      </c>
      <c r="E1852" t="s">
        <v>8</v>
      </c>
      <c r="F1852" t="s">
        <v>1860</v>
      </c>
      <c r="G1852">
        <v>1</v>
      </c>
    </row>
    <row r="1853" spans="1:7" x14ac:dyDescent="0.25">
      <c r="A1853">
        <v>14</v>
      </c>
      <c r="B1853" t="s">
        <v>1676</v>
      </c>
      <c r="C1853">
        <v>27738</v>
      </c>
      <c r="D1853" t="str">
        <f>"1037-0196"</f>
        <v>1037-0196</v>
      </c>
      <c r="E1853" t="s">
        <v>8</v>
      </c>
      <c r="F1853" t="s">
        <v>1861</v>
      </c>
      <c r="G1853">
        <v>1</v>
      </c>
    </row>
    <row r="1854" spans="1:7" x14ac:dyDescent="0.25">
      <c r="A1854">
        <v>14</v>
      </c>
      <c r="B1854" t="s">
        <v>1676</v>
      </c>
      <c r="C1854">
        <v>11403</v>
      </c>
      <c r="E1854" t="s">
        <v>8</v>
      </c>
      <c r="F1854" t="s">
        <v>1862</v>
      </c>
      <c r="G1854">
        <v>1</v>
      </c>
    </row>
    <row r="1855" spans="1:7" x14ac:dyDescent="0.25">
      <c r="A1855">
        <v>14</v>
      </c>
      <c r="B1855" t="s">
        <v>1676</v>
      </c>
      <c r="C1855">
        <v>7054</v>
      </c>
      <c r="D1855" t="str">
        <f>"0018-2753"</f>
        <v>0018-2753</v>
      </c>
      <c r="E1855" t="s">
        <v>8</v>
      </c>
      <c r="F1855" t="s">
        <v>1863</v>
      </c>
      <c r="G1855">
        <v>1</v>
      </c>
    </row>
    <row r="1856" spans="1:7" x14ac:dyDescent="0.25">
      <c r="A1856">
        <v>14</v>
      </c>
      <c r="B1856" t="s">
        <v>1676</v>
      </c>
      <c r="C1856">
        <v>153447</v>
      </c>
      <c r="D1856" t="str">
        <f>"2046-5963"</f>
        <v>2046-5963</v>
      </c>
      <c r="E1856" t="s">
        <v>8</v>
      </c>
      <c r="F1856" t="s">
        <v>1864</v>
      </c>
      <c r="G1856">
        <v>1</v>
      </c>
    </row>
    <row r="1857" spans="1:7" x14ac:dyDescent="0.25">
      <c r="A1857">
        <v>14</v>
      </c>
      <c r="B1857" t="s">
        <v>1676</v>
      </c>
      <c r="C1857">
        <v>14321</v>
      </c>
      <c r="D1857" t="str">
        <f>"8756-6583"</f>
        <v>8756-6583</v>
      </c>
      <c r="E1857" t="s">
        <v>8</v>
      </c>
      <c r="F1857" t="s">
        <v>1865</v>
      </c>
      <c r="G1857">
        <v>1</v>
      </c>
    </row>
    <row r="1858" spans="1:7" x14ac:dyDescent="0.25">
      <c r="A1858">
        <v>14</v>
      </c>
      <c r="B1858" t="s">
        <v>1676</v>
      </c>
      <c r="C1858">
        <v>5100</v>
      </c>
      <c r="D1858" t="str">
        <f>"1403-8668"</f>
        <v>1403-8668</v>
      </c>
      <c r="E1858" t="s">
        <v>8</v>
      </c>
      <c r="F1858" t="s">
        <v>1866</v>
      </c>
      <c r="G1858">
        <v>1</v>
      </c>
    </row>
    <row r="1859" spans="1:7" x14ac:dyDescent="0.25">
      <c r="A1859">
        <v>14</v>
      </c>
      <c r="B1859" t="s">
        <v>1676</v>
      </c>
      <c r="C1859">
        <v>4133</v>
      </c>
      <c r="D1859" t="str">
        <f>"1890-1832"</f>
        <v>1890-1832</v>
      </c>
      <c r="E1859" t="s">
        <v>8</v>
      </c>
      <c r="F1859" t="s">
        <v>1867</v>
      </c>
      <c r="G1859">
        <v>1</v>
      </c>
    </row>
    <row r="1860" spans="1:7" x14ac:dyDescent="0.25">
      <c r="A1860">
        <v>14</v>
      </c>
      <c r="B1860" t="s">
        <v>1676</v>
      </c>
      <c r="C1860">
        <v>2666</v>
      </c>
      <c r="D1860" t="str">
        <f>"0308-5694"</f>
        <v>0308-5694</v>
      </c>
      <c r="E1860" t="s">
        <v>8</v>
      </c>
      <c r="F1860" t="s">
        <v>1868</v>
      </c>
      <c r="G1860">
        <v>1</v>
      </c>
    </row>
    <row r="1861" spans="1:7" x14ac:dyDescent="0.25">
      <c r="A1861">
        <v>14</v>
      </c>
      <c r="B1861" t="s">
        <v>1676</v>
      </c>
      <c r="C1861">
        <v>8782560</v>
      </c>
      <c r="D1861" t="str">
        <f>"2191-6721"</f>
        <v>2191-6721</v>
      </c>
      <c r="E1861" t="s">
        <v>8</v>
      </c>
      <c r="F1861" t="s">
        <v>1869</v>
      </c>
      <c r="G1861">
        <v>1</v>
      </c>
    </row>
    <row r="1862" spans="1:7" x14ac:dyDescent="0.25">
      <c r="A1862">
        <v>14</v>
      </c>
      <c r="B1862" t="s">
        <v>1676</v>
      </c>
      <c r="C1862">
        <v>102504</v>
      </c>
      <c r="D1862" t="str">
        <f>"1932-6556"</f>
        <v>1932-6556</v>
      </c>
      <c r="E1862" t="s">
        <v>8</v>
      </c>
      <c r="F1862" t="s">
        <v>1870</v>
      </c>
      <c r="G1862">
        <v>1</v>
      </c>
    </row>
    <row r="1863" spans="1:7" x14ac:dyDescent="0.25">
      <c r="A1863">
        <v>14</v>
      </c>
      <c r="B1863" t="s">
        <v>1676</v>
      </c>
      <c r="C1863">
        <v>15919</v>
      </c>
      <c r="D1863" t="str">
        <f>"0147-5479"</f>
        <v>0147-5479</v>
      </c>
      <c r="E1863" t="s">
        <v>8</v>
      </c>
      <c r="F1863" t="s">
        <v>1871</v>
      </c>
      <c r="G1863">
        <v>1</v>
      </c>
    </row>
    <row r="1864" spans="1:7" x14ac:dyDescent="0.25">
      <c r="A1864">
        <v>14</v>
      </c>
      <c r="B1864" t="s">
        <v>1676</v>
      </c>
      <c r="C1864">
        <v>8783608</v>
      </c>
      <c r="E1864" t="s">
        <v>15</v>
      </c>
      <c r="F1864" t="s">
        <v>1872</v>
      </c>
      <c r="G1864">
        <v>1</v>
      </c>
    </row>
    <row r="1865" spans="1:7" x14ac:dyDescent="0.25">
      <c r="A1865">
        <v>14</v>
      </c>
      <c r="B1865" t="s">
        <v>1676</v>
      </c>
      <c r="C1865">
        <v>25450</v>
      </c>
      <c r="D1865" t="str">
        <f>"0332-4893"</f>
        <v>0332-4893</v>
      </c>
      <c r="E1865" t="s">
        <v>8</v>
      </c>
      <c r="F1865" t="s">
        <v>1873</v>
      </c>
      <c r="G1865">
        <v>1</v>
      </c>
    </row>
    <row r="1866" spans="1:7" x14ac:dyDescent="0.25">
      <c r="A1866">
        <v>14</v>
      </c>
      <c r="B1866" t="s">
        <v>1676</v>
      </c>
      <c r="C1866">
        <v>22751</v>
      </c>
      <c r="D1866" t="str">
        <f>"0165-1153"</f>
        <v>0165-1153</v>
      </c>
      <c r="E1866" t="s">
        <v>8</v>
      </c>
      <c r="F1866" t="s">
        <v>1874</v>
      </c>
      <c r="G1866">
        <v>1</v>
      </c>
    </row>
    <row r="1867" spans="1:7" x14ac:dyDescent="0.25">
      <c r="A1867">
        <v>14</v>
      </c>
      <c r="B1867" t="s">
        <v>1676</v>
      </c>
      <c r="C1867">
        <v>16857</v>
      </c>
      <c r="D1867" t="str">
        <f>"1436-6371"</f>
        <v>1436-6371</v>
      </c>
      <c r="E1867" t="s">
        <v>8</v>
      </c>
      <c r="F1867" t="s">
        <v>1875</v>
      </c>
      <c r="G1867">
        <v>1</v>
      </c>
    </row>
    <row r="1868" spans="1:7" x14ac:dyDescent="0.25">
      <c r="A1868">
        <v>14</v>
      </c>
      <c r="B1868" t="s">
        <v>1676</v>
      </c>
      <c r="C1868">
        <v>407</v>
      </c>
      <c r="D1868" t="str">
        <f>"0944-629X"</f>
        <v>0944-629X</v>
      </c>
      <c r="E1868" t="s">
        <v>8</v>
      </c>
      <c r="F1868" t="s">
        <v>1876</v>
      </c>
      <c r="G1868">
        <v>1</v>
      </c>
    </row>
    <row r="1869" spans="1:7" x14ac:dyDescent="0.25">
      <c r="A1869">
        <v>14</v>
      </c>
      <c r="B1869" t="s">
        <v>1676</v>
      </c>
      <c r="C1869">
        <v>12046</v>
      </c>
      <c r="D1869" t="str">
        <f>"1860-8248"</f>
        <v>1860-8248</v>
      </c>
      <c r="E1869" t="s">
        <v>8</v>
      </c>
      <c r="F1869" t="s">
        <v>1877</v>
      </c>
      <c r="G1869">
        <v>1</v>
      </c>
    </row>
    <row r="1870" spans="1:7" x14ac:dyDescent="0.25">
      <c r="A1870">
        <v>14</v>
      </c>
      <c r="B1870" t="s">
        <v>1676</v>
      </c>
      <c r="C1870">
        <v>14359</v>
      </c>
      <c r="D1870" t="str">
        <f>"0075-2800"</f>
        <v>0075-2800</v>
      </c>
      <c r="E1870" t="s">
        <v>8</v>
      </c>
      <c r="F1870" t="s">
        <v>1878</v>
      </c>
      <c r="G1870">
        <v>1</v>
      </c>
    </row>
    <row r="1871" spans="1:7" x14ac:dyDescent="0.25">
      <c r="A1871">
        <v>14</v>
      </c>
      <c r="B1871" t="s">
        <v>1676</v>
      </c>
      <c r="C1871">
        <v>180022</v>
      </c>
      <c r="D1871" t="str">
        <f>"2245-9499"</f>
        <v>2245-9499</v>
      </c>
      <c r="E1871" t="s">
        <v>8</v>
      </c>
      <c r="F1871" t="s">
        <v>1879</v>
      </c>
      <c r="G1871">
        <v>1</v>
      </c>
    </row>
    <row r="1872" spans="1:7" x14ac:dyDescent="0.25">
      <c r="A1872">
        <v>14</v>
      </c>
      <c r="B1872" t="s">
        <v>1676</v>
      </c>
      <c r="C1872">
        <v>574</v>
      </c>
      <c r="D1872" t="str">
        <f>"1462-169X"</f>
        <v>1462-169X</v>
      </c>
      <c r="E1872" t="s">
        <v>8</v>
      </c>
      <c r="F1872" t="s">
        <v>1880</v>
      </c>
      <c r="G1872">
        <v>1</v>
      </c>
    </row>
    <row r="1873" spans="1:7" x14ac:dyDescent="0.25">
      <c r="A1873">
        <v>14</v>
      </c>
      <c r="B1873" t="s">
        <v>1676</v>
      </c>
      <c r="C1873">
        <v>16395</v>
      </c>
      <c r="D1873" t="str">
        <f>"0334-701X"</f>
        <v>0334-701X</v>
      </c>
      <c r="E1873" t="s">
        <v>8</v>
      </c>
      <c r="F1873" t="s">
        <v>1881</v>
      </c>
      <c r="G1873">
        <v>1</v>
      </c>
    </row>
    <row r="1874" spans="1:7" x14ac:dyDescent="0.25">
      <c r="A1874">
        <v>14</v>
      </c>
      <c r="B1874" t="s">
        <v>1676</v>
      </c>
      <c r="C1874">
        <v>126836</v>
      </c>
      <c r="D1874" t="str">
        <f>"2153-3369"</f>
        <v>2153-3369</v>
      </c>
      <c r="E1874" t="s">
        <v>8</v>
      </c>
      <c r="F1874" t="s">
        <v>1882</v>
      </c>
      <c r="G1874">
        <v>1</v>
      </c>
    </row>
    <row r="1875" spans="1:7" x14ac:dyDescent="0.25">
      <c r="A1875">
        <v>14</v>
      </c>
      <c r="B1875" t="s">
        <v>1676</v>
      </c>
      <c r="C1875">
        <v>8813</v>
      </c>
      <c r="D1875" t="str">
        <f>"1681-7001"</f>
        <v>1681-7001</v>
      </c>
      <c r="E1875" t="s">
        <v>8</v>
      </c>
      <c r="F1875" t="s">
        <v>1883</v>
      </c>
      <c r="G1875">
        <v>1</v>
      </c>
    </row>
    <row r="1876" spans="1:7" x14ac:dyDescent="0.25">
      <c r="A1876">
        <v>14</v>
      </c>
      <c r="B1876" t="s">
        <v>1676</v>
      </c>
      <c r="C1876">
        <v>19485</v>
      </c>
      <c r="D1876" t="str">
        <f>"1004-9371"</f>
        <v>1004-9371</v>
      </c>
      <c r="E1876" t="s">
        <v>15</v>
      </c>
      <c r="F1876" t="s">
        <v>1884</v>
      </c>
      <c r="G1876">
        <v>1</v>
      </c>
    </row>
    <row r="1877" spans="1:7" x14ac:dyDescent="0.25">
      <c r="A1877">
        <v>14</v>
      </c>
      <c r="B1877" t="s">
        <v>1676</v>
      </c>
      <c r="C1877">
        <v>7751923</v>
      </c>
      <c r="D1877" t="str">
        <f>"2324-8106"</f>
        <v>2324-8106</v>
      </c>
      <c r="E1877" t="s">
        <v>8</v>
      </c>
      <c r="F1877" t="s">
        <v>1885</v>
      </c>
      <c r="G1877">
        <v>1</v>
      </c>
    </row>
    <row r="1878" spans="1:7" x14ac:dyDescent="0.25">
      <c r="A1878">
        <v>14</v>
      </c>
      <c r="B1878" t="s">
        <v>1676</v>
      </c>
      <c r="C1878">
        <v>9241</v>
      </c>
      <c r="E1878" t="s">
        <v>8</v>
      </c>
      <c r="F1878" t="s">
        <v>1886</v>
      </c>
      <c r="G1878">
        <v>1</v>
      </c>
    </row>
    <row r="1879" spans="1:7" x14ac:dyDescent="0.25">
      <c r="A1879">
        <v>14</v>
      </c>
      <c r="B1879" t="s">
        <v>1676</v>
      </c>
      <c r="C1879">
        <v>7751938</v>
      </c>
      <c r="E1879" t="s">
        <v>8</v>
      </c>
      <c r="F1879" t="s">
        <v>1887</v>
      </c>
      <c r="G1879">
        <v>1</v>
      </c>
    </row>
    <row r="1880" spans="1:7" x14ac:dyDescent="0.25">
      <c r="A1880">
        <v>14</v>
      </c>
      <c r="B1880" t="s">
        <v>1676</v>
      </c>
      <c r="C1880">
        <v>2805</v>
      </c>
      <c r="D1880" t="str">
        <f>"1740-0228"</f>
        <v>1740-0228</v>
      </c>
      <c r="E1880" t="s">
        <v>8</v>
      </c>
      <c r="F1880" t="s">
        <v>1888</v>
      </c>
      <c r="G1880">
        <v>1</v>
      </c>
    </row>
    <row r="1881" spans="1:7" x14ac:dyDescent="0.25">
      <c r="A1881">
        <v>14</v>
      </c>
      <c r="B1881" t="s">
        <v>1676</v>
      </c>
      <c r="C1881">
        <v>2853</v>
      </c>
      <c r="D1881" t="str">
        <f>"1463-6174"</f>
        <v>1463-6174</v>
      </c>
      <c r="E1881" t="s">
        <v>8</v>
      </c>
      <c r="F1881" t="s">
        <v>1889</v>
      </c>
      <c r="G1881">
        <v>1</v>
      </c>
    </row>
    <row r="1882" spans="1:7" x14ac:dyDescent="0.25">
      <c r="A1882">
        <v>14</v>
      </c>
      <c r="B1882" t="s">
        <v>1676</v>
      </c>
      <c r="C1882">
        <v>314</v>
      </c>
      <c r="D1882" t="str">
        <f>"0022-1953"</f>
        <v>0022-1953</v>
      </c>
      <c r="E1882" t="s">
        <v>8</v>
      </c>
      <c r="F1882" t="s">
        <v>1890</v>
      </c>
      <c r="G1882">
        <v>1</v>
      </c>
    </row>
    <row r="1883" spans="1:7" x14ac:dyDescent="0.25">
      <c r="A1883">
        <v>14</v>
      </c>
      <c r="B1883" t="s">
        <v>1676</v>
      </c>
      <c r="C1883">
        <v>3624</v>
      </c>
      <c r="D1883" t="str">
        <f>"1353-1042"</f>
        <v>1353-1042</v>
      </c>
      <c r="E1883" t="s">
        <v>8</v>
      </c>
      <c r="F1883" t="s">
        <v>1891</v>
      </c>
      <c r="G1883">
        <v>1</v>
      </c>
    </row>
    <row r="1884" spans="1:7" x14ac:dyDescent="0.25">
      <c r="A1884">
        <v>14</v>
      </c>
      <c r="B1884" t="s">
        <v>1676</v>
      </c>
      <c r="C1884">
        <v>4399</v>
      </c>
      <c r="D1884" t="str">
        <f>"0899-3718"</f>
        <v>0899-3718</v>
      </c>
      <c r="E1884" t="s">
        <v>8</v>
      </c>
      <c r="F1884" t="s">
        <v>1892</v>
      </c>
      <c r="G1884">
        <v>1</v>
      </c>
    </row>
    <row r="1885" spans="1:7" x14ac:dyDescent="0.25">
      <c r="A1885">
        <v>14</v>
      </c>
      <c r="B1885" t="s">
        <v>1676</v>
      </c>
      <c r="C1885">
        <v>25571</v>
      </c>
      <c r="D1885" t="str">
        <f>"1753-5654"</f>
        <v>1753-5654</v>
      </c>
      <c r="E1885" t="s">
        <v>8</v>
      </c>
      <c r="F1885" t="s">
        <v>1893</v>
      </c>
      <c r="G1885">
        <v>1</v>
      </c>
    </row>
    <row r="1886" spans="1:7" x14ac:dyDescent="0.25">
      <c r="A1886">
        <v>14</v>
      </c>
      <c r="B1886" t="s">
        <v>1676</v>
      </c>
      <c r="C1886">
        <v>5657</v>
      </c>
      <c r="D1886" t="str">
        <f>"1538-5132"</f>
        <v>1538-5132</v>
      </c>
      <c r="E1886" t="s">
        <v>8</v>
      </c>
      <c r="F1886" t="s">
        <v>1894</v>
      </c>
      <c r="G1886">
        <v>1</v>
      </c>
    </row>
    <row r="1887" spans="1:7" x14ac:dyDescent="0.25">
      <c r="A1887">
        <v>14</v>
      </c>
      <c r="B1887" t="s">
        <v>1676</v>
      </c>
      <c r="C1887">
        <v>3912</v>
      </c>
      <c r="D1887" t="str">
        <f>"1748-538X"</f>
        <v>1748-538X</v>
      </c>
      <c r="E1887" t="s">
        <v>8</v>
      </c>
      <c r="F1887" t="s">
        <v>1895</v>
      </c>
      <c r="G1887">
        <v>1</v>
      </c>
    </row>
    <row r="1888" spans="1:7" x14ac:dyDescent="0.25">
      <c r="A1888">
        <v>14</v>
      </c>
      <c r="B1888" t="s">
        <v>1676</v>
      </c>
      <c r="C1888">
        <v>644</v>
      </c>
      <c r="D1888" t="str">
        <f>"1059-4329"</f>
        <v>1059-4329</v>
      </c>
      <c r="E1888" t="s">
        <v>8</v>
      </c>
      <c r="F1888" t="s">
        <v>1896</v>
      </c>
      <c r="G1888">
        <v>1</v>
      </c>
    </row>
    <row r="1889" spans="1:7" x14ac:dyDescent="0.25">
      <c r="A1889">
        <v>14</v>
      </c>
      <c r="B1889" t="s">
        <v>1676</v>
      </c>
      <c r="C1889">
        <v>3568</v>
      </c>
      <c r="D1889" t="str">
        <f>"0275-1275"</f>
        <v>0275-1275</v>
      </c>
      <c r="E1889" t="s">
        <v>8</v>
      </c>
      <c r="F1889" t="s">
        <v>1897</v>
      </c>
      <c r="G1889">
        <v>1</v>
      </c>
    </row>
    <row r="1890" spans="1:7" x14ac:dyDescent="0.25">
      <c r="A1890">
        <v>14</v>
      </c>
      <c r="B1890" t="s">
        <v>1676</v>
      </c>
      <c r="C1890">
        <v>27701</v>
      </c>
      <c r="D1890" t="str">
        <f>"1939-6724"</f>
        <v>1939-6724</v>
      </c>
      <c r="E1890" t="s">
        <v>8</v>
      </c>
      <c r="F1890" t="s">
        <v>1898</v>
      </c>
      <c r="G1890">
        <v>1</v>
      </c>
    </row>
    <row r="1891" spans="1:7" x14ac:dyDescent="0.25">
      <c r="A1891">
        <v>14</v>
      </c>
      <c r="B1891" t="s">
        <v>1676</v>
      </c>
      <c r="C1891">
        <v>9303</v>
      </c>
      <c r="D1891" t="str">
        <f>"1053-8372"</f>
        <v>1053-8372</v>
      </c>
      <c r="E1891" t="s">
        <v>8</v>
      </c>
      <c r="F1891" t="s">
        <v>1899</v>
      </c>
      <c r="G1891">
        <v>1</v>
      </c>
    </row>
    <row r="1892" spans="1:7" x14ac:dyDescent="0.25">
      <c r="A1892">
        <v>14</v>
      </c>
      <c r="B1892" t="s">
        <v>1676</v>
      </c>
      <c r="C1892">
        <v>368</v>
      </c>
      <c r="D1892" t="str">
        <f>"1388-199X"</f>
        <v>1388-199X</v>
      </c>
      <c r="E1892" t="s">
        <v>8</v>
      </c>
      <c r="F1892" t="s">
        <v>1900</v>
      </c>
      <c r="G1892">
        <v>1</v>
      </c>
    </row>
    <row r="1893" spans="1:7" x14ac:dyDescent="0.25">
      <c r="A1893">
        <v>14</v>
      </c>
      <c r="B1893" t="s">
        <v>1676</v>
      </c>
      <c r="C1893">
        <v>3238</v>
      </c>
      <c r="D1893" t="str">
        <f>"0894-8410"</f>
        <v>0894-8410</v>
      </c>
      <c r="E1893" t="s">
        <v>8</v>
      </c>
      <c r="F1893" t="s">
        <v>1901</v>
      </c>
      <c r="G1893">
        <v>1</v>
      </c>
    </row>
    <row r="1894" spans="1:7" x14ac:dyDescent="0.25">
      <c r="A1894">
        <v>14</v>
      </c>
      <c r="B1894" t="s">
        <v>1676</v>
      </c>
      <c r="C1894">
        <v>12137</v>
      </c>
      <c r="D1894" t="str">
        <f>"0022-5169"</f>
        <v>0022-5169</v>
      </c>
      <c r="E1894" t="s">
        <v>8</v>
      </c>
      <c r="F1894" t="s">
        <v>1902</v>
      </c>
      <c r="G1894">
        <v>1</v>
      </c>
    </row>
    <row r="1895" spans="1:7" x14ac:dyDescent="0.25">
      <c r="A1895">
        <v>14</v>
      </c>
      <c r="B1895" t="s">
        <v>1676</v>
      </c>
      <c r="C1895">
        <v>6172674</v>
      </c>
      <c r="D1895" t="str">
        <f>"1755-182X"</f>
        <v>1755-182X</v>
      </c>
      <c r="E1895" t="s">
        <v>8</v>
      </c>
      <c r="F1895" t="s">
        <v>1903</v>
      </c>
      <c r="G1895">
        <v>1</v>
      </c>
    </row>
    <row r="1896" spans="1:7" x14ac:dyDescent="0.25">
      <c r="A1896">
        <v>14</v>
      </c>
      <c r="B1896" t="s">
        <v>1676</v>
      </c>
      <c r="C1896">
        <v>6849</v>
      </c>
      <c r="D1896" t="str">
        <f>"0096-1442"</f>
        <v>0096-1442</v>
      </c>
      <c r="E1896" t="s">
        <v>8</v>
      </c>
      <c r="F1896" t="s">
        <v>1904</v>
      </c>
      <c r="G1896">
        <v>1</v>
      </c>
    </row>
    <row r="1897" spans="1:7" x14ac:dyDescent="0.25">
      <c r="A1897">
        <v>14</v>
      </c>
      <c r="B1897" t="s">
        <v>1676</v>
      </c>
      <c r="C1897">
        <v>8783609</v>
      </c>
      <c r="E1897" t="s">
        <v>15</v>
      </c>
      <c r="F1897" t="s">
        <v>1905</v>
      </c>
      <c r="G1897">
        <v>1</v>
      </c>
    </row>
    <row r="1898" spans="1:7" x14ac:dyDescent="0.25">
      <c r="A1898">
        <v>14</v>
      </c>
      <c r="B1898" t="s">
        <v>1676</v>
      </c>
      <c r="C1898">
        <v>10017</v>
      </c>
      <c r="D1898" t="str">
        <f>"0075-6334"</f>
        <v>0075-6334</v>
      </c>
      <c r="E1898" t="s">
        <v>8</v>
      </c>
      <c r="F1898" t="s">
        <v>1906</v>
      </c>
      <c r="G1898">
        <v>1</v>
      </c>
    </row>
    <row r="1899" spans="1:7" x14ac:dyDescent="0.25">
      <c r="A1899">
        <v>14</v>
      </c>
      <c r="B1899" t="s">
        <v>1676</v>
      </c>
      <c r="C1899">
        <v>14571</v>
      </c>
      <c r="D1899" t="str">
        <f>"0023-4826"</f>
        <v>0023-4826</v>
      </c>
      <c r="E1899" t="s">
        <v>8</v>
      </c>
      <c r="F1899" t="s">
        <v>1907</v>
      </c>
      <c r="G1899">
        <v>1</v>
      </c>
    </row>
    <row r="1900" spans="1:7" x14ac:dyDescent="0.25">
      <c r="A1900">
        <v>14</v>
      </c>
      <c r="B1900" t="s">
        <v>1676</v>
      </c>
      <c r="C1900">
        <v>22272</v>
      </c>
      <c r="D1900" t="str">
        <f>"0023-6942"</f>
        <v>0023-6942</v>
      </c>
      <c r="E1900" t="s">
        <v>8</v>
      </c>
      <c r="F1900" t="s">
        <v>1908</v>
      </c>
      <c r="G1900">
        <v>1</v>
      </c>
    </row>
    <row r="1901" spans="1:7" x14ac:dyDescent="0.25">
      <c r="A1901">
        <v>14</v>
      </c>
      <c r="B1901" t="s">
        <v>1676</v>
      </c>
      <c r="C1901">
        <v>18836</v>
      </c>
      <c r="D1901" t="str">
        <f>"0961-5652"</f>
        <v>0961-5652</v>
      </c>
      <c r="E1901" t="s">
        <v>8</v>
      </c>
      <c r="F1901" t="s">
        <v>1909</v>
      </c>
      <c r="G1901">
        <v>1</v>
      </c>
    </row>
    <row r="1902" spans="1:7" x14ac:dyDescent="0.25">
      <c r="A1902">
        <v>14</v>
      </c>
      <c r="B1902" t="s">
        <v>1676</v>
      </c>
      <c r="C1902">
        <v>16191</v>
      </c>
      <c r="D1902" t="str">
        <f>"0700-3862"</f>
        <v>0700-3862</v>
      </c>
      <c r="E1902" t="s">
        <v>8</v>
      </c>
      <c r="F1902" t="s">
        <v>1910</v>
      </c>
      <c r="G1902">
        <v>1</v>
      </c>
    </row>
    <row r="1903" spans="1:7" x14ac:dyDescent="0.25">
      <c r="A1903">
        <v>14</v>
      </c>
      <c r="B1903" t="s">
        <v>1676</v>
      </c>
      <c r="C1903">
        <v>27083</v>
      </c>
      <c r="D1903" t="str">
        <f>"1604-4878"</f>
        <v>1604-4878</v>
      </c>
      <c r="E1903" t="s">
        <v>8</v>
      </c>
      <c r="F1903" t="s">
        <v>1911</v>
      </c>
      <c r="G1903">
        <v>1</v>
      </c>
    </row>
    <row r="1904" spans="1:7" x14ac:dyDescent="0.25">
      <c r="A1904">
        <v>14</v>
      </c>
      <c r="B1904" t="s">
        <v>1676</v>
      </c>
      <c r="C1904">
        <v>8783610</v>
      </c>
      <c r="E1904" t="s">
        <v>15</v>
      </c>
      <c r="F1904" t="s">
        <v>1912</v>
      </c>
      <c r="G1904">
        <v>1</v>
      </c>
    </row>
    <row r="1905" spans="1:7" x14ac:dyDescent="0.25">
      <c r="A1905">
        <v>14</v>
      </c>
      <c r="B1905" t="s">
        <v>1676</v>
      </c>
      <c r="C1905">
        <v>98</v>
      </c>
      <c r="D1905" t="str">
        <f>"1872-7875"</f>
        <v>1872-7875</v>
      </c>
      <c r="E1905" t="s">
        <v>15</v>
      </c>
      <c r="F1905" t="s">
        <v>1913</v>
      </c>
      <c r="G1905">
        <v>1</v>
      </c>
    </row>
    <row r="1906" spans="1:7" x14ac:dyDescent="0.25">
      <c r="A1906">
        <v>14</v>
      </c>
      <c r="B1906" t="s">
        <v>1676</v>
      </c>
      <c r="C1906">
        <v>16264</v>
      </c>
      <c r="D1906" t="str">
        <f>"0027-2671"</f>
        <v>0027-2671</v>
      </c>
      <c r="E1906" t="s">
        <v>8</v>
      </c>
      <c r="F1906" t="s">
        <v>1914</v>
      </c>
      <c r="G1906">
        <v>1</v>
      </c>
    </row>
    <row r="1907" spans="1:7" x14ac:dyDescent="0.25">
      <c r="A1907">
        <v>14</v>
      </c>
      <c r="B1907" t="s">
        <v>1676</v>
      </c>
      <c r="C1907">
        <v>12714</v>
      </c>
      <c r="D1907" t="str">
        <f>"0027-2841"</f>
        <v>0027-2841</v>
      </c>
      <c r="E1907" t="s">
        <v>8</v>
      </c>
      <c r="F1907" t="s">
        <v>1915</v>
      </c>
      <c r="G1907">
        <v>1</v>
      </c>
    </row>
    <row r="1908" spans="1:7" x14ac:dyDescent="0.25">
      <c r="A1908">
        <v>14</v>
      </c>
      <c r="B1908" t="s">
        <v>1676</v>
      </c>
      <c r="C1908">
        <v>7968</v>
      </c>
      <c r="D1908" t="str">
        <f>"0771-6494"</f>
        <v>0771-6494</v>
      </c>
      <c r="E1908" t="s">
        <v>8</v>
      </c>
      <c r="F1908" t="s">
        <v>1916</v>
      </c>
      <c r="G1908">
        <v>1</v>
      </c>
    </row>
    <row r="1909" spans="1:7" x14ac:dyDescent="0.25">
      <c r="A1909">
        <v>14</v>
      </c>
      <c r="B1909" t="s">
        <v>1676</v>
      </c>
      <c r="C1909">
        <v>10805</v>
      </c>
      <c r="D1909" t="str">
        <f>"0075-8744"</f>
        <v>0075-8744</v>
      </c>
      <c r="E1909" t="s">
        <v>8</v>
      </c>
      <c r="F1909" t="s">
        <v>1917</v>
      </c>
      <c r="G1909">
        <v>1</v>
      </c>
    </row>
    <row r="1910" spans="1:7" x14ac:dyDescent="0.25">
      <c r="A1910">
        <v>14</v>
      </c>
      <c r="B1910" t="s">
        <v>1676</v>
      </c>
      <c r="C1910">
        <v>13464</v>
      </c>
      <c r="D1910" t="str">
        <f>"0182-2411"</f>
        <v>0182-2411</v>
      </c>
      <c r="E1910" t="s">
        <v>8</v>
      </c>
      <c r="F1910" t="s">
        <v>1918</v>
      </c>
      <c r="G1910">
        <v>1</v>
      </c>
    </row>
    <row r="1911" spans="1:7" x14ac:dyDescent="0.25">
      <c r="A1911">
        <v>14</v>
      </c>
      <c r="B1911" t="s">
        <v>1676</v>
      </c>
      <c r="C1911">
        <v>14237</v>
      </c>
      <c r="D1911" t="str">
        <f>"1209-3696"</f>
        <v>1209-3696</v>
      </c>
      <c r="E1911" t="s">
        <v>8</v>
      </c>
      <c r="F1911" t="s">
        <v>1919</v>
      </c>
      <c r="G1911">
        <v>1</v>
      </c>
    </row>
    <row r="1912" spans="1:7" x14ac:dyDescent="0.25">
      <c r="A1912">
        <v>14</v>
      </c>
      <c r="B1912" t="s">
        <v>1676</v>
      </c>
      <c r="C1912">
        <v>16953</v>
      </c>
      <c r="D1912" t="str">
        <f>"0076-5864"</f>
        <v>0076-5864</v>
      </c>
      <c r="E1912" t="s">
        <v>8</v>
      </c>
      <c r="F1912" t="s">
        <v>1920</v>
      </c>
      <c r="G1912">
        <v>1</v>
      </c>
    </row>
    <row r="1913" spans="1:7" x14ac:dyDescent="0.25">
      <c r="A1913">
        <v>14</v>
      </c>
      <c r="B1913" t="s">
        <v>1676</v>
      </c>
      <c r="C1913">
        <v>5938</v>
      </c>
      <c r="D1913" t="str">
        <f>"0076-5872"</f>
        <v>0076-5872</v>
      </c>
      <c r="E1913" t="s">
        <v>8</v>
      </c>
      <c r="F1913" t="s">
        <v>1921</v>
      </c>
      <c r="G1913">
        <v>1</v>
      </c>
    </row>
    <row r="1914" spans="1:7" x14ac:dyDescent="0.25">
      <c r="A1914">
        <v>14</v>
      </c>
      <c r="B1914" t="s">
        <v>1676</v>
      </c>
      <c r="C1914">
        <v>7059</v>
      </c>
      <c r="D1914" t="str">
        <f>"0361-946X"</f>
        <v>0361-946X</v>
      </c>
      <c r="E1914" t="s">
        <v>8</v>
      </c>
      <c r="F1914" t="s">
        <v>1922</v>
      </c>
      <c r="G1914">
        <v>1</v>
      </c>
    </row>
    <row r="1915" spans="1:7" x14ac:dyDescent="0.25">
      <c r="A1915">
        <v>14</v>
      </c>
      <c r="B1915" t="s">
        <v>1676</v>
      </c>
      <c r="C1915">
        <v>81579</v>
      </c>
      <c r="D1915" t="str">
        <f>"0934-7453"</f>
        <v>0934-7453</v>
      </c>
      <c r="E1915" t="s">
        <v>8</v>
      </c>
      <c r="F1915" t="s">
        <v>1923</v>
      </c>
      <c r="G1915">
        <v>1</v>
      </c>
    </row>
    <row r="1916" spans="1:7" x14ac:dyDescent="0.25">
      <c r="A1916">
        <v>14</v>
      </c>
      <c r="B1916" t="s">
        <v>1676</v>
      </c>
      <c r="C1916">
        <v>925</v>
      </c>
      <c r="D1916" t="str">
        <f>"1380-7854"</f>
        <v>1380-7854</v>
      </c>
      <c r="E1916" t="s">
        <v>8</v>
      </c>
      <c r="F1916" t="s">
        <v>1924</v>
      </c>
      <c r="G1916">
        <v>1</v>
      </c>
    </row>
    <row r="1917" spans="1:7" x14ac:dyDescent="0.25">
      <c r="A1917">
        <v>14</v>
      </c>
      <c r="B1917" t="s">
        <v>1676</v>
      </c>
      <c r="C1917">
        <v>9799</v>
      </c>
      <c r="D1917" t="str">
        <f>"1057-5367"</f>
        <v>1057-5367</v>
      </c>
      <c r="E1917" t="s">
        <v>8</v>
      </c>
      <c r="F1917" t="s">
        <v>1925</v>
      </c>
      <c r="G1917">
        <v>1</v>
      </c>
    </row>
    <row r="1918" spans="1:7" x14ac:dyDescent="0.25">
      <c r="A1918">
        <v>14</v>
      </c>
      <c r="B1918" t="s">
        <v>1676</v>
      </c>
      <c r="C1918">
        <v>9608</v>
      </c>
      <c r="D1918" t="str">
        <f>"0198-9405"</f>
        <v>0198-9405</v>
      </c>
      <c r="E1918" t="s">
        <v>8</v>
      </c>
      <c r="F1918" t="s">
        <v>1926</v>
      </c>
      <c r="G1918">
        <v>1</v>
      </c>
    </row>
    <row r="1919" spans="1:7" x14ac:dyDescent="0.25">
      <c r="A1919">
        <v>14</v>
      </c>
      <c r="B1919" t="s">
        <v>1676</v>
      </c>
      <c r="C1919">
        <v>8775603</v>
      </c>
      <c r="E1919" t="s">
        <v>8</v>
      </c>
      <c r="F1919" t="s">
        <v>1927</v>
      </c>
      <c r="G1919">
        <v>1</v>
      </c>
    </row>
    <row r="1920" spans="1:7" x14ac:dyDescent="0.25">
      <c r="A1920">
        <v>14</v>
      </c>
      <c r="B1920" t="s">
        <v>1676</v>
      </c>
      <c r="C1920">
        <v>12374</v>
      </c>
      <c r="D1920" t="str">
        <f>"1029-0737"</f>
        <v>1029-0737</v>
      </c>
      <c r="E1920" t="s">
        <v>15</v>
      </c>
      <c r="F1920" t="s">
        <v>1928</v>
      </c>
      <c r="G1920">
        <v>1</v>
      </c>
    </row>
    <row r="1921" spans="1:7" x14ac:dyDescent="0.25">
      <c r="A1921">
        <v>14</v>
      </c>
      <c r="B1921" t="s">
        <v>1676</v>
      </c>
      <c r="C1921">
        <v>1120</v>
      </c>
      <c r="D1921" t="str">
        <f>"0076-230X"</f>
        <v>0076-230X</v>
      </c>
      <c r="E1921" t="s">
        <v>15</v>
      </c>
      <c r="F1921" t="s">
        <v>1929</v>
      </c>
      <c r="G1921">
        <v>1</v>
      </c>
    </row>
    <row r="1922" spans="1:7" x14ac:dyDescent="0.25">
      <c r="A1922">
        <v>14</v>
      </c>
      <c r="B1922" t="s">
        <v>1676</v>
      </c>
      <c r="C1922">
        <v>11384</v>
      </c>
      <c r="D1922" t="str">
        <f>"1127-0195"</f>
        <v>1127-0195</v>
      </c>
      <c r="E1922" t="s">
        <v>8</v>
      </c>
      <c r="F1922" t="s">
        <v>1930</v>
      </c>
      <c r="G1922">
        <v>1</v>
      </c>
    </row>
    <row r="1923" spans="1:7" x14ac:dyDescent="0.25">
      <c r="A1923">
        <v>14</v>
      </c>
      <c r="B1923" t="s">
        <v>1676</v>
      </c>
      <c r="C1923">
        <v>482</v>
      </c>
      <c r="D1923" t="str">
        <f>"0047-729X"</f>
        <v>0047-729X</v>
      </c>
      <c r="E1923" t="s">
        <v>8</v>
      </c>
      <c r="F1923" t="s">
        <v>1931</v>
      </c>
      <c r="G1923">
        <v>1</v>
      </c>
    </row>
    <row r="1924" spans="1:7" x14ac:dyDescent="0.25">
      <c r="A1924">
        <v>14</v>
      </c>
      <c r="B1924" t="s">
        <v>1676</v>
      </c>
      <c r="C1924">
        <v>21833</v>
      </c>
      <c r="D1924" t="str">
        <f>"0147-037X"</f>
        <v>0147-037X</v>
      </c>
      <c r="E1924" t="s">
        <v>8</v>
      </c>
      <c r="F1924" t="s">
        <v>1932</v>
      </c>
      <c r="G1924">
        <v>1</v>
      </c>
    </row>
    <row r="1925" spans="1:7" x14ac:dyDescent="0.25">
      <c r="A1925">
        <v>14</v>
      </c>
      <c r="B1925" t="s">
        <v>1676</v>
      </c>
      <c r="C1925">
        <v>17542</v>
      </c>
      <c r="D1925" t="str">
        <f>"0073-8484"</f>
        <v>0073-8484</v>
      </c>
      <c r="E1925" t="s">
        <v>8</v>
      </c>
      <c r="F1925" t="s">
        <v>1933</v>
      </c>
      <c r="G1925">
        <v>1</v>
      </c>
    </row>
    <row r="1926" spans="1:7" x14ac:dyDescent="0.25">
      <c r="A1926">
        <v>14</v>
      </c>
      <c r="B1926" t="s">
        <v>1676</v>
      </c>
      <c r="C1926">
        <v>8783611</v>
      </c>
      <c r="E1926" t="s">
        <v>15</v>
      </c>
      <c r="F1926" t="s">
        <v>1934</v>
      </c>
      <c r="G1926">
        <v>1</v>
      </c>
    </row>
    <row r="1927" spans="1:7" x14ac:dyDescent="0.25">
      <c r="A1927">
        <v>14</v>
      </c>
      <c r="B1927" t="s">
        <v>1676</v>
      </c>
      <c r="C1927">
        <v>10624</v>
      </c>
      <c r="D1927" t="str">
        <f>"0026-9891"</f>
        <v>0026-9891</v>
      </c>
      <c r="E1927" t="s">
        <v>8</v>
      </c>
      <c r="F1927" t="s">
        <v>1935</v>
      </c>
      <c r="G1927">
        <v>1</v>
      </c>
    </row>
    <row r="1928" spans="1:7" x14ac:dyDescent="0.25">
      <c r="A1928">
        <v>14</v>
      </c>
      <c r="B1928" t="s">
        <v>1676</v>
      </c>
      <c r="C1928">
        <v>120420</v>
      </c>
      <c r="D1928" t="str">
        <f>"0722-4532"</f>
        <v>0722-4532</v>
      </c>
      <c r="E1928" t="s">
        <v>8</v>
      </c>
      <c r="F1928" t="s">
        <v>1936</v>
      </c>
      <c r="G1928">
        <v>1</v>
      </c>
    </row>
    <row r="1929" spans="1:7" x14ac:dyDescent="0.25">
      <c r="A1929">
        <v>14</v>
      </c>
      <c r="B1929" t="s">
        <v>1676</v>
      </c>
      <c r="C1929">
        <v>15476</v>
      </c>
      <c r="D1929" t="str">
        <f>"1460-8944"</f>
        <v>1460-8944</v>
      </c>
      <c r="E1929" t="s">
        <v>8</v>
      </c>
      <c r="F1929" t="s">
        <v>1937</v>
      </c>
      <c r="G1929">
        <v>1</v>
      </c>
    </row>
    <row r="1930" spans="1:7" x14ac:dyDescent="0.25">
      <c r="A1930">
        <v>14</v>
      </c>
      <c r="B1930" t="s">
        <v>1676</v>
      </c>
      <c r="C1930">
        <v>15145</v>
      </c>
      <c r="D1930" t="str">
        <f>"0078-107X"</f>
        <v>0078-107X</v>
      </c>
      <c r="E1930" t="s">
        <v>8</v>
      </c>
      <c r="F1930" t="s">
        <v>1938</v>
      </c>
      <c r="G1930">
        <v>1</v>
      </c>
    </row>
    <row r="1931" spans="1:7" x14ac:dyDescent="0.25">
      <c r="A1931">
        <v>14</v>
      </c>
      <c r="B1931" t="s">
        <v>1676</v>
      </c>
      <c r="C1931">
        <v>4334</v>
      </c>
      <c r="D1931" t="str">
        <f>"0078-172X"</f>
        <v>0078-172X</v>
      </c>
      <c r="E1931" t="s">
        <v>8</v>
      </c>
      <c r="F1931" t="s">
        <v>1939</v>
      </c>
      <c r="G1931">
        <v>1</v>
      </c>
    </row>
    <row r="1932" spans="1:7" x14ac:dyDescent="0.25">
      <c r="A1932">
        <v>14</v>
      </c>
      <c r="B1932" t="s">
        <v>1676</v>
      </c>
      <c r="C1932">
        <v>11718</v>
      </c>
      <c r="D1932" t="str">
        <f>"0035-9149"</f>
        <v>0035-9149</v>
      </c>
      <c r="E1932" t="s">
        <v>8</v>
      </c>
      <c r="F1932" t="s">
        <v>1940</v>
      </c>
      <c r="G1932">
        <v>1</v>
      </c>
    </row>
    <row r="1933" spans="1:7" x14ac:dyDescent="0.25">
      <c r="A1933">
        <v>14</v>
      </c>
      <c r="B1933" t="s">
        <v>1676</v>
      </c>
      <c r="C1933">
        <v>15189</v>
      </c>
      <c r="D1933" t="str">
        <f>"0029-5124"</f>
        <v>0029-5124</v>
      </c>
      <c r="E1933" t="s">
        <v>8</v>
      </c>
      <c r="F1933" t="s">
        <v>1941</v>
      </c>
      <c r="G1933">
        <v>1</v>
      </c>
    </row>
    <row r="1934" spans="1:7" x14ac:dyDescent="0.25">
      <c r="A1934">
        <v>14</v>
      </c>
      <c r="B1934" t="s">
        <v>1676</v>
      </c>
      <c r="C1934">
        <v>8032</v>
      </c>
      <c r="D1934" t="str">
        <f>"0078-2734"</f>
        <v>0078-2734</v>
      </c>
      <c r="E1934" t="s">
        <v>15</v>
      </c>
      <c r="F1934" t="s">
        <v>1942</v>
      </c>
      <c r="G1934">
        <v>1</v>
      </c>
    </row>
    <row r="1935" spans="1:7" x14ac:dyDescent="0.25">
      <c r="A1935">
        <v>14</v>
      </c>
      <c r="B1935" t="s">
        <v>1676</v>
      </c>
      <c r="C1935">
        <v>11636</v>
      </c>
      <c r="D1935" t="str">
        <f>"0029-6236"</f>
        <v>0029-6236</v>
      </c>
      <c r="E1935" t="s">
        <v>8</v>
      </c>
      <c r="F1935" t="s">
        <v>1943</v>
      </c>
      <c r="G1935">
        <v>1</v>
      </c>
    </row>
    <row r="1936" spans="1:7" x14ac:dyDescent="0.25">
      <c r="A1936">
        <v>14</v>
      </c>
      <c r="B1936" t="s">
        <v>1676</v>
      </c>
      <c r="C1936">
        <v>103598</v>
      </c>
      <c r="D1936" t="str">
        <f>"1126-098X"</f>
        <v>1126-098X</v>
      </c>
      <c r="E1936" t="s">
        <v>8</v>
      </c>
      <c r="F1936" t="s">
        <v>1944</v>
      </c>
      <c r="G1936">
        <v>1</v>
      </c>
    </row>
    <row r="1937" spans="1:7" x14ac:dyDescent="0.25">
      <c r="A1937">
        <v>14</v>
      </c>
      <c r="B1937" t="s">
        <v>1676</v>
      </c>
      <c r="C1937">
        <v>147760</v>
      </c>
      <c r="D1937" t="str">
        <f>"0378-8652"</f>
        <v>0378-8652</v>
      </c>
      <c r="E1937" t="s">
        <v>15</v>
      </c>
      <c r="F1937" t="s">
        <v>1945</v>
      </c>
      <c r="G1937">
        <v>1</v>
      </c>
    </row>
    <row r="1938" spans="1:7" x14ac:dyDescent="0.25">
      <c r="A1938">
        <v>14</v>
      </c>
      <c r="B1938" t="s">
        <v>1676</v>
      </c>
      <c r="C1938">
        <v>13718</v>
      </c>
      <c r="D1938" t="str">
        <f>"0030-4727"</f>
        <v>0030-4727</v>
      </c>
      <c r="E1938" t="s">
        <v>8</v>
      </c>
      <c r="F1938" t="s">
        <v>1946</v>
      </c>
      <c r="G1938">
        <v>1</v>
      </c>
    </row>
    <row r="1939" spans="1:7" x14ac:dyDescent="0.25">
      <c r="A1939">
        <v>14</v>
      </c>
      <c r="B1939" t="s">
        <v>1676</v>
      </c>
      <c r="C1939">
        <v>8783612</v>
      </c>
      <c r="E1939" t="s">
        <v>15</v>
      </c>
      <c r="F1939" t="s">
        <v>1947</v>
      </c>
      <c r="G1939">
        <v>1</v>
      </c>
    </row>
    <row r="1940" spans="1:7" x14ac:dyDescent="0.25">
      <c r="A1940">
        <v>14</v>
      </c>
      <c r="B1940" t="s">
        <v>1676</v>
      </c>
      <c r="C1940">
        <v>16791</v>
      </c>
      <c r="D1940" t="str">
        <f>"0030-8684"</f>
        <v>0030-8684</v>
      </c>
      <c r="E1940" t="s">
        <v>8</v>
      </c>
      <c r="F1940" t="s">
        <v>1948</v>
      </c>
      <c r="G1940">
        <v>1</v>
      </c>
    </row>
    <row r="1941" spans="1:7" x14ac:dyDescent="0.25">
      <c r="A1941">
        <v>14</v>
      </c>
      <c r="B1941" t="s">
        <v>1676</v>
      </c>
      <c r="C1941">
        <v>13481</v>
      </c>
      <c r="D1941" t="str">
        <f>"0030-8803"</f>
        <v>0030-8803</v>
      </c>
      <c r="E1941" t="s">
        <v>8</v>
      </c>
      <c r="F1941" t="s">
        <v>1949</v>
      </c>
      <c r="G1941">
        <v>1</v>
      </c>
    </row>
    <row r="1942" spans="1:7" x14ac:dyDescent="0.25">
      <c r="A1942">
        <v>14</v>
      </c>
      <c r="B1942" t="s">
        <v>1676</v>
      </c>
      <c r="C1942">
        <v>8783613</v>
      </c>
      <c r="E1942" t="s">
        <v>15</v>
      </c>
      <c r="F1942" t="s">
        <v>1950</v>
      </c>
      <c r="G1942">
        <v>1</v>
      </c>
    </row>
    <row r="1943" spans="1:7" x14ac:dyDescent="0.25">
      <c r="A1943">
        <v>14</v>
      </c>
      <c r="B1943" t="s">
        <v>1676</v>
      </c>
      <c r="C1943">
        <v>8783614</v>
      </c>
      <c r="E1943" t="s">
        <v>15</v>
      </c>
      <c r="F1943" t="s">
        <v>1951</v>
      </c>
      <c r="G1943">
        <v>1</v>
      </c>
    </row>
    <row r="1944" spans="1:7" x14ac:dyDescent="0.25">
      <c r="A1944">
        <v>14</v>
      </c>
      <c r="B1944" t="s">
        <v>1676</v>
      </c>
      <c r="C1944">
        <v>8783615</v>
      </c>
      <c r="E1944" t="s">
        <v>15</v>
      </c>
      <c r="F1944" t="s">
        <v>1952</v>
      </c>
      <c r="G1944">
        <v>1</v>
      </c>
    </row>
    <row r="1945" spans="1:7" x14ac:dyDescent="0.25">
      <c r="A1945">
        <v>14</v>
      </c>
      <c r="B1945" t="s">
        <v>1676</v>
      </c>
      <c r="C1945">
        <v>18225</v>
      </c>
      <c r="D1945" t="str">
        <f>"0264-2824"</f>
        <v>0264-2824</v>
      </c>
      <c r="E1945" t="s">
        <v>8</v>
      </c>
      <c r="F1945" t="s">
        <v>1953</v>
      </c>
      <c r="G1945">
        <v>1</v>
      </c>
    </row>
    <row r="1946" spans="1:7" x14ac:dyDescent="0.25">
      <c r="A1946">
        <v>14</v>
      </c>
      <c r="B1946" t="s">
        <v>1676</v>
      </c>
      <c r="C1946">
        <v>13425</v>
      </c>
      <c r="E1946" t="s">
        <v>8</v>
      </c>
      <c r="F1946" t="s">
        <v>1954</v>
      </c>
      <c r="G1946">
        <v>1</v>
      </c>
    </row>
    <row r="1947" spans="1:7" x14ac:dyDescent="0.25">
      <c r="A1947">
        <v>14</v>
      </c>
      <c r="B1947" t="s">
        <v>1676</v>
      </c>
      <c r="C1947">
        <v>14389</v>
      </c>
      <c r="D1947" t="str">
        <f>"0332-1592"</f>
        <v>0332-1592</v>
      </c>
      <c r="E1947" t="s">
        <v>8</v>
      </c>
      <c r="F1947" t="s">
        <v>1955</v>
      </c>
      <c r="G1947">
        <v>1</v>
      </c>
    </row>
    <row r="1948" spans="1:7" x14ac:dyDescent="0.25">
      <c r="A1948">
        <v>14</v>
      </c>
      <c r="B1948" t="s">
        <v>1676</v>
      </c>
      <c r="C1948">
        <v>7613</v>
      </c>
      <c r="D1948" t="str">
        <f>"1562-5346"</f>
        <v>1562-5346</v>
      </c>
      <c r="E1948" t="s">
        <v>8</v>
      </c>
      <c r="F1948" t="s">
        <v>1956</v>
      </c>
      <c r="G1948">
        <v>1</v>
      </c>
    </row>
    <row r="1949" spans="1:7" x14ac:dyDescent="0.25">
      <c r="A1949">
        <v>14</v>
      </c>
      <c r="B1949" t="s">
        <v>1676</v>
      </c>
      <c r="C1949">
        <v>1629</v>
      </c>
      <c r="D1949" t="str">
        <f>"0033-1031"</f>
        <v>0033-1031</v>
      </c>
      <c r="E1949" t="s">
        <v>8</v>
      </c>
      <c r="F1949" t="s">
        <v>1957</v>
      </c>
      <c r="G1949">
        <v>1</v>
      </c>
    </row>
    <row r="1950" spans="1:7" x14ac:dyDescent="0.25">
      <c r="A1950">
        <v>14</v>
      </c>
      <c r="B1950" t="s">
        <v>1676</v>
      </c>
      <c r="C1950">
        <v>115135</v>
      </c>
      <c r="D1950" t="str">
        <f>"1037-9851"</f>
        <v>1037-9851</v>
      </c>
      <c r="E1950" t="s">
        <v>8</v>
      </c>
      <c r="F1950" t="s">
        <v>1958</v>
      </c>
      <c r="G1950">
        <v>1</v>
      </c>
    </row>
    <row r="1951" spans="1:7" x14ac:dyDescent="0.25">
      <c r="A1951">
        <v>14</v>
      </c>
      <c r="B1951" t="s">
        <v>1676</v>
      </c>
      <c r="C1951">
        <v>110977</v>
      </c>
      <c r="D1951" t="str">
        <f>"0391-6936"</f>
        <v>0391-6936</v>
      </c>
      <c r="E1951" t="s">
        <v>8</v>
      </c>
      <c r="F1951" t="s">
        <v>1959</v>
      </c>
      <c r="G1951">
        <v>1</v>
      </c>
    </row>
    <row r="1952" spans="1:7" x14ac:dyDescent="0.25">
      <c r="A1952">
        <v>14</v>
      </c>
      <c r="B1952" t="s">
        <v>1676</v>
      </c>
      <c r="C1952">
        <v>16736</v>
      </c>
      <c r="D1952" t="str">
        <f>"0301-6307"</f>
        <v>0301-6307</v>
      </c>
      <c r="E1952" t="s">
        <v>8</v>
      </c>
      <c r="F1952" t="s">
        <v>1960</v>
      </c>
      <c r="G1952">
        <v>1</v>
      </c>
    </row>
    <row r="1953" spans="1:7" x14ac:dyDescent="0.25">
      <c r="A1953">
        <v>14</v>
      </c>
      <c r="B1953" t="s">
        <v>1676</v>
      </c>
      <c r="C1953">
        <v>11254</v>
      </c>
      <c r="D1953" t="str">
        <f>"0163-6545"</f>
        <v>0163-6545</v>
      </c>
      <c r="E1953" t="s">
        <v>8</v>
      </c>
      <c r="F1953" t="s">
        <v>1961</v>
      </c>
      <c r="G1953">
        <v>1</v>
      </c>
    </row>
    <row r="1954" spans="1:7" x14ac:dyDescent="0.25">
      <c r="A1954">
        <v>14</v>
      </c>
      <c r="B1954" t="s">
        <v>1676</v>
      </c>
      <c r="C1954">
        <v>5311</v>
      </c>
      <c r="D1954" t="str">
        <f>"0950-3129"</f>
        <v>0950-3129</v>
      </c>
      <c r="E1954" t="s">
        <v>8</v>
      </c>
      <c r="F1954" t="s">
        <v>1962</v>
      </c>
      <c r="G1954">
        <v>1</v>
      </c>
    </row>
    <row r="1955" spans="1:7" x14ac:dyDescent="0.25">
      <c r="A1955">
        <v>14</v>
      </c>
      <c r="B1955" t="s">
        <v>1676</v>
      </c>
      <c r="C1955">
        <v>27827</v>
      </c>
      <c r="E1955" t="s">
        <v>8</v>
      </c>
      <c r="F1955" t="s">
        <v>1963</v>
      </c>
      <c r="G1955">
        <v>1</v>
      </c>
    </row>
    <row r="1956" spans="1:7" x14ac:dyDescent="0.25">
      <c r="A1956">
        <v>14</v>
      </c>
      <c r="B1956" t="s">
        <v>1676</v>
      </c>
      <c r="C1956">
        <v>3874</v>
      </c>
      <c r="D1956" t="str">
        <f>"0034-429X"</f>
        <v>0034-429X</v>
      </c>
      <c r="E1956" t="s">
        <v>8</v>
      </c>
      <c r="F1956" t="s">
        <v>1964</v>
      </c>
      <c r="G1956">
        <v>1</v>
      </c>
    </row>
    <row r="1957" spans="1:7" x14ac:dyDescent="0.25">
      <c r="A1957">
        <v>14</v>
      </c>
      <c r="B1957" t="s">
        <v>1676</v>
      </c>
      <c r="C1957">
        <v>9780</v>
      </c>
      <c r="D1957" t="str">
        <f>"1188-3928"</f>
        <v>1188-3928</v>
      </c>
      <c r="E1957" t="s">
        <v>15</v>
      </c>
      <c r="F1957" t="s">
        <v>1965</v>
      </c>
      <c r="G1957">
        <v>1</v>
      </c>
    </row>
    <row r="1958" spans="1:7" x14ac:dyDescent="0.25">
      <c r="A1958">
        <v>14</v>
      </c>
      <c r="B1958" t="s">
        <v>1676</v>
      </c>
      <c r="C1958">
        <v>28722</v>
      </c>
      <c r="D1958" t="str">
        <f>"0743-4154"</f>
        <v>0743-4154</v>
      </c>
      <c r="E1958" t="s">
        <v>15</v>
      </c>
      <c r="F1958" t="s">
        <v>1966</v>
      </c>
      <c r="G1958">
        <v>1</v>
      </c>
    </row>
    <row r="1959" spans="1:7" x14ac:dyDescent="0.25">
      <c r="A1959">
        <v>14</v>
      </c>
      <c r="B1959" t="s">
        <v>1676</v>
      </c>
      <c r="C1959">
        <v>2441</v>
      </c>
      <c r="D1959" t="str">
        <f>"0048-7511"</f>
        <v>0048-7511</v>
      </c>
      <c r="E1959" t="s">
        <v>8</v>
      </c>
      <c r="F1959" t="s">
        <v>1967</v>
      </c>
      <c r="G1959">
        <v>1</v>
      </c>
    </row>
    <row r="1960" spans="1:7" x14ac:dyDescent="0.25">
      <c r="A1960">
        <v>14</v>
      </c>
      <c r="B1960" t="s">
        <v>1676</v>
      </c>
      <c r="C1960">
        <v>25005</v>
      </c>
      <c r="D1960" t="str">
        <f>"0212-6109"</f>
        <v>0212-6109</v>
      </c>
      <c r="E1960" t="s">
        <v>8</v>
      </c>
      <c r="F1960" t="s">
        <v>1968</v>
      </c>
      <c r="G1960">
        <v>1</v>
      </c>
    </row>
    <row r="1961" spans="1:7" x14ac:dyDescent="0.25">
      <c r="A1961">
        <v>14</v>
      </c>
      <c r="B1961" t="s">
        <v>1676</v>
      </c>
      <c r="C1961">
        <v>12309</v>
      </c>
      <c r="D1961" t="str">
        <f>"0034-8341"</f>
        <v>0034-8341</v>
      </c>
      <c r="E1961" t="s">
        <v>8</v>
      </c>
      <c r="F1961" t="s">
        <v>1969</v>
      </c>
      <c r="G1961">
        <v>1</v>
      </c>
    </row>
    <row r="1962" spans="1:7" x14ac:dyDescent="0.25">
      <c r="A1962">
        <v>14</v>
      </c>
      <c r="B1962" t="s">
        <v>1676</v>
      </c>
      <c r="C1962">
        <v>13180</v>
      </c>
      <c r="D1962" t="str">
        <f>"0954-6545"</f>
        <v>0954-6545</v>
      </c>
      <c r="E1962" t="s">
        <v>8</v>
      </c>
      <c r="F1962" t="s">
        <v>1970</v>
      </c>
      <c r="G1962">
        <v>1</v>
      </c>
    </row>
    <row r="1963" spans="1:7" x14ac:dyDescent="0.25">
      <c r="A1963">
        <v>14</v>
      </c>
      <c r="B1963" t="s">
        <v>1676</v>
      </c>
      <c r="C1963">
        <v>14835</v>
      </c>
      <c r="D1963" t="str">
        <f>"0035-0818"</f>
        <v>0035-0818</v>
      </c>
      <c r="E1963" t="s">
        <v>8</v>
      </c>
      <c r="F1963" t="s">
        <v>1971</v>
      </c>
      <c r="G1963">
        <v>1</v>
      </c>
    </row>
    <row r="1964" spans="1:7" x14ac:dyDescent="0.25">
      <c r="A1964">
        <v>14</v>
      </c>
      <c r="B1964" t="s">
        <v>1676</v>
      </c>
      <c r="C1964">
        <v>5121</v>
      </c>
      <c r="D1964" t="str">
        <f>"0035-2357"</f>
        <v>0035-2357</v>
      </c>
      <c r="E1964" t="s">
        <v>8</v>
      </c>
      <c r="F1964" t="s">
        <v>1972</v>
      </c>
      <c r="G1964">
        <v>1</v>
      </c>
    </row>
    <row r="1965" spans="1:7" x14ac:dyDescent="0.25">
      <c r="A1965">
        <v>14</v>
      </c>
      <c r="B1965" t="s">
        <v>1676</v>
      </c>
      <c r="C1965">
        <v>17107</v>
      </c>
      <c r="D1965" t="str">
        <f>"0035-2365"</f>
        <v>0035-2365</v>
      </c>
      <c r="E1965" t="s">
        <v>8</v>
      </c>
      <c r="F1965" t="s">
        <v>1973</v>
      </c>
      <c r="G1965">
        <v>1</v>
      </c>
    </row>
    <row r="1966" spans="1:7" x14ac:dyDescent="0.25">
      <c r="A1966">
        <v>14</v>
      </c>
      <c r="B1966" t="s">
        <v>1676</v>
      </c>
      <c r="C1966">
        <v>9412</v>
      </c>
      <c r="D1966" t="str">
        <f>"0330-8987"</f>
        <v>0330-8987</v>
      </c>
      <c r="E1966" t="s">
        <v>8</v>
      </c>
      <c r="F1966" t="s">
        <v>1974</v>
      </c>
      <c r="G1966">
        <v>1</v>
      </c>
    </row>
    <row r="1967" spans="1:7" x14ac:dyDescent="0.25">
      <c r="A1967">
        <v>14</v>
      </c>
      <c r="B1967" t="s">
        <v>1676</v>
      </c>
      <c r="C1967">
        <v>8258</v>
      </c>
      <c r="D1967" t="str">
        <f>"0048-8003"</f>
        <v>0048-8003</v>
      </c>
      <c r="E1967" t="s">
        <v>8</v>
      </c>
      <c r="F1967" t="s">
        <v>1975</v>
      </c>
      <c r="G1967">
        <v>1</v>
      </c>
    </row>
    <row r="1968" spans="1:7" x14ac:dyDescent="0.25">
      <c r="A1968">
        <v>14</v>
      </c>
      <c r="B1968" t="s">
        <v>1676</v>
      </c>
      <c r="C1968">
        <v>27442</v>
      </c>
      <c r="D1968" t="str">
        <f>"1280-9640"</f>
        <v>1280-9640</v>
      </c>
      <c r="E1968" t="s">
        <v>8</v>
      </c>
      <c r="F1968" t="s">
        <v>1976</v>
      </c>
      <c r="G1968">
        <v>1</v>
      </c>
    </row>
    <row r="1969" spans="1:7" x14ac:dyDescent="0.25">
      <c r="A1969">
        <v>14</v>
      </c>
      <c r="B1969" t="s">
        <v>1676</v>
      </c>
      <c r="C1969">
        <v>3802</v>
      </c>
      <c r="D1969" t="str">
        <f>"0035-3264"</f>
        <v>0035-3264</v>
      </c>
      <c r="E1969" t="s">
        <v>8</v>
      </c>
      <c r="F1969" t="s">
        <v>1977</v>
      </c>
      <c r="G1969">
        <v>1</v>
      </c>
    </row>
    <row r="1970" spans="1:7" x14ac:dyDescent="0.25">
      <c r="A1970">
        <v>14</v>
      </c>
      <c r="B1970" t="s">
        <v>1676</v>
      </c>
      <c r="C1970">
        <v>42637</v>
      </c>
      <c r="D1970" t="str">
        <f>"0772-9235"</f>
        <v>0772-9235</v>
      </c>
      <c r="E1970" t="s">
        <v>8</v>
      </c>
      <c r="F1970" t="s">
        <v>1978</v>
      </c>
      <c r="G1970">
        <v>1</v>
      </c>
    </row>
    <row r="1971" spans="1:7" x14ac:dyDescent="0.25">
      <c r="A1971">
        <v>14</v>
      </c>
      <c r="B1971" t="s">
        <v>1676</v>
      </c>
      <c r="C1971">
        <v>18219</v>
      </c>
      <c r="D1971" t="str">
        <f>"0393-3415"</f>
        <v>0393-3415</v>
      </c>
      <c r="E1971" t="s">
        <v>8</v>
      </c>
      <c r="F1971" t="s">
        <v>1979</v>
      </c>
      <c r="G1971">
        <v>1</v>
      </c>
    </row>
    <row r="1972" spans="1:7" x14ac:dyDescent="0.25">
      <c r="A1972">
        <v>14</v>
      </c>
      <c r="B1972" t="s">
        <v>1676</v>
      </c>
      <c r="C1972">
        <v>59030</v>
      </c>
      <c r="D1972" t="str">
        <f>"0300-340X"</f>
        <v>0300-340X</v>
      </c>
      <c r="E1972" t="s">
        <v>8</v>
      </c>
      <c r="F1972" t="s">
        <v>1980</v>
      </c>
      <c r="G1972">
        <v>1</v>
      </c>
    </row>
    <row r="1973" spans="1:7" x14ac:dyDescent="0.25">
      <c r="A1973">
        <v>14</v>
      </c>
      <c r="B1973" t="s">
        <v>1676</v>
      </c>
      <c r="C1973">
        <v>13567</v>
      </c>
      <c r="D1973" t="str">
        <f>"0035-7073"</f>
        <v>0035-7073</v>
      </c>
      <c r="E1973" t="s">
        <v>8</v>
      </c>
      <c r="F1973" t="s">
        <v>1981</v>
      </c>
      <c r="G1973">
        <v>1</v>
      </c>
    </row>
    <row r="1974" spans="1:7" x14ac:dyDescent="0.25">
      <c r="A1974">
        <v>14</v>
      </c>
      <c r="B1974" t="s">
        <v>1676</v>
      </c>
      <c r="C1974">
        <v>8783616</v>
      </c>
      <c r="E1974" t="s">
        <v>15</v>
      </c>
      <c r="F1974" t="s">
        <v>1982</v>
      </c>
      <c r="G1974">
        <v>1</v>
      </c>
    </row>
    <row r="1975" spans="1:7" x14ac:dyDescent="0.25">
      <c r="A1975">
        <v>14</v>
      </c>
      <c r="B1975" t="s">
        <v>1676</v>
      </c>
      <c r="C1975">
        <v>7758204</v>
      </c>
      <c r="E1975" t="s">
        <v>15</v>
      </c>
      <c r="F1975" t="s">
        <v>1983</v>
      </c>
      <c r="G1975">
        <v>1</v>
      </c>
    </row>
    <row r="1976" spans="1:7" x14ac:dyDescent="0.25">
      <c r="A1976">
        <v>14</v>
      </c>
      <c r="B1976" t="s">
        <v>1676</v>
      </c>
      <c r="C1976">
        <v>247</v>
      </c>
      <c r="D1976" t="str">
        <f>"0956-7933"</f>
        <v>0956-7933</v>
      </c>
      <c r="E1976" t="s">
        <v>8</v>
      </c>
      <c r="F1976" t="s">
        <v>1984</v>
      </c>
      <c r="G1976">
        <v>1</v>
      </c>
    </row>
    <row r="1977" spans="1:7" x14ac:dyDescent="0.25">
      <c r="A1977">
        <v>14</v>
      </c>
      <c r="B1977" t="s">
        <v>1676</v>
      </c>
      <c r="C1977">
        <v>8758227</v>
      </c>
      <c r="D1977" t="str">
        <f>"2408-9192"</f>
        <v>2408-9192</v>
      </c>
      <c r="E1977" t="s">
        <v>8</v>
      </c>
      <c r="F1977" t="s">
        <v>1985</v>
      </c>
      <c r="G1977">
        <v>1</v>
      </c>
    </row>
    <row r="1978" spans="1:7" x14ac:dyDescent="0.25">
      <c r="A1978">
        <v>14</v>
      </c>
      <c r="B1978" t="s">
        <v>1676</v>
      </c>
      <c r="C1978">
        <v>15857</v>
      </c>
      <c r="D1978" t="str">
        <f>"0256-8411"</f>
        <v>0256-8411</v>
      </c>
      <c r="E1978" t="s">
        <v>8</v>
      </c>
      <c r="F1978" t="s">
        <v>1986</v>
      </c>
      <c r="G1978">
        <v>1</v>
      </c>
    </row>
    <row r="1979" spans="1:7" x14ac:dyDescent="0.25">
      <c r="A1979">
        <v>14</v>
      </c>
      <c r="B1979" t="s">
        <v>1676</v>
      </c>
      <c r="C1979">
        <v>12691</v>
      </c>
      <c r="D1979" t="str">
        <f>"0036-5483"</f>
        <v>0036-5483</v>
      </c>
      <c r="E1979" t="s">
        <v>8</v>
      </c>
      <c r="F1979" t="s">
        <v>1987</v>
      </c>
      <c r="G1979">
        <v>1</v>
      </c>
    </row>
    <row r="1980" spans="1:7" x14ac:dyDescent="0.25">
      <c r="A1980">
        <v>14</v>
      </c>
      <c r="B1980" t="s">
        <v>1676</v>
      </c>
      <c r="C1980">
        <v>180023</v>
      </c>
      <c r="D1980" t="str">
        <f>"1904-5492"</f>
        <v>1904-5492</v>
      </c>
      <c r="E1980" t="s">
        <v>15</v>
      </c>
      <c r="F1980" t="s">
        <v>1988</v>
      </c>
      <c r="G1980">
        <v>1</v>
      </c>
    </row>
    <row r="1981" spans="1:7" x14ac:dyDescent="0.25">
      <c r="A1981">
        <v>14</v>
      </c>
      <c r="B1981" t="s">
        <v>1676</v>
      </c>
      <c r="C1981">
        <v>151832</v>
      </c>
      <c r="D1981" t="str">
        <f>"0334-4509"</f>
        <v>0334-4509</v>
      </c>
      <c r="E1981" t="s">
        <v>8</v>
      </c>
      <c r="F1981" t="s">
        <v>1989</v>
      </c>
      <c r="G1981">
        <v>1</v>
      </c>
    </row>
    <row r="1982" spans="1:7" x14ac:dyDescent="0.25">
      <c r="A1982">
        <v>14</v>
      </c>
      <c r="B1982" t="s">
        <v>1676</v>
      </c>
      <c r="C1982">
        <v>7596</v>
      </c>
      <c r="D1982" t="str">
        <f>"1652-4772"</f>
        <v>1652-4772</v>
      </c>
      <c r="E1982" t="s">
        <v>15</v>
      </c>
      <c r="F1982" t="s">
        <v>1990</v>
      </c>
      <c r="G1982">
        <v>1</v>
      </c>
    </row>
    <row r="1983" spans="1:7" x14ac:dyDescent="0.25">
      <c r="A1983">
        <v>14</v>
      </c>
      <c r="B1983" t="s">
        <v>1676</v>
      </c>
      <c r="C1983">
        <v>151838</v>
      </c>
      <c r="D1983" t="str">
        <f>"0904-1923"</f>
        <v>0904-1923</v>
      </c>
      <c r="E1983" t="s">
        <v>8</v>
      </c>
      <c r="F1983" t="s">
        <v>1991</v>
      </c>
      <c r="G1983">
        <v>1</v>
      </c>
    </row>
    <row r="1984" spans="1:7" x14ac:dyDescent="0.25">
      <c r="A1984">
        <v>14</v>
      </c>
      <c r="B1984" t="s">
        <v>1676</v>
      </c>
      <c r="C1984">
        <v>13513</v>
      </c>
      <c r="D1984" t="str">
        <f>"0144-039X"</f>
        <v>0144-039X</v>
      </c>
      <c r="E1984" t="s">
        <v>8</v>
      </c>
      <c r="F1984" t="s">
        <v>1992</v>
      </c>
      <c r="G1984">
        <v>1</v>
      </c>
    </row>
    <row r="1985" spans="1:7" x14ac:dyDescent="0.25">
      <c r="A1985">
        <v>14</v>
      </c>
      <c r="B1985" t="s">
        <v>1676</v>
      </c>
      <c r="C1985">
        <v>8783618</v>
      </c>
      <c r="E1985" t="s">
        <v>15</v>
      </c>
      <c r="F1985" t="s">
        <v>1993</v>
      </c>
      <c r="G1985">
        <v>1</v>
      </c>
    </row>
    <row r="1986" spans="1:7" x14ac:dyDescent="0.25">
      <c r="A1986">
        <v>14</v>
      </c>
      <c r="B1986" t="s">
        <v>1676</v>
      </c>
      <c r="C1986">
        <v>10326</v>
      </c>
      <c r="D1986" t="str">
        <f>"0145-5532"</f>
        <v>0145-5532</v>
      </c>
      <c r="E1986" t="s">
        <v>8</v>
      </c>
      <c r="F1986" t="s">
        <v>1994</v>
      </c>
      <c r="G1986">
        <v>1</v>
      </c>
    </row>
    <row r="1987" spans="1:7" x14ac:dyDescent="0.25">
      <c r="A1987">
        <v>14</v>
      </c>
      <c r="B1987" t="s">
        <v>1676</v>
      </c>
      <c r="C1987">
        <v>64586</v>
      </c>
      <c r="D1987" t="str">
        <f>"0106-4452"</f>
        <v>0106-4452</v>
      </c>
      <c r="E1987" t="s">
        <v>8</v>
      </c>
      <c r="F1987" t="s">
        <v>1995</v>
      </c>
      <c r="G1987">
        <v>1</v>
      </c>
    </row>
    <row r="1988" spans="1:7" x14ac:dyDescent="0.25">
      <c r="A1988">
        <v>14</v>
      </c>
      <c r="B1988" t="s">
        <v>1676</v>
      </c>
      <c r="C1988">
        <v>4144</v>
      </c>
      <c r="D1988" t="str">
        <f>"0258-2473"</f>
        <v>0258-2473</v>
      </c>
      <c r="E1988" t="s">
        <v>8</v>
      </c>
      <c r="F1988" t="s">
        <v>1996</v>
      </c>
      <c r="G1988">
        <v>1</v>
      </c>
    </row>
    <row r="1989" spans="1:7" x14ac:dyDescent="0.25">
      <c r="A1989">
        <v>14</v>
      </c>
      <c r="B1989" t="s">
        <v>1676</v>
      </c>
      <c r="C1989">
        <v>11060</v>
      </c>
      <c r="D1989" t="str">
        <f>"0038-478X"</f>
        <v>0038-478X</v>
      </c>
      <c r="E1989" t="s">
        <v>8</v>
      </c>
      <c r="F1989" t="s">
        <v>1997</v>
      </c>
      <c r="G1989">
        <v>1</v>
      </c>
    </row>
    <row r="1990" spans="1:7" x14ac:dyDescent="0.25">
      <c r="A1990">
        <v>14</v>
      </c>
      <c r="B1990" t="s">
        <v>1676</v>
      </c>
      <c r="C1990">
        <v>2148</v>
      </c>
      <c r="D1990" t="str">
        <f>"0080-4487"</f>
        <v>0080-4487</v>
      </c>
      <c r="E1990" t="s">
        <v>15</v>
      </c>
      <c r="F1990" t="s">
        <v>1998</v>
      </c>
      <c r="G1990">
        <v>1</v>
      </c>
    </row>
    <row r="1991" spans="1:7" x14ac:dyDescent="0.25">
      <c r="A1991">
        <v>14</v>
      </c>
      <c r="B1991" t="s">
        <v>1676</v>
      </c>
      <c r="C1991">
        <v>16750</v>
      </c>
      <c r="D1991" t="str">
        <f>"0392-8926"</f>
        <v>0392-8926</v>
      </c>
      <c r="E1991" t="s">
        <v>15</v>
      </c>
      <c r="F1991" t="s">
        <v>1999</v>
      </c>
      <c r="G1991">
        <v>1</v>
      </c>
    </row>
    <row r="1992" spans="1:7" x14ac:dyDescent="0.25">
      <c r="A1992">
        <v>14</v>
      </c>
      <c r="B1992" t="s">
        <v>1676</v>
      </c>
      <c r="C1992">
        <v>14202</v>
      </c>
      <c r="D1992" t="str">
        <f>"0039-3037"</f>
        <v>0039-3037</v>
      </c>
      <c r="E1992" t="s">
        <v>8</v>
      </c>
      <c r="F1992" t="s">
        <v>2000</v>
      </c>
      <c r="G1992">
        <v>1</v>
      </c>
    </row>
    <row r="1993" spans="1:7" x14ac:dyDescent="0.25">
      <c r="A1993">
        <v>14</v>
      </c>
      <c r="B1993" t="s">
        <v>1676</v>
      </c>
      <c r="C1993">
        <v>13314</v>
      </c>
      <c r="D1993" t="str">
        <f>"1650-755X"</f>
        <v>1650-755X</v>
      </c>
      <c r="E1993" t="s">
        <v>15</v>
      </c>
      <c r="F1993" t="s">
        <v>2001</v>
      </c>
      <c r="G1993">
        <v>1</v>
      </c>
    </row>
    <row r="1994" spans="1:7" x14ac:dyDescent="0.25">
      <c r="A1994">
        <v>14</v>
      </c>
      <c r="B1994" t="s">
        <v>1676</v>
      </c>
      <c r="C1994">
        <v>13644</v>
      </c>
      <c r="D1994" t="str">
        <f>"0356-8199"</f>
        <v>0356-8199</v>
      </c>
      <c r="E1994" t="s">
        <v>15</v>
      </c>
      <c r="F1994" t="s">
        <v>2002</v>
      </c>
      <c r="G1994">
        <v>1</v>
      </c>
    </row>
    <row r="1995" spans="1:7" x14ac:dyDescent="0.25">
      <c r="A1995">
        <v>14</v>
      </c>
      <c r="B1995" t="s">
        <v>1676</v>
      </c>
      <c r="C1995">
        <v>139414</v>
      </c>
      <c r="D1995" t="str">
        <f>"0213-2087"</f>
        <v>0213-2087</v>
      </c>
      <c r="E1995" t="s">
        <v>8</v>
      </c>
      <c r="F1995" t="s">
        <v>2003</v>
      </c>
      <c r="G1995">
        <v>1</v>
      </c>
    </row>
    <row r="1996" spans="1:7" x14ac:dyDescent="0.25">
      <c r="A1996">
        <v>14</v>
      </c>
      <c r="B1996" t="s">
        <v>1676</v>
      </c>
      <c r="C1996">
        <v>3367</v>
      </c>
      <c r="D1996" t="str">
        <f>"0081-6531"</f>
        <v>0081-6531</v>
      </c>
      <c r="E1996" t="s">
        <v>15</v>
      </c>
      <c r="F1996" t="s">
        <v>2004</v>
      </c>
      <c r="G1996">
        <v>1</v>
      </c>
    </row>
    <row r="1997" spans="1:7" x14ac:dyDescent="0.25">
      <c r="A1997">
        <v>14</v>
      </c>
      <c r="B1997" t="s">
        <v>1676</v>
      </c>
      <c r="C1997">
        <v>8783619</v>
      </c>
      <c r="E1997" t="s">
        <v>15</v>
      </c>
      <c r="F1997" t="s">
        <v>2005</v>
      </c>
      <c r="G1997">
        <v>1</v>
      </c>
    </row>
    <row r="1998" spans="1:7" x14ac:dyDescent="0.25">
      <c r="A1998">
        <v>14</v>
      </c>
      <c r="B1998" t="s">
        <v>1676</v>
      </c>
      <c r="C1998">
        <v>180021</v>
      </c>
      <c r="D1998" t="str">
        <f>"2246-2023"</f>
        <v>2246-2023</v>
      </c>
      <c r="E1998" t="s">
        <v>15</v>
      </c>
      <c r="F1998" t="s">
        <v>2006</v>
      </c>
      <c r="G1998">
        <v>1</v>
      </c>
    </row>
    <row r="1999" spans="1:7" x14ac:dyDescent="0.25">
      <c r="A1999">
        <v>14</v>
      </c>
      <c r="B1999" t="s">
        <v>1676</v>
      </c>
      <c r="C1999">
        <v>8783620</v>
      </c>
      <c r="E1999" t="s">
        <v>15</v>
      </c>
      <c r="F1999" t="s">
        <v>2007</v>
      </c>
      <c r="G1999">
        <v>1</v>
      </c>
    </row>
    <row r="2000" spans="1:7" x14ac:dyDescent="0.25">
      <c r="A2000">
        <v>14</v>
      </c>
      <c r="B2000" t="s">
        <v>1676</v>
      </c>
      <c r="C2000">
        <v>15374</v>
      </c>
      <c r="D2000" t="str">
        <f>"0360-2370"</f>
        <v>0360-2370</v>
      </c>
      <c r="E2000" t="s">
        <v>8</v>
      </c>
      <c r="F2000" t="s">
        <v>2008</v>
      </c>
      <c r="G2000">
        <v>1</v>
      </c>
    </row>
    <row r="2001" spans="1:7" x14ac:dyDescent="0.25">
      <c r="A2001">
        <v>14</v>
      </c>
      <c r="B2001" t="s">
        <v>1676</v>
      </c>
      <c r="C2001">
        <v>7581</v>
      </c>
      <c r="D2001" t="str">
        <f>"0257-6430"</f>
        <v>0257-6430</v>
      </c>
      <c r="E2001" t="s">
        <v>8</v>
      </c>
      <c r="F2001" t="s">
        <v>2009</v>
      </c>
      <c r="G2001">
        <v>1</v>
      </c>
    </row>
    <row r="2002" spans="1:7" x14ac:dyDescent="0.25">
      <c r="A2002">
        <v>14</v>
      </c>
      <c r="B2002" t="s">
        <v>1676</v>
      </c>
      <c r="C2002">
        <v>8783621</v>
      </c>
      <c r="E2002" t="s">
        <v>15</v>
      </c>
      <c r="F2002" t="s">
        <v>2010</v>
      </c>
      <c r="G2002">
        <v>1</v>
      </c>
    </row>
    <row r="2003" spans="1:7" x14ac:dyDescent="0.25">
      <c r="A2003">
        <v>14</v>
      </c>
      <c r="B2003" t="s">
        <v>1676</v>
      </c>
      <c r="C2003">
        <v>7104</v>
      </c>
      <c r="D2003" t="str">
        <f>"0039-4564"</f>
        <v>0039-4564</v>
      </c>
      <c r="E2003" t="s">
        <v>8</v>
      </c>
      <c r="F2003" t="s">
        <v>2011</v>
      </c>
      <c r="G2003">
        <v>1</v>
      </c>
    </row>
    <row r="2004" spans="1:7" x14ac:dyDescent="0.25">
      <c r="A2004">
        <v>14</v>
      </c>
      <c r="B2004" t="s">
        <v>1676</v>
      </c>
      <c r="C2004">
        <v>5794</v>
      </c>
      <c r="D2004" t="str">
        <f>"1385-920X"</f>
        <v>1385-920X</v>
      </c>
      <c r="E2004" t="s">
        <v>15</v>
      </c>
      <c r="F2004" t="s">
        <v>2012</v>
      </c>
      <c r="G2004">
        <v>1</v>
      </c>
    </row>
    <row r="2005" spans="1:7" x14ac:dyDescent="0.25">
      <c r="A2005">
        <v>14</v>
      </c>
      <c r="B2005" t="s">
        <v>1676</v>
      </c>
      <c r="C2005">
        <v>1550</v>
      </c>
      <c r="D2005" t="str">
        <f>"0780-5772"</f>
        <v>0780-5772</v>
      </c>
      <c r="E2005" t="s">
        <v>8</v>
      </c>
      <c r="F2005" t="s">
        <v>2013</v>
      </c>
      <c r="G2005">
        <v>1</v>
      </c>
    </row>
    <row r="2006" spans="1:7" x14ac:dyDescent="0.25">
      <c r="A2006">
        <v>14</v>
      </c>
      <c r="B2006" t="s">
        <v>1676</v>
      </c>
      <c r="C2006">
        <v>4937</v>
      </c>
      <c r="D2006" t="str">
        <f>"1743-5285"</f>
        <v>1743-5285</v>
      </c>
      <c r="E2006" t="s">
        <v>15</v>
      </c>
      <c r="F2006" t="s">
        <v>2014</v>
      </c>
      <c r="G2006">
        <v>1</v>
      </c>
    </row>
    <row r="2007" spans="1:7" x14ac:dyDescent="0.25">
      <c r="A2007">
        <v>14</v>
      </c>
      <c r="B2007" t="s">
        <v>1676</v>
      </c>
      <c r="C2007">
        <v>2728</v>
      </c>
      <c r="D2007" t="str">
        <f>"0003-1615"</f>
        <v>0003-1615</v>
      </c>
      <c r="E2007" t="s">
        <v>8</v>
      </c>
      <c r="F2007" t="s">
        <v>2015</v>
      </c>
      <c r="G2007">
        <v>1</v>
      </c>
    </row>
    <row r="2008" spans="1:7" x14ac:dyDescent="0.25">
      <c r="A2008">
        <v>14</v>
      </c>
      <c r="B2008" t="s">
        <v>1676</v>
      </c>
      <c r="C2008">
        <v>3033</v>
      </c>
      <c r="D2008" t="str">
        <f>"0008-8080"</f>
        <v>0008-8080</v>
      </c>
      <c r="E2008" t="s">
        <v>8</v>
      </c>
      <c r="F2008" t="s">
        <v>2016</v>
      </c>
      <c r="G2008">
        <v>1</v>
      </c>
    </row>
    <row r="2009" spans="1:7" x14ac:dyDescent="0.25">
      <c r="A2009">
        <v>14</v>
      </c>
      <c r="B2009" t="s">
        <v>1676</v>
      </c>
      <c r="C2009">
        <v>5986</v>
      </c>
      <c r="D2009" t="str">
        <f>"1324-2342"</f>
        <v>1324-2342</v>
      </c>
      <c r="E2009" t="s">
        <v>8</v>
      </c>
      <c r="F2009" t="s">
        <v>2017</v>
      </c>
      <c r="G2009">
        <v>1</v>
      </c>
    </row>
    <row r="2010" spans="1:7" x14ac:dyDescent="0.25">
      <c r="A2010">
        <v>14</v>
      </c>
      <c r="B2010" t="s">
        <v>1676</v>
      </c>
      <c r="C2010">
        <v>2967</v>
      </c>
      <c r="D2010" t="str">
        <f>"1084-8770"</f>
        <v>1084-8770</v>
      </c>
      <c r="E2010" t="s">
        <v>8</v>
      </c>
      <c r="F2010" t="s">
        <v>2018</v>
      </c>
      <c r="G2010">
        <v>1</v>
      </c>
    </row>
    <row r="2011" spans="1:7" x14ac:dyDescent="0.25">
      <c r="A2011">
        <v>14</v>
      </c>
      <c r="B2011" t="s">
        <v>1676</v>
      </c>
      <c r="C2011">
        <v>80846</v>
      </c>
      <c r="D2011" t="str">
        <f>"0156-8698"</f>
        <v>0156-8698</v>
      </c>
      <c r="E2011" t="s">
        <v>8</v>
      </c>
      <c r="F2011" t="s">
        <v>2019</v>
      </c>
      <c r="G2011">
        <v>1</v>
      </c>
    </row>
    <row r="2012" spans="1:7" x14ac:dyDescent="0.25">
      <c r="A2012">
        <v>14</v>
      </c>
      <c r="B2012" t="s">
        <v>1676</v>
      </c>
      <c r="C2012">
        <v>8781974</v>
      </c>
      <c r="E2012" t="s">
        <v>15</v>
      </c>
      <c r="F2012" t="s">
        <v>2020</v>
      </c>
      <c r="G2012">
        <v>1</v>
      </c>
    </row>
    <row r="2013" spans="1:7" x14ac:dyDescent="0.25">
      <c r="A2013">
        <v>14</v>
      </c>
      <c r="B2013" t="s">
        <v>1676</v>
      </c>
      <c r="C2013">
        <v>2458</v>
      </c>
      <c r="D2013" t="str">
        <f>"0963-4959"</f>
        <v>0963-4959</v>
      </c>
      <c r="E2013" t="s">
        <v>8</v>
      </c>
      <c r="F2013" t="s">
        <v>2021</v>
      </c>
      <c r="G2013">
        <v>1</v>
      </c>
    </row>
    <row r="2014" spans="1:7" x14ac:dyDescent="0.25">
      <c r="A2014">
        <v>14</v>
      </c>
      <c r="B2014" t="s">
        <v>1676</v>
      </c>
      <c r="C2014">
        <v>11754</v>
      </c>
      <c r="D2014" t="str">
        <f>"0018-2370"</f>
        <v>0018-2370</v>
      </c>
      <c r="E2014" t="s">
        <v>8</v>
      </c>
      <c r="F2014" t="s">
        <v>2022</v>
      </c>
      <c r="G2014">
        <v>1</v>
      </c>
    </row>
    <row r="2015" spans="1:7" x14ac:dyDescent="0.25">
      <c r="A2015">
        <v>14</v>
      </c>
      <c r="B2015" t="s">
        <v>1676</v>
      </c>
      <c r="C2015">
        <v>13999</v>
      </c>
      <c r="D2015" t="str">
        <f>"1081-602X"</f>
        <v>1081-602X</v>
      </c>
      <c r="E2015" t="s">
        <v>8</v>
      </c>
      <c r="F2015" t="s">
        <v>2023</v>
      </c>
      <c r="G2015">
        <v>1</v>
      </c>
    </row>
    <row r="2016" spans="1:7" x14ac:dyDescent="0.25">
      <c r="A2016">
        <v>14</v>
      </c>
      <c r="B2016" t="s">
        <v>1676</v>
      </c>
      <c r="C2016">
        <v>1679</v>
      </c>
      <c r="D2016" t="str">
        <f>"0018-2745"</f>
        <v>0018-2745</v>
      </c>
      <c r="E2016" t="s">
        <v>8</v>
      </c>
      <c r="F2016" t="s">
        <v>2024</v>
      </c>
      <c r="G2016">
        <v>1</v>
      </c>
    </row>
    <row r="2017" spans="1:7" x14ac:dyDescent="0.25">
      <c r="A2017">
        <v>14</v>
      </c>
      <c r="B2017" t="s">
        <v>1676</v>
      </c>
      <c r="C2017">
        <v>8783622</v>
      </c>
      <c r="E2017" t="s">
        <v>15</v>
      </c>
      <c r="F2017" t="s">
        <v>2025</v>
      </c>
      <c r="G2017">
        <v>1</v>
      </c>
    </row>
    <row r="2018" spans="1:7" x14ac:dyDescent="0.25">
      <c r="A2018">
        <v>14</v>
      </c>
      <c r="B2018" t="s">
        <v>1676</v>
      </c>
      <c r="C2018">
        <v>3683</v>
      </c>
      <c r="D2018" t="str">
        <f>"0019-4646"</f>
        <v>0019-4646</v>
      </c>
      <c r="E2018" t="s">
        <v>8</v>
      </c>
      <c r="F2018" t="s">
        <v>2026</v>
      </c>
      <c r="G2018">
        <v>1</v>
      </c>
    </row>
    <row r="2019" spans="1:7" x14ac:dyDescent="0.25">
      <c r="A2019">
        <v>14</v>
      </c>
      <c r="B2019" t="s">
        <v>1676</v>
      </c>
      <c r="C2019">
        <v>11844</v>
      </c>
      <c r="D2019" t="str">
        <f>"0308-6534"</f>
        <v>0308-6534</v>
      </c>
      <c r="E2019" t="s">
        <v>8</v>
      </c>
      <c r="F2019" t="s">
        <v>2027</v>
      </c>
      <c r="G2019">
        <v>1</v>
      </c>
    </row>
    <row r="2020" spans="1:7" x14ac:dyDescent="0.25">
      <c r="A2020">
        <v>14</v>
      </c>
      <c r="B2020" t="s">
        <v>1676</v>
      </c>
      <c r="C2020">
        <v>1224</v>
      </c>
      <c r="D2020" t="str">
        <f>"0144-0365"</f>
        <v>0144-0365</v>
      </c>
      <c r="E2020" t="s">
        <v>8</v>
      </c>
      <c r="F2020" t="s">
        <v>2028</v>
      </c>
      <c r="G2020">
        <v>1</v>
      </c>
    </row>
    <row r="2021" spans="1:7" x14ac:dyDescent="0.25">
      <c r="A2021">
        <v>14</v>
      </c>
      <c r="B2021" t="s">
        <v>1676</v>
      </c>
      <c r="C2021">
        <v>8620</v>
      </c>
      <c r="D2021" t="str">
        <f>"0025-3359"</f>
        <v>0025-3359</v>
      </c>
      <c r="E2021" t="s">
        <v>8</v>
      </c>
      <c r="F2021" t="s">
        <v>2029</v>
      </c>
      <c r="G2021">
        <v>1</v>
      </c>
    </row>
    <row r="2022" spans="1:7" x14ac:dyDescent="0.25">
      <c r="A2022">
        <v>14</v>
      </c>
      <c r="B2022" t="s">
        <v>1676</v>
      </c>
      <c r="C2022">
        <v>8812</v>
      </c>
      <c r="D2022" t="str">
        <f>"0971-9458"</f>
        <v>0971-9458</v>
      </c>
      <c r="E2022" t="s">
        <v>8</v>
      </c>
      <c r="F2022" t="s">
        <v>2030</v>
      </c>
      <c r="G2022">
        <v>1</v>
      </c>
    </row>
    <row r="2023" spans="1:7" x14ac:dyDescent="0.25">
      <c r="A2023">
        <v>14</v>
      </c>
      <c r="B2023" t="s">
        <v>1676</v>
      </c>
      <c r="C2023">
        <v>9758</v>
      </c>
      <c r="D2023" t="str">
        <f>"0890-1686"</f>
        <v>0890-1686</v>
      </c>
      <c r="E2023" t="s">
        <v>8</v>
      </c>
      <c r="F2023" t="s">
        <v>2031</v>
      </c>
      <c r="G2023">
        <v>1</v>
      </c>
    </row>
    <row r="2024" spans="1:7" x14ac:dyDescent="0.25">
      <c r="A2024">
        <v>14</v>
      </c>
      <c r="B2024" t="s">
        <v>1676</v>
      </c>
      <c r="C2024">
        <v>3294</v>
      </c>
      <c r="D2024" t="str">
        <f>"0028-6206"</f>
        <v>0028-6206</v>
      </c>
      <c r="E2024" t="s">
        <v>8</v>
      </c>
      <c r="F2024" t="s">
        <v>2032</v>
      </c>
      <c r="G2024">
        <v>1</v>
      </c>
    </row>
    <row r="2025" spans="1:7" x14ac:dyDescent="0.25">
      <c r="A2025">
        <v>14</v>
      </c>
      <c r="B2025" t="s">
        <v>1676</v>
      </c>
      <c r="C2025">
        <v>7203</v>
      </c>
      <c r="D2025" t="str">
        <f>"0094-0798"</f>
        <v>0094-0798</v>
      </c>
      <c r="E2025" t="s">
        <v>8</v>
      </c>
      <c r="F2025" t="s">
        <v>2033</v>
      </c>
      <c r="G2025">
        <v>1</v>
      </c>
    </row>
    <row r="2026" spans="1:7" x14ac:dyDescent="0.25">
      <c r="A2026">
        <v>14</v>
      </c>
      <c r="B2026" t="s">
        <v>1676</v>
      </c>
      <c r="C2026">
        <v>14305</v>
      </c>
      <c r="D2026" t="str">
        <f>"0031-4587"</f>
        <v>0031-4587</v>
      </c>
      <c r="E2026" t="s">
        <v>8</v>
      </c>
      <c r="F2026" t="s">
        <v>2034</v>
      </c>
      <c r="G2026">
        <v>1</v>
      </c>
    </row>
    <row r="2027" spans="1:7" x14ac:dyDescent="0.25">
      <c r="A2027">
        <v>14</v>
      </c>
      <c r="B2027" t="s">
        <v>1676</v>
      </c>
      <c r="C2027">
        <v>16996</v>
      </c>
      <c r="D2027" t="str">
        <f>"0272-3433"</f>
        <v>0272-3433</v>
      </c>
      <c r="E2027" t="s">
        <v>8</v>
      </c>
      <c r="F2027" t="s">
        <v>2035</v>
      </c>
      <c r="G2027">
        <v>1</v>
      </c>
    </row>
    <row r="2028" spans="1:7" x14ac:dyDescent="0.25">
      <c r="A2028">
        <v>14</v>
      </c>
      <c r="B2028" t="s">
        <v>1676</v>
      </c>
      <c r="C2028">
        <v>3392</v>
      </c>
      <c r="D2028" t="str">
        <f>"0036-9241"</f>
        <v>0036-9241</v>
      </c>
      <c r="E2028" t="s">
        <v>8</v>
      </c>
      <c r="F2028" t="s">
        <v>2036</v>
      </c>
      <c r="G2028">
        <v>1</v>
      </c>
    </row>
    <row r="2029" spans="1:7" x14ac:dyDescent="0.25">
      <c r="A2029">
        <v>14</v>
      </c>
      <c r="B2029" t="s">
        <v>1676</v>
      </c>
      <c r="C2029">
        <v>3171</v>
      </c>
      <c r="D2029" t="str">
        <f>"0268-117X"</f>
        <v>0268-117X</v>
      </c>
      <c r="E2029" t="s">
        <v>8</v>
      </c>
      <c r="F2029" t="s">
        <v>2037</v>
      </c>
      <c r="G2029">
        <v>1</v>
      </c>
    </row>
    <row r="2030" spans="1:7" x14ac:dyDescent="0.25">
      <c r="A2030">
        <v>14</v>
      </c>
      <c r="B2030" t="s">
        <v>1676</v>
      </c>
      <c r="C2030">
        <v>9299</v>
      </c>
      <c r="D2030" t="str">
        <f>"1754-1328"</f>
        <v>1754-1328</v>
      </c>
      <c r="E2030" t="s">
        <v>8</v>
      </c>
      <c r="F2030" t="s">
        <v>2038</v>
      </c>
      <c r="G2030">
        <v>1</v>
      </c>
    </row>
    <row r="2031" spans="1:7" x14ac:dyDescent="0.25">
      <c r="A2031">
        <v>14</v>
      </c>
      <c r="B2031" t="s">
        <v>1676</v>
      </c>
      <c r="C2031">
        <v>131691</v>
      </c>
      <c r="D2031" t="str">
        <f>"1930-8418"</f>
        <v>1930-8418</v>
      </c>
      <c r="E2031" t="s">
        <v>8</v>
      </c>
      <c r="F2031" t="s">
        <v>2039</v>
      </c>
      <c r="G2031">
        <v>1</v>
      </c>
    </row>
    <row r="2032" spans="1:7" x14ac:dyDescent="0.25">
      <c r="A2032">
        <v>14</v>
      </c>
      <c r="B2032" t="s">
        <v>1676</v>
      </c>
      <c r="C2032">
        <v>6737</v>
      </c>
      <c r="D2032" t="str">
        <f>"0043-3810"</f>
        <v>0043-3810</v>
      </c>
      <c r="E2032" t="s">
        <v>8</v>
      </c>
      <c r="F2032" t="s">
        <v>2040</v>
      </c>
      <c r="G2032">
        <v>1</v>
      </c>
    </row>
    <row r="2033" spans="1:7" x14ac:dyDescent="0.25">
      <c r="A2033">
        <v>14</v>
      </c>
      <c r="B2033" t="s">
        <v>1676</v>
      </c>
      <c r="C2033">
        <v>578</v>
      </c>
      <c r="D2033" t="str">
        <f>"0040-7518"</f>
        <v>0040-7518</v>
      </c>
      <c r="E2033" t="s">
        <v>8</v>
      </c>
      <c r="F2033" t="s">
        <v>2041</v>
      </c>
      <c r="G2033">
        <v>1</v>
      </c>
    </row>
    <row r="2034" spans="1:7" x14ac:dyDescent="0.25">
      <c r="A2034">
        <v>14</v>
      </c>
      <c r="B2034" t="s">
        <v>1676</v>
      </c>
      <c r="C2034">
        <v>19306</v>
      </c>
      <c r="D2034" t="str">
        <f>"1572-1701"</f>
        <v>1572-1701</v>
      </c>
      <c r="E2034" t="s">
        <v>8</v>
      </c>
      <c r="F2034" t="s">
        <v>2042</v>
      </c>
      <c r="G2034">
        <v>1</v>
      </c>
    </row>
    <row r="2035" spans="1:7" x14ac:dyDescent="0.25">
      <c r="A2035">
        <v>14</v>
      </c>
      <c r="B2035" t="s">
        <v>1676</v>
      </c>
      <c r="C2035">
        <v>65285</v>
      </c>
      <c r="D2035" t="str">
        <f>"1751-696X"</f>
        <v>1751-696X</v>
      </c>
      <c r="E2035" t="s">
        <v>8</v>
      </c>
      <c r="F2035" t="s">
        <v>2043</v>
      </c>
      <c r="G2035">
        <v>1</v>
      </c>
    </row>
    <row r="2036" spans="1:7" x14ac:dyDescent="0.25">
      <c r="A2036">
        <v>14</v>
      </c>
      <c r="B2036" t="s">
        <v>1676</v>
      </c>
      <c r="C2036">
        <v>10129</v>
      </c>
      <c r="D2036" t="str">
        <f>"0955-2359"</f>
        <v>0955-2359</v>
      </c>
      <c r="E2036" t="s">
        <v>8</v>
      </c>
      <c r="F2036" t="s">
        <v>2044</v>
      </c>
      <c r="G2036">
        <v>1</v>
      </c>
    </row>
    <row r="2037" spans="1:7" x14ac:dyDescent="0.25">
      <c r="A2037">
        <v>14</v>
      </c>
      <c r="B2037" t="s">
        <v>1676</v>
      </c>
      <c r="C2037">
        <v>2776</v>
      </c>
      <c r="D2037" t="str">
        <f>"1010-9161"</f>
        <v>1010-9161</v>
      </c>
      <c r="E2037" t="s">
        <v>8</v>
      </c>
      <c r="F2037" t="s">
        <v>2045</v>
      </c>
      <c r="G2037">
        <v>1</v>
      </c>
    </row>
    <row r="2038" spans="1:7" x14ac:dyDescent="0.25">
      <c r="A2038">
        <v>14</v>
      </c>
      <c r="B2038" t="s">
        <v>1676</v>
      </c>
      <c r="C2038">
        <v>6164</v>
      </c>
      <c r="D2038" t="str">
        <f>"0040-9634"</f>
        <v>0040-9634</v>
      </c>
      <c r="E2038" t="s">
        <v>8</v>
      </c>
      <c r="F2038" t="s">
        <v>2046</v>
      </c>
      <c r="G2038">
        <v>1</v>
      </c>
    </row>
    <row r="2039" spans="1:7" x14ac:dyDescent="0.25">
      <c r="A2039">
        <v>14</v>
      </c>
      <c r="B2039" t="s">
        <v>1676</v>
      </c>
      <c r="C2039">
        <v>11539</v>
      </c>
      <c r="D2039" t="str">
        <f>"1602-5962"</f>
        <v>1602-5962</v>
      </c>
      <c r="E2039" t="s">
        <v>15</v>
      </c>
      <c r="F2039" t="s">
        <v>2047</v>
      </c>
      <c r="G2039">
        <v>1</v>
      </c>
    </row>
    <row r="2040" spans="1:7" x14ac:dyDescent="0.25">
      <c r="A2040">
        <v>14</v>
      </c>
      <c r="B2040" t="s">
        <v>1676</v>
      </c>
      <c r="C2040">
        <v>2040</v>
      </c>
      <c r="D2040" t="str">
        <f>"0703-0428"</f>
        <v>0703-0428</v>
      </c>
      <c r="E2040" t="s">
        <v>8</v>
      </c>
      <c r="F2040" t="s">
        <v>2048</v>
      </c>
      <c r="G2040">
        <v>1</v>
      </c>
    </row>
    <row r="2041" spans="1:7" x14ac:dyDescent="0.25">
      <c r="A2041">
        <v>14</v>
      </c>
      <c r="B2041" t="s">
        <v>1676</v>
      </c>
      <c r="C2041">
        <v>106361</v>
      </c>
      <c r="D2041" t="str">
        <f>"0104-8775"</f>
        <v>0104-8775</v>
      </c>
      <c r="E2041" t="s">
        <v>8</v>
      </c>
      <c r="F2041" t="s">
        <v>2049</v>
      </c>
      <c r="G2041">
        <v>1</v>
      </c>
    </row>
    <row r="2042" spans="1:7" x14ac:dyDescent="0.25">
      <c r="A2042">
        <v>14</v>
      </c>
      <c r="B2042" t="s">
        <v>1676</v>
      </c>
      <c r="C2042">
        <v>85109</v>
      </c>
      <c r="D2042" t="str">
        <f>"1594-3755"</f>
        <v>1594-3755</v>
      </c>
      <c r="E2042" t="s">
        <v>8</v>
      </c>
      <c r="F2042" t="s">
        <v>2050</v>
      </c>
      <c r="G2042">
        <v>1</v>
      </c>
    </row>
    <row r="2043" spans="1:7" x14ac:dyDescent="0.25">
      <c r="A2043">
        <v>14</v>
      </c>
      <c r="B2043" t="s">
        <v>1676</v>
      </c>
      <c r="C2043">
        <v>6739</v>
      </c>
      <c r="D2043" t="str">
        <f>"0170-365X"</f>
        <v>0170-365X</v>
      </c>
      <c r="E2043" t="s">
        <v>15</v>
      </c>
      <c r="F2043" t="s">
        <v>2051</v>
      </c>
      <c r="G2043">
        <v>1</v>
      </c>
    </row>
    <row r="2044" spans="1:7" x14ac:dyDescent="0.25">
      <c r="A2044">
        <v>14</v>
      </c>
      <c r="B2044" t="s">
        <v>1676</v>
      </c>
      <c r="C2044">
        <v>8783623</v>
      </c>
      <c r="E2044" t="s">
        <v>15</v>
      </c>
      <c r="F2044" t="s">
        <v>2052</v>
      </c>
      <c r="G2044">
        <v>1</v>
      </c>
    </row>
    <row r="2045" spans="1:7" x14ac:dyDescent="0.25">
      <c r="A2045">
        <v>14</v>
      </c>
      <c r="B2045" t="s">
        <v>1676</v>
      </c>
      <c r="C2045">
        <v>10575</v>
      </c>
      <c r="D2045" t="str">
        <f>"0537-7919"</f>
        <v>0537-7919</v>
      </c>
      <c r="E2045" t="s">
        <v>15</v>
      </c>
      <c r="F2045" t="s">
        <v>2053</v>
      </c>
      <c r="G2045">
        <v>1</v>
      </c>
    </row>
    <row r="2046" spans="1:7" x14ac:dyDescent="0.25">
      <c r="A2046">
        <v>14</v>
      </c>
      <c r="B2046" t="s">
        <v>1676</v>
      </c>
      <c r="C2046">
        <v>49790</v>
      </c>
      <c r="D2046" t="str">
        <f>"0321-0391"</f>
        <v>0321-0391</v>
      </c>
      <c r="E2046" t="s">
        <v>8</v>
      </c>
      <c r="F2046" t="s">
        <v>2054</v>
      </c>
      <c r="G2046">
        <v>1</v>
      </c>
    </row>
    <row r="2047" spans="1:7" x14ac:dyDescent="0.25">
      <c r="A2047">
        <v>14</v>
      </c>
      <c r="B2047" t="s">
        <v>1676</v>
      </c>
      <c r="C2047">
        <v>10291</v>
      </c>
      <c r="D2047" t="str">
        <f>"0305-9219"</f>
        <v>0305-9219</v>
      </c>
      <c r="E2047" t="s">
        <v>8</v>
      </c>
      <c r="F2047" t="s">
        <v>2055</v>
      </c>
      <c r="G2047">
        <v>1</v>
      </c>
    </row>
    <row r="2048" spans="1:7" x14ac:dyDescent="0.25">
      <c r="A2048">
        <v>14</v>
      </c>
      <c r="B2048" t="s">
        <v>1676</v>
      </c>
      <c r="C2048">
        <v>24981</v>
      </c>
      <c r="D2048" t="str">
        <f>"0294-1759"</f>
        <v>0294-1759</v>
      </c>
      <c r="E2048" t="s">
        <v>8</v>
      </c>
      <c r="F2048" t="s">
        <v>2056</v>
      </c>
      <c r="G2048">
        <v>1</v>
      </c>
    </row>
    <row r="2049" spans="1:7" x14ac:dyDescent="0.25">
      <c r="A2049">
        <v>14</v>
      </c>
      <c r="B2049" t="s">
        <v>1676</v>
      </c>
      <c r="C2049">
        <v>15253</v>
      </c>
      <c r="D2049" t="str">
        <f>"0968-3445"</f>
        <v>0968-3445</v>
      </c>
      <c r="E2049" t="s">
        <v>8</v>
      </c>
      <c r="F2049" t="s">
        <v>2057</v>
      </c>
      <c r="G2049">
        <v>1</v>
      </c>
    </row>
    <row r="2050" spans="1:7" x14ac:dyDescent="0.25">
      <c r="A2050">
        <v>14</v>
      </c>
      <c r="B2050" t="s">
        <v>1676</v>
      </c>
      <c r="C2050">
        <v>8783624</v>
      </c>
      <c r="E2050" t="s">
        <v>15</v>
      </c>
      <c r="F2050" t="s">
        <v>2058</v>
      </c>
      <c r="G2050">
        <v>1</v>
      </c>
    </row>
    <row r="2051" spans="1:7" x14ac:dyDescent="0.25">
      <c r="A2051">
        <v>14</v>
      </c>
      <c r="B2051" t="s">
        <v>1676</v>
      </c>
      <c r="C2051">
        <v>6325376</v>
      </c>
      <c r="D2051" t="str">
        <f>"1877-7236"</f>
        <v>1877-7236</v>
      </c>
      <c r="E2051" t="s">
        <v>8</v>
      </c>
      <c r="F2051" t="s">
        <v>2059</v>
      </c>
      <c r="G2051">
        <v>1</v>
      </c>
    </row>
    <row r="2052" spans="1:7" x14ac:dyDescent="0.25">
      <c r="A2052">
        <v>14</v>
      </c>
      <c r="B2052" t="s">
        <v>1676</v>
      </c>
      <c r="C2052">
        <v>9159</v>
      </c>
      <c r="D2052" t="str">
        <f>"0043-2431"</f>
        <v>0043-2431</v>
      </c>
      <c r="E2052" t="s">
        <v>8</v>
      </c>
      <c r="F2052" t="s">
        <v>2060</v>
      </c>
      <c r="G2052">
        <v>1</v>
      </c>
    </row>
    <row r="2053" spans="1:7" x14ac:dyDescent="0.25">
      <c r="A2053">
        <v>14</v>
      </c>
      <c r="B2053" t="s">
        <v>1676</v>
      </c>
      <c r="C2053">
        <v>12189</v>
      </c>
      <c r="D2053" t="str">
        <f>"0961-2025"</f>
        <v>0961-2025</v>
      </c>
      <c r="E2053" t="s">
        <v>8</v>
      </c>
      <c r="F2053" t="s">
        <v>2061</v>
      </c>
      <c r="G2053">
        <v>1</v>
      </c>
    </row>
    <row r="2054" spans="1:7" x14ac:dyDescent="0.25">
      <c r="A2054">
        <v>14</v>
      </c>
      <c r="B2054" t="s">
        <v>1676</v>
      </c>
      <c r="C2054">
        <v>2969</v>
      </c>
      <c r="D2054" t="str">
        <f>"0012-4273"</f>
        <v>0012-4273</v>
      </c>
      <c r="E2054" t="s">
        <v>8</v>
      </c>
      <c r="F2054" t="s">
        <v>2062</v>
      </c>
      <c r="G2054">
        <v>1</v>
      </c>
    </row>
    <row r="2055" spans="1:7" x14ac:dyDescent="0.25">
      <c r="A2055">
        <v>14</v>
      </c>
      <c r="B2055" t="s">
        <v>1676</v>
      </c>
      <c r="C2055">
        <v>10842</v>
      </c>
      <c r="D2055" t="str">
        <f>"0084-3296"</f>
        <v>0084-3296</v>
      </c>
      <c r="E2055" t="s">
        <v>8</v>
      </c>
      <c r="F2055" t="s">
        <v>2063</v>
      </c>
      <c r="G2055">
        <v>1</v>
      </c>
    </row>
    <row r="2056" spans="1:7" x14ac:dyDescent="0.25">
      <c r="A2056">
        <v>14</v>
      </c>
      <c r="B2056" t="s">
        <v>1676</v>
      </c>
      <c r="C2056">
        <v>117683</v>
      </c>
      <c r="D2056" t="str">
        <f>"0338-9316"</f>
        <v>0338-9316</v>
      </c>
      <c r="E2056" t="s">
        <v>8</v>
      </c>
      <c r="F2056" t="s">
        <v>2064</v>
      </c>
      <c r="G2056">
        <v>1</v>
      </c>
    </row>
    <row r="2057" spans="1:7" x14ac:dyDescent="0.25">
      <c r="A2057">
        <v>14</v>
      </c>
      <c r="B2057" t="s">
        <v>1676</v>
      </c>
      <c r="C2057">
        <v>13859</v>
      </c>
      <c r="D2057" t="str">
        <f>"0256-5250"</f>
        <v>0256-5250</v>
      </c>
      <c r="E2057" t="s">
        <v>8</v>
      </c>
      <c r="F2057" t="s">
        <v>2065</v>
      </c>
      <c r="G2057">
        <v>1</v>
      </c>
    </row>
    <row r="2058" spans="1:7" x14ac:dyDescent="0.25">
      <c r="A2058">
        <v>14</v>
      </c>
      <c r="B2058" t="s">
        <v>1676</v>
      </c>
      <c r="C2058">
        <v>134218</v>
      </c>
      <c r="D2058" t="str">
        <f>"1612-6033"</f>
        <v>1612-6033</v>
      </c>
      <c r="E2058" t="s">
        <v>8</v>
      </c>
      <c r="F2058" t="s">
        <v>2066</v>
      </c>
      <c r="G2058">
        <v>1</v>
      </c>
    </row>
    <row r="2059" spans="1:7" x14ac:dyDescent="0.25">
      <c r="A2059">
        <v>14</v>
      </c>
      <c r="B2059" t="s">
        <v>1676</v>
      </c>
      <c r="C2059">
        <v>27342</v>
      </c>
      <c r="D2059" t="str">
        <f>"0072-4254"</f>
        <v>0072-4254</v>
      </c>
      <c r="E2059" t="s">
        <v>8</v>
      </c>
      <c r="F2059" t="s">
        <v>2067</v>
      </c>
      <c r="G2059">
        <v>1</v>
      </c>
    </row>
    <row r="2060" spans="1:7" x14ac:dyDescent="0.25">
      <c r="A2060">
        <v>14</v>
      </c>
      <c r="B2060" t="s">
        <v>1676</v>
      </c>
      <c r="C2060">
        <v>11885</v>
      </c>
      <c r="D2060" t="str">
        <f>"0044-2194"</f>
        <v>0044-2194</v>
      </c>
      <c r="E2060" t="s">
        <v>8</v>
      </c>
      <c r="F2060" t="s">
        <v>2068</v>
      </c>
      <c r="G2060">
        <v>1</v>
      </c>
    </row>
    <row r="2061" spans="1:7" x14ac:dyDescent="0.25">
      <c r="A2061">
        <v>14</v>
      </c>
      <c r="B2061" t="s">
        <v>1676</v>
      </c>
      <c r="C2061">
        <v>1253</v>
      </c>
      <c r="D2061" t="str">
        <f>"0044-2828"</f>
        <v>0044-2828</v>
      </c>
      <c r="E2061" t="s">
        <v>8</v>
      </c>
      <c r="F2061" t="s">
        <v>2069</v>
      </c>
      <c r="G2061">
        <v>1</v>
      </c>
    </row>
    <row r="2062" spans="1:7" x14ac:dyDescent="0.25">
      <c r="A2062">
        <v>14</v>
      </c>
      <c r="B2062" t="s">
        <v>1676</v>
      </c>
      <c r="C2062">
        <v>1934</v>
      </c>
      <c r="D2062" t="str">
        <f>"0340-0174"</f>
        <v>0340-0174</v>
      </c>
      <c r="E2062" t="s">
        <v>8</v>
      </c>
      <c r="F2062" t="s">
        <v>2070</v>
      </c>
      <c r="G2062">
        <v>1</v>
      </c>
    </row>
    <row r="2063" spans="1:7" x14ac:dyDescent="0.25">
      <c r="A2063">
        <v>14</v>
      </c>
      <c r="B2063" t="s">
        <v>1676</v>
      </c>
      <c r="C2063">
        <v>11700</v>
      </c>
      <c r="D2063" t="str">
        <f>"0342-2852"</f>
        <v>0342-2852</v>
      </c>
      <c r="E2063" t="s">
        <v>8</v>
      </c>
      <c r="F2063" t="s">
        <v>2071</v>
      </c>
      <c r="G2063">
        <v>1</v>
      </c>
    </row>
    <row r="2064" spans="1:7" x14ac:dyDescent="0.25">
      <c r="A2064">
        <v>14</v>
      </c>
      <c r="B2064" t="s">
        <v>1676</v>
      </c>
      <c r="C2064">
        <v>15294</v>
      </c>
      <c r="D2064" t="str">
        <f>"1615-2581"</f>
        <v>1615-2581</v>
      </c>
      <c r="E2064" t="s">
        <v>8</v>
      </c>
      <c r="F2064" t="s">
        <v>2072</v>
      </c>
      <c r="G2064">
        <v>1</v>
      </c>
    </row>
    <row r="2065" spans="1:7" x14ac:dyDescent="0.25">
      <c r="A2065">
        <v>14</v>
      </c>
      <c r="B2065" t="s">
        <v>1676</v>
      </c>
      <c r="C2065">
        <v>14074</v>
      </c>
      <c r="D2065" t="str">
        <f>"1431-7451"</f>
        <v>1431-7451</v>
      </c>
      <c r="E2065" t="s">
        <v>8</v>
      </c>
      <c r="F2065" t="s">
        <v>2073</v>
      </c>
      <c r="G2065">
        <v>1</v>
      </c>
    </row>
    <row r="2066" spans="1:7" x14ac:dyDescent="0.25">
      <c r="A2066">
        <v>14</v>
      </c>
      <c r="B2066" t="s">
        <v>1676</v>
      </c>
      <c r="C2066">
        <v>7688976</v>
      </c>
      <c r="D2066" t="str">
        <f>"1867-092X"</f>
        <v>1867-092X</v>
      </c>
      <c r="E2066" t="s">
        <v>15</v>
      </c>
      <c r="F2066" t="s">
        <v>2074</v>
      </c>
      <c r="G2066">
        <v>1</v>
      </c>
    </row>
    <row r="2067" spans="1:7" x14ac:dyDescent="0.25">
      <c r="A2067">
        <v>14</v>
      </c>
      <c r="B2067" t="s">
        <v>1676</v>
      </c>
      <c r="C2067">
        <v>8783625</v>
      </c>
      <c r="E2067" t="s">
        <v>15</v>
      </c>
      <c r="F2067" t="s">
        <v>2075</v>
      </c>
      <c r="G2067">
        <v>1</v>
      </c>
    </row>
    <row r="2068" spans="1:7" x14ac:dyDescent="0.25">
      <c r="A2068">
        <v>14</v>
      </c>
      <c r="B2068" t="s">
        <v>1676</v>
      </c>
      <c r="C2068">
        <v>6530</v>
      </c>
      <c r="D2068" t="str">
        <f>"0800-3718"</f>
        <v>0800-3718</v>
      </c>
      <c r="E2068" t="s">
        <v>8</v>
      </c>
      <c r="F2068" t="s">
        <v>2076</v>
      </c>
      <c r="G2068">
        <v>1</v>
      </c>
    </row>
    <row r="2069" spans="1:7" x14ac:dyDescent="0.25">
      <c r="A2069">
        <v>14</v>
      </c>
      <c r="B2069" t="s">
        <v>1676</v>
      </c>
      <c r="C2069">
        <v>2211</v>
      </c>
      <c r="D2069" t="str">
        <f>"1892-4786"</f>
        <v>1892-4786</v>
      </c>
      <c r="E2069" t="s">
        <v>8</v>
      </c>
      <c r="F2069" t="s">
        <v>2077</v>
      </c>
      <c r="G2069">
        <v>1</v>
      </c>
    </row>
    <row r="2070" spans="1:7" x14ac:dyDescent="0.25">
      <c r="A2070">
        <v>15</v>
      </c>
      <c r="B2070" t="s">
        <v>2078</v>
      </c>
      <c r="C2070">
        <v>10526</v>
      </c>
      <c r="D2070" t="str">
        <f>"0002-7316"</f>
        <v>0002-7316</v>
      </c>
      <c r="E2070" t="s">
        <v>8</v>
      </c>
      <c r="F2070" t="s">
        <v>2079</v>
      </c>
      <c r="G2070">
        <v>2</v>
      </c>
    </row>
    <row r="2071" spans="1:7" x14ac:dyDescent="0.25">
      <c r="A2071">
        <v>15</v>
      </c>
      <c r="B2071" t="s">
        <v>2078</v>
      </c>
      <c r="C2071">
        <v>3618</v>
      </c>
      <c r="D2071" t="str">
        <f>"0002-9114"</f>
        <v>0002-9114</v>
      </c>
      <c r="E2071" t="s">
        <v>8</v>
      </c>
      <c r="F2071" t="s">
        <v>2080</v>
      </c>
      <c r="G2071">
        <v>2</v>
      </c>
    </row>
    <row r="2072" spans="1:7" x14ac:dyDescent="0.25">
      <c r="A2072">
        <v>15</v>
      </c>
      <c r="B2072" t="s">
        <v>2078</v>
      </c>
      <c r="C2072">
        <v>6693</v>
      </c>
      <c r="D2072" t="str">
        <f>"0068-2454"</f>
        <v>0068-2454</v>
      </c>
      <c r="E2072" t="s">
        <v>8</v>
      </c>
      <c r="F2072" t="s">
        <v>2081</v>
      </c>
      <c r="G2072">
        <v>2</v>
      </c>
    </row>
    <row r="2073" spans="1:7" x14ac:dyDescent="0.25">
      <c r="A2073">
        <v>15</v>
      </c>
      <c r="B2073" t="s">
        <v>2078</v>
      </c>
      <c r="C2073">
        <v>14743</v>
      </c>
      <c r="D2073" t="str">
        <f>"1250-7334"</f>
        <v>1250-7334</v>
      </c>
      <c r="E2073" t="s">
        <v>8</v>
      </c>
      <c r="F2073" t="s">
        <v>2082</v>
      </c>
      <c r="G2073">
        <v>2</v>
      </c>
    </row>
    <row r="2074" spans="1:7" x14ac:dyDescent="0.25">
      <c r="A2074">
        <v>15</v>
      </c>
      <c r="B2074" t="s">
        <v>2078</v>
      </c>
      <c r="C2074">
        <v>11020</v>
      </c>
      <c r="D2074" t="str">
        <f>"0003-598X"</f>
        <v>0003-598X</v>
      </c>
      <c r="E2074" t="s">
        <v>8</v>
      </c>
      <c r="F2074" t="s">
        <v>2083</v>
      </c>
      <c r="G2074">
        <v>2</v>
      </c>
    </row>
    <row r="2075" spans="1:7" x14ac:dyDescent="0.25">
      <c r="A2075">
        <v>15</v>
      </c>
      <c r="B2075" t="s">
        <v>2078</v>
      </c>
      <c r="C2075">
        <v>13414</v>
      </c>
      <c r="D2075" t="str">
        <f>"0905-7196"</f>
        <v>0905-7196</v>
      </c>
      <c r="E2075" t="s">
        <v>8</v>
      </c>
      <c r="F2075" t="s">
        <v>2084</v>
      </c>
      <c r="G2075">
        <v>2</v>
      </c>
    </row>
    <row r="2076" spans="1:7" x14ac:dyDescent="0.25">
      <c r="A2076">
        <v>15</v>
      </c>
      <c r="B2076" t="s">
        <v>2078</v>
      </c>
      <c r="C2076">
        <v>10501</v>
      </c>
      <c r="D2076" t="str">
        <f>"1380-2038"</f>
        <v>1380-2038</v>
      </c>
      <c r="E2076" t="s">
        <v>8</v>
      </c>
      <c r="F2076" t="s">
        <v>2085</v>
      </c>
      <c r="G2076">
        <v>2</v>
      </c>
    </row>
    <row r="2077" spans="1:7" x14ac:dyDescent="0.25">
      <c r="A2077">
        <v>15</v>
      </c>
      <c r="B2077" t="s">
        <v>2078</v>
      </c>
      <c r="C2077">
        <v>6026</v>
      </c>
      <c r="D2077" t="str">
        <f>"0003-813X"</f>
        <v>0003-813X</v>
      </c>
      <c r="E2077" t="s">
        <v>8</v>
      </c>
      <c r="F2077" t="s">
        <v>2086</v>
      </c>
      <c r="G2077">
        <v>2</v>
      </c>
    </row>
    <row r="2078" spans="1:7" x14ac:dyDescent="0.25">
      <c r="A2078">
        <v>15</v>
      </c>
      <c r="B2078" t="s">
        <v>2078</v>
      </c>
      <c r="C2078">
        <v>74503</v>
      </c>
      <c r="D2078" t="str">
        <f>"0153-9337"</f>
        <v>0153-9337</v>
      </c>
      <c r="E2078" t="s">
        <v>8</v>
      </c>
      <c r="F2078" t="s">
        <v>2087</v>
      </c>
      <c r="G2078">
        <v>2</v>
      </c>
    </row>
    <row r="2079" spans="1:7" x14ac:dyDescent="0.25">
      <c r="A2079">
        <v>15</v>
      </c>
      <c r="B2079" t="s">
        <v>2078</v>
      </c>
      <c r="C2079">
        <v>6556</v>
      </c>
      <c r="D2079" t="str">
        <f>"0003-8105"</f>
        <v>0003-8105</v>
      </c>
      <c r="E2079" t="s">
        <v>8</v>
      </c>
      <c r="F2079" t="s">
        <v>2088</v>
      </c>
      <c r="G2079">
        <v>2</v>
      </c>
    </row>
    <row r="2080" spans="1:7" x14ac:dyDescent="0.25">
      <c r="A2080">
        <v>15</v>
      </c>
      <c r="B2080" t="s">
        <v>2078</v>
      </c>
      <c r="C2080">
        <v>10468</v>
      </c>
      <c r="D2080" t="str">
        <f>"0066-6939"</f>
        <v>0066-6939</v>
      </c>
      <c r="E2080" t="s">
        <v>8</v>
      </c>
      <c r="F2080" t="s">
        <v>2089</v>
      </c>
      <c r="G2080">
        <v>2</v>
      </c>
    </row>
    <row r="2081" spans="1:7" x14ac:dyDescent="0.25">
      <c r="A2081">
        <v>15</v>
      </c>
      <c r="B2081" t="s">
        <v>2078</v>
      </c>
      <c r="C2081">
        <v>10286</v>
      </c>
      <c r="D2081" t="str">
        <f>"0341-9312"</f>
        <v>0341-9312</v>
      </c>
      <c r="E2081" t="s">
        <v>15</v>
      </c>
      <c r="F2081" t="s">
        <v>2090</v>
      </c>
      <c r="G2081">
        <v>2</v>
      </c>
    </row>
    <row r="2082" spans="1:7" x14ac:dyDescent="0.25">
      <c r="A2082">
        <v>15</v>
      </c>
      <c r="B2082" t="s">
        <v>2078</v>
      </c>
      <c r="C2082">
        <v>11473</v>
      </c>
      <c r="D2082" t="str">
        <f>"0959-7743"</f>
        <v>0959-7743</v>
      </c>
      <c r="E2082" t="s">
        <v>8</v>
      </c>
      <c r="F2082" t="s">
        <v>2091</v>
      </c>
      <c r="G2082">
        <v>2</v>
      </c>
    </row>
    <row r="2083" spans="1:7" x14ac:dyDescent="0.25">
      <c r="A2083">
        <v>15</v>
      </c>
      <c r="B2083" t="s">
        <v>2078</v>
      </c>
      <c r="C2083">
        <v>7989</v>
      </c>
      <c r="D2083" t="str">
        <f>"2166-2282"</f>
        <v>2166-2282</v>
      </c>
      <c r="E2083" t="s">
        <v>8</v>
      </c>
      <c r="F2083" t="s">
        <v>2092</v>
      </c>
      <c r="G2083">
        <v>2</v>
      </c>
    </row>
    <row r="2084" spans="1:7" x14ac:dyDescent="0.25">
      <c r="A2084">
        <v>15</v>
      </c>
      <c r="B2084" t="s">
        <v>2078</v>
      </c>
      <c r="C2084">
        <v>5200</v>
      </c>
      <c r="D2084" t="str">
        <f>"1461-4103"</f>
        <v>1461-4103</v>
      </c>
      <c r="E2084" t="s">
        <v>8</v>
      </c>
      <c r="F2084" t="s">
        <v>2093</v>
      </c>
      <c r="G2084">
        <v>2</v>
      </c>
    </row>
    <row r="2085" spans="1:7" x14ac:dyDescent="0.25">
      <c r="A2085">
        <v>15</v>
      </c>
      <c r="B2085" t="s">
        <v>2078</v>
      </c>
      <c r="C2085">
        <v>27226</v>
      </c>
      <c r="D2085" t="str">
        <f>"0012-7477"</f>
        <v>0012-7477</v>
      </c>
      <c r="E2085" t="s">
        <v>8</v>
      </c>
      <c r="F2085" t="s">
        <v>2094</v>
      </c>
      <c r="G2085">
        <v>2</v>
      </c>
    </row>
    <row r="2086" spans="1:7" x14ac:dyDescent="0.25">
      <c r="A2086">
        <v>15</v>
      </c>
      <c r="B2086" t="s">
        <v>2078</v>
      </c>
      <c r="C2086">
        <v>2671</v>
      </c>
      <c r="D2086" t="str">
        <f>"0701-1008"</f>
        <v>0701-1008</v>
      </c>
      <c r="E2086" t="s">
        <v>8</v>
      </c>
      <c r="F2086" t="s">
        <v>2095</v>
      </c>
      <c r="G2086">
        <v>2</v>
      </c>
    </row>
    <row r="2087" spans="1:7" x14ac:dyDescent="0.25">
      <c r="A2087">
        <v>15</v>
      </c>
      <c r="B2087" t="s">
        <v>2078</v>
      </c>
      <c r="C2087">
        <v>14367</v>
      </c>
      <c r="D2087" t="str">
        <f>"1461-9571"</f>
        <v>1461-9571</v>
      </c>
      <c r="E2087" t="s">
        <v>8</v>
      </c>
      <c r="F2087" t="s">
        <v>2096</v>
      </c>
      <c r="G2087">
        <v>2</v>
      </c>
    </row>
    <row r="2088" spans="1:7" x14ac:dyDescent="0.25">
      <c r="A2088">
        <v>15</v>
      </c>
      <c r="B2088" t="s">
        <v>2078</v>
      </c>
      <c r="C2088">
        <v>2975</v>
      </c>
      <c r="D2088" t="str">
        <f>"0016-8874"</f>
        <v>0016-8874</v>
      </c>
      <c r="E2088" t="s">
        <v>8</v>
      </c>
      <c r="F2088" t="s">
        <v>2097</v>
      </c>
      <c r="G2088">
        <v>2</v>
      </c>
    </row>
    <row r="2089" spans="1:7" x14ac:dyDescent="0.25">
      <c r="A2089">
        <v>15</v>
      </c>
      <c r="B2089" t="s">
        <v>2078</v>
      </c>
      <c r="C2089">
        <v>7751145</v>
      </c>
      <c r="E2089" t="s">
        <v>8</v>
      </c>
      <c r="F2089" t="s">
        <v>2098</v>
      </c>
      <c r="G2089">
        <v>2</v>
      </c>
    </row>
    <row r="2090" spans="1:7" x14ac:dyDescent="0.25">
      <c r="A2090">
        <v>15</v>
      </c>
      <c r="B2090" t="s">
        <v>2078</v>
      </c>
      <c r="C2090">
        <v>748</v>
      </c>
      <c r="D2090" t="str">
        <f>"0440-9213"</f>
        <v>0440-9213</v>
      </c>
      <c r="E2090" t="s">
        <v>8</v>
      </c>
      <c r="F2090" t="s">
        <v>2099</v>
      </c>
      <c r="G2090">
        <v>2</v>
      </c>
    </row>
    <row r="2091" spans="1:7" x14ac:dyDescent="0.25">
      <c r="A2091">
        <v>15</v>
      </c>
      <c r="B2091" t="s">
        <v>2078</v>
      </c>
      <c r="C2091">
        <v>5010016</v>
      </c>
      <c r="E2091" t="s">
        <v>2100</v>
      </c>
      <c r="F2091" t="s">
        <v>2101</v>
      </c>
      <c r="G2091">
        <v>2</v>
      </c>
    </row>
    <row r="2092" spans="1:7" x14ac:dyDescent="0.25">
      <c r="A2092">
        <v>15</v>
      </c>
      <c r="B2092" t="s">
        <v>2078</v>
      </c>
      <c r="C2092">
        <v>19426</v>
      </c>
      <c r="D2092" t="str">
        <f>"0940-7391"</f>
        <v>0940-7391</v>
      </c>
      <c r="E2092" t="s">
        <v>8</v>
      </c>
      <c r="F2092" t="s">
        <v>2102</v>
      </c>
      <c r="G2092">
        <v>2</v>
      </c>
    </row>
    <row r="2093" spans="1:7" x14ac:dyDescent="0.25">
      <c r="A2093">
        <v>15</v>
      </c>
      <c r="B2093" t="s">
        <v>2078</v>
      </c>
      <c r="C2093">
        <v>15716</v>
      </c>
      <c r="D2093" t="str">
        <f>"1352-7258"</f>
        <v>1352-7258</v>
      </c>
      <c r="E2093" t="s">
        <v>8</v>
      </c>
      <c r="F2093" t="s">
        <v>2103</v>
      </c>
      <c r="G2093">
        <v>2</v>
      </c>
    </row>
    <row r="2094" spans="1:7" x14ac:dyDescent="0.25">
      <c r="A2094">
        <v>15</v>
      </c>
      <c r="B2094" t="s">
        <v>2078</v>
      </c>
      <c r="C2094">
        <v>4910</v>
      </c>
      <c r="D2094" t="str">
        <f>"1092-7697"</f>
        <v>1092-7697</v>
      </c>
      <c r="E2094" t="s">
        <v>8</v>
      </c>
      <c r="F2094" t="s">
        <v>2104</v>
      </c>
      <c r="G2094">
        <v>2</v>
      </c>
    </row>
    <row r="2095" spans="1:7" x14ac:dyDescent="0.25">
      <c r="A2095">
        <v>15</v>
      </c>
      <c r="B2095" t="s">
        <v>2078</v>
      </c>
      <c r="C2095">
        <v>13354</v>
      </c>
      <c r="D2095" t="str">
        <f>"1057-2414"</f>
        <v>1057-2414</v>
      </c>
      <c r="E2095" t="s">
        <v>8</v>
      </c>
      <c r="F2095" t="s">
        <v>2105</v>
      </c>
      <c r="G2095">
        <v>2</v>
      </c>
    </row>
    <row r="2096" spans="1:7" x14ac:dyDescent="0.25">
      <c r="A2096">
        <v>15</v>
      </c>
      <c r="B2096" t="s">
        <v>2078</v>
      </c>
      <c r="C2096">
        <v>27766</v>
      </c>
      <c r="E2096" t="s">
        <v>8</v>
      </c>
      <c r="F2096" t="s">
        <v>2106</v>
      </c>
      <c r="G2096">
        <v>2</v>
      </c>
    </row>
    <row r="2097" spans="1:7" x14ac:dyDescent="0.25">
      <c r="A2097">
        <v>15</v>
      </c>
      <c r="B2097" t="s">
        <v>2078</v>
      </c>
      <c r="C2097">
        <v>23705</v>
      </c>
      <c r="D2097" t="str">
        <f>"0578-6967"</f>
        <v>0578-6967</v>
      </c>
      <c r="E2097" t="s">
        <v>8</v>
      </c>
      <c r="F2097" t="s">
        <v>2107</v>
      </c>
      <c r="G2097">
        <v>2</v>
      </c>
    </row>
    <row r="2098" spans="1:7" x14ac:dyDescent="0.25">
      <c r="A2098">
        <v>15</v>
      </c>
      <c r="B2098" t="s">
        <v>2078</v>
      </c>
      <c r="C2098">
        <v>13524</v>
      </c>
      <c r="D2098" t="str">
        <f>"0278-4165"</f>
        <v>0278-4165</v>
      </c>
      <c r="E2098" t="s">
        <v>8</v>
      </c>
      <c r="F2098" t="s">
        <v>2108</v>
      </c>
      <c r="G2098">
        <v>2</v>
      </c>
    </row>
    <row r="2099" spans="1:7" x14ac:dyDescent="0.25">
      <c r="A2099">
        <v>15</v>
      </c>
      <c r="B2099" t="s">
        <v>2078</v>
      </c>
      <c r="C2099">
        <v>10950</v>
      </c>
      <c r="D2099" t="str">
        <f>"1072-5369"</f>
        <v>1072-5369</v>
      </c>
      <c r="E2099" t="s">
        <v>8</v>
      </c>
      <c r="F2099" t="s">
        <v>2109</v>
      </c>
      <c r="G2099">
        <v>2</v>
      </c>
    </row>
    <row r="2100" spans="1:7" x14ac:dyDescent="0.25">
      <c r="A2100">
        <v>15</v>
      </c>
      <c r="B2100" t="s">
        <v>2078</v>
      </c>
      <c r="C2100">
        <v>516</v>
      </c>
      <c r="D2100" t="str">
        <f>"0305-4403"</f>
        <v>0305-4403</v>
      </c>
      <c r="E2100" t="s">
        <v>8</v>
      </c>
      <c r="F2100" t="s">
        <v>2110</v>
      </c>
      <c r="G2100">
        <v>2</v>
      </c>
    </row>
    <row r="2101" spans="1:7" x14ac:dyDescent="0.25">
      <c r="A2101">
        <v>15</v>
      </c>
      <c r="B2101" t="s">
        <v>2078</v>
      </c>
      <c r="C2101">
        <v>9337</v>
      </c>
      <c r="D2101" t="str">
        <f>"1296-2074"</f>
        <v>1296-2074</v>
      </c>
      <c r="E2101" t="s">
        <v>8</v>
      </c>
      <c r="F2101" t="s">
        <v>2111</v>
      </c>
      <c r="G2101">
        <v>2</v>
      </c>
    </row>
    <row r="2102" spans="1:7" x14ac:dyDescent="0.25">
      <c r="A2102">
        <v>15</v>
      </c>
      <c r="B2102" t="s">
        <v>2078</v>
      </c>
      <c r="C2102">
        <v>5812</v>
      </c>
      <c r="D2102" t="str">
        <f>"0307-5133"</f>
        <v>0307-5133</v>
      </c>
      <c r="E2102" t="s">
        <v>8</v>
      </c>
      <c r="F2102" t="s">
        <v>2112</v>
      </c>
      <c r="G2102">
        <v>2</v>
      </c>
    </row>
    <row r="2103" spans="1:7" x14ac:dyDescent="0.25">
      <c r="A2103">
        <v>15</v>
      </c>
      <c r="B2103" t="s">
        <v>2078</v>
      </c>
      <c r="C2103">
        <v>14867</v>
      </c>
      <c r="D2103" t="str">
        <f>"0093-4690"</f>
        <v>0093-4690</v>
      </c>
      <c r="E2103" t="s">
        <v>8</v>
      </c>
      <c r="F2103" t="s">
        <v>2113</v>
      </c>
      <c r="G2103">
        <v>2</v>
      </c>
    </row>
    <row r="2104" spans="1:7" x14ac:dyDescent="0.25">
      <c r="A2104">
        <v>15</v>
      </c>
      <c r="B2104" t="s">
        <v>2078</v>
      </c>
      <c r="C2104">
        <v>20165</v>
      </c>
      <c r="D2104" t="str">
        <f>"1557-2285"</f>
        <v>1557-2285</v>
      </c>
      <c r="E2104" t="s">
        <v>8</v>
      </c>
      <c r="F2104" t="s">
        <v>2114</v>
      </c>
      <c r="G2104">
        <v>2</v>
      </c>
    </row>
    <row r="2105" spans="1:7" x14ac:dyDescent="0.25">
      <c r="A2105">
        <v>15</v>
      </c>
      <c r="B2105" t="s">
        <v>2078</v>
      </c>
      <c r="C2105">
        <v>14504</v>
      </c>
      <c r="D2105" t="str">
        <f>"1359-1835"</f>
        <v>1359-1835</v>
      </c>
      <c r="E2105" t="s">
        <v>8</v>
      </c>
      <c r="F2105" t="s">
        <v>2115</v>
      </c>
      <c r="G2105">
        <v>2</v>
      </c>
    </row>
    <row r="2106" spans="1:7" x14ac:dyDescent="0.25">
      <c r="A2106">
        <v>15</v>
      </c>
      <c r="B2106" t="s">
        <v>2078</v>
      </c>
      <c r="C2106">
        <v>1847</v>
      </c>
      <c r="D2106" t="str">
        <f>"0952-7648"</f>
        <v>0952-7648</v>
      </c>
      <c r="E2106" t="s">
        <v>8</v>
      </c>
      <c r="F2106" t="s">
        <v>2116</v>
      </c>
      <c r="G2106">
        <v>2</v>
      </c>
    </row>
    <row r="2107" spans="1:7" x14ac:dyDescent="0.25">
      <c r="A2107">
        <v>15</v>
      </c>
      <c r="B2107" t="s">
        <v>2078</v>
      </c>
      <c r="C2107">
        <v>7810</v>
      </c>
      <c r="D2107" t="str">
        <f>"1650-1519"</f>
        <v>1650-1519</v>
      </c>
      <c r="E2107" t="s">
        <v>8</v>
      </c>
      <c r="F2107" t="s">
        <v>2117</v>
      </c>
      <c r="G2107">
        <v>2</v>
      </c>
    </row>
    <row r="2108" spans="1:7" x14ac:dyDescent="0.25">
      <c r="A2108">
        <v>15</v>
      </c>
      <c r="B2108" t="s">
        <v>2078</v>
      </c>
      <c r="C2108">
        <v>153018</v>
      </c>
      <c r="D2108" t="str">
        <f>"1047-7594"</f>
        <v>1047-7594</v>
      </c>
      <c r="E2108" t="s">
        <v>8</v>
      </c>
      <c r="F2108" t="s">
        <v>2118</v>
      </c>
      <c r="G2108">
        <v>2</v>
      </c>
    </row>
    <row r="2109" spans="1:7" x14ac:dyDescent="0.25">
      <c r="A2109">
        <v>15</v>
      </c>
      <c r="B2109" t="s">
        <v>2078</v>
      </c>
      <c r="C2109">
        <v>14226</v>
      </c>
      <c r="D2109" t="str">
        <f>"1469-6053"</f>
        <v>1469-6053</v>
      </c>
      <c r="E2109" t="s">
        <v>8</v>
      </c>
      <c r="F2109" t="s">
        <v>2119</v>
      </c>
      <c r="G2109">
        <v>2</v>
      </c>
    </row>
    <row r="2110" spans="1:7" x14ac:dyDescent="0.25">
      <c r="A2110">
        <v>15</v>
      </c>
      <c r="B2110" t="s">
        <v>2078</v>
      </c>
      <c r="C2110">
        <v>14553</v>
      </c>
      <c r="D2110" t="str">
        <f>"1473-2971"</f>
        <v>1473-2971</v>
      </c>
      <c r="E2110" t="s">
        <v>8</v>
      </c>
      <c r="F2110" t="s">
        <v>2120</v>
      </c>
      <c r="G2110">
        <v>2</v>
      </c>
    </row>
    <row r="2111" spans="1:7" x14ac:dyDescent="0.25">
      <c r="A2111">
        <v>15</v>
      </c>
      <c r="B2111" t="s">
        <v>2078</v>
      </c>
      <c r="C2111">
        <v>10800</v>
      </c>
      <c r="D2111" t="str">
        <f>"0892-7537"</f>
        <v>0892-7537</v>
      </c>
      <c r="E2111" t="s">
        <v>8</v>
      </c>
      <c r="F2111" t="s">
        <v>2121</v>
      </c>
      <c r="G2111">
        <v>2</v>
      </c>
    </row>
    <row r="2112" spans="1:7" x14ac:dyDescent="0.25">
      <c r="A2112">
        <v>15</v>
      </c>
      <c r="B2112" t="s">
        <v>2078</v>
      </c>
      <c r="C2112">
        <v>114684</v>
      </c>
      <c r="D2112" t="str">
        <f>"1063-4304"</f>
        <v>1063-4304</v>
      </c>
      <c r="E2112" t="s">
        <v>15</v>
      </c>
      <c r="F2112" t="s">
        <v>2122</v>
      </c>
      <c r="G2112">
        <v>2</v>
      </c>
    </row>
    <row r="2113" spans="1:7" x14ac:dyDescent="0.25">
      <c r="A2113">
        <v>15</v>
      </c>
      <c r="B2113" t="s">
        <v>2078</v>
      </c>
      <c r="C2113">
        <v>18475</v>
      </c>
      <c r="D2113" t="str">
        <f>"0075-8914"</f>
        <v>0075-8914</v>
      </c>
      <c r="E2113" t="s">
        <v>8</v>
      </c>
      <c r="F2113" t="s">
        <v>2123</v>
      </c>
      <c r="G2113">
        <v>2</v>
      </c>
    </row>
    <row r="2114" spans="1:7" x14ac:dyDescent="0.25">
      <c r="A2114">
        <v>15</v>
      </c>
      <c r="B2114" t="s">
        <v>2078</v>
      </c>
      <c r="C2114">
        <v>27005</v>
      </c>
      <c r="D2114" t="str">
        <f>"0106-1062"</f>
        <v>0106-1062</v>
      </c>
      <c r="E2114" t="s">
        <v>15</v>
      </c>
      <c r="F2114" t="s">
        <v>2124</v>
      </c>
      <c r="G2114">
        <v>2</v>
      </c>
    </row>
    <row r="2115" spans="1:7" x14ac:dyDescent="0.25">
      <c r="A2115">
        <v>15</v>
      </c>
      <c r="B2115" t="s">
        <v>2078</v>
      </c>
      <c r="C2115">
        <v>15188</v>
      </c>
      <c r="D2115" t="str">
        <f>"0076-6097"</f>
        <v>0076-6097</v>
      </c>
      <c r="E2115" t="s">
        <v>8</v>
      </c>
      <c r="F2115" t="s">
        <v>2125</v>
      </c>
      <c r="G2115">
        <v>2</v>
      </c>
    </row>
    <row r="2116" spans="1:7" x14ac:dyDescent="0.25">
      <c r="A2116">
        <v>15</v>
      </c>
      <c r="B2116" t="s">
        <v>2078</v>
      </c>
      <c r="C2116">
        <v>140766</v>
      </c>
      <c r="D2116" t="str">
        <f>"0342-118X"</f>
        <v>0342-118X</v>
      </c>
      <c r="E2116" t="s">
        <v>8</v>
      </c>
      <c r="F2116" t="s">
        <v>2126</v>
      </c>
      <c r="G2116">
        <v>2</v>
      </c>
    </row>
    <row r="2117" spans="1:7" x14ac:dyDescent="0.25">
      <c r="A2117">
        <v>15</v>
      </c>
      <c r="B2117" t="s">
        <v>2078</v>
      </c>
      <c r="C2117">
        <v>2694</v>
      </c>
      <c r="D2117" t="str">
        <f>"0964-7775"</f>
        <v>0964-7775</v>
      </c>
      <c r="E2117" t="s">
        <v>8</v>
      </c>
      <c r="F2117" t="s">
        <v>2127</v>
      </c>
      <c r="G2117">
        <v>2</v>
      </c>
    </row>
    <row r="2118" spans="1:7" x14ac:dyDescent="0.25">
      <c r="A2118">
        <v>15</v>
      </c>
      <c r="B2118" t="s">
        <v>2078</v>
      </c>
      <c r="C2118">
        <v>1375</v>
      </c>
      <c r="D2118" t="str">
        <f>"0029-3652"</f>
        <v>0029-3652</v>
      </c>
      <c r="E2118" t="s">
        <v>8</v>
      </c>
      <c r="F2118" t="s">
        <v>2128</v>
      </c>
      <c r="G2118">
        <v>2</v>
      </c>
    </row>
    <row r="2119" spans="1:7" x14ac:dyDescent="0.25">
      <c r="A2119">
        <v>15</v>
      </c>
      <c r="B2119" t="s">
        <v>2078</v>
      </c>
      <c r="C2119">
        <v>114926</v>
      </c>
      <c r="D2119" t="str">
        <f>"0078-3714"</f>
        <v>0078-3714</v>
      </c>
      <c r="E2119" t="s">
        <v>8</v>
      </c>
      <c r="F2119" t="s">
        <v>2129</v>
      </c>
      <c r="G2119">
        <v>2</v>
      </c>
    </row>
    <row r="2120" spans="1:7" x14ac:dyDescent="0.25">
      <c r="A2120">
        <v>15</v>
      </c>
      <c r="B2120" t="s">
        <v>2078</v>
      </c>
      <c r="C2120">
        <v>7234</v>
      </c>
      <c r="D2120" t="str">
        <f>"0262-5253"</f>
        <v>0262-5253</v>
      </c>
      <c r="E2120" t="s">
        <v>8</v>
      </c>
      <c r="F2120" t="s">
        <v>2130</v>
      </c>
      <c r="G2120">
        <v>2</v>
      </c>
    </row>
    <row r="2121" spans="1:7" x14ac:dyDescent="0.25">
      <c r="A2121">
        <v>15</v>
      </c>
      <c r="B2121" t="s">
        <v>2078</v>
      </c>
      <c r="C2121">
        <v>1134</v>
      </c>
      <c r="D2121" t="str">
        <f>"0068-2462"</f>
        <v>0068-2462</v>
      </c>
      <c r="E2121" t="s">
        <v>8</v>
      </c>
      <c r="F2121" t="s">
        <v>2131</v>
      </c>
      <c r="G2121">
        <v>2</v>
      </c>
    </row>
    <row r="2122" spans="1:7" x14ac:dyDescent="0.25">
      <c r="A2122">
        <v>15</v>
      </c>
      <c r="B2122" t="s">
        <v>2078</v>
      </c>
      <c r="C2122">
        <v>21686</v>
      </c>
      <c r="D2122" t="str">
        <f>"0079-4236"</f>
        <v>0079-4236</v>
      </c>
      <c r="E2122" t="s">
        <v>15</v>
      </c>
      <c r="F2122" t="s">
        <v>2132</v>
      </c>
      <c r="G2122">
        <v>2</v>
      </c>
    </row>
    <row r="2123" spans="1:7" x14ac:dyDescent="0.25">
      <c r="A2123">
        <v>15</v>
      </c>
      <c r="B2123" t="s">
        <v>2078</v>
      </c>
      <c r="C2123">
        <v>11958</v>
      </c>
      <c r="D2123" t="str">
        <f>"0079-4848"</f>
        <v>0079-4848</v>
      </c>
      <c r="E2123" t="s">
        <v>8</v>
      </c>
      <c r="F2123" t="s">
        <v>2133</v>
      </c>
      <c r="G2123">
        <v>2</v>
      </c>
    </row>
    <row r="2124" spans="1:7" x14ac:dyDescent="0.25">
      <c r="A2124">
        <v>15</v>
      </c>
      <c r="B2124" t="s">
        <v>2078</v>
      </c>
      <c r="C2124">
        <v>8624</v>
      </c>
      <c r="D2124" t="str">
        <f>"0079-497X"</f>
        <v>0079-497X</v>
      </c>
      <c r="E2124" t="s">
        <v>8</v>
      </c>
      <c r="F2124" t="s">
        <v>2134</v>
      </c>
      <c r="G2124">
        <v>2</v>
      </c>
    </row>
    <row r="2125" spans="1:7" x14ac:dyDescent="0.25">
      <c r="A2125">
        <v>15</v>
      </c>
      <c r="B2125" t="s">
        <v>2078</v>
      </c>
      <c r="C2125">
        <v>16166</v>
      </c>
      <c r="D2125" t="str">
        <f>"0039-3630"</f>
        <v>0039-3630</v>
      </c>
      <c r="E2125" t="s">
        <v>8</v>
      </c>
      <c r="F2125" t="s">
        <v>2135</v>
      </c>
      <c r="G2125">
        <v>2</v>
      </c>
    </row>
    <row r="2126" spans="1:7" x14ac:dyDescent="0.25">
      <c r="A2126">
        <v>15</v>
      </c>
      <c r="B2126" t="s">
        <v>2078</v>
      </c>
      <c r="C2126">
        <v>4876</v>
      </c>
      <c r="D2126" t="str">
        <f>"0939-6314"</f>
        <v>0939-6314</v>
      </c>
      <c r="E2126" t="s">
        <v>8</v>
      </c>
      <c r="F2126" t="s">
        <v>2136</v>
      </c>
      <c r="G2126">
        <v>2</v>
      </c>
    </row>
    <row r="2127" spans="1:7" x14ac:dyDescent="0.25">
      <c r="A2127">
        <v>15</v>
      </c>
      <c r="B2127" t="s">
        <v>2078</v>
      </c>
      <c r="C2127">
        <v>3784</v>
      </c>
      <c r="D2127" t="str">
        <f>"0043-8243"</f>
        <v>0043-8243</v>
      </c>
      <c r="E2127" t="s">
        <v>8</v>
      </c>
      <c r="F2127" t="s">
        <v>2137</v>
      </c>
      <c r="G2127">
        <v>2</v>
      </c>
    </row>
    <row r="2128" spans="1:7" x14ac:dyDescent="0.25">
      <c r="A2128">
        <v>15</v>
      </c>
      <c r="B2128" t="s">
        <v>2078</v>
      </c>
      <c r="C2128">
        <v>59844</v>
      </c>
      <c r="D2128" t="str">
        <f>"0340-0824"</f>
        <v>0340-0824</v>
      </c>
      <c r="E2128" t="s">
        <v>8</v>
      </c>
      <c r="F2128" t="s">
        <v>2138</v>
      </c>
      <c r="G2128">
        <v>2</v>
      </c>
    </row>
    <row r="2129" spans="1:7" x14ac:dyDescent="0.25">
      <c r="A2129">
        <v>15</v>
      </c>
      <c r="B2129" t="s">
        <v>2078</v>
      </c>
      <c r="C2129">
        <v>27846</v>
      </c>
      <c r="D2129" t="str">
        <f>"1868-9078"</f>
        <v>1868-9078</v>
      </c>
      <c r="E2129" t="s">
        <v>8</v>
      </c>
      <c r="F2129" t="s">
        <v>2139</v>
      </c>
      <c r="G2129">
        <v>2</v>
      </c>
    </row>
    <row r="2130" spans="1:7" x14ac:dyDescent="0.25">
      <c r="A2130">
        <v>15</v>
      </c>
      <c r="B2130" t="s">
        <v>2078</v>
      </c>
      <c r="C2130">
        <v>3157</v>
      </c>
      <c r="D2130" t="str">
        <f>"0065-101X"</f>
        <v>0065-101X</v>
      </c>
      <c r="E2130" t="s">
        <v>8</v>
      </c>
      <c r="F2130" t="s">
        <v>2140</v>
      </c>
      <c r="G2130">
        <v>1</v>
      </c>
    </row>
    <row r="2131" spans="1:7" x14ac:dyDescent="0.25">
      <c r="A2131">
        <v>15</v>
      </c>
      <c r="B2131" t="s">
        <v>2078</v>
      </c>
      <c r="C2131">
        <v>29009</v>
      </c>
      <c r="D2131" t="str">
        <f>"0065-0994"</f>
        <v>0065-0994</v>
      </c>
      <c r="E2131" t="s">
        <v>15</v>
      </c>
      <c r="F2131" t="s">
        <v>2141</v>
      </c>
      <c r="G2131">
        <v>1</v>
      </c>
    </row>
    <row r="2132" spans="1:7" x14ac:dyDescent="0.25">
      <c r="A2132">
        <v>15</v>
      </c>
      <c r="B2132" t="s">
        <v>2078</v>
      </c>
      <c r="C2132">
        <v>2058</v>
      </c>
      <c r="D2132" t="str">
        <f>"0800-3831"</f>
        <v>0800-3831</v>
      </c>
      <c r="E2132" t="s">
        <v>8</v>
      </c>
      <c r="F2132" t="s">
        <v>2142</v>
      </c>
      <c r="G2132">
        <v>1</v>
      </c>
    </row>
    <row r="2133" spans="1:7" x14ac:dyDescent="0.25">
      <c r="A2133">
        <v>15</v>
      </c>
      <c r="B2133" t="s">
        <v>2078</v>
      </c>
      <c r="C2133">
        <v>11119</v>
      </c>
      <c r="D2133" t="str">
        <f>"0904-2067"</f>
        <v>0904-2067</v>
      </c>
      <c r="E2133" t="s">
        <v>15</v>
      </c>
      <c r="F2133" t="s">
        <v>2143</v>
      </c>
      <c r="G2133">
        <v>1</v>
      </c>
    </row>
    <row r="2134" spans="1:7" x14ac:dyDescent="0.25">
      <c r="A2134">
        <v>15</v>
      </c>
      <c r="B2134" t="s">
        <v>2078</v>
      </c>
      <c r="C2134">
        <v>3406</v>
      </c>
      <c r="D2134" t="str">
        <f>"0341-1184"</f>
        <v>0341-1184</v>
      </c>
      <c r="E2134" t="s">
        <v>15</v>
      </c>
      <c r="F2134" t="s">
        <v>2144</v>
      </c>
      <c r="G2134">
        <v>1</v>
      </c>
    </row>
    <row r="2135" spans="1:7" x14ac:dyDescent="0.25">
      <c r="A2135">
        <v>15</v>
      </c>
      <c r="B2135" t="s">
        <v>2078</v>
      </c>
      <c r="C2135">
        <v>17557</v>
      </c>
      <c r="D2135" t="str">
        <f>"1301-2746"</f>
        <v>1301-2746</v>
      </c>
      <c r="E2135" t="s">
        <v>8</v>
      </c>
      <c r="F2135" t="s">
        <v>2145</v>
      </c>
      <c r="G2135">
        <v>1</v>
      </c>
    </row>
    <row r="2136" spans="1:7" x14ac:dyDescent="0.25">
      <c r="A2136">
        <v>15</v>
      </c>
      <c r="B2136" t="s">
        <v>2078</v>
      </c>
      <c r="C2136">
        <v>1328</v>
      </c>
      <c r="D2136" t="str">
        <f>"0349-8808"</f>
        <v>0349-8808</v>
      </c>
      <c r="E2136" t="s">
        <v>8</v>
      </c>
      <c r="F2136" t="s">
        <v>2146</v>
      </c>
      <c r="G2136">
        <v>1</v>
      </c>
    </row>
    <row r="2137" spans="1:7" x14ac:dyDescent="0.25">
      <c r="A2137">
        <v>15</v>
      </c>
      <c r="B2137" t="s">
        <v>2078</v>
      </c>
      <c r="C2137">
        <v>11921</v>
      </c>
      <c r="D2137" t="str">
        <f>"0776-3808"</f>
        <v>0776-3808</v>
      </c>
      <c r="E2137" t="s">
        <v>15</v>
      </c>
      <c r="F2137" t="s">
        <v>2147</v>
      </c>
      <c r="G2137">
        <v>1</v>
      </c>
    </row>
    <row r="2138" spans="1:7" x14ac:dyDescent="0.25">
      <c r="A2138">
        <v>15</v>
      </c>
      <c r="B2138" t="s">
        <v>2078</v>
      </c>
      <c r="C2138">
        <v>10078</v>
      </c>
      <c r="D2138" t="str">
        <f>"0263-0338"</f>
        <v>0263-0338</v>
      </c>
      <c r="E2138" t="s">
        <v>8</v>
      </c>
      <c r="F2138" t="s">
        <v>2148</v>
      </c>
      <c r="G2138">
        <v>1</v>
      </c>
    </row>
    <row r="2139" spans="1:7" x14ac:dyDescent="0.25">
      <c r="A2139">
        <v>15</v>
      </c>
      <c r="B2139" t="s">
        <v>2078</v>
      </c>
      <c r="C2139">
        <v>151835</v>
      </c>
      <c r="D2139" t="str">
        <f>"0065-6585"</f>
        <v>0065-6585</v>
      </c>
      <c r="E2139" t="s">
        <v>15</v>
      </c>
      <c r="F2139" t="s">
        <v>2149</v>
      </c>
      <c r="G2139">
        <v>1</v>
      </c>
    </row>
    <row r="2140" spans="1:7" x14ac:dyDescent="0.25">
      <c r="A2140">
        <v>15</v>
      </c>
      <c r="B2140" t="s">
        <v>2078</v>
      </c>
      <c r="C2140">
        <v>6014533</v>
      </c>
      <c r="D2140" t="str">
        <f>"1053-8356"</f>
        <v>1053-8356</v>
      </c>
      <c r="E2140" t="s">
        <v>8</v>
      </c>
      <c r="F2140" t="s">
        <v>2150</v>
      </c>
      <c r="G2140">
        <v>1</v>
      </c>
    </row>
    <row r="2141" spans="1:7" x14ac:dyDescent="0.25">
      <c r="A2141">
        <v>15</v>
      </c>
      <c r="B2141" t="s">
        <v>2078</v>
      </c>
      <c r="C2141">
        <v>15089</v>
      </c>
      <c r="D2141" t="str">
        <f>"1543-0529"</f>
        <v>1543-0529</v>
      </c>
      <c r="E2141" t="s">
        <v>15</v>
      </c>
      <c r="F2141" t="s">
        <v>2151</v>
      </c>
      <c r="G2141">
        <v>1</v>
      </c>
    </row>
    <row r="2142" spans="1:7" x14ac:dyDescent="0.25">
      <c r="A2142">
        <v>15</v>
      </c>
      <c r="B2142" t="s">
        <v>2078</v>
      </c>
      <c r="C2142">
        <v>15677</v>
      </c>
      <c r="D2142" t="str">
        <f>"0800-0816"</f>
        <v>0800-0816</v>
      </c>
      <c r="E2142" t="s">
        <v>15</v>
      </c>
      <c r="F2142" t="s">
        <v>2152</v>
      </c>
      <c r="G2142">
        <v>1</v>
      </c>
    </row>
    <row r="2143" spans="1:7" x14ac:dyDescent="0.25">
      <c r="A2143">
        <v>15</v>
      </c>
      <c r="B2143" t="s">
        <v>2078</v>
      </c>
      <c r="C2143">
        <v>4321</v>
      </c>
      <c r="D2143" t="str">
        <f>"0332-6306"</f>
        <v>0332-6306</v>
      </c>
      <c r="E2143" t="s">
        <v>15</v>
      </c>
      <c r="F2143" t="s">
        <v>2153</v>
      </c>
      <c r="G2143">
        <v>1</v>
      </c>
    </row>
    <row r="2144" spans="1:7" x14ac:dyDescent="0.25">
      <c r="A2144">
        <v>15</v>
      </c>
      <c r="B2144" t="s">
        <v>2078</v>
      </c>
      <c r="C2144">
        <v>106383</v>
      </c>
      <c r="D2144" t="str">
        <f>"0169-7447"</f>
        <v>0169-7447</v>
      </c>
      <c r="E2144" t="s">
        <v>8</v>
      </c>
      <c r="F2144" t="s">
        <v>2154</v>
      </c>
      <c r="G2144">
        <v>1</v>
      </c>
    </row>
    <row r="2145" spans="1:7" x14ac:dyDescent="0.25">
      <c r="A2145">
        <v>15</v>
      </c>
      <c r="B2145" t="s">
        <v>2078</v>
      </c>
      <c r="C2145">
        <v>27658</v>
      </c>
      <c r="D2145" t="str">
        <f>"0066-1546"</f>
        <v>0066-1546</v>
      </c>
      <c r="E2145" t="s">
        <v>8</v>
      </c>
      <c r="F2145" t="s">
        <v>2155</v>
      </c>
      <c r="G2145">
        <v>1</v>
      </c>
    </row>
    <row r="2146" spans="1:7" x14ac:dyDescent="0.25">
      <c r="A2146">
        <v>15</v>
      </c>
      <c r="B2146" t="s">
        <v>2078</v>
      </c>
      <c r="C2146">
        <v>26898</v>
      </c>
      <c r="D2146" t="str">
        <f>"0066-1554"</f>
        <v>0066-1554</v>
      </c>
      <c r="E2146" t="s">
        <v>8</v>
      </c>
      <c r="F2146" t="s">
        <v>2156</v>
      </c>
      <c r="G2146">
        <v>1</v>
      </c>
    </row>
    <row r="2147" spans="1:7" x14ac:dyDescent="0.25">
      <c r="A2147">
        <v>15</v>
      </c>
      <c r="B2147" t="s">
        <v>2078</v>
      </c>
      <c r="C2147">
        <v>4847</v>
      </c>
      <c r="D2147" t="str">
        <f>"0956-5361"</f>
        <v>0956-5361</v>
      </c>
      <c r="E2147" t="s">
        <v>8</v>
      </c>
      <c r="F2147" t="s">
        <v>2157</v>
      </c>
      <c r="G2147">
        <v>1</v>
      </c>
    </row>
    <row r="2148" spans="1:7" x14ac:dyDescent="0.25">
      <c r="A2148">
        <v>15</v>
      </c>
      <c r="B2148" t="s">
        <v>2078</v>
      </c>
      <c r="C2148">
        <v>8783629</v>
      </c>
      <c r="E2148" t="s">
        <v>15</v>
      </c>
      <c r="F2148" t="s">
        <v>2158</v>
      </c>
      <c r="G2148">
        <v>1</v>
      </c>
    </row>
    <row r="2149" spans="1:7" x14ac:dyDescent="0.25">
      <c r="A2149">
        <v>15</v>
      </c>
      <c r="B2149" t="s">
        <v>2078</v>
      </c>
      <c r="C2149">
        <v>96645</v>
      </c>
      <c r="D2149" t="str">
        <f>"1783-8363"</f>
        <v>1783-8363</v>
      </c>
      <c r="E2149" t="s">
        <v>8</v>
      </c>
      <c r="F2149" t="s">
        <v>2159</v>
      </c>
      <c r="G2149">
        <v>1</v>
      </c>
    </row>
    <row r="2150" spans="1:7" x14ac:dyDescent="0.25">
      <c r="A2150">
        <v>15</v>
      </c>
      <c r="B2150" t="s">
        <v>2078</v>
      </c>
      <c r="C2150">
        <v>714</v>
      </c>
      <c r="D2150" t="str">
        <f>"0264-5254"</f>
        <v>0264-5254</v>
      </c>
      <c r="E2150" t="s">
        <v>15</v>
      </c>
      <c r="F2150" t="s">
        <v>2160</v>
      </c>
      <c r="G2150">
        <v>1</v>
      </c>
    </row>
    <row r="2151" spans="1:7" x14ac:dyDescent="0.25">
      <c r="A2151">
        <v>15</v>
      </c>
      <c r="B2151" t="s">
        <v>2078</v>
      </c>
      <c r="C2151">
        <v>13390</v>
      </c>
      <c r="D2151" t="str">
        <f>"0067-0081"</f>
        <v>0067-0081</v>
      </c>
      <c r="E2151" t="s">
        <v>15</v>
      </c>
      <c r="F2151" t="s">
        <v>2161</v>
      </c>
      <c r="G2151">
        <v>1</v>
      </c>
    </row>
    <row r="2152" spans="1:7" x14ac:dyDescent="0.25">
      <c r="A2152">
        <v>15</v>
      </c>
      <c r="B2152" t="s">
        <v>2078</v>
      </c>
      <c r="C2152">
        <v>27288</v>
      </c>
      <c r="D2152" t="str">
        <f>"0761-3032"</f>
        <v>0761-3032</v>
      </c>
      <c r="E2152" t="s">
        <v>8</v>
      </c>
      <c r="F2152" t="s">
        <v>2162</v>
      </c>
      <c r="G2152">
        <v>1</v>
      </c>
    </row>
    <row r="2153" spans="1:7" x14ac:dyDescent="0.25">
      <c r="A2153">
        <v>15</v>
      </c>
      <c r="B2153" t="s">
        <v>2078</v>
      </c>
      <c r="C2153">
        <v>12666</v>
      </c>
      <c r="D2153" t="str">
        <f>"0003-5688"</f>
        <v>0003-5688</v>
      </c>
      <c r="E2153" t="s">
        <v>8</v>
      </c>
      <c r="F2153" t="s">
        <v>2163</v>
      </c>
      <c r="G2153">
        <v>1</v>
      </c>
    </row>
    <row r="2154" spans="1:7" x14ac:dyDescent="0.25">
      <c r="A2154">
        <v>15</v>
      </c>
      <c r="B2154" t="s">
        <v>2078</v>
      </c>
      <c r="C2154">
        <v>5054</v>
      </c>
      <c r="D2154" t="str">
        <f>"0420-025X"</f>
        <v>0420-025X</v>
      </c>
      <c r="E2154" t="s">
        <v>8</v>
      </c>
      <c r="F2154" t="s">
        <v>2164</v>
      </c>
      <c r="G2154">
        <v>1</v>
      </c>
    </row>
    <row r="2155" spans="1:7" x14ac:dyDescent="0.25">
      <c r="A2155">
        <v>15</v>
      </c>
      <c r="B2155" t="s">
        <v>2078</v>
      </c>
      <c r="C2155">
        <v>6117</v>
      </c>
      <c r="D2155" t="str">
        <f>"0003-570X"</f>
        <v>0003-570X</v>
      </c>
      <c r="E2155" t="s">
        <v>8</v>
      </c>
      <c r="F2155" t="s">
        <v>2165</v>
      </c>
      <c r="G2155">
        <v>1</v>
      </c>
    </row>
    <row r="2156" spans="1:7" x14ac:dyDescent="0.25">
      <c r="A2156">
        <v>15</v>
      </c>
      <c r="B2156" t="s">
        <v>2078</v>
      </c>
      <c r="C2156">
        <v>4407</v>
      </c>
      <c r="D2156" t="str">
        <f>"0066-4871"</f>
        <v>0066-4871</v>
      </c>
      <c r="E2156" t="s">
        <v>8</v>
      </c>
      <c r="F2156" t="s">
        <v>2166</v>
      </c>
      <c r="G2156">
        <v>1</v>
      </c>
    </row>
    <row r="2157" spans="1:7" x14ac:dyDescent="0.25">
      <c r="A2157">
        <v>15</v>
      </c>
      <c r="B2157" t="s">
        <v>2078</v>
      </c>
      <c r="C2157">
        <v>17436</v>
      </c>
      <c r="D2157" t="str">
        <f>"1132-6891"</f>
        <v>1132-6891</v>
      </c>
      <c r="E2157" t="s">
        <v>8</v>
      </c>
      <c r="F2157" t="s">
        <v>2167</v>
      </c>
      <c r="G2157">
        <v>1</v>
      </c>
    </row>
    <row r="2158" spans="1:7" x14ac:dyDescent="0.25">
      <c r="A2158">
        <v>15</v>
      </c>
      <c r="B2158" t="s">
        <v>2078</v>
      </c>
      <c r="C2158">
        <v>87066</v>
      </c>
      <c r="D2158" t="str">
        <f>"0003-8008"</f>
        <v>0003-8008</v>
      </c>
      <c r="E2158" t="s">
        <v>8</v>
      </c>
      <c r="F2158" t="s">
        <v>2168</v>
      </c>
      <c r="G2158">
        <v>1</v>
      </c>
    </row>
    <row r="2159" spans="1:7" x14ac:dyDescent="0.25">
      <c r="A2159">
        <v>15</v>
      </c>
      <c r="B2159" t="s">
        <v>2078</v>
      </c>
      <c r="C2159">
        <v>117523</v>
      </c>
      <c r="D2159" t="str">
        <f>"1392-5520"</f>
        <v>1392-5520</v>
      </c>
      <c r="E2159" t="s">
        <v>8</v>
      </c>
      <c r="F2159" t="s">
        <v>2169</v>
      </c>
      <c r="G2159">
        <v>1</v>
      </c>
    </row>
    <row r="2160" spans="1:7" x14ac:dyDescent="0.25">
      <c r="A2160">
        <v>15</v>
      </c>
      <c r="B2160" t="s">
        <v>2078</v>
      </c>
      <c r="C2160">
        <v>22164</v>
      </c>
      <c r="D2160" t="str">
        <f>"1310-9537"</f>
        <v>1310-9537</v>
      </c>
      <c r="E2160" t="s">
        <v>8</v>
      </c>
      <c r="F2160" t="s">
        <v>2170</v>
      </c>
      <c r="G2160">
        <v>1</v>
      </c>
    </row>
    <row r="2161" spans="1:7" x14ac:dyDescent="0.25">
      <c r="A2161">
        <v>15</v>
      </c>
      <c r="B2161" t="s">
        <v>2078</v>
      </c>
      <c r="C2161">
        <v>15259</v>
      </c>
      <c r="D2161" t="str">
        <f>"1560-8026"</f>
        <v>1560-8026</v>
      </c>
      <c r="E2161" t="s">
        <v>8</v>
      </c>
      <c r="F2161" t="s">
        <v>2171</v>
      </c>
      <c r="G2161">
        <v>1</v>
      </c>
    </row>
    <row r="2162" spans="1:7" x14ac:dyDescent="0.25">
      <c r="A2162">
        <v>15</v>
      </c>
      <c r="B2162" t="s">
        <v>2078</v>
      </c>
      <c r="C2162">
        <v>105112</v>
      </c>
      <c r="D2162" t="str">
        <f>"1392-6748"</f>
        <v>1392-6748</v>
      </c>
      <c r="E2162" t="s">
        <v>8</v>
      </c>
      <c r="F2162" t="s">
        <v>2172</v>
      </c>
      <c r="G2162">
        <v>1</v>
      </c>
    </row>
    <row r="2163" spans="1:7" x14ac:dyDescent="0.25">
      <c r="A2163">
        <v>15</v>
      </c>
      <c r="B2163" t="s">
        <v>2078</v>
      </c>
      <c r="C2163">
        <v>139421</v>
      </c>
      <c r="D2163" t="str">
        <f>"1724-6091"</f>
        <v>1724-6091</v>
      </c>
      <c r="E2163" t="s">
        <v>8</v>
      </c>
      <c r="F2163" t="s">
        <v>2173</v>
      </c>
      <c r="G2163">
        <v>1</v>
      </c>
    </row>
    <row r="2164" spans="1:7" x14ac:dyDescent="0.25">
      <c r="A2164">
        <v>15</v>
      </c>
      <c r="B2164" t="s">
        <v>2078</v>
      </c>
      <c r="C2164">
        <v>113403</v>
      </c>
      <c r="D2164" t="str">
        <f>"1236-5882"</f>
        <v>1236-5882</v>
      </c>
      <c r="E2164" t="s">
        <v>15</v>
      </c>
      <c r="F2164" t="s">
        <v>2174</v>
      </c>
      <c r="G2164">
        <v>1</v>
      </c>
    </row>
    <row r="2165" spans="1:7" x14ac:dyDescent="0.25">
      <c r="A2165">
        <v>15</v>
      </c>
      <c r="B2165" t="s">
        <v>2078</v>
      </c>
      <c r="C2165">
        <v>90016</v>
      </c>
      <c r="D2165" t="str">
        <f>"0066-5924"</f>
        <v>0066-5924</v>
      </c>
      <c r="E2165" t="s">
        <v>8</v>
      </c>
      <c r="F2165" t="s">
        <v>2175</v>
      </c>
      <c r="G2165">
        <v>1</v>
      </c>
    </row>
    <row r="2166" spans="1:7" x14ac:dyDescent="0.25">
      <c r="A2166">
        <v>15</v>
      </c>
      <c r="B2166" t="s">
        <v>2078</v>
      </c>
      <c r="C2166">
        <v>8782518</v>
      </c>
      <c r="E2166" t="s">
        <v>15</v>
      </c>
      <c r="F2166" t="s">
        <v>2176</v>
      </c>
      <c r="G2166">
        <v>1</v>
      </c>
    </row>
    <row r="2167" spans="1:7" x14ac:dyDescent="0.25">
      <c r="A2167">
        <v>15</v>
      </c>
      <c r="B2167" t="s">
        <v>2078</v>
      </c>
      <c r="C2167">
        <v>7908</v>
      </c>
      <c r="D2167" t="str">
        <f>"1075-2196"</f>
        <v>1075-2196</v>
      </c>
      <c r="E2167" t="s">
        <v>8</v>
      </c>
      <c r="F2167" t="s">
        <v>2177</v>
      </c>
      <c r="G2167">
        <v>1</v>
      </c>
    </row>
    <row r="2168" spans="1:7" x14ac:dyDescent="0.25">
      <c r="A2168">
        <v>15</v>
      </c>
      <c r="B2168" t="s">
        <v>2078</v>
      </c>
      <c r="C2168">
        <v>14875</v>
      </c>
      <c r="D2168" t="str">
        <f>"0570-6084"</f>
        <v>0570-6084</v>
      </c>
      <c r="E2168" t="s">
        <v>8</v>
      </c>
      <c r="F2168" t="s">
        <v>2178</v>
      </c>
      <c r="G2168">
        <v>1</v>
      </c>
    </row>
    <row r="2169" spans="1:7" x14ac:dyDescent="0.25">
      <c r="A2169">
        <v>15</v>
      </c>
      <c r="B2169" t="s">
        <v>2078</v>
      </c>
      <c r="C2169">
        <v>55823</v>
      </c>
      <c r="D2169" t="str">
        <f>"0169-7331"</f>
        <v>0169-7331</v>
      </c>
      <c r="E2169" t="s">
        <v>8</v>
      </c>
      <c r="F2169" t="s">
        <v>2179</v>
      </c>
      <c r="G2169">
        <v>1</v>
      </c>
    </row>
    <row r="2170" spans="1:7" x14ac:dyDescent="0.25">
      <c r="A2170">
        <v>15</v>
      </c>
      <c r="B2170" t="s">
        <v>2078</v>
      </c>
      <c r="C2170">
        <v>62736</v>
      </c>
      <c r="D2170" t="str">
        <f>"0255-9005"</f>
        <v>0255-9005</v>
      </c>
      <c r="E2170" t="s">
        <v>8</v>
      </c>
      <c r="F2170" t="s">
        <v>2180</v>
      </c>
      <c r="G2170">
        <v>1</v>
      </c>
    </row>
    <row r="2171" spans="1:7" x14ac:dyDescent="0.25">
      <c r="A2171">
        <v>15</v>
      </c>
      <c r="B2171" t="s">
        <v>2078</v>
      </c>
      <c r="C2171">
        <v>151891</v>
      </c>
      <c r="D2171" t="str">
        <f>"0946-512X"</f>
        <v>0946-512X</v>
      </c>
      <c r="E2171" t="s">
        <v>15</v>
      </c>
      <c r="F2171" t="s">
        <v>2181</v>
      </c>
      <c r="G2171">
        <v>1</v>
      </c>
    </row>
    <row r="2172" spans="1:7" x14ac:dyDescent="0.25">
      <c r="A2172">
        <v>15</v>
      </c>
      <c r="B2172" t="s">
        <v>2078</v>
      </c>
      <c r="C2172">
        <v>27171</v>
      </c>
      <c r="D2172" t="str">
        <f>"0341-2873"</f>
        <v>0341-2873</v>
      </c>
      <c r="E2172" t="s">
        <v>8</v>
      </c>
      <c r="F2172" t="s">
        <v>2182</v>
      </c>
      <c r="G2172">
        <v>1</v>
      </c>
    </row>
    <row r="2173" spans="1:7" x14ac:dyDescent="0.25">
      <c r="A2173">
        <v>15</v>
      </c>
      <c r="B2173" t="s">
        <v>2078</v>
      </c>
      <c r="C2173">
        <v>43129</v>
      </c>
      <c r="D2173" t="str">
        <f>"1434-2758"</f>
        <v>1434-2758</v>
      </c>
      <c r="E2173" t="s">
        <v>15</v>
      </c>
      <c r="F2173" t="s">
        <v>2183</v>
      </c>
      <c r="G2173">
        <v>1</v>
      </c>
    </row>
    <row r="2174" spans="1:7" x14ac:dyDescent="0.25">
      <c r="A2174">
        <v>15</v>
      </c>
      <c r="B2174" t="s">
        <v>2078</v>
      </c>
      <c r="C2174">
        <v>394</v>
      </c>
      <c r="D2174" t="str">
        <f>"0342-734X"</f>
        <v>0342-734X</v>
      </c>
      <c r="E2174" t="s">
        <v>8</v>
      </c>
      <c r="F2174" t="s">
        <v>2184</v>
      </c>
      <c r="G2174">
        <v>1</v>
      </c>
    </row>
    <row r="2175" spans="1:7" x14ac:dyDescent="0.25">
      <c r="A2175">
        <v>15</v>
      </c>
      <c r="B2175" t="s">
        <v>2078</v>
      </c>
      <c r="C2175">
        <v>10449</v>
      </c>
      <c r="D2175" t="str">
        <f>"0281-5877"</f>
        <v>0281-5877</v>
      </c>
      <c r="E2175" t="s">
        <v>15</v>
      </c>
      <c r="F2175" t="s">
        <v>2185</v>
      </c>
      <c r="G2175">
        <v>1</v>
      </c>
    </row>
    <row r="2176" spans="1:7" x14ac:dyDescent="0.25">
      <c r="A2176">
        <v>15</v>
      </c>
      <c r="B2176" t="s">
        <v>2078</v>
      </c>
      <c r="C2176">
        <v>79701</v>
      </c>
      <c r="D2176" t="str">
        <f>"0113-7832"</f>
        <v>0113-7832</v>
      </c>
      <c r="E2176" t="s">
        <v>8</v>
      </c>
      <c r="F2176" t="s">
        <v>2186</v>
      </c>
      <c r="G2176">
        <v>1</v>
      </c>
    </row>
    <row r="2177" spans="1:7" x14ac:dyDescent="0.25">
      <c r="A2177">
        <v>15</v>
      </c>
      <c r="B2177" t="s">
        <v>2078</v>
      </c>
      <c r="C2177">
        <v>17826</v>
      </c>
      <c r="D2177" t="str">
        <f>"0003-8121"</f>
        <v>0003-8121</v>
      </c>
      <c r="E2177" t="s">
        <v>8</v>
      </c>
      <c r="F2177" t="s">
        <v>2187</v>
      </c>
      <c r="G2177">
        <v>1</v>
      </c>
    </row>
    <row r="2178" spans="1:7" x14ac:dyDescent="0.25">
      <c r="A2178">
        <v>15</v>
      </c>
      <c r="B2178" t="s">
        <v>2078</v>
      </c>
      <c r="C2178">
        <v>24563</v>
      </c>
      <c r="D2178" t="str">
        <f>"0790-892X"</f>
        <v>0790-892X</v>
      </c>
      <c r="E2178" t="s">
        <v>8</v>
      </c>
      <c r="F2178" t="s">
        <v>2188</v>
      </c>
      <c r="G2178">
        <v>1</v>
      </c>
    </row>
    <row r="2179" spans="1:7" x14ac:dyDescent="0.25">
      <c r="A2179">
        <v>15</v>
      </c>
      <c r="B2179" t="s">
        <v>2078</v>
      </c>
      <c r="C2179">
        <v>57374</v>
      </c>
      <c r="D2179" t="str">
        <f>"0963-0937"</f>
        <v>0963-0937</v>
      </c>
      <c r="E2179" t="s">
        <v>15</v>
      </c>
      <c r="F2179" t="s">
        <v>2189</v>
      </c>
      <c r="G2179">
        <v>1</v>
      </c>
    </row>
    <row r="2180" spans="1:7" x14ac:dyDescent="0.25">
      <c r="A2180">
        <v>15</v>
      </c>
      <c r="B2180" t="s">
        <v>2078</v>
      </c>
      <c r="C2180">
        <v>19132</v>
      </c>
      <c r="D2180" t="str">
        <f>"1563-0110"</f>
        <v>1563-0110</v>
      </c>
      <c r="E2180" t="s">
        <v>8</v>
      </c>
      <c r="F2180" t="s">
        <v>2190</v>
      </c>
      <c r="G2180">
        <v>1</v>
      </c>
    </row>
    <row r="2181" spans="1:7" x14ac:dyDescent="0.25">
      <c r="A2181">
        <v>15</v>
      </c>
      <c r="B2181" t="s">
        <v>2078</v>
      </c>
      <c r="C2181">
        <v>142843</v>
      </c>
      <c r="D2181" t="str">
        <f>"0154-1854"</f>
        <v>0154-1854</v>
      </c>
      <c r="E2181" t="s">
        <v>8</v>
      </c>
      <c r="F2181" t="s">
        <v>2191</v>
      </c>
      <c r="G2181">
        <v>1</v>
      </c>
    </row>
    <row r="2182" spans="1:7" x14ac:dyDescent="0.25">
      <c r="A2182">
        <v>15</v>
      </c>
      <c r="B2182" t="s">
        <v>2078</v>
      </c>
      <c r="C2182">
        <v>8783630</v>
      </c>
      <c r="E2182" t="s">
        <v>15</v>
      </c>
      <c r="F2182" t="s">
        <v>2192</v>
      </c>
      <c r="G2182">
        <v>1</v>
      </c>
    </row>
    <row r="2183" spans="1:7" x14ac:dyDescent="0.25">
      <c r="A2183">
        <v>15</v>
      </c>
      <c r="B2183" t="s">
        <v>2078</v>
      </c>
      <c r="C2183">
        <v>95169</v>
      </c>
      <c r="D2183" t="str">
        <f>"0570-622X"</f>
        <v>0570-622X</v>
      </c>
      <c r="E2183" t="s">
        <v>8</v>
      </c>
      <c r="F2183" t="s">
        <v>2193</v>
      </c>
      <c r="G2183">
        <v>1</v>
      </c>
    </row>
    <row r="2184" spans="1:7" x14ac:dyDescent="0.25">
      <c r="A2184">
        <v>15</v>
      </c>
      <c r="B2184" t="s">
        <v>2078</v>
      </c>
      <c r="C2184">
        <v>88039</v>
      </c>
      <c r="D2184" t="str">
        <f>"0066-605X"</f>
        <v>0066-605X</v>
      </c>
      <c r="E2184" t="s">
        <v>8</v>
      </c>
      <c r="F2184" t="s">
        <v>2194</v>
      </c>
      <c r="G2184">
        <v>1</v>
      </c>
    </row>
    <row r="2185" spans="1:7" x14ac:dyDescent="0.25">
      <c r="A2185">
        <v>15</v>
      </c>
      <c r="B2185" t="s">
        <v>2078</v>
      </c>
      <c r="C2185">
        <v>86308</v>
      </c>
      <c r="D2185" t="str">
        <f>"1120-6861"</f>
        <v>1120-6861</v>
      </c>
      <c r="E2185" t="s">
        <v>8</v>
      </c>
      <c r="F2185" t="s">
        <v>2195</v>
      </c>
      <c r="G2185">
        <v>1</v>
      </c>
    </row>
    <row r="2186" spans="1:7" x14ac:dyDescent="0.25">
      <c r="A2186">
        <v>15</v>
      </c>
      <c r="B2186" t="s">
        <v>2078</v>
      </c>
      <c r="C2186">
        <v>1635</v>
      </c>
      <c r="D2186" t="str">
        <f>"0390-0592"</f>
        <v>0390-0592</v>
      </c>
      <c r="E2186" t="s">
        <v>8</v>
      </c>
      <c r="F2186" t="s">
        <v>2196</v>
      </c>
      <c r="G2186">
        <v>1</v>
      </c>
    </row>
    <row r="2187" spans="1:7" x14ac:dyDescent="0.25">
      <c r="A2187">
        <v>15</v>
      </c>
      <c r="B2187" t="s">
        <v>2078</v>
      </c>
      <c r="C2187">
        <v>39151</v>
      </c>
      <c r="D2187" t="str">
        <f>"0003-8180"</f>
        <v>0003-8180</v>
      </c>
      <c r="E2187" t="s">
        <v>8</v>
      </c>
      <c r="F2187" t="s">
        <v>2197</v>
      </c>
      <c r="G2187">
        <v>1</v>
      </c>
    </row>
    <row r="2188" spans="1:7" x14ac:dyDescent="0.25">
      <c r="A2188">
        <v>15</v>
      </c>
      <c r="B2188" t="s">
        <v>2078</v>
      </c>
      <c r="C2188">
        <v>127491</v>
      </c>
      <c r="D2188" t="str">
        <f>"1592-5935"</f>
        <v>1592-5935</v>
      </c>
      <c r="E2188" t="s">
        <v>8</v>
      </c>
      <c r="F2188" t="s">
        <v>2198</v>
      </c>
      <c r="G2188">
        <v>1</v>
      </c>
    </row>
    <row r="2189" spans="1:7" x14ac:dyDescent="0.25">
      <c r="A2189">
        <v>15</v>
      </c>
      <c r="B2189" t="s">
        <v>2078</v>
      </c>
      <c r="C2189">
        <v>27477</v>
      </c>
      <c r="D2189" t="str">
        <f>"0323-1267"</f>
        <v>0323-1267</v>
      </c>
      <c r="E2189" t="s">
        <v>8</v>
      </c>
      <c r="F2189" t="s">
        <v>2199</v>
      </c>
      <c r="G2189">
        <v>1</v>
      </c>
    </row>
    <row r="2190" spans="1:7" x14ac:dyDescent="0.25">
      <c r="A2190">
        <v>15</v>
      </c>
      <c r="B2190" t="s">
        <v>2078</v>
      </c>
      <c r="C2190">
        <v>3185</v>
      </c>
      <c r="D2190" t="str">
        <f>"0299-8130"</f>
        <v>0299-8130</v>
      </c>
      <c r="E2190" t="s">
        <v>8</v>
      </c>
      <c r="F2190" t="s">
        <v>2200</v>
      </c>
      <c r="G2190">
        <v>1</v>
      </c>
    </row>
    <row r="2191" spans="1:7" x14ac:dyDescent="0.25">
      <c r="A2191">
        <v>15</v>
      </c>
      <c r="B2191" t="s">
        <v>2078</v>
      </c>
      <c r="C2191">
        <v>39070</v>
      </c>
      <c r="D2191" t="str">
        <f>"1161-0492"</f>
        <v>1161-0492</v>
      </c>
      <c r="E2191" t="s">
        <v>8</v>
      </c>
      <c r="F2191" t="s">
        <v>2201</v>
      </c>
      <c r="G2191">
        <v>1</v>
      </c>
    </row>
    <row r="2192" spans="1:7" x14ac:dyDescent="0.25">
      <c r="A2192">
        <v>15</v>
      </c>
      <c r="B2192" t="s">
        <v>2078</v>
      </c>
      <c r="C2192">
        <v>5652</v>
      </c>
      <c r="D2192" t="str">
        <f>"1960-1360"</f>
        <v>1960-1360</v>
      </c>
      <c r="E2192" t="s">
        <v>8</v>
      </c>
      <c r="F2192" t="s">
        <v>2202</v>
      </c>
      <c r="G2192">
        <v>1</v>
      </c>
    </row>
    <row r="2193" spans="1:7" x14ac:dyDescent="0.25">
      <c r="A2193">
        <v>15</v>
      </c>
      <c r="B2193" t="s">
        <v>2078</v>
      </c>
      <c r="C2193">
        <v>79768</v>
      </c>
      <c r="D2193" t="str">
        <f>"0066-6440"</f>
        <v>0066-6440</v>
      </c>
      <c r="E2193" t="s">
        <v>15</v>
      </c>
      <c r="F2193" t="s">
        <v>2203</v>
      </c>
      <c r="G2193">
        <v>1</v>
      </c>
    </row>
    <row r="2194" spans="1:7" x14ac:dyDescent="0.25">
      <c r="A2194">
        <v>15</v>
      </c>
      <c r="B2194" t="s">
        <v>2078</v>
      </c>
      <c r="C2194">
        <v>1019</v>
      </c>
      <c r="D2194" t="str">
        <f>"0066-6742"</f>
        <v>0066-6742</v>
      </c>
      <c r="E2194" t="s">
        <v>8</v>
      </c>
      <c r="F2194" t="s">
        <v>2204</v>
      </c>
      <c r="G2194">
        <v>1</v>
      </c>
    </row>
    <row r="2195" spans="1:7" x14ac:dyDescent="0.25">
      <c r="A2195">
        <v>15</v>
      </c>
      <c r="B2195" t="s">
        <v>2078</v>
      </c>
      <c r="C2195">
        <v>88516</v>
      </c>
      <c r="D2195" t="str">
        <f>"0949-2410"</f>
        <v>0949-2410</v>
      </c>
      <c r="E2195" t="s">
        <v>15</v>
      </c>
      <c r="F2195" t="s">
        <v>2205</v>
      </c>
      <c r="G2195">
        <v>1</v>
      </c>
    </row>
    <row r="2196" spans="1:7" x14ac:dyDescent="0.25">
      <c r="A2196">
        <v>15</v>
      </c>
      <c r="B2196" t="s">
        <v>2078</v>
      </c>
      <c r="C2196">
        <v>151908</v>
      </c>
      <c r="D2196" t="str">
        <f>"0909-0533"</f>
        <v>0909-0533</v>
      </c>
      <c r="E2196" t="s">
        <v>8</v>
      </c>
      <c r="F2196" t="s">
        <v>2206</v>
      </c>
      <c r="G2196">
        <v>1</v>
      </c>
    </row>
    <row r="2197" spans="1:7" x14ac:dyDescent="0.25">
      <c r="A2197">
        <v>15</v>
      </c>
      <c r="B2197" t="s">
        <v>2078</v>
      </c>
      <c r="C2197">
        <v>7576</v>
      </c>
      <c r="D2197" t="str">
        <f>"1105-0950"</f>
        <v>1105-0950</v>
      </c>
      <c r="E2197" t="s">
        <v>8</v>
      </c>
      <c r="F2197" t="s">
        <v>2207</v>
      </c>
      <c r="G2197">
        <v>1</v>
      </c>
    </row>
    <row r="2198" spans="1:7" x14ac:dyDescent="0.25">
      <c r="A2198">
        <v>15</v>
      </c>
      <c r="B2198" t="s">
        <v>2078</v>
      </c>
      <c r="C2198">
        <v>92658</v>
      </c>
      <c r="D2198" t="str">
        <f>"0570-8966"</f>
        <v>0570-8966</v>
      </c>
      <c r="E2198" t="s">
        <v>8</v>
      </c>
      <c r="F2198" t="s">
        <v>2208</v>
      </c>
      <c r="G2198">
        <v>1</v>
      </c>
    </row>
    <row r="2199" spans="1:7" x14ac:dyDescent="0.25">
      <c r="A2199">
        <v>15</v>
      </c>
      <c r="B2199" t="s">
        <v>2078</v>
      </c>
      <c r="C2199">
        <v>85766</v>
      </c>
      <c r="D2199" t="str">
        <f>"1399-5545"</f>
        <v>1399-5545</v>
      </c>
      <c r="E2199" t="s">
        <v>8</v>
      </c>
      <c r="F2199" t="s">
        <v>2209</v>
      </c>
      <c r="G2199">
        <v>1</v>
      </c>
    </row>
    <row r="2200" spans="1:7" x14ac:dyDescent="0.25">
      <c r="A2200">
        <v>15</v>
      </c>
      <c r="B2200" t="s">
        <v>2078</v>
      </c>
      <c r="C2200">
        <v>13627</v>
      </c>
      <c r="D2200" t="str">
        <f>"0901-6732"</f>
        <v>0901-6732</v>
      </c>
      <c r="E2200" t="s">
        <v>8</v>
      </c>
      <c r="F2200" t="s">
        <v>2210</v>
      </c>
      <c r="G2200">
        <v>1</v>
      </c>
    </row>
    <row r="2201" spans="1:7" x14ac:dyDescent="0.25">
      <c r="A2201">
        <v>15</v>
      </c>
      <c r="B2201" t="s">
        <v>2078</v>
      </c>
      <c r="C2201">
        <v>66144</v>
      </c>
      <c r="D2201" t="str">
        <f>"0571-1371"</f>
        <v>0571-1371</v>
      </c>
      <c r="E2201" t="s">
        <v>8</v>
      </c>
      <c r="F2201" t="s">
        <v>2211</v>
      </c>
      <c r="G2201">
        <v>1</v>
      </c>
    </row>
    <row r="2202" spans="1:7" x14ac:dyDescent="0.25">
      <c r="A2202">
        <v>15</v>
      </c>
      <c r="B2202" t="s">
        <v>2078</v>
      </c>
      <c r="C2202">
        <v>6443</v>
      </c>
      <c r="D2202" t="str">
        <f>"1362-2331"</f>
        <v>1362-2331</v>
      </c>
      <c r="E2202" t="s">
        <v>8</v>
      </c>
      <c r="F2202" t="s">
        <v>2212</v>
      </c>
      <c r="G2202">
        <v>1</v>
      </c>
    </row>
    <row r="2203" spans="1:7" x14ac:dyDescent="0.25">
      <c r="A2203">
        <v>15</v>
      </c>
      <c r="B2203" t="s">
        <v>2078</v>
      </c>
      <c r="C2203">
        <v>12211</v>
      </c>
      <c r="D2203" t="str">
        <f>"0066-8435"</f>
        <v>0066-8435</v>
      </c>
      <c r="E2203" t="s">
        <v>8</v>
      </c>
      <c r="F2203" t="s">
        <v>2213</v>
      </c>
      <c r="G2203">
        <v>1</v>
      </c>
    </row>
    <row r="2204" spans="1:7" x14ac:dyDescent="0.25">
      <c r="A2204">
        <v>15</v>
      </c>
      <c r="B2204" t="s">
        <v>2078</v>
      </c>
      <c r="C2204">
        <v>27399</v>
      </c>
      <c r="D2204" t="str">
        <f>"1365-3881"</f>
        <v>1365-3881</v>
      </c>
      <c r="E2204" t="s">
        <v>8</v>
      </c>
      <c r="F2204" t="s">
        <v>2214</v>
      </c>
      <c r="G2204">
        <v>1</v>
      </c>
    </row>
    <row r="2205" spans="1:7" x14ac:dyDescent="0.25">
      <c r="A2205">
        <v>15</v>
      </c>
      <c r="B2205" t="s">
        <v>2078</v>
      </c>
      <c r="C2205">
        <v>1859</v>
      </c>
      <c r="D2205" t="str">
        <f>"0004-6574"</f>
        <v>0004-6574</v>
      </c>
      <c r="E2205" t="s">
        <v>15</v>
      </c>
      <c r="F2205" t="s">
        <v>2215</v>
      </c>
      <c r="G2205">
        <v>1</v>
      </c>
    </row>
    <row r="2206" spans="1:7" x14ac:dyDescent="0.25">
      <c r="A2206">
        <v>15</v>
      </c>
      <c r="B2206" t="s">
        <v>2078</v>
      </c>
      <c r="C2206">
        <v>21914</v>
      </c>
      <c r="D2206" t="str">
        <f>"0792-8424"</f>
        <v>0792-8424</v>
      </c>
      <c r="E2206" t="s">
        <v>8</v>
      </c>
      <c r="F2206" t="s">
        <v>2216</v>
      </c>
      <c r="G2206">
        <v>1</v>
      </c>
    </row>
    <row r="2207" spans="1:7" x14ac:dyDescent="0.25">
      <c r="A2207">
        <v>15</v>
      </c>
      <c r="B2207" t="s">
        <v>2078</v>
      </c>
      <c r="C2207">
        <v>145520</v>
      </c>
      <c r="D2207" t="str">
        <f>"0256-4009"</f>
        <v>0256-4009</v>
      </c>
      <c r="E2207" t="s">
        <v>8</v>
      </c>
      <c r="F2207" t="s">
        <v>2217</v>
      </c>
      <c r="G2207">
        <v>1</v>
      </c>
    </row>
    <row r="2208" spans="1:7" x14ac:dyDescent="0.25">
      <c r="A2208">
        <v>15</v>
      </c>
      <c r="B2208" t="s">
        <v>2078</v>
      </c>
      <c r="C2208">
        <v>82008</v>
      </c>
      <c r="D2208" t="str">
        <f>"1447-0276"</f>
        <v>1447-0276</v>
      </c>
      <c r="E2208" t="s">
        <v>8</v>
      </c>
      <c r="F2208" t="s">
        <v>2218</v>
      </c>
      <c r="G2208">
        <v>1</v>
      </c>
    </row>
    <row r="2209" spans="1:7" x14ac:dyDescent="0.25">
      <c r="A2209">
        <v>15</v>
      </c>
      <c r="B2209" t="s">
        <v>2078</v>
      </c>
      <c r="C2209">
        <v>18139</v>
      </c>
      <c r="D2209" t="str">
        <f>"0312-2417"</f>
        <v>0312-2417</v>
      </c>
      <c r="E2209" t="s">
        <v>8</v>
      </c>
      <c r="F2209" t="s">
        <v>2219</v>
      </c>
      <c r="G2209">
        <v>1</v>
      </c>
    </row>
    <row r="2210" spans="1:7" x14ac:dyDescent="0.25">
      <c r="A2210">
        <v>15</v>
      </c>
      <c r="B2210" t="s">
        <v>2078</v>
      </c>
      <c r="C2210">
        <v>151858</v>
      </c>
      <c r="D2210" t="str">
        <f>"0394-4719"</f>
        <v>0394-4719</v>
      </c>
      <c r="E2210" t="s">
        <v>8</v>
      </c>
      <c r="F2210" t="s">
        <v>2220</v>
      </c>
      <c r="G2210">
        <v>1</v>
      </c>
    </row>
    <row r="2211" spans="1:7" x14ac:dyDescent="0.25">
      <c r="A2211">
        <v>15</v>
      </c>
      <c r="B2211" t="s">
        <v>2078</v>
      </c>
      <c r="C2211">
        <v>5793</v>
      </c>
      <c r="D2211" t="str">
        <f>"0143-3067"</f>
        <v>0143-3067</v>
      </c>
      <c r="E2211" t="s">
        <v>15</v>
      </c>
      <c r="F2211" t="s">
        <v>2221</v>
      </c>
      <c r="G2211">
        <v>1</v>
      </c>
    </row>
    <row r="2212" spans="1:7" x14ac:dyDescent="0.25">
      <c r="A2212">
        <v>15</v>
      </c>
      <c r="B2212" t="s">
        <v>2078</v>
      </c>
      <c r="C2212">
        <v>8783655</v>
      </c>
      <c r="D2212" t="str">
        <f>"2345-5225"</f>
        <v>2345-5225</v>
      </c>
      <c r="E2212" t="s">
        <v>8</v>
      </c>
      <c r="F2212" t="s">
        <v>2222</v>
      </c>
      <c r="G2212">
        <v>1</v>
      </c>
    </row>
    <row r="2213" spans="1:7" x14ac:dyDescent="0.25">
      <c r="A2213">
        <v>15</v>
      </c>
      <c r="B2213" t="s">
        <v>2078</v>
      </c>
      <c r="C2213">
        <v>1118</v>
      </c>
      <c r="D2213" t="str">
        <f>"0349-2834"</f>
        <v>0349-2834</v>
      </c>
      <c r="E2213" t="s">
        <v>15</v>
      </c>
      <c r="F2213" t="s">
        <v>2223</v>
      </c>
      <c r="G2213">
        <v>1</v>
      </c>
    </row>
    <row r="2214" spans="1:7" x14ac:dyDescent="0.25">
      <c r="A2214">
        <v>15</v>
      </c>
      <c r="B2214" t="s">
        <v>2078</v>
      </c>
      <c r="C2214">
        <v>136845</v>
      </c>
      <c r="D2214" t="str">
        <f>"1433-8475"</f>
        <v>1433-8475</v>
      </c>
      <c r="E2214" t="s">
        <v>15</v>
      </c>
      <c r="F2214" t="s">
        <v>2224</v>
      </c>
      <c r="G2214">
        <v>1</v>
      </c>
    </row>
    <row r="2215" spans="1:7" x14ac:dyDescent="0.25">
      <c r="A2215">
        <v>15</v>
      </c>
      <c r="B2215" t="s">
        <v>2078</v>
      </c>
      <c r="C2215">
        <v>151817</v>
      </c>
      <c r="E2215" t="s">
        <v>8</v>
      </c>
      <c r="F2215" t="s">
        <v>2225</v>
      </c>
      <c r="G2215">
        <v>1</v>
      </c>
    </row>
    <row r="2216" spans="1:7" x14ac:dyDescent="0.25">
      <c r="A2216">
        <v>15</v>
      </c>
      <c r="B2216" t="s">
        <v>2078</v>
      </c>
      <c r="C2216">
        <v>8654</v>
      </c>
      <c r="D2216" t="str">
        <f>"0006-1913"</f>
        <v>0006-1913</v>
      </c>
      <c r="E2216" t="s">
        <v>8</v>
      </c>
      <c r="F2216" t="s">
        <v>2226</v>
      </c>
      <c r="G2216">
        <v>1</v>
      </c>
    </row>
    <row r="2217" spans="1:7" x14ac:dyDescent="0.25">
      <c r="A2217">
        <v>15</v>
      </c>
      <c r="B2217" t="s">
        <v>2078</v>
      </c>
      <c r="C2217">
        <v>118684</v>
      </c>
      <c r="D2217" t="str">
        <f>"0947-3998"</f>
        <v>0947-3998</v>
      </c>
      <c r="E2217" t="s">
        <v>8</v>
      </c>
      <c r="F2217" t="s">
        <v>2227</v>
      </c>
      <c r="G2217">
        <v>1</v>
      </c>
    </row>
    <row r="2218" spans="1:7" x14ac:dyDescent="0.25">
      <c r="A2218">
        <v>15</v>
      </c>
      <c r="B2218" t="s">
        <v>2078</v>
      </c>
      <c r="C2218">
        <v>81098</v>
      </c>
      <c r="D2218" t="str">
        <f>"1594-7084"</f>
        <v>1594-7084</v>
      </c>
      <c r="E2218" t="s">
        <v>8</v>
      </c>
      <c r="F2218" t="s">
        <v>2228</v>
      </c>
      <c r="G2218">
        <v>1</v>
      </c>
    </row>
    <row r="2219" spans="1:7" x14ac:dyDescent="0.25">
      <c r="A2219">
        <v>15</v>
      </c>
      <c r="B2219" t="s">
        <v>2078</v>
      </c>
      <c r="C2219">
        <v>13547</v>
      </c>
      <c r="D2219" t="str">
        <f>"1120-2742"</f>
        <v>1120-2742</v>
      </c>
      <c r="E2219" t="s">
        <v>8</v>
      </c>
      <c r="F2219" t="s">
        <v>2229</v>
      </c>
      <c r="G2219">
        <v>1</v>
      </c>
    </row>
    <row r="2220" spans="1:7" x14ac:dyDescent="0.25">
      <c r="A2220">
        <v>15</v>
      </c>
      <c r="B2220" t="s">
        <v>2078</v>
      </c>
      <c r="C2220">
        <v>11810</v>
      </c>
      <c r="D2220" t="str">
        <f>"2190-3301"</f>
        <v>2190-3301</v>
      </c>
      <c r="E2220" t="s">
        <v>8</v>
      </c>
      <c r="F2220" t="s">
        <v>2230</v>
      </c>
      <c r="G2220">
        <v>1</v>
      </c>
    </row>
    <row r="2221" spans="1:7" x14ac:dyDescent="0.25">
      <c r="A2221">
        <v>15</v>
      </c>
      <c r="B2221" t="s">
        <v>2078</v>
      </c>
      <c r="C2221">
        <v>8365</v>
      </c>
      <c r="D2221" t="str">
        <f>"0346-6442"</f>
        <v>0346-6442</v>
      </c>
      <c r="E2221" t="s">
        <v>15</v>
      </c>
      <c r="F2221" t="s">
        <v>2231</v>
      </c>
      <c r="G2221">
        <v>1</v>
      </c>
    </row>
    <row r="2222" spans="1:7" x14ac:dyDescent="0.25">
      <c r="A2222">
        <v>15</v>
      </c>
      <c r="B2222" t="s">
        <v>2078</v>
      </c>
      <c r="C2222">
        <v>3082</v>
      </c>
      <c r="D2222" t="str">
        <f>"0143-3032"</f>
        <v>0143-3032</v>
      </c>
      <c r="E2222" t="s">
        <v>15</v>
      </c>
      <c r="F2222" t="s">
        <v>2232</v>
      </c>
      <c r="G2222">
        <v>1</v>
      </c>
    </row>
    <row r="2223" spans="1:7" x14ac:dyDescent="0.25">
      <c r="A2223">
        <v>15</v>
      </c>
      <c r="B2223" t="s">
        <v>2078</v>
      </c>
      <c r="C2223">
        <v>8783631</v>
      </c>
      <c r="E2223" t="s">
        <v>15</v>
      </c>
      <c r="F2223" t="s">
        <v>2233</v>
      </c>
      <c r="G2223">
        <v>1</v>
      </c>
    </row>
    <row r="2224" spans="1:7" x14ac:dyDescent="0.25">
      <c r="A2224">
        <v>15</v>
      </c>
      <c r="B2224" t="s">
        <v>2078</v>
      </c>
      <c r="C2224">
        <v>3604</v>
      </c>
      <c r="D2224" t="str">
        <f>"0165-9367"</f>
        <v>0165-9367</v>
      </c>
      <c r="E2224" t="s">
        <v>8</v>
      </c>
      <c r="F2224" t="s">
        <v>2234</v>
      </c>
      <c r="G2224">
        <v>1</v>
      </c>
    </row>
    <row r="2225" spans="1:7" x14ac:dyDescent="0.25">
      <c r="A2225">
        <v>15</v>
      </c>
      <c r="B2225" t="s">
        <v>2078</v>
      </c>
      <c r="C2225">
        <v>82944</v>
      </c>
      <c r="D2225" t="str">
        <f>"0068-4015"</f>
        <v>0068-4015</v>
      </c>
      <c r="E2225" t="s">
        <v>8</v>
      </c>
      <c r="F2225" t="s">
        <v>2235</v>
      </c>
      <c r="G2225">
        <v>1</v>
      </c>
    </row>
    <row r="2226" spans="1:7" x14ac:dyDescent="0.25">
      <c r="A2226">
        <v>15</v>
      </c>
      <c r="B2226" t="s">
        <v>2078</v>
      </c>
      <c r="C2226">
        <v>27519</v>
      </c>
      <c r="D2226" t="str">
        <f>"0255-6286"</f>
        <v>0255-6286</v>
      </c>
      <c r="E2226" t="s">
        <v>8</v>
      </c>
      <c r="F2226" t="s">
        <v>2236</v>
      </c>
      <c r="G2226">
        <v>1</v>
      </c>
    </row>
    <row r="2227" spans="1:7" x14ac:dyDescent="0.25">
      <c r="A2227">
        <v>15</v>
      </c>
      <c r="B2227" t="s">
        <v>2078</v>
      </c>
      <c r="C2227">
        <v>19258</v>
      </c>
      <c r="D2227" t="str">
        <f>"0249-7638"</f>
        <v>0249-7638</v>
      </c>
      <c r="E2227" t="s">
        <v>8</v>
      </c>
      <c r="F2227" t="s">
        <v>2237</v>
      </c>
      <c r="G2227">
        <v>1</v>
      </c>
    </row>
    <row r="2228" spans="1:7" x14ac:dyDescent="0.25">
      <c r="A2228">
        <v>15</v>
      </c>
      <c r="B2228" t="s">
        <v>2078</v>
      </c>
      <c r="C2228">
        <v>151848</v>
      </c>
      <c r="D2228" t="str">
        <f>"1110-1938"</f>
        <v>1110-1938</v>
      </c>
      <c r="E2228" t="s">
        <v>8</v>
      </c>
      <c r="F2228" t="s">
        <v>2238</v>
      </c>
      <c r="G2228">
        <v>1</v>
      </c>
    </row>
    <row r="2229" spans="1:7" x14ac:dyDescent="0.25">
      <c r="A2229">
        <v>15</v>
      </c>
      <c r="B2229" t="s">
        <v>2078</v>
      </c>
      <c r="C2229">
        <v>62219</v>
      </c>
      <c r="E2229" t="s">
        <v>8</v>
      </c>
      <c r="F2229" t="s">
        <v>2239</v>
      </c>
      <c r="G2229">
        <v>1</v>
      </c>
    </row>
    <row r="2230" spans="1:7" x14ac:dyDescent="0.25">
      <c r="A2230">
        <v>15</v>
      </c>
      <c r="B2230" t="s">
        <v>2078</v>
      </c>
      <c r="C2230">
        <v>13922</v>
      </c>
      <c r="D2230" t="str">
        <f>"0003-097X"</f>
        <v>0003-097X</v>
      </c>
      <c r="E2230" t="s">
        <v>8</v>
      </c>
      <c r="F2230" t="s">
        <v>2240</v>
      </c>
      <c r="G2230">
        <v>1</v>
      </c>
    </row>
    <row r="2231" spans="1:7" x14ac:dyDescent="0.25">
      <c r="A2231">
        <v>15</v>
      </c>
      <c r="B2231" t="s">
        <v>2078</v>
      </c>
      <c r="C2231">
        <v>156002</v>
      </c>
      <c r="D2231" t="str">
        <f>"1062-4740"</f>
        <v>1062-4740</v>
      </c>
      <c r="E2231" t="s">
        <v>8</v>
      </c>
      <c r="F2231" t="s">
        <v>2241</v>
      </c>
      <c r="G2231">
        <v>1</v>
      </c>
    </row>
    <row r="2232" spans="1:7" x14ac:dyDescent="0.25">
      <c r="A2232">
        <v>15</v>
      </c>
      <c r="B2232" t="s">
        <v>2078</v>
      </c>
      <c r="C2232">
        <v>12116</v>
      </c>
      <c r="D2232" t="str">
        <f>"0041-977X"</f>
        <v>0041-977X</v>
      </c>
      <c r="E2232" t="s">
        <v>8</v>
      </c>
      <c r="F2232" t="s">
        <v>2242</v>
      </c>
      <c r="G2232">
        <v>1</v>
      </c>
    </row>
    <row r="2233" spans="1:7" x14ac:dyDescent="0.25">
      <c r="A2233">
        <v>15</v>
      </c>
      <c r="B2233" t="s">
        <v>2078</v>
      </c>
      <c r="C2233">
        <v>151826</v>
      </c>
      <c r="D2233" t="str">
        <f>"0905-5649"</f>
        <v>0905-5649</v>
      </c>
      <c r="E2233" t="s">
        <v>8</v>
      </c>
      <c r="F2233" t="s">
        <v>2243</v>
      </c>
      <c r="G2233">
        <v>1</v>
      </c>
    </row>
    <row r="2234" spans="1:7" x14ac:dyDescent="0.25">
      <c r="A2234">
        <v>15</v>
      </c>
      <c r="B2234" t="s">
        <v>2078</v>
      </c>
      <c r="C2234">
        <v>51695</v>
      </c>
      <c r="D2234" t="str">
        <f>"0109-6249"</f>
        <v>0109-6249</v>
      </c>
      <c r="E2234" t="s">
        <v>8</v>
      </c>
      <c r="F2234" t="s">
        <v>2244</v>
      </c>
      <c r="G2234">
        <v>1</v>
      </c>
    </row>
    <row r="2235" spans="1:7" x14ac:dyDescent="0.25">
      <c r="A2235">
        <v>15</v>
      </c>
      <c r="B2235" t="s">
        <v>2078</v>
      </c>
      <c r="C2235">
        <v>151895</v>
      </c>
      <c r="D2235" t="str">
        <f>"1683-0083"</f>
        <v>1683-0083</v>
      </c>
      <c r="E2235" t="s">
        <v>8</v>
      </c>
      <c r="F2235" t="s">
        <v>2245</v>
      </c>
      <c r="G2235">
        <v>1</v>
      </c>
    </row>
    <row r="2236" spans="1:7" x14ac:dyDescent="0.25">
      <c r="A2236">
        <v>15</v>
      </c>
      <c r="B2236" t="s">
        <v>2078</v>
      </c>
      <c r="C2236">
        <v>32272</v>
      </c>
      <c r="D2236" t="str">
        <f>"0761-8271"</f>
        <v>0761-8271</v>
      </c>
      <c r="E2236" t="s">
        <v>8</v>
      </c>
      <c r="F2236" t="s">
        <v>2246</v>
      </c>
      <c r="G2236">
        <v>1</v>
      </c>
    </row>
    <row r="2237" spans="1:7" x14ac:dyDescent="0.25">
      <c r="A2237">
        <v>15</v>
      </c>
      <c r="B2237" t="s">
        <v>2078</v>
      </c>
      <c r="C2237">
        <v>25940</v>
      </c>
      <c r="D2237" t="str">
        <f>"0705-2006"</f>
        <v>0705-2006</v>
      </c>
      <c r="E2237" t="s">
        <v>8</v>
      </c>
      <c r="F2237" t="s">
        <v>2247</v>
      </c>
      <c r="G2237">
        <v>1</v>
      </c>
    </row>
    <row r="2238" spans="1:7" x14ac:dyDescent="0.25">
      <c r="A2238">
        <v>15</v>
      </c>
      <c r="B2238" t="s">
        <v>2078</v>
      </c>
      <c r="C2238">
        <v>27253</v>
      </c>
      <c r="D2238" t="str">
        <f>"1602-1339"</f>
        <v>1602-1339</v>
      </c>
      <c r="E2238" t="s">
        <v>15</v>
      </c>
      <c r="F2238" t="s">
        <v>2248</v>
      </c>
      <c r="G2238">
        <v>1</v>
      </c>
    </row>
    <row r="2239" spans="1:7" x14ac:dyDescent="0.25">
      <c r="A2239">
        <v>15</v>
      </c>
      <c r="B2239" t="s">
        <v>2078</v>
      </c>
      <c r="C2239">
        <v>151896</v>
      </c>
      <c r="E2239" t="s">
        <v>8</v>
      </c>
      <c r="F2239" t="s">
        <v>2249</v>
      </c>
      <c r="G2239">
        <v>1</v>
      </c>
    </row>
    <row r="2240" spans="1:7" x14ac:dyDescent="0.25">
      <c r="A2240">
        <v>15</v>
      </c>
      <c r="B2240" t="s">
        <v>2078</v>
      </c>
      <c r="C2240">
        <v>8783632</v>
      </c>
      <c r="E2240" t="s">
        <v>15</v>
      </c>
      <c r="F2240" t="s">
        <v>2250</v>
      </c>
      <c r="G2240">
        <v>1</v>
      </c>
    </row>
    <row r="2241" spans="1:7" x14ac:dyDescent="0.25">
      <c r="A2241">
        <v>15</v>
      </c>
      <c r="B2241" t="s">
        <v>2078</v>
      </c>
      <c r="C2241">
        <v>151837</v>
      </c>
      <c r="D2241" t="str">
        <f>"0577-5752"</f>
        <v>0577-5752</v>
      </c>
      <c r="E2241" t="s">
        <v>8</v>
      </c>
      <c r="F2241" t="s">
        <v>2251</v>
      </c>
      <c r="G2241">
        <v>1</v>
      </c>
    </row>
    <row r="2242" spans="1:7" x14ac:dyDescent="0.25">
      <c r="A2242">
        <v>15</v>
      </c>
      <c r="B2242" t="s">
        <v>2078</v>
      </c>
      <c r="C2242">
        <v>81864</v>
      </c>
      <c r="D2242" t="str">
        <f>"0009-6067"</f>
        <v>0009-6067</v>
      </c>
      <c r="E2242" t="s">
        <v>8</v>
      </c>
      <c r="F2242" t="s">
        <v>2252</v>
      </c>
      <c r="G2242">
        <v>1</v>
      </c>
    </row>
    <row r="2243" spans="1:7" x14ac:dyDescent="0.25">
      <c r="A2243">
        <v>15</v>
      </c>
      <c r="B2243" t="s">
        <v>2078</v>
      </c>
      <c r="C2243">
        <v>27773</v>
      </c>
      <c r="D2243" t="str">
        <f>"1366-8129"</f>
        <v>1366-8129</v>
      </c>
      <c r="E2243" t="s">
        <v>8</v>
      </c>
      <c r="F2243" t="s">
        <v>2253</v>
      </c>
      <c r="G2243">
        <v>1</v>
      </c>
    </row>
    <row r="2244" spans="1:7" x14ac:dyDescent="0.25">
      <c r="A2244">
        <v>15</v>
      </c>
      <c r="B2244" t="s">
        <v>2078</v>
      </c>
      <c r="C2244">
        <v>1057</v>
      </c>
      <c r="D2244" t="str">
        <f>"0278-6656"</f>
        <v>0278-6656</v>
      </c>
      <c r="E2244" t="s">
        <v>8</v>
      </c>
      <c r="F2244" t="s">
        <v>2254</v>
      </c>
      <c r="G2244">
        <v>1</v>
      </c>
    </row>
    <row r="2245" spans="1:7" x14ac:dyDescent="0.25">
      <c r="A2245">
        <v>15</v>
      </c>
      <c r="B2245" t="s">
        <v>2078</v>
      </c>
      <c r="C2245">
        <v>6065219</v>
      </c>
      <c r="D2245" t="str">
        <f>"1759-5134"</f>
        <v>1759-5134</v>
      </c>
      <c r="E2245" t="s">
        <v>8</v>
      </c>
      <c r="F2245" t="s">
        <v>2255</v>
      </c>
      <c r="G2245">
        <v>1</v>
      </c>
    </row>
    <row r="2246" spans="1:7" x14ac:dyDescent="0.25">
      <c r="A2246">
        <v>15</v>
      </c>
      <c r="B2246" t="s">
        <v>2078</v>
      </c>
      <c r="C2246">
        <v>9620</v>
      </c>
      <c r="D2246" t="str">
        <f>"1389-8477"</f>
        <v>1389-8477</v>
      </c>
      <c r="E2246" t="s">
        <v>15</v>
      </c>
      <c r="F2246" t="s">
        <v>2256</v>
      </c>
      <c r="G2246">
        <v>1</v>
      </c>
    </row>
    <row r="2247" spans="1:7" x14ac:dyDescent="0.25">
      <c r="A2247">
        <v>15</v>
      </c>
      <c r="B2247" t="s">
        <v>2078</v>
      </c>
      <c r="C2247">
        <v>20298</v>
      </c>
      <c r="D2247" t="str">
        <f>"0392-7636"</f>
        <v>0392-7636</v>
      </c>
      <c r="E2247" t="s">
        <v>8</v>
      </c>
      <c r="F2247" t="s">
        <v>2257</v>
      </c>
      <c r="G2247">
        <v>1</v>
      </c>
    </row>
    <row r="2248" spans="1:7" x14ac:dyDescent="0.25">
      <c r="A2248">
        <v>15</v>
      </c>
      <c r="B2248" t="s">
        <v>2078</v>
      </c>
      <c r="C2248">
        <v>151871</v>
      </c>
      <c r="D2248" t="str">
        <f>"0231-133X"</f>
        <v>0231-133X</v>
      </c>
      <c r="E2248" t="s">
        <v>8</v>
      </c>
      <c r="F2248" t="s">
        <v>2258</v>
      </c>
      <c r="G2248">
        <v>1</v>
      </c>
    </row>
    <row r="2249" spans="1:7" x14ac:dyDescent="0.25">
      <c r="A2249">
        <v>15</v>
      </c>
      <c r="B2249" t="s">
        <v>2078</v>
      </c>
      <c r="C2249">
        <v>8758224</v>
      </c>
      <c r="E2249" t="s">
        <v>2100</v>
      </c>
      <c r="F2249" t="s">
        <v>2259</v>
      </c>
      <c r="G2249">
        <v>1</v>
      </c>
    </row>
    <row r="2250" spans="1:7" x14ac:dyDescent="0.25">
      <c r="A2250">
        <v>15</v>
      </c>
      <c r="B2250" t="s">
        <v>2078</v>
      </c>
      <c r="C2250">
        <v>9394</v>
      </c>
      <c r="D2250" t="str">
        <f>"1350-5033"</f>
        <v>1350-5033</v>
      </c>
      <c r="E2250" t="s">
        <v>8</v>
      </c>
      <c r="F2250" t="s">
        <v>2260</v>
      </c>
      <c r="G2250">
        <v>1</v>
      </c>
    </row>
    <row r="2251" spans="1:7" x14ac:dyDescent="0.25">
      <c r="A2251">
        <v>15</v>
      </c>
      <c r="B2251" t="s">
        <v>2078</v>
      </c>
      <c r="C2251">
        <v>98183</v>
      </c>
      <c r="E2251" t="s">
        <v>8</v>
      </c>
      <c r="F2251" t="s">
        <v>2261</v>
      </c>
      <c r="G2251">
        <v>1</v>
      </c>
    </row>
    <row r="2252" spans="1:7" x14ac:dyDescent="0.25">
      <c r="A2252">
        <v>15</v>
      </c>
      <c r="B2252" t="s">
        <v>2078</v>
      </c>
      <c r="C2252">
        <v>4352</v>
      </c>
      <c r="D2252" t="str">
        <f>"0011-3069"</f>
        <v>0011-3069</v>
      </c>
      <c r="E2252" t="s">
        <v>8</v>
      </c>
      <c r="F2252" t="s">
        <v>2262</v>
      </c>
      <c r="G2252">
        <v>1</v>
      </c>
    </row>
    <row r="2253" spans="1:7" x14ac:dyDescent="0.25">
      <c r="A2253">
        <v>15</v>
      </c>
      <c r="B2253" t="s">
        <v>2078</v>
      </c>
      <c r="C2253">
        <v>11495</v>
      </c>
      <c r="D2253" t="str">
        <f>"1102-7355"</f>
        <v>1102-7355</v>
      </c>
      <c r="E2253" t="s">
        <v>8</v>
      </c>
      <c r="F2253" t="s">
        <v>2263</v>
      </c>
      <c r="G2253">
        <v>1</v>
      </c>
    </row>
    <row r="2254" spans="1:7" x14ac:dyDescent="0.25">
      <c r="A2254">
        <v>15</v>
      </c>
      <c r="B2254" t="s">
        <v>2078</v>
      </c>
      <c r="C2254">
        <v>138704</v>
      </c>
      <c r="D2254" t="str">
        <f>"0070-2374"</f>
        <v>0070-2374</v>
      </c>
      <c r="E2254" t="s">
        <v>15</v>
      </c>
      <c r="F2254" t="s">
        <v>2264</v>
      </c>
      <c r="G2254">
        <v>1</v>
      </c>
    </row>
    <row r="2255" spans="1:7" x14ac:dyDescent="0.25">
      <c r="A2255">
        <v>15</v>
      </c>
      <c r="B2255" t="s">
        <v>2078</v>
      </c>
      <c r="C2255">
        <v>88341</v>
      </c>
      <c r="D2255" t="str">
        <f>"0070-251X"</f>
        <v>0070-251X</v>
      </c>
      <c r="E2255" t="s">
        <v>8</v>
      </c>
      <c r="F2255" t="s">
        <v>2265</v>
      </c>
      <c r="G2255">
        <v>1</v>
      </c>
    </row>
    <row r="2256" spans="1:7" x14ac:dyDescent="0.25">
      <c r="A2256">
        <v>15</v>
      </c>
      <c r="B2256" t="s">
        <v>2078</v>
      </c>
      <c r="C2256">
        <v>151830</v>
      </c>
      <c r="D2256" t="str">
        <f>"0529-4754"</f>
        <v>0529-4754</v>
      </c>
      <c r="E2256" t="s">
        <v>8</v>
      </c>
      <c r="F2256" t="s">
        <v>2266</v>
      </c>
      <c r="G2256">
        <v>1</v>
      </c>
    </row>
    <row r="2257" spans="1:7" x14ac:dyDescent="0.25">
      <c r="A2257">
        <v>15</v>
      </c>
      <c r="B2257" t="s">
        <v>2078</v>
      </c>
      <c r="C2257">
        <v>136518</v>
      </c>
      <c r="D2257" t="str">
        <f>"0342-0736"</f>
        <v>0342-0736</v>
      </c>
      <c r="E2257" t="s">
        <v>8</v>
      </c>
      <c r="F2257" t="s">
        <v>2267</v>
      </c>
      <c r="G2257">
        <v>1</v>
      </c>
    </row>
    <row r="2258" spans="1:7" x14ac:dyDescent="0.25">
      <c r="A2258">
        <v>15</v>
      </c>
      <c r="B2258" t="s">
        <v>2078</v>
      </c>
      <c r="C2258">
        <v>83859</v>
      </c>
      <c r="D2258" t="str">
        <f>"1408-967X"</f>
        <v>1408-967X</v>
      </c>
      <c r="E2258" t="s">
        <v>8</v>
      </c>
      <c r="F2258" t="s">
        <v>2268</v>
      </c>
      <c r="G2258">
        <v>1</v>
      </c>
    </row>
    <row r="2259" spans="1:7" x14ac:dyDescent="0.25">
      <c r="A2259">
        <v>15</v>
      </c>
      <c r="B2259" t="s">
        <v>2078</v>
      </c>
      <c r="C2259">
        <v>146498</v>
      </c>
      <c r="D2259" t="str">
        <f>"0184-1068"</f>
        <v>0184-1068</v>
      </c>
      <c r="E2259" t="s">
        <v>8</v>
      </c>
      <c r="F2259" t="s">
        <v>2269</v>
      </c>
      <c r="G2259">
        <v>1</v>
      </c>
    </row>
    <row r="2260" spans="1:7" x14ac:dyDescent="0.25">
      <c r="A2260">
        <v>15</v>
      </c>
      <c r="B2260" t="s">
        <v>2078</v>
      </c>
      <c r="C2260">
        <v>27580</v>
      </c>
      <c r="D2260" t="str">
        <f>"0959-0641"</f>
        <v>0959-0641</v>
      </c>
      <c r="E2260" t="s">
        <v>15</v>
      </c>
      <c r="F2260" t="s">
        <v>2270</v>
      </c>
      <c r="G2260">
        <v>1</v>
      </c>
    </row>
    <row r="2261" spans="1:7" x14ac:dyDescent="0.25">
      <c r="A2261">
        <v>15</v>
      </c>
      <c r="B2261" t="s">
        <v>2078</v>
      </c>
      <c r="C2261">
        <v>8783634</v>
      </c>
      <c r="E2261" t="s">
        <v>15</v>
      </c>
      <c r="F2261" t="s">
        <v>2271</v>
      </c>
      <c r="G2261">
        <v>1</v>
      </c>
    </row>
    <row r="2262" spans="1:7" x14ac:dyDescent="0.25">
      <c r="A2262">
        <v>15</v>
      </c>
      <c r="B2262" t="s">
        <v>2078</v>
      </c>
      <c r="C2262">
        <v>20910</v>
      </c>
      <c r="D2262" t="str">
        <f>"0962-2837"</f>
        <v>0962-2837</v>
      </c>
      <c r="E2262" t="s">
        <v>8</v>
      </c>
      <c r="F2262" t="s">
        <v>2272</v>
      </c>
      <c r="G2262">
        <v>1</v>
      </c>
    </row>
    <row r="2263" spans="1:7" x14ac:dyDescent="0.25">
      <c r="A2263">
        <v>15</v>
      </c>
      <c r="B2263" t="s">
        <v>2078</v>
      </c>
      <c r="C2263">
        <v>5109</v>
      </c>
      <c r="D2263" t="str">
        <f>"1387-2710"</f>
        <v>1387-2710</v>
      </c>
      <c r="E2263" t="s">
        <v>15</v>
      </c>
      <c r="F2263" t="s">
        <v>2273</v>
      </c>
      <c r="G2263">
        <v>1</v>
      </c>
    </row>
    <row r="2264" spans="1:7" x14ac:dyDescent="0.25">
      <c r="A2264">
        <v>15</v>
      </c>
      <c r="B2264" t="s">
        <v>2078</v>
      </c>
      <c r="C2264">
        <v>59794</v>
      </c>
      <c r="D2264" t="str">
        <f>"0071-108X"</f>
        <v>0071-108X</v>
      </c>
      <c r="E2264" t="s">
        <v>15</v>
      </c>
      <c r="F2264" t="s">
        <v>2274</v>
      </c>
      <c r="G2264">
        <v>1</v>
      </c>
    </row>
    <row r="2265" spans="1:7" x14ac:dyDescent="0.25">
      <c r="A2265">
        <v>15</v>
      </c>
      <c r="B2265" t="s">
        <v>2078</v>
      </c>
      <c r="C2265">
        <v>27147</v>
      </c>
      <c r="D2265" t="str">
        <f>"1406-2933"</f>
        <v>1406-2933</v>
      </c>
      <c r="E2265" t="s">
        <v>8</v>
      </c>
      <c r="F2265" t="s">
        <v>2275</v>
      </c>
      <c r="G2265">
        <v>1</v>
      </c>
    </row>
    <row r="2266" spans="1:7" x14ac:dyDescent="0.25">
      <c r="A2266">
        <v>15</v>
      </c>
      <c r="B2266" t="s">
        <v>2078</v>
      </c>
      <c r="C2266">
        <v>156473</v>
      </c>
      <c r="D2266" t="str">
        <f>"1406-2933"</f>
        <v>1406-2933</v>
      </c>
      <c r="E2266" t="s">
        <v>8</v>
      </c>
      <c r="F2266" t="s">
        <v>2276</v>
      </c>
      <c r="G2266">
        <v>1</v>
      </c>
    </row>
    <row r="2267" spans="1:7" x14ac:dyDescent="0.25">
      <c r="A2267">
        <v>15</v>
      </c>
      <c r="B2267" t="s">
        <v>2078</v>
      </c>
      <c r="C2267">
        <v>29604</v>
      </c>
      <c r="D2267" t="str">
        <f>"1080-1960"</f>
        <v>1080-1960</v>
      </c>
      <c r="E2267" t="s">
        <v>8</v>
      </c>
      <c r="F2267" t="s">
        <v>2277</v>
      </c>
      <c r="G2267">
        <v>1</v>
      </c>
    </row>
    <row r="2268" spans="1:7" x14ac:dyDescent="0.25">
      <c r="A2268">
        <v>15</v>
      </c>
      <c r="B2268" t="s">
        <v>2078</v>
      </c>
      <c r="C2268">
        <v>58062</v>
      </c>
      <c r="D2268" t="str">
        <f>"2084-6762"</f>
        <v>2084-6762</v>
      </c>
      <c r="E2268" t="s">
        <v>15</v>
      </c>
      <c r="F2268" t="s">
        <v>2278</v>
      </c>
      <c r="G2268">
        <v>1</v>
      </c>
    </row>
    <row r="2269" spans="1:7" x14ac:dyDescent="0.25">
      <c r="A2269">
        <v>15</v>
      </c>
      <c r="B2269" t="s">
        <v>2078</v>
      </c>
      <c r="C2269">
        <v>25496</v>
      </c>
      <c r="D2269" t="str">
        <f>"1730-8518"</f>
        <v>1730-8518</v>
      </c>
      <c r="E2269" t="s">
        <v>8</v>
      </c>
      <c r="F2269" t="s">
        <v>2279</v>
      </c>
      <c r="G2269">
        <v>1</v>
      </c>
    </row>
    <row r="2270" spans="1:7" x14ac:dyDescent="0.25">
      <c r="A2270">
        <v>15</v>
      </c>
      <c r="B2270" t="s">
        <v>2078</v>
      </c>
      <c r="C2270">
        <v>46832</v>
      </c>
      <c r="D2270" t="str">
        <f>"0860-0007"</f>
        <v>0860-0007</v>
      </c>
      <c r="E2270" t="s">
        <v>15</v>
      </c>
      <c r="F2270" t="s">
        <v>2280</v>
      </c>
      <c r="G2270">
        <v>1</v>
      </c>
    </row>
    <row r="2271" spans="1:7" x14ac:dyDescent="0.25">
      <c r="A2271">
        <v>15</v>
      </c>
      <c r="B2271" t="s">
        <v>2078</v>
      </c>
      <c r="C2271">
        <v>151866</v>
      </c>
      <c r="D2271" t="str">
        <f>"1722-1374"</f>
        <v>1722-1374</v>
      </c>
      <c r="E2271" t="s">
        <v>8</v>
      </c>
      <c r="F2271" t="s">
        <v>2281</v>
      </c>
      <c r="G2271">
        <v>1</v>
      </c>
    </row>
    <row r="2272" spans="1:7" x14ac:dyDescent="0.25">
      <c r="A2272">
        <v>15</v>
      </c>
      <c r="B2272" t="s">
        <v>2078</v>
      </c>
      <c r="C2272">
        <v>7090</v>
      </c>
      <c r="D2272" t="str">
        <f>"0781-7126"</f>
        <v>0781-7126</v>
      </c>
      <c r="E2272" t="s">
        <v>15</v>
      </c>
      <c r="F2272" t="s">
        <v>2282</v>
      </c>
      <c r="G2272">
        <v>1</v>
      </c>
    </row>
    <row r="2273" spans="1:7" x14ac:dyDescent="0.25">
      <c r="A2273">
        <v>15</v>
      </c>
      <c r="B2273" t="s">
        <v>2078</v>
      </c>
      <c r="C2273">
        <v>84966</v>
      </c>
      <c r="D2273" t="str">
        <f>"0239-8524"</f>
        <v>0239-8524</v>
      </c>
      <c r="E2273" t="s">
        <v>15</v>
      </c>
      <c r="F2273" t="s">
        <v>2283</v>
      </c>
      <c r="G2273">
        <v>1</v>
      </c>
    </row>
    <row r="2274" spans="1:7" x14ac:dyDescent="0.25">
      <c r="A2274">
        <v>15</v>
      </c>
      <c r="B2274" t="s">
        <v>2078</v>
      </c>
      <c r="C2274">
        <v>149226</v>
      </c>
      <c r="E2274" t="s">
        <v>8</v>
      </c>
      <c r="F2274" t="s">
        <v>2284</v>
      </c>
      <c r="G2274">
        <v>1</v>
      </c>
    </row>
    <row r="2275" spans="1:7" x14ac:dyDescent="0.25">
      <c r="A2275">
        <v>15</v>
      </c>
      <c r="B2275" t="s">
        <v>2078</v>
      </c>
      <c r="C2275">
        <v>37213</v>
      </c>
      <c r="D2275" t="str">
        <f>"0071-6863"</f>
        <v>0071-6863</v>
      </c>
      <c r="E2275" t="s">
        <v>8</v>
      </c>
      <c r="F2275" t="s">
        <v>2285</v>
      </c>
      <c r="G2275">
        <v>1</v>
      </c>
    </row>
    <row r="2276" spans="1:7" x14ac:dyDescent="0.25">
      <c r="A2276">
        <v>15</v>
      </c>
      <c r="B2276" t="s">
        <v>2078</v>
      </c>
      <c r="C2276">
        <v>2982</v>
      </c>
      <c r="D2276" t="str">
        <f>"0015-7813"</f>
        <v>0015-7813</v>
      </c>
      <c r="E2276" t="s">
        <v>8</v>
      </c>
      <c r="F2276" t="s">
        <v>2286</v>
      </c>
      <c r="G2276">
        <v>1</v>
      </c>
    </row>
    <row r="2277" spans="1:7" x14ac:dyDescent="0.25">
      <c r="A2277">
        <v>15</v>
      </c>
      <c r="B2277" t="s">
        <v>2078</v>
      </c>
      <c r="C2277">
        <v>36165</v>
      </c>
      <c r="D2277" t="str">
        <f>"0947-9708"</f>
        <v>0947-9708</v>
      </c>
      <c r="E2277" t="s">
        <v>8</v>
      </c>
      <c r="F2277" t="s">
        <v>2287</v>
      </c>
      <c r="G2277">
        <v>1</v>
      </c>
    </row>
    <row r="2278" spans="1:7" x14ac:dyDescent="0.25">
      <c r="A2278">
        <v>15</v>
      </c>
      <c r="B2278" t="s">
        <v>2078</v>
      </c>
      <c r="C2278">
        <v>64320</v>
      </c>
      <c r="E2278" t="s">
        <v>8</v>
      </c>
      <c r="F2278" t="s">
        <v>2288</v>
      </c>
      <c r="G2278">
        <v>1</v>
      </c>
    </row>
    <row r="2279" spans="1:7" x14ac:dyDescent="0.25">
      <c r="A2279">
        <v>15</v>
      </c>
      <c r="B2279" t="s">
        <v>2078</v>
      </c>
      <c r="C2279">
        <v>149853</v>
      </c>
      <c r="D2279" t="str">
        <f>"0016-4119"</f>
        <v>0016-4119</v>
      </c>
      <c r="E2279" t="s">
        <v>15</v>
      </c>
      <c r="F2279" t="s">
        <v>2289</v>
      </c>
      <c r="G2279">
        <v>1</v>
      </c>
    </row>
    <row r="2280" spans="1:7" x14ac:dyDescent="0.25">
      <c r="A2280">
        <v>15</v>
      </c>
      <c r="B2280" t="s">
        <v>2078</v>
      </c>
      <c r="C2280">
        <v>6837</v>
      </c>
      <c r="D2280" t="str">
        <f>"0883-6353"</f>
        <v>0883-6353</v>
      </c>
      <c r="E2280" t="s">
        <v>8</v>
      </c>
      <c r="F2280" t="s">
        <v>2290</v>
      </c>
      <c r="G2280">
        <v>1</v>
      </c>
    </row>
    <row r="2281" spans="1:7" x14ac:dyDescent="0.25">
      <c r="A2281">
        <v>15</v>
      </c>
      <c r="B2281" t="s">
        <v>2078</v>
      </c>
      <c r="C2281">
        <v>115116</v>
      </c>
      <c r="D2281" t="str">
        <f>"1403-8293"</f>
        <v>1403-8293</v>
      </c>
      <c r="E2281" t="s">
        <v>15</v>
      </c>
      <c r="F2281" t="s">
        <v>2291</v>
      </c>
      <c r="G2281">
        <v>1</v>
      </c>
    </row>
    <row r="2282" spans="1:7" x14ac:dyDescent="0.25">
      <c r="A2282">
        <v>15</v>
      </c>
      <c r="B2282" t="s">
        <v>2078</v>
      </c>
      <c r="C2282">
        <v>130566</v>
      </c>
      <c r="D2282" t="str">
        <f>"0282-9479"</f>
        <v>0282-9479</v>
      </c>
      <c r="E2282" t="s">
        <v>15</v>
      </c>
      <c r="F2282" t="s">
        <v>2292</v>
      </c>
      <c r="G2282">
        <v>1</v>
      </c>
    </row>
    <row r="2283" spans="1:7" x14ac:dyDescent="0.25">
      <c r="A2283">
        <v>15</v>
      </c>
      <c r="B2283" t="s">
        <v>2078</v>
      </c>
      <c r="C2283">
        <v>19932</v>
      </c>
      <c r="D2283" t="str">
        <f>"0449-1564"</f>
        <v>0449-1564</v>
      </c>
      <c r="E2283" t="s">
        <v>8</v>
      </c>
      <c r="F2283" t="s">
        <v>2293</v>
      </c>
      <c r="G2283">
        <v>1</v>
      </c>
    </row>
    <row r="2284" spans="1:7" x14ac:dyDescent="0.25">
      <c r="A2284">
        <v>15</v>
      </c>
      <c r="B2284" t="s">
        <v>2078</v>
      </c>
      <c r="C2284">
        <v>80943</v>
      </c>
      <c r="D2284" t="str">
        <f>"0174-2086"</f>
        <v>0174-2086</v>
      </c>
      <c r="E2284" t="s">
        <v>8</v>
      </c>
      <c r="F2284" t="s">
        <v>2294</v>
      </c>
      <c r="G2284">
        <v>1</v>
      </c>
    </row>
    <row r="2285" spans="1:7" x14ac:dyDescent="0.25">
      <c r="A2285">
        <v>15</v>
      </c>
      <c r="B2285" t="s">
        <v>2078</v>
      </c>
      <c r="C2285">
        <v>26995</v>
      </c>
      <c r="D2285" t="str">
        <f>"2159-032X"</f>
        <v>2159-032X</v>
      </c>
      <c r="E2285" t="s">
        <v>8</v>
      </c>
      <c r="F2285" t="s">
        <v>2295</v>
      </c>
      <c r="G2285">
        <v>1</v>
      </c>
    </row>
    <row r="2286" spans="1:7" x14ac:dyDescent="0.25">
      <c r="A2286">
        <v>15</v>
      </c>
      <c r="B2286" t="s">
        <v>2078</v>
      </c>
      <c r="C2286">
        <v>7758223</v>
      </c>
      <c r="D2286" t="str">
        <f>"2294-4273"</f>
        <v>2294-4273</v>
      </c>
      <c r="E2286" t="s">
        <v>8</v>
      </c>
      <c r="F2286" t="s">
        <v>2296</v>
      </c>
      <c r="G2286">
        <v>1</v>
      </c>
    </row>
    <row r="2287" spans="1:7" x14ac:dyDescent="0.25">
      <c r="A2287">
        <v>15</v>
      </c>
      <c r="B2287" t="s">
        <v>2078</v>
      </c>
      <c r="C2287">
        <v>11538</v>
      </c>
      <c r="D2287" t="str">
        <f>"0018-098X"</f>
        <v>0018-098X</v>
      </c>
      <c r="E2287" t="s">
        <v>8</v>
      </c>
      <c r="F2287" t="s">
        <v>2297</v>
      </c>
      <c r="G2287">
        <v>1</v>
      </c>
    </row>
    <row r="2288" spans="1:7" x14ac:dyDescent="0.25">
      <c r="A2288">
        <v>15</v>
      </c>
      <c r="B2288" t="s">
        <v>2078</v>
      </c>
      <c r="C2288">
        <v>142232</v>
      </c>
      <c r="D2288" t="str">
        <f>"0105-8118"</f>
        <v>0105-8118</v>
      </c>
      <c r="E2288" t="s">
        <v>15</v>
      </c>
      <c r="F2288" t="s">
        <v>2298</v>
      </c>
      <c r="G2288">
        <v>1</v>
      </c>
    </row>
    <row r="2289" spans="1:7" x14ac:dyDescent="0.25">
      <c r="A2289">
        <v>15</v>
      </c>
      <c r="B2289" t="s">
        <v>2078</v>
      </c>
      <c r="C2289">
        <v>108053</v>
      </c>
      <c r="D2289" t="str">
        <f>"1130-0515"</f>
        <v>1130-0515</v>
      </c>
      <c r="E2289" t="s">
        <v>15</v>
      </c>
      <c r="F2289" t="s">
        <v>2299</v>
      </c>
      <c r="G2289">
        <v>1</v>
      </c>
    </row>
    <row r="2290" spans="1:7" x14ac:dyDescent="0.25">
      <c r="A2290">
        <v>15</v>
      </c>
      <c r="B2290" t="s">
        <v>2078</v>
      </c>
      <c r="C2290">
        <v>47859</v>
      </c>
      <c r="D2290" t="str">
        <f>"0350-6320"</f>
        <v>0350-6320</v>
      </c>
      <c r="E2290" t="s">
        <v>8</v>
      </c>
      <c r="F2290" t="s">
        <v>2300</v>
      </c>
      <c r="G2290">
        <v>1</v>
      </c>
    </row>
    <row r="2291" spans="1:7" x14ac:dyDescent="0.25">
      <c r="A2291">
        <v>15</v>
      </c>
      <c r="B2291" t="s">
        <v>2078</v>
      </c>
      <c r="C2291">
        <v>25140</v>
      </c>
      <c r="D2291" t="str">
        <f>"0393-9375"</f>
        <v>0393-9375</v>
      </c>
      <c r="E2291" t="s">
        <v>8</v>
      </c>
      <c r="F2291" t="s">
        <v>2301</v>
      </c>
      <c r="G2291">
        <v>1</v>
      </c>
    </row>
    <row r="2292" spans="1:7" x14ac:dyDescent="0.25">
      <c r="A2292">
        <v>15</v>
      </c>
      <c r="B2292" t="s">
        <v>2078</v>
      </c>
      <c r="C2292">
        <v>8758816</v>
      </c>
      <c r="E2292" t="s">
        <v>8</v>
      </c>
      <c r="F2292" t="s">
        <v>2302</v>
      </c>
      <c r="G2292">
        <v>1</v>
      </c>
    </row>
    <row r="2293" spans="1:7" x14ac:dyDescent="0.25">
      <c r="A2293">
        <v>15</v>
      </c>
      <c r="B2293" t="s">
        <v>2078</v>
      </c>
      <c r="C2293">
        <v>2313</v>
      </c>
      <c r="D2293" t="str">
        <f>"2000-4044"</f>
        <v>2000-4044</v>
      </c>
      <c r="E2293" t="s">
        <v>8</v>
      </c>
      <c r="F2293" t="s">
        <v>2303</v>
      </c>
      <c r="G2293">
        <v>1</v>
      </c>
    </row>
    <row r="2294" spans="1:7" x14ac:dyDescent="0.25">
      <c r="A2294">
        <v>15</v>
      </c>
      <c r="B2294" t="s">
        <v>2078</v>
      </c>
      <c r="C2294">
        <v>26159</v>
      </c>
      <c r="D2294" t="str">
        <f>"0309-0728"</f>
        <v>0309-0728</v>
      </c>
      <c r="E2294" t="s">
        <v>8</v>
      </c>
      <c r="F2294" t="s">
        <v>2304</v>
      </c>
      <c r="G2294">
        <v>1</v>
      </c>
    </row>
    <row r="2295" spans="1:7" x14ac:dyDescent="0.25">
      <c r="A2295">
        <v>15</v>
      </c>
      <c r="B2295" t="s">
        <v>2078</v>
      </c>
      <c r="C2295">
        <v>7692244</v>
      </c>
      <c r="D2295" t="str">
        <f>"2067-533X"</f>
        <v>2067-533X</v>
      </c>
      <c r="E2295" t="s">
        <v>8</v>
      </c>
      <c r="F2295" t="s">
        <v>2305</v>
      </c>
      <c r="G2295">
        <v>1</v>
      </c>
    </row>
    <row r="2296" spans="1:7" x14ac:dyDescent="0.25">
      <c r="A2296">
        <v>15</v>
      </c>
      <c r="B2296" t="s">
        <v>2078</v>
      </c>
      <c r="C2296">
        <v>125816</v>
      </c>
      <c r="D2296" t="str">
        <f>"1975-3586"</f>
        <v>1975-3586</v>
      </c>
      <c r="E2296" t="s">
        <v>8</v>
      </c>
      <c r="F2296" t="s">
        <v>2306</v>
      </c>
      <c r="G2296">
        <v>1</v>
      </c>
    </row>
    <row r="2297" spans="1:7" x14ac:dyDescent="0.25">
      <c r="A2297">
        <v>15</v>
      </c>
      <c r="B2297" t="s">
        <v>2078</v>
      </c>
      <c r="C2297">
        <v>160015</v>
      </c>
      <c r="D2297" t="str">
        <f>"1879-9817"</f>
        <v>1879-9817</v>
      </c>
      <c r="E2297" t="s">
        <v>8</v>
      </c>
      <c r="F2297" t="s">
        <v>2307</v>
      </c>
      <c r="G2297">
        <v>1</v>
      </c>
    </row>
    <row r="2298" spans="1:7" x14ac:dyDescent="0.25">
      <c r="A2298">
        <v>15</v>
      </c>
      <c r="B2298" t="s">
        <v>2078</v>
      </c>
      <c r="C2298">
        <v>17677</v>
      </c>
      <c r="D2298" t="str">
        <f>"0021-0870"</f>
        <v>0021-0870</v>
      </c>
      <c r="E2298" t="s">
        <v>8</v>
      </c>
      <c r="F2298" t="s">
        <v>2308</v>
      </c>
      <c r="G2298">
        <v>1</v>
      </c>
    </row>
    <row r="2299" spans="1:7" x14ac:dyDescent="0.25">
      <c r="A2299">
        <v>15</v>
      </c>
      <c r="B2299" t="s">
        <v>2078</v>
      </c>
      <c r="C2299">
        <v>26714</v>
      </c>
      <c r="D2299" t="str">
        <f>"0021-0889"</f>
        <v>0021-0889</v>
      </c>
      <c r="E2299" t="s">
        <v>8</v>
      </c>
      <c r="F2299" t="s">
        <v>2309</v>
      </c>
      <c r="G2299">
        <v>1</v>
      </c>
    </row>
    <row r="2300" spans="1:7" x14ac:dyDescent="0.25">
      <c r="A2300">
        <v>15</v>
      </c>
      <c r="B2300" t="s">
        <v>2078</v>
      </c>
      <c r="C2300">
        <v>16625</v>
      </c>
      <c r="D2300" t="str">
        <f>"0021-2059"</f>
        <v>0021-2059</v>
      </c>
      <c r="E2300" t="s">
        <v>8</v>
      </c>
      <c r="F2300" t="s">
        <v>2310</v>
      </c>
      <c r="G2300">
        <v>1</v>
      </c>
    </row>
    <row r="2301" spans="1:7" x14ac:dyDescent="0.25">
      <c r="A2301">
        <v>15</v>
      </c>
      <c r="B2301" t="s">
        <v>2078</v>
      </c>
      <c r="C2301">
        <v>126730</v>
      </c>
      <c r="D2301" t="str">
        <f>"0021-2288"</f>
        <v>0021-2288</v>
      </c>
      <c r="E2301" t="s">
        <v>15</v>
      </c>
      <c r="F2301" t="s">
        <v>2311</v>
      </c>
      <c r="G2301">
        <v>1</v>
      </c>
    </row>
    <row r="2302" spans="1:7" x14ac:dyDescent="0.25">
      <c r="A2302">
        <v>15</v>
      </c>
      <c r="B2302" t="s">
        <v>2078</v>
      </c>
      <c r="C2302">
        <v>27777</v>
      </c>
      <c r="D2302" t="str">
        <f>"1565-8449"</f>
        <v>1565-8449</v>
      </c>
      <c r="E2302" t="s">
        <v>8</v>
      </c>
      <c r="F2302" t="s">
        <v>2311</v>
      </c>
      <c r="G2302">
        <v>1</v>
      </c>
    </row>
    <row r="2303" spans="1:7" x14ac:dyDescent="0.25">
      <c r="A2303">
        <v>15</v>
      </c>
      <c r="B2303" t="s">
        <v>2078</v>
      </c>
      <c r="C2303">
        <v>792</v>
      </c>
      <c r="D2303" t="str">
        <f>"0341-9142"</f>
        <v>0341-9142</v>
      </c>
      <c r="E2303" t="s">
        <v>8</v>
      </c>
      <c r="F2303" t="s">
        <v>2312</v>
      </c>
      <c r="G2303">
        <v>1</v>
      </c>
    </row>
    <row r="2304" spans="1:7" x14ac:dyDescent="0.25">
      <c r="A2304">
        <v>15</v>
      </c>
      <c r="B2304" t="s">
        <v>2078</v>
      </c>
      <c r="C2304">
        <v>14568</v>
      </c>
      <c r="D2304" t="str">
        <f>"0070-4415"</f>
        <v>0070-4415</v>
      </c>
      <c r="E2304" t="s">
        <v>8</v>
      </c>
      <c r="F2304" t="s">
        <v>2313</v>
      </c>
      <c r="G2304">
        <v>1</v>
      </c>
    </row>
    <row r="2305" spans="1:7" x14ac:dyDescent="0.25">
      <c r="A2305">
        <v>15</v>
      </c>
      <c r="B2305" t="s">
        <v>2078</v>
      </c>
      <c r="C2305">
        <v>102075</v>
      </c>
      <c r="D2305" t="str">
        <f>"0076-2741"</f>
        <v>0076-2741</v>
      </c>
      <c r="E2305" t="s">
        <v>8</v>
      </c>
      <c r="F2305" t="s">
        <v>2314</v>
      </c>
      <c r="G2305">
        <v>1</v>
      </c>
    </row>
    <row r="2306" spans="1:7" x14ac:dyDescent="0.25">
      <c r="A2306">
        <v>15</v>
      </c>
      <c r="B2306" t="s">
        <v>2078</v>
      </c>
      <c r="C2306">
        <v>71214</v>
      </c>
      <c r="D2306" t="str">
        <f>"0172-2727"</f>
        <v>0172-2727</v>
      </c>
      <c r="E2306" t="s">
        <v>8</v>
      </c>
      <c r="F2306" t="s">
        <v>2315</v>
      </c>
      <c r="G2306">
        <v>1</v>
      </c>
    </row>
    <row r="2307" spans="1:7" x14ac:dyDescent="0.25">
      <c r="A2307">
        <v>15</v>
      </c>
      <c r="B2307" t="s">
        <v>2078</v>
      </c>
      <c r="C2307">
        <v>3551</v>
      </c>
      <c r="D2307" t="str">
        <f>"0078-3579"</f>
        <v>0078-3579</v>
      </c>
      <c r="E2307" t="s">
        <v>8</v>
      </c>
      <c r="F2307" t="s">
        <v>2316</v>
      </c>
      <c r="G2307">
        <v>1</v>
      </c>
    </row>
    <row r="2308" spans="1:7" x14ac:dyDescent="0.25">
      <c r="A2308">
        <v>15</v>
      </c>
      <c r="B2308" t="s">
        <v>2078</v>
      </c>
      <c r="C2308">
        <v>79892</v>
      </c>
      <c r="D2308" t="str">
        <f>"0075-2932"</f>
        <v>0075-2932</v>
      </c>
      <c r="E2308" t="s">
        <v>8</v>
      </c>
      <c r="F2308" t="s">
        <v>2317</v>
      </c>
      <c r="G2308">
        <v>1</v>
      </c>
    </row>
    <row r="2309" spans="1:7" x14ac:dyDescent="0.25">
      <c r="A2309">
        <v>15</v>
      </c>
      <c r="B2309" t="s">
        <v>2078</v>
      </c>
      <c r="C2309">
        <v>96115</v>
      </c>
      <c r="E2309" t="s">
        <v>8</v>
      </c>
      <c r="F2309" t="s">
        <v>2318</v>
      </c>
      <c r="G2309">
        <v>1</v>
      </c>
    </row>
    <row r="2310" spans="1:7" x14ac:dyDescent="0.25">
      <c r="A2310">
        <v>15</v>
      </c>
      <c r="B2310" t="s">
        <v>2078</v>
      </c>
      <c r="C2310">
        <v>6997</v>
      </c>
      <c r="D2310" t="str">
        <f>"1612-1651"</f>
        <v>1612-1651</v>
      </c>
      <c r="E2310" t="s">
        <v>8</v>
      </c>
      <c r="F2310" t="s">
        <v>2319</v>
      </c>
      <c r="G2310">
        <v>1</v>
      </c>
    </row>
    <row r="2311" spans="1:7" x14ac:dyDescent="0.25">
      <c r="A2311">
        <v>15</v>
      </c>
      <c r="B2311" t="s">
        <v>2078</v>
      </c>
      <c r="C2311">
        <v>9108</v>
      </c>
      <c r="D2311" t="str">
        <f>"1059-0161"</f>
        <v>1059-0161</v>
      </c>
      <c r="E2311" t="s">
        <v>8</v>
      </c>
      <c r="F2311" t="s">
        <v>2320</v>
      </c>
      <c r="G2311">
        <v>1</v>
      </c>
    </row>
    <row r="2312" spans="1:7" x14ac:dyDescent="0.25">
      <c r="A2312">
        <v>15</v>
      </c>
      <c r="B2312" t="s">
        <v>2078</v>
      </c>
      <c r="C2312">
        <v>7727462</v>
      </c>
      <c r="D2312" t="str">
        <f>"2001-1199"</f>
        <v>2001-1199</v>
      </c>
      <c r="E2312" t="s">
        <v>8</v>
      </c>
      <c r="F2312" t="s">
        <v>2321</v>
      </c>
      <c r="G2312">
        <v>1</v>
      </c>
    </row>
    <row r="2313" spans="1:7" x14ac:dyDescent="0.25">
      <c r="A2313">
        <v>15</v>
      </c>
      <c r="B2313" t="s">
        <v>2078</v>
      </c>
      <c r="C2313">
        <v>13670</v>
      </c>
      <c r="D2313" t="str">
        <f>"1355-6207"</f>
        <v>1355-6207</v>
      </c>
      <c r="E2313" t="s">
        <v>8</v>
      </c>
      <c r="F2313" t="s">
        <v>2322</v>
      </c>
      <c r="G2313">
        <v>1</v>
      </c>
    </row>
    <row r="2314" spans="1:7" x14ac:dyDescent="0.25">
      <c r="A2314">
        <v>15</v>
      </c>
      <c r="B2314" t="s">
        <v>2078</v>
      </c>
      <c r="C2314">
        <v>27776</v>
      </c>
      <c r="D2314" t="str">
        <f>"1524-4776"</f>
        <v>1524-4776</v>
      </c>
      <c r="E2314" t="s">
        <v>8</v>
      </c>
      <c r="F2314" t="s">
        <v>2323</v>
      </c>
      <c r="G2314">
        <v>1</v>
      </c>
    </row>
    <row r="2315" spans="1:7" x14ac:dyDescent="0.25">
      <c r="A2315">
        <v>15</v>
      </c>
      <c r="B2315" t="s">
        <v>2078</v>
      </c>
      <c r="C2315">
        <v>7753068</v>
      </c>
      <c r="D2315" t="str">
        <f>"2051-8196"</f>
        <v>2051-8196</v>
      </c>
      <c r="E2315" t="s">
        <v>8</v>
      </c>
      <c r="F2315" t="s">
        <v>2324</v>
      </c>
      <c r="G2315">
        <v>1</v>
      </c>
    </row>
    <row r="2316" spans="1:7" x14ac:dyDescent="0.25">
      <c r="A2316">
        <v>15</v>
      </c>
      <c r="B2316" t="s">
        <v>2078</v>
      </c>
      <c r="C2316">
        <v>19659</v>
      </c>
      <c r="D2316" t="str">
        <f>"1574-0773"</f>
        <v>1574-0773</v>
      </c>
      <c r="E2316" t="s">
        <v>8</v>
      </c>
      <c r="F2316" t="s">
        <v>2325</v>
      </c>
      <c r="G2316">
        <v>1</v>
      </c>
    </row>
    <row r="2317" spans="1:7" x14ac:dyDescent="0.25">
      <c r="A2317">
        <v>15</v>
      </c>
      <c r="B2317" t="s">
        <v>2078</v>
      </c>
      <c r="C2317">
        <v>44371</v>
      </c>
      <c r="D2317" t="str">
        <f>"2049-4572"</f>
        <v>2049-4572</v>
      </c>
      <c r="E2317" t="s">
        <v>8</v>
      </c>
      <c r="F2317" t="s">
        <v>2326</v>
      </c>
      <c r="G2317">
        <v>1</v>
      </c>
    </row>
    <row r="2318" spans="1:7" x14ac:dyDescent="0.25">
      <c r="A2318">
        <v>15</v>
      </c>
      <c r="B2318" t="s">
        <v>2078</v>
      </c>
      <c r="C2318">
        <v>7739271</v>
      </c>
      <c r="D2318" t="str">
        <f>"2166-3548"</f>
        <v>2166-3548</v>
      </c>
      <c r="E2318" t="s">
        <v>8</v>
      </c>
      <c r="F2318" t="s">
        <v>2327</v>
      </c>
      <c r="G2318">
        <v>1</v>
      </c>
    </row>
    <row r="2319" spans="1:7" x14ac:dyDescent="0.25">
      <c r="A2319">
        <v>15</v>
      </c>
      <c r="B2319" t="s">
        <v>2078</v>
      </c>
      <c r="C2319">
        <v>16146</v>
      </c>
      <c r="D2319" t="str">
        <f>"0075-4250"</f>
        <v>0075-4250</v>
      </c>
      <c r="E2319" t="s">
        <v>8</v>
      </c>
      <c r="F2319" t="s">
        <v>2328</v>
      </c>
      <c r="G2319">
        <v>1</v>
      </c>
    </row>
    <row r="2320" spans="1:7" x14ac:dyDescent="0.25">
      <c r="A2320">
        <v>15</v>
      </c>
      <c r="B2320" t="s">
        <v>2078</v>
      </c>
      <c r="C2320">
        <v>9486</v>
      </c>
      <c r="D2320" t="str">
        <f>"0047-2484"</f>
        <v>0047-2484</v>
      </c>
      <c r="E2320" t="s">
        <v>8</v>
      </c>
      <c r="F2320" t="s">
        <v>2329</v>
      </c>
      <c r="G2320">
        <v>1</v>
      </c>
    </row>
    <row r="2321" spans="1:7" x14ac:dyDescent="0.25">
      <c r="A2321">
        <v>15</v>
      </c>
      <c r="B2321" t="s">
        <v>2078</v>
      </c>
      <c r="C2321">
        <v>145714</v>
      </c>
      <c r="D2321" t="str">
        <f>"0874-2677"</f>
        <v>0874-2677</v>
      </c>
      <c r="E2321" t="s">
        <v>8</v>
      </c>
      <c r="F2321" t="s">
        <v>2330</v>
      </c>
      <c r="G2321">
        <v>1</v>
      </c>
    </row>
    <row r="2322" spans="1:7" x14ac:dyDescent="0.25">
      <c r="A2322">
        <v>15</v>
      </c>
      <c r="B2322" t="s">
        <v>2078</v>
      </c>
      <c r="C2322">
        <v>26980</v>
      </c>
      <c r="D2322" t="str">
        <f>"1824-1670"</f>
        <v>1824-1670</v>
      </c>
      <c r="E2322" t="s">
        <v>8</v>
      </c>
      <c r="F2322" t="s">
        <v>2331</v>
      </c>
      <c r="G2322">
        <v>1</v>
      </c>
    </row>
    <row r="2323" spans="1:7" x14ac:dyDescent="0.25">
      <c r="A2323">
        <v>15</v>
      </c>
      <c r="B2323" t="s">
        <v>2078</v>
      </c>
      <c r="C2323">
        <v>41516</v>
      </c>
      <c r="D2323" t="str">
        <f>"0268-537X"</f>
        <v>0268-537X</v>
      </c>
      <c r="E2323" t="s">
        <v>8</v>
      </c>
      <c r="F2323" t="s">
        <v>2332</v>
      </c>
      <c r="G2323">
        <v>1</v>
      </c>
    </row>
    <row r="2324" spans="1:7" x14ac:dyDescent="0.25">
      <c r="A2324">
        <v>15</v>
      </c>
      <c r="B2324" t="s">
        <v>2078</v>
      </c>
      <c r="C2324">
        <v>19163</v>
      </c>
      <c r="D2324" t="str">
        <f>"1556-4894"</f>
        <v>1556-4894</v>
      </c>
      <c r="E2324" t="s">
        <v>8</v>
      </c>
      <c r="F2324" t="s">
        <v>2333</v>
      </c>
      <c r="G2324">
        <v>1</v>
      </c>
    </row>
    <row r="2325" spans="1:7" x14ac:dyDescent="0.25">
      <c r="A2325">
        <v>15</v>
      </c>
      <c r="B2325" t="s">
        <v>2078</v>
      </c>
      <c r="C2325">
        <v>23282</v>
      </c>
      <c r="D2325" t="str">
        <f>"1939-6716"</f>
        <v>1939-6716</v>
      </c>
      <c r="E2325" t="s">
        <v>8</v>
      </c>
      <c r="F2325" t="s">
        <v>2334</v>
      </c>
      <c r="G2325">
        <v>1</v>
      </c>
    </row>
    <row r="2326" spans="1:7" x14ac:dyDescent="0.25">
      <c r="A2326">
        <v>15</v>
      </c>
      <c r="B2326" t="s">
        <v>2078</v>
      </c>
      <c r="C2326">
        <v>14932</v>
      </c>
      <c r="D2326" t="str">
        <f>"1016-3476"</f>
        <v>1016-3476</v>
      </c>
      <c r="E2326" t="s">
        <v>8</v>
      </c>
      <c r="F2326" t="s">
        <v>2335</v>
      </c>
      <c r="G2326">
        <v>1</v>
      </c>
    </row>
    <row r="2327" spans="1:7" x14ac:dyDescent="0.25">
      <c r="A2327">
        <v>15</v>
      </c>
      <c r="B2327" t="s">
        <v>2078</v>
      </c>
      <c r="C2327">
        <v>3581</v>
      </c>
      <c r="D2327" t="str">
        <f>"0022-2968"</f>
        <v>0022-2968</v>
      </c>
      <c r="E2327" t="s">
        <v>8</v>
      </c>
      <c r="F2327" t="s">
        <v>2336</v>
      </c>
      <c r="G2327">
        <v>1</v>
      </c>
    </row>
    <row r="2328" spans="1:7" x14ac:dyDescent="0.25">
      <c r="A2328">
        <v>15</v>
      </c>
      <c r="B2328" t="s">
        <v>2078</v>
      </c>
      <c r="C2328">
        <v>156434</v>
      </c>
      <c r="E2328" t="s">
        <v>8</v>
      </c>
      <c r="F2328" t="s">
        <v>2337</v>
      </c>
      <c r="G2328">
        <v>1</v>
      </c>
    </row>
    <row r="2329" spans="1:7" x14ac:dyDescent="0.25">
      <c r="A2329">
        <v>15</v>
      </c>
      <c r="B2329" t="s">
        <v>2078</v>
      </c>
      <c r="C2329">
        <v>3268</v>
      </c>
      <c r="D2329" t="str">
        <f>"1868-0860"</f>
        <v>1868-0860</v>
      </c>
      <c r="E2329" t="s">
        <v>8</v>
      </c>
      <c r="F2329" t="s">
        <v>2338</v>
      </c>
      <c r="G2329">
        <v>1</v>
      </c>
    </row>
    <row r="2330" spans="1:7" x14ac:dyDescent="0.25">
      <c r="A2330">
        <v>15</v>
      </c>
      <c r="B2330" t="s">
        <v>2078</v>
      </c>
      <c r="C2330">
        <v>23002</v>
      </c>
      <c r="D2330" t="str">
        <f>"0283-8486"</f>
        <v>0283-8486</v>
      </c>
      <c r="E2330" t="s">
        <v>8</v>
      </c>
      <c r="F2330" t="s">
        <v>2339</v>
      </c>
      <c r="G2330">
        <v>1</v>
      </c>
    </row>
    <row r="2331" spans="1:7" x14ac:dyDescent="0.25">
      <c r="A2331">
        <v>15</v>
      </c>
      <c r="B2331" t="s">
        <v>2078</v>
      </c>
      <c r="C2331">
        <v>115397</v>
      </c>
      <c r="D2331" t="str">
        <f>"0961-3684"</f>
        <v>0961-3684</v>
      </c>
      <c r="E2331" t="s">
        <v>8</v>
      </c>
      <c r="F2331" t="s">
        <v>2340</v>
      </c>
      <c r="G2331">
        <v>1</v>
      </c>
    </row>
    <row r="2332" spans="1:7" x14ac:dyDescent="0.25">
      <c r="A2332">
        <v>15</v>
      </c>
      <c r="B2332" t="s">
        <v>2078</v>
      </c>
      <c r="C2332">
        <v>115383</v>
      </c>
      <c r="D2332" t="str">
        <f>"0958-3491"</f>
        <v>0958-3491</v>
      </c>
      <c r="E2332" t="s">
        <v>8</v>
      </c>
      <c r="F2332" t="s">
        <v>2341</v>
      </c>
      <c r="G2332">
        <v>1</v>
      </c>
    </row>
    <row r="2333" spans="1:7" x14ac:dyDescent="0.25">
      <c r="A2333">
        <v>15</v>
      </c>
      <c r="B2333" t="s">
        <v>2078</v>
      </c>
      <c r="C2333">
        <v>13620</v>
      </c>
      <c r="D2333" t="str">
        <f>"0197-1360"</f>
        <v>0197-1360</v>
      </c>
      <c r="E2333" t="s">
        <v>8</v>
      </c>
      <c r="F2333" t="s">
        <v>2342</v>
      </c>
      <c r="G2333">
        <v>1</v>
      </c>
    </row>
    <row r="2334" spans="1:7" x14ac:dyDescent="0.25">
      <c r="A2334">
        <v>15</v>
      </c>
      <c r="B2334" t="s">
        <v>2078</v>
      </c>
      <c r="C2334">
        <v>19571</v>
      </c>
      <c r="D2334" t="str">
        <f>"0065-9991"</f>
        <v>0065-9991</v>
      </c>
      <c r="E2334" t="s">
        <v>8</v>
      </c>
      <c r="F2334" t="s">
        <v>2343</v>
      </c>
      <c r="G2334">
        <v>1</v>
      </c>
    </row>
    <row r="2335" spans="1:7" x14ac:dyDescent="0.25">
      <c r="A2335">
        <v>15</v>
      </c>
      <c r="B2335" t="s">
        <v>2078</v>
      </c>
      <c r="C2335">
        <v>18601</v>
      </c>
      <c r="D2335" t="str">
        <f>"0068-1288"</f>
        <v>0068-1288</v>
      </c>
      <c r="E2335" t="s">
        <v>8</v>
      </c>
      <c r="F2335" t="s">
        <v>2344</v>
      </c>
      <c r="G2335">
        <v>1</v>
      </c>
    </row>
    <row r="2336" spans="1:7" x14ac:dyDescent="0.25">
      <c r="A2336">
        <v>15</v>
      </c>
      <c r="B2336" t="s">
        <v>2078</v>
      </c>
      <c r="C2336">
        <v>143785</v>
      </c>
      <c r="D2336" t="str">
        <f>"1603-5313"</f>
        <v>1603-5313</v>
      </c>
      <c r="E2336" t="s">
        <v>8</v>
      </c>
      <c r="F2336" t="s">
        <v>2345</v>
      </c>
      <c r="G2336">
        <v>1</v>
      </c>
    </row>
    <row r="2337" spans="1:7" x14ac:dyDescent="0.25">
      <c r="A2337">
        <v>15</v>
      </c>
      <c r="B2337" t="s">
        <v>2078</v>
      </c>
      <c r="C2337">
        <v>9006</v>
      </c>
      <c r="D2337" t="str">
        <f>"0954-6650"</f>
        <v>0954-6650</v>
      </c>
      <c r="E2337" t="s">
        <v>8</v>
      </c>
      <c r="F2337" t="s">
        <v>2346</v>
      </c>
      <c r="G2337">
        <v>1</v>
      </c>
    </row>
    <row r="2338" spans="1:7" x14ac:dyDescent="0.25">
      <c r="A2338">
        <v>15</v>
      </c>
      <c r="B2338" t="s">
        <v>2078</v>
      </c>
      <c r="C2338">
        <v>6153242</v>
      </c>
      <c r="D2338" t="str">
        <f>"1945-5224"</f>
        <v>1945-5224</v>
      </c>
      <c r="E2338" t="s">
        <v>8</v>
      </c>
      <c r="F2338" t="s">
        <v>2347</v>
      </c>
      <c r="G2338">
        <v>1</v>
      </c>
    </row>
    <row r="2339" spans="1:7" x14ac:dyDescent="0.25">
      <c r="A2339">
        <v>15</v>
      </c>
      <c r="B2339" t="s">
        <v>2078</v>
      </c>
      <c r="C2339">
        <v>27143</v>
      </c>
      <c r="D2339" t="str">
        <f>"1935-1948"</f>
        <v>1935-1948</v>
      </c>
      <c r="E2339" t="s">
        <v>8</v>
      </c>
      <c r="F2339" t="s">
        <v>2348</v>
      </c>
      <c r="G2339">
        <v>1</v>
      </c>
    </row>
    <row r="2340" spans="1:7" x14ac:dyDescent="0.25">
      <c r="A2340">
        <v>15</v>
      </c>
      <c r="B2340" t="s">
        <v>2078</v>
      </c>
      <c r="C2340">
        <v>134130</v>
      </c>
      <c r="D2340" t="str">
        <f>"0035-9106"</f>
        <v>0035-9106</v>
      </c>
      <c r="E2340" t="s">
        <v>8</v>
      </c>
      <c r="F2340" t="s">
        <v>2349</v>
      </c>
      <c r="G2340">
        <v>1</v>
      </c>
    </row>
    <row r="2341" spans="1:7" x14ac:dyDescent="0.25">
      <c r="A2341">
        <v>15</v>
      </c>
      <c r="B2341" t="s">
        <v>2078</v>
      </c>
      <c r="C2341">
        <v>12780</v>
      </c>
      <c r="D2341" t="str">
        <f>"0107-2854"</f>
        <v>0107-2854</v>
      </c>
      <c r="E2341" t="s">
        <v>15</v>
      </c>
      <c r="F2341" t="s">
        <v>2350</v>
      </c>
      <c r="G2341">
        <v>1</v>
      </c>
    </row>
    <row r="2342" spans="1:7" x14ac:dyDescent="0.25">
      <c r="A2342">
        <v>15</v>
      </c>
      <c r="B2342" t="s">
        <v>2078</v>
      </c>
      <c r="C2342">
        <v>11463</v>
      </c>
      <c r="D2342" t="str">
        <f>"0454-6245"</f>
        <v>0454-6245</v>
      </c>
      <c r="E2342" t="s">
        <v>8</v>
      </c>
      <c r="F2342" t="s">
        <v>2351</v>
      </c>
      <c r="G2342">
        <v>1</v>
      </c>
    </row>
    <row r="2343" spans="1:7" x14ac:dyDescent="0.25">
      <c r="A2343">
        <v>15</v>
      </c>
      <c r="B2343" t="s">
        <v>2078</v>
      </c>
      <c r="C2343">
        <v>6182371</v>
      </c>
      <c r="D2343" t="str">
        <f>"1947-508X"</f>
        <v>1947-508X</v>
      </c>
      <c r="E2343" t="s">
        <v>8</v>
      </c>
      <c r="F2343" t="s">
        <v>2352</v>
      </c>
      <c r="G2343">
        <v>1</v>
      </c>
    </row>
    <row r="2344" spans="1:7" x14ac:dyDescent="0.25">
      <c r="A2344">
        <v>15</v>
      </c>
      <c r="B2344" t="s">
        <v>2078</v>
      </c>
      <c r="C2344">
        <v>7948</v>
      </c>
      <c r="D2344" t="str">
        <f>"0770-2817"</f>
        <v>0770-2817</v>
      </c>
      <c r="E2344" t="s">
        <v>8</v>
      </c>
      <c r="F2344" t="s">
        <v>2353</v>
      </c>
      <c r="G2344">
        <v>1</v>
      </c>
    </row>
    <row r="2345" spans="1:7" x14ac:dyDescent="0.25">
      <c r="A2345">
        <v>15</v>
      </c>
      <c r="B2345" t="s">
        <v>2078</v>
      </c>
      <c r="C2345">
        <v>8031</v>
      </c>
      <c r="D2345" t="str">
        <f>"1045-6635"</f>
        <v>1045-6635</v>
      </c>
      <c r="E2345" t="s">
        <v>8</v>
      </c>
      <c r="F2345" t="s">
        <v>2354</v>
      </c>
      <c r="G2345">
        <v>1</v>
      </c>
    </row>
    <row r="2346" spans="1:7" x14ac:dyDescent="0.25">
      <c r="A2346">
        <v>15</v>
      </c>
      <c r="B2346" t="s">
        <v>2078</v>
      </c>
      <c r="C2346">
        <v>129327</v>
      </c>
      <c r="D2346" t="str">
        <f>"0154-9049"</f>
        <v>0154-9049</v>
      </c>
      <c r="E2346" t="s">
        <v>8</v>
      </c>
      <c r="F2346" t="s">
        <v>2355</v>
      </c>
      <c r="G2346">
        <v>1</v>
      </c>
    </row>
    <row r="2347" spans="1:7" x14ac:dyDescent="0.25">
      <c r="A2347">
        <v>15</v>
      </c>
      <c r="B2347" t="s">
        <v>2078</v>
      </c>
      <c r="C2347">
        <v>27691</v>
      </c>
      <c r="D2347" t="str">
        <f>"0242-7702"</f>
        <v>0242-7702</v>
      </c>
      <c r="E2347" t="s">
        <v>8</v>
      </c>
      <c r="F2347" t="s">
        <v>2356</v>
      </c>
      <c r="G2347">
        <v>1</v>
      </c>
    </row>
    <row r="2348" spans="1:7" x14ac:dyDescent="0.25">
      <c r="A2348">
        <v>15</v>
      </c>
      <c r="B2348" t="s">
        <v>2078</v>
      </c>
      <c r="C2348">
        <v>145905</v>
      </c>
      <c r="D2348" t="str">
        <f>"0081-8933"</f>
        <v>0081-8933</v>
      </c>
      <c r="E2348" t="s">
        <v>8</v>
      </c>
      <c r="F2348" t="s">
        <v>2357</v>
      </c>
      <c r="G2348">
        <v>1</v>
      </c>
    </row>
    <row r="2349" spans="1:7" x14ac:dyDescent="0.25">
      <c r="A2349">
        <v>15</v>
      </c>
      <c r="B2349" t="s">
        <v>2078</v>
      </c>
      <c r="C2349">
        <v>27596</v>
      </c>
      <c r="D2349" t="str">
        <f>"0207-8694"</f>
        <v>0207-8694</v>
      </c>
      <c r="E2349" t="s">
        <v>15</v>
      </c>
      <c r="F2349" t="s">
        <v>2358</v>
      </c>
      <c r="G2349">
        <v>1</v>
      </c>
    </row>
    <row r="2350" spans="1:7" x14ac:dyDescent="0.25">
      <c r="A2350">
        <v>15</v>
      </c>
      <c r="B2350" t="s">
        <v>2078</v>
      </c>
      <c r="C2350">
        <v>23411</v>
      </c>
      <c r="D2350" t="str">
        <f>"0197-7261"</f>
        <v>0197-7261</v>
      </c>
      <c r="E2350" t="s">
        <v>8</v>
      </c>
      <c r="F2350" t="s">
        <v>2359</v>
      </c>
      <c r="G2350">
        <v>1</v>
      </c>
    </row>
    <row r="2351" spans="1:7" x14ac:dyDescent="0.25">
      <c r="A2351">
        <v>15</v>
      </c>
      <c r="B2351" t="s">
        <v>2078</v>
      </c>
      <c r="C2351">
        <v>27433</v>
      </c>
      <c r="D2351" t="str">
        <f>"0262-7817"</f>
        <v>0262-7817</v>
      </c>
      <c r="E2351" t="s">
        <v>8</v>
      </c>
      <c r="F2351" t="s">
        <v>2360</v>
      </c>
      <c r="G2351">
        <v>1</v>
      </c>
    </row>
    <row r="2352" spans="1:7" x14ac:dyDescent="0.25">
      <c r="A2352">
        <v>15</v>
      </c>
      <c r="B2352" t="s">
        <v>2078</v>
      </c>
      <c r="C2352">
        <v>143886</v>
      </c>
      <c r="D2352" t="str">
        <f>"1401-2189"</f>
        <v>1401-2189</v>
      </c>
      <c r="E2352" t="s">
        <v>8</v>
      </c>
      <c r="F2352" t="s">
        <v>2361</v>
      </c>
      <c r="G2352">
        <v>1</v>
      </c>
    </row>
    <row r="2353" spans="1:7" x14ac:dyDescent="0.25">
      <c r="A2353">
        <v>15</v>
      </c>
      <c r="B2353" t="s">
        <v>2078</v>
      </c>
      <c r="C2353">
        <v>40242</v>
      </c>
      <c r="D2353" t="str">
        <f>"1653-1183"</f>
        <v>1653-1183</v>
      </c>
      <c r="E2353" t="s">
        <v>15</v>
      </c>
      <c r="F2353" t="s">
        <v>2362</v>
      </c>
      <c r="G2353">
        <v>1</v>
      </c>
    </row>
    <row r="2354" spans="1:7" x14ac:dyDescent="0.25">
      <c r="A2354">
        <v>15</v>
      </c>
      <c r="B2354" t="s">
        <v>2078</v>
      </c>
      <c r="C2354">
        <v>136841</v>
      </c>
      <c r="D2354" t="str">
        <f>"1138-1329"</f>
        <v>1138-1329</v>
      </c>
      <c r="E2354" t="s">
        <v>8</v>
      </c>
      <c r="F2354" t="s">
        <v>2363</v>
      </c>
      <c r="G2354">
        <v>1</v>
      </c>
    </row>
    <row r="2355" spans="1:7" x14ac:dyDescent="0.25">
      <c r="A2355">
        <v>15</v>
      </c>
      <c r="B2355" t="s">
        <v>2078</v>
      </c>
      <c r="C2355">
        <v>132538</v>
      </c>
      <c r="D2355" t="str">
        <f>"1300-6444"</f>
        <v>1300-6444</v>
      </c>
      <c r="E2355" t="s">
        <v>15</v>
      </c>
      <c r="F2355" t="s">
        <v>2364</v>
      </c>
      <c r="G2355">
        <v>1</v>
      </c>
    </row>
    <row r="2356" spans="1:7" x14ac:dyDescent="0.25">
      <c r="A2356">
        <v>15</v>
      </c>
      <c r="B2356" t="s">
        <v>2078</v>
      </c>
      <c r="C2356">
        <v>11558</v>
      </c>
      <c r="D2356" t="str">
        <f>"0418-9744"</f>
        <v>0418-9744</v>
      </c>
      <c r="E2356" t="s">
        <v>15</v>
      </c>
      <c r="F2356" t="s">
        <v>2365</v>
      </c>
      <c r="G2356">
        <v>1</v>
      </c>
    </row>
    <row r="2357" spans="1:7" x14ac:dyDescent="0.25">
      <c r="A2357">
        <v>15</v>
      </c>
      <c r="B2357" t="s">
        <v>2078</v>
      </c>
      <c r="C2357">
        <v>19209</v>
      </c>
      <c r="D2357" t="str">
        <f>"1086-170X"</f>
        <v>1086-170X</v>
      </c>
      <c r="E2357" t="s">
        <v>8</v>
      </c>
      <c r="F2357" t="s">
        <v>2366</v>
      </c>
      <c r="G2357">
        <v>1</v>
      </c>
    </row>
    <row r="2358" spans="1:7" x14ac:dyDescent="0.25">
      <c r="A2358">
        <v>15</v>
      </c>
      <c r="B2358" t="s">
        <v>2078</v>
      </c>
      <c r="C2358">
        <v>22491</v>
      </c>
      <c r="D2358" t="str">
        <f>"0258-0446"</f>
        <v>0258-0446</v>
      </c>
      <c r="E2358" t="s">
        <v>8</v>
      </c>
      <c r="F2358" t="s">
        <v>2367</v>
      </c>
      <c r="G2358">
        <v>1</v>
      </c>
    </row>
    <row r="2359" spans="1:7" x14ac:dyDescent="0.25">
      <c r="A2359">
        <v>15</v>
      </c>
      <c r="B2359" t="s">
        <v>2078</v>
      </c>
      <c r="C2359">
        <v>85541</v>
      </c>
      <c r="D2359" t="str">
        <f>"0724-4304"</f>
        <v>0724-4304</v>
      </c>
      <c r="E2359" t="s">
        <v>15</v>
      </c>
      <c r="F2359" t="s">
        <v>2368</v>
      </c>
      <c r="G2359">
        <v>1</v>
      </c>
    </row>
    <row r="2360" spans="1:7" x14ac:dyDescent="0.25">
      <c r="A2360">
        <v>15</v>
      </c>
      <c r="B2360" t="s">
        <v>2078</v>
      </c>
      <c r="C2360">
        <v>180181</v>
      </c>
      <c r="D2360" t="str">
        <f>"1904-3139"</f>
        <v>1904-3139</v>
      </c>
      <c r="E2360" t="s">
        <v>15</v>
      </c>
      <c r="F2360" t="s">
        <v>2369</v>
      </c>
      <c r="G2360">
        <v>1</v>
      </c>
    </row>
    <row r="2361" spans="1:7" x14ac:dyDescent="0.25">
      <c r="A2361">
        <v>15</v>
      </c>
      <c r="B2361" t="s">
        <v>2078</v>
      </c>
      <c r="C2361">
        <v>59263</v>
      </c>
      <c r="D2361" t="str">
        <f>"0075-7039"</f>
        <v>0075-7039</v>
      </c>
      <c r="E2361" t="s">
        <v>8</v>
      </c>
      <c r="F2361" t="s">
        <v>2370</v>
      </c>
      <c r="G2361">
        <v>1</v>
      </c>
    </row>
    <row r="2362" spans="1:7" x14ac:dyDescent="0.25">
      <c r="A2362">
        <v>15</v>
      </c>
      <c r="B2362" t="s">
        <v>2078</v>
      </c>
      <c r="C2362">
        <v>15050</v>
      </c>
      <c r="D2362" t="str">
        <f>"0106-469X"</f>
        <v>0106-469X</v>
      </c>
      <c r="E2362" t="s">
        <v>8</v>
      </c>
      <c r="F2362" t="s">
        <v>2371</v>
      </c>
      <c r="G2362">
        <v>1</v>
      </c>
    </row>
    <row r="2363" spans="1:7" x14ac:dyDescent="0.25">
      <c r="A2363">
        <v>15</v>
      </c>
      <c r="B2363" t="s">
        <v>2078</v>
      </c>
      <c r="C2363">
        <v>86622</v>
      </c>
      <c r="D2363" t="str">
        <f>"1358-2496"</f>
        <v>1358-2496</v>
      </c>
      <c r="E2363" t="s">
        <v>8</v>
      </c>
      <c r="F2363" t="s">
        <v>2372</v>
      </c>
      <c r="G2363">
        <v>1</v>
      </c>
    </row>
    <row r="2364" spans="1:7" x14ac:dyDescent="0.25">
      <c r="A2364">
        <v>15</v>
      </c>
      <c r="B2364" t="s">
        <v>2078</v>
      </c>
      <c r="C2364">
        <v>3947</v>
      </c>
      <c r="D2364" t="str">
        <f>"1744-5787"</f>
        <v>1744-5787</v>
      </c>
      <c r="E2364" t="s">
        <v>15</v>
      </c>
      <c r="F2364" t="s">
        <v>2373</v>
      </c>
      <c r="G2364">
        <v>1</v>
      </c>
    </row>
    <row r="2365" spans="1:7" x14ac:dyDescent="0.25">
      <c r="A2365">
        <v>15</v>
      </c>
      <c r="B2365" t="s">
        <v>2078</v>
      </c>
      <c r="C2365">
        <v>23079</v>
      </c>
      <c r="D2365" t="str">
        <f>"1123-9891"</f>
        <v>1123-9891</v>
      </c>
      <c r="E2365" t="s">
        <v>15</v>
      </c>
      <c r="F2365" t="s">
        <v>2374</v>
      </c>
      <c r="G2365">
        <v>1</v>
      </c>
    </row>
    <row r="2366" spans="1:7" x14ac:dyDescent="0.25">
      <c r="A2366">
        <v>15</v>
      </c>
      <c r="B2366" t="s">
        <v>2078</v>
      </c>
      <c r="C2366">
        <v>9607</v>
      </c>
      <c r="D2366" t="str">
        <f>"0223-5102"</f>
        <v>0223-5102</v>
      </c>
      <c r="E2366" t="s">
        <v>15</v>
      </c>
      <c r="F2366" t="s">
        <v>2375</v>
      </c>
      <c r="G2366">
        <v>1</v>
      </c>
    </row>
    <row r="2367" spans="1:7" x14ac:dyDescent="0.25">
      <c r="A2367">
        <v>15</v>
      </c>
      <c r="B2367" t="s">
        <v>2078</v>
      </c>
      <c r="C2367">
        <v>21973</v>
      </c>
      <c r="D2367" t="str">
        <f>"1123-9883"</f>
        <v>1123-9883</v>
      </c>
      <c r="E2367" t="s">
        <v>15</v>
      </c>
      <c r="F2367" t="s">
        <v>2376</v>
      </c>
      <c r="G2367">
        <v>1</v>
      </c>
    </row>
    <row r="2368" spans="1:7" x14ac:dyDescent="0.25">
      <c r="A2368">
        <v>15</v>
      </c>
      <c r="B2368" t="s">
        <v>2078</v>
      </c>
      <c r="C2368">
        <v>58480</v>
      </c>
      <c r="D2368" t="str">
        <f>"0316-1854"</f>
        <v>0316-1854</v>
      </c>
      <c r="E2368" t="s">
        <v>15</v>
      </c>
      <c r="F2368" t="s">
        <v>2377</v>
      </c>
      <c r="G2368">
        <v>1</v>
      </c>
    </row>
    <row r="2369" spans="1:7" x14ac:dyDescent="0.25">
      <c r="A2369">
        <v>15</v>
      </c>
      <c r="B2369" t="s">
        <v>2078</v>
      </c>
      <c r="C2369">
        <v>61508</v>
      </c>
      <c r="D2369" t="str">
        <f>"0076-6615"</f>
        <v>0076-6615</v>
      </c>
      <c r="E2369" t="s">
        <v>8</v>
      </c>
      <c r="F2369" t="s">
        <v>2378</v>
      </c>
      <c r="G2369">
        <v>1</v>
      </c>
    </row>
    <row r="2370" spans="1:7" x14ac:dyDescent="0.25">
      <c r="A2370">
        <v>15</v>
      </c>
      <c r="B2370" t="s">
        <v>2078</v>
      </c>
      <c r="C2370">
        <v>151875</v>
      </c>
      <c r="D2370" t="str">
        <f>"0947-6229"</f>
        <v>0947-6229</v>
      </c>
      <c r="E2370" t="s">
        <v>8</v>
      </c>
      <c r="F2370" t="s">
        <v>2379</v>
      </c>
      <c r="G2370">
        <v>1</v>
      </c>
    </row>
    <row r="2371" spans="1:7" x14ac:dyDescent="0.25">
      <c r="A2371">
        <v>15</v>
      </c>
      <c r="B2371" t="s">
        <v>2078</v>
      </c>
      <c r="C2371">
        <v>39329</v>
      </c>
      <c r="D2371" t="str">
        <f>"1867-0318"</f>
        <v>1867-0318</v>
      </c>
      <c r="E2371" t="s">
        <v>8</v>
      </c>
      <c r="F2371" t="s">
        <v>2380</v>
      </c>
      <c r="G2371">
        <v>1</v>
      </c>
    </row>
    <row r="2372" spans="1:7" x14ac:dyDescent="0.25">
      <c r="A2372">
        <v>15</v>
      </c>
      <c r="B2372" t="s">
        <v>2078</v>
      </c>
      <c r="C2372">
        <v>87155</v>
      </c>
      <c r="D2372" t="str">
        <f>"1862-1139"</f>
        <v>1862-1139</v>
      </c>
      <c r="E2372" t="s">
        <v>15</v>
      </c>
      <c r="F2372" t="s">
        <v>2381</v>
      </c>
      <c r="G2372">
        <v>1</v>
      </c>
    </row>
    <row r="2373" spans="1:7" x14ac:dyDescent="0.25">
      <c r="A2373">
        <v>15</v>
      </c>
      <c r="B2373" t="s">
        <v>2078</v>
      </c>
      <c r="C2373">
        <v>6637</v>
      </c>
      <c r="D2373" t="str">
        <f>"0342-1279"</f>
        <v>0342-1279</v>
      </c>
      <c r="E2373" t="s">
        <v>15</v>
      </c>
      <c r="F2373" t="s">
        <v>2382</v>
      </c>
      <c r="G2373">
        <v>1</v>
      </c>
    </row>
    <row r="2374" spans="1:7" x14ac:dyDescent="0.25">
      <c r="A2374">
        <v>15</v>
      </c>
      <c r="B2374" t="s">
        <v>2078</v>
      </c>
      <c r="C2374">
        <v>13085</v>
      </c>
      <c r="D2374" t="str">
        <f>"0342-1295"</f>
        <v>0342-1295</v>
      </c>
      <c r="E2374" t="s">
        <v>15</v>
      </c>
      <c r="F2374" t="s">
        <v>2383</v>
      </c>
      <c r="G2374">
        <v>1</v>
      </c>
    </row>
    <row r="2375" spans="1:7" x14ac:dyDescent="0.25">
      <c r="A2375">
        <v>15</v>
      </c>
      <c r="B2375" t="s">
        <v>2078</v>
      </c>
      <c r="C2375">
        <v>873</v>
      </c>
      <c r="D2375" t="str">
        <f>"0342-1287"</f>
        <v>0342-1287</v>
      </c>
      <c r="E2375" t="s">
        <v>15</v>
      </c>
      <c r="F2375" t="s">
        <v>2384</v>
      </c>
      <c r="G2375">
        <v>1</v>
      </c>
    </row>
    <row r="2376" spans="1:7" x14ac:dyDescent="0.25">
      <c r="A2376">
        <v>15</v>
      </c>
      <c r="B2376" t="s">
        <v>2078</v>
      </c>
      <c r="C2376">
        <v>8783635</v>
      </c>
      <c r="E2376" t="s">
        <v>15</v>
      </c>
      <c r="F2376" t="s">
        <v>2385</v>
      </c>
      <c r="G2376">
        <v>1</v>
      </c>
    </row>
    <row r="2377" spans="1:7" x14ac:dyDescent="0.25">
      <c r="A2377">
        <v>15</v>
      </c>
      <c r="B2377" t="s">
        <v>2078</v>
      </c>
      <c r="C2377">
        <v>42162</v>
      </c>
      <c r="D2377" t="str">
        <f>"0989-5671"</f>
        <v>0989-5671</v>
      </c>
      <c r="E2377" t="s">
        <v>8</v>
      </c>
      <c r="F2377" t="s">
        <v>2386</v>
      </c>
      <c r="G2377">
        <v>1</v>
      </c>
    </row>
    <row r="2378" spans="1:7" x14ac:dyDescent="0.25">
      <c r="A2378">
        <v>15</v>
      </c>
      <c r="B2378" t="s">
        <v>2078</v>
      </c>
      <c r="C2378">
        <v>139146</v>
      </c>
      <c r="D2378" t="str">
        <f>"0342-1406"</f>
        <v>0342-1406</v>
      </c>
      <c r="E2378" t="s">
        <v>15</v>
      </c>
      <c r="F2378" t="s">
        <v>2387</v>
      </c>
      <c r="G2378">
        <v>1</v>
      </c>
    </row>
    <row r="2379" spans="1:7" x14ac:dyDescent="0.25">
      <c r="A2379">
        <v>15</v>
      </c>
      <c r="B2379" t="s">
        <v>2078</v>
      </c>
      <c r="C2379">
        <v>54758</v>
      </c>
      <c r="D2379" t="str">
        <f>"0084-9308"</f>
        <v>0084-9308</v>
      </c>
      <c r="E2379" t="s">
        <v>8</v>
      </c>
      <c r="F2379" t="s">
        <v>2388</v>
      </c>
      <c r="G2379">
        <v>1</v>
      </c>
    </row>
    <row r="2380" spans="1:7" x14ac:dyDescent="0.25">
      <c r="A2380">
        <v>15</v>
      </c>
      <c r="B2380" t="s">
        <v>2078</v>
      </c>
      <c r="C2380">
        <v>13782</v>
      </c>
      <c r="D2380" t="str">
        <f>"0077-6297"</f>
        <v>0077-6297</v>
      </c>
      <c r="E2380" t="s">
        <v>8</v>
      </c>
      <c r="F2380" t="s">
        <v>2389</v>
      </c>
      <c r="G2380">
        <v>1</v>
      </c>
    </row>
    <row r="2381" spans="1:7" x14ac:dyDescent="0.25">
      <c r="A2381">
        <v>15</v>
      </c>
      <c r="B2381" t="s">
        <v>2078</v>
      </c>
      <c r="C2381">
        <v>9964</v>
      </c>
      <c r="D2381" t="str">
        <f>"1094-2076"</f>
        <v>1094-2076</v>
      </c>
      <c r="E2381" t="s">
        <v>8</v>
      </c>
      <c r="F2381" t="s">
        <v>2390</v>
      </c>
      <c r="G2381">
        <v>1</v>
      </c>
    </row>
    <row r="2382" spans="1:7" x14ac:dyDescent="0.25">
      <c r="A2382">
        <v>15</v>
      </c>
      <c r="B2382" t="s">
        <v>2078</v>
      </c>
      <c r="C2382">
        <v>3667</v>
      </c>
      <c r="D2382" t="str">
        <f>"0105-578X"</f>
        <v>0105-578X</v>
      </c>
      <c r="E2382" t="s">
        <v>8</v>
      </c>
      <c r="F2382" t="s">
        <v>2391</v>
      </c>
      <c r="G2382">
        <v>1</v>
      </c>
    </row>
    <row r="2383" spans="1:7" x14ac:dyDescent="0.25">
      <c r="A2383">
        <v>15</v>
      </c>
      <c r="B2383" t="s">
        <v>2078</v>
      </c>
      <c r="C2383">
        <v>1628</v>
      </c>
      <c r="D2383" t="str">
        <f>"0197-6931"</f>
        <v>0197-6931</v>
      </c>
      <c r="E2383" t="s">
        <v>8</v>
      </c>
      <c r="F2383" t="s">
        <v>2392</v>
      </c>
      <c r="G2383">
        <v>1</v>
      </c>
    </row>
    <row r="2384" spans="1:7" x14ac:dyDescent="0.25">
      <c r="A2384">
        <v>15</v>
      </c>
      <c r="B2384" t="s">
        <v>2078</v>
      </c>
      <c r="C2384">
        <v>136339</v>
      </c>
      <c r="D2384" t="str">
        <f>"0774-3327"</f>
        <v>0774-3327</v>
      </c>
      <c r="E2384" t="s">
        <v>8</v>
      </c>
      <c r="F2384" t="s">
        <v>2393</v>
      </c>
      <c r="G2384">
        <v>1</v>
      </c>
    </row>
    <row r="2385" spans="1:7" x14ac:dyDescent="0.25">
      <c r="A2385">
        <v>15</v>
      </c>
      <c r="B2385" t="s">
        <v>2078</v>
      </c>
      <c r="C2385">
        <v>71758</v>
      </c>
      <c r="D2385" t="str">
        <f>"0078-2122"</f>
        <v>0078-2122</v>
      </c>
      <c r="E2385" t="s">
        <v>8</v>
      </c>
      <c r="F2385" t="s">
        <v>2394</v>
      </c>
      <c r="G2385">
        <v>1</v>
      </c>
    </row>
    <row r="2386" spans="1:7" x14ac:dyDescent="0.25">
      <c r="A2386">
        <v>15</v>
      </c>
      <c r="B2386" t="s">
        <v>2078</v>
      </c>
      <c r="C2386">
        <v>27533</v>
      </c>
      <c r="D2386" t="str">
        <f>"0078-2696"</f>
        <v>0078-2696</v>
      </c>
      <c r="E2386" t="s">
        <v>8</v>
      </c>
      <c r="F2386" t="s">
        <v>2395</v>
      </c>
      <c r="G2386">
        <v>1</v>
      </c>
    </row>
    <row r="2387" spans="1:7" x14ac:dyDescent="0.25">
      <c r="A2387">
        <v>15</v>
      </c>
      <c r="B2387" t="s">
        <v>2078</v>
      </c>
      <c r="C2387">
        <v>613</v>
      </c>
      <c r="D2387" t="str">
        <f>"0581-9741"</f>
        <v>0581-9741</v>
      </c>
      <c r="E2387" t="s">
        <v>8</v>
      </c>
      <c r="F2387" t="s">
        <v>2396</v>
      </c>
      <c r="G2387">
        <v>1</v>
      </c>
    </row>
    <row r="2388" spans="1:7" x14ac:dyDescent="0.25">
      <c r="A2388">
        <v>15</v>
      </c>
      <c r="B2388" t="s">
        <v>2078</v>
      </c>
      <c r="C2388">
        <v>8767987</v>
      </c>
      <c r="E2388" t="s">
        <v>8</v>
      </c>
      <c r="F2388" t="s">
        <v>2397</v>
      </c>
      <c r="G2388">
        <v>1</v>
      </c>
    </row>
    <row r="2389" spans="1:7" x14ac:dyDescent="0.25">
      <c r="A2389">
        <v>15</v>
      </c>
      <c r="B2389" t="s">
        <v>2078</v>
      </c>
      <c r="C2389">
        <v>7721579</v>
      </c>
      <c r="D2389" t="str">
        <f>"2000-0898"</f>
        <v>2000-0898</v>
      </c>
      <c r="E2389" t="s">
        <v>8</v>
      </c>
      <c r="F2389" t="s">
        <v>2398</v>
      </c>
      <c r="G2389">
        <v>1</v>
      </c>
    </row>
    <row r="2390" spans="1:7" x14ac:dyDescent="0.25">
      <c r="A2390">
        <v>15</v>
      </c>
      <c r="B2390" t="s">
        <v>2078</v>
      </c>
      <c r="C2390">
        <v>141678</v>
      </c>
      <c r="D2390" t="str">
        <f>"0474-6805"</f>
        <v>0474-6805</v>
      </c>
      <c r="E2390" t="s">
        <v>8</v>
      </c>
      <c r="F2390" t="s">
        <v>2399</v>
      </c>
      <c r="G2390">
        <v>1</v>
      </c>
    </row>
    <row r="2391" spans="1:7" x14ac:dyDescent="0.25">
      <c r="A2391">
        <v>15</v>
      </c>
      <c r="B2391" t="s">
        <v>2078</v>
      </c>
      <c r="C2391">
        <v>6661</v>
      </c>
      <c r="D2391" t="str">
        <f>"0257-8727"</f>
        <v>0257-8727</v>
      </c>
      <c r="E2391" t="s">
        <v>15</v>
      </c>
      <c r="F2391" t="s">
        <v>2400</v>
      </c>
      <c r="G2391">
        <v>1</v>
      </c>
    </row>
    <row r="2392" spans="1:7" x14ac:dyDescent="0.25">
      <c r="A2392">
        <v>15</v>
      </c>
      <c r="B2392" t="s">
        <v>2078</v>
      </c>
      <c r="C2392">
        <v>44064</v>
      </c>
      <c r="D2392" t="str">
        <f>"0920-7422"</f>
        <v>0920-7422</v>
      </c>
      <c r="E2392" t="s">
        <v>15</v>
      </c>
      <c r="F2392" t="s">
        <v>2401</v>
      </c>
      <c r="G2392">
        <v>1</v>
      </c>
    </row>
    <row r="2393" spans="1:7" x14ac:dyDescent="0.25">
      <c r="A2393">
        <v>15</v>
      </c>
      <c r="B2393" t="s">
        <v>2078</v>
      </c>
      <c r="C2393">
        <v>120592</v>
      </c>
      <c r="D2393" t="str">
        <f>"1145-3370"</f>
        <v>1145-3370</v>
      </c>
      <c r="E2393" t="s">
        <v>8</v>
      </c>
      <c r="F2393" t="s">
        <v>2402</v>
      </c>
      <c r="G2393">
        <v>1</v>
      </c>
    </row>
    <row r="2394" spans="1:7" x14ac:dyDescent="0.25">
      <c r="A2394">
        <v>15</v>
      </c>
      <c r="B2394" t="s">
        <v>2078</v>
      </c>
      <c r="C2394">
        <v>22480</v>
      </c>
      <c r="D2394" t="str">
        <f>"0153-9345"</f>
        <v>0153-9345</v>
      </c>
      <c r="E2394" t="s">
        <v>8</v>
      </c>
      <c r="F2394" t="s">
        <v>2403</v>
      </c>
      <c r="G2394">
        <v>1</v>
      </c>
    </row>
    <row r="2395" spans="1:7" x14ac:dyDescent="0.25">
      <c r="A2395">
        <v>15</v>
      </c>
      <c r="B2395" t="s">
        <v>2078</v>
      </c>
      <c r="C2395">
        <v>1</v>
      </c>
      <c r="D2395" t="str">
        <f>"0031-0328"</f>
        <v>0031-0328</v>
      </c>
      <c r="E2395" t="s">
        <v>8</v>
      </c>
      <c r="F2395" t="s">
        <v>2404</v>
      </c>
      <c r="G2395">
        <v>1</v>
      </c>
    </row>
    <row r="2396" spans="1:7" x14ac:dyDescent="0.25">
      <c r="A2396">
        <v>15</v>
      </c>
      <c r="B2396" t="s">
        <v>2078</v>
      </c>
      <c r="C2396">
        <v>27422</v>
      </c>
      <c r="D2396" t="str">
        <f>"0031-0506"</f>
        <v>0031-0506</v>
      </c>
      <c r="E2396" t="s">
        <v>8</v>
      </c>
      <c r="F2396" t="s">
        <v>2405</v>
      </c>
      <c r="G2396">
        <v>1</v>
      </c>
    </row>
    <row r="2397" spans="1:7" x14ac:dyDescent="0.25">
      <c r="A2397">
        <v>15</v>
      </c>
      <c r="B2397" t="s">
        <v>2078</v>
      </c>
      <c r="C2397">
        <v>7994</v>
      </c>
      <c r="D2397" t="str">
        <f>"1105-4204"</f>
        <v>1105-4204</v>
      </c>
      <c r="E2397" t="s">
        <v>15</v>
      </c>
      <c r="F2397" t="s">
        <v>2406</v>
      </c>
      <c r="G2397">
        <v>1</v>
      </c>
    </row>
    <row r="2398" spans="1:7" x14ac:dyDescent="0.25">
      <c r="A2398">
        <v>15</v>
      </c>
      <c r="B2398" t="s">
        <v>2078</v>
      </c>
      <c r="C2398">
        <v>151910</v>
      </c>
      <c r="D2398" t="str">
        <f>"2034-3191"</f>
        <v>2034-3191</v>
      </c>
      <c r="E2398" t="s">
        <v>8</v>
      </c>
      <c r="F2398" t="s">
        <v>2407</v>
      </c>
      <c r="G2398">
        <v>1</v>
      </c>
    </row>
    <row r="2399" spans="1:7" x14ac:dyDescent="0.25">
      <c r="A2399">
        <v>15</v>
      </c>
      <c r="B2399" t="s">
        <v>2078</v>
      </c>
      <c r="C2399">
        <v>8783636</v>
      </c>
      <c r="E2399" t="s">
        <v>15</v>
      </c>
      <c r="F2399" t="s">
        <v>2408</v>
      </c>
      <c r="G2399">
        <v>1</v>
      </c>
    </row>
    <row r="2400" spans="1:7" x14ac:dyDescent="0.25">
      <c r="A2400">
        <v>15</v>
      </c>
      <c r="B2400" t="s">
        <v>2078</v>
      </c>
      <c r="C2400">
        <v>108304</v>
      </c>
      <c r="D2400" t="str">
        <f>"1234-5415"</f>
        <v>1234-5415</v>
      </c>
      <c r="E2400" t="s">
        <v>8</v>
      </c>
      <c r="F2400" t="s">
        <v>2409</v>
      </c>
      <c r="G2400">
        <v>1</v>
      </c>
    </row>
    <row r="2401" spans="1:7" x14ac:dyDescent="0.25">
      <c r="A2401">
        <v>15</v>
      </c>
      <c r="B2401" t="s">
        <v>2078</v>
      </c>
      <c r="C2401">
        <v>151885</v>
      </c>
      <c r="D2401" t="str">
        <f>"0871-4290"</f>
        <v>0871-4290</v>
      </c>
      <c r="E2401" t="s">
        <v>8</v>
      </c>
      <c r="F2401" t="s">
        <v>2410</v>
      </c>
      <c r="G2401">
        <v>1</v>
      </c>
    </row>
    <row r="2402" spans="1:7" x14ac:dyDescent="0.25">
      <c r="A2402">
        <v>15</v>
      </c>
      <c r="B2402" t="s">
        <v>2078</v>
      </c>
      <c r="C2402">
        <v>40827</v>
      </c>
      <c r="D2402" t="str">
        <f>"0458-1520"</f>
        <v>0458-1520</v>
      </c>
      <c r="E2402" t="s">
        <v>8</v>
      </c>
      <c r="F2402" t="s">
        <v>2411</v>
      </c>
      <c r="G2402">
        <v>1</v>
      </c>
    </row>
    <row r="2403" spans="1:7" x14ac:dyDescent="0.25">
      <c r="A2403">
        <v>15</v>
      </c>
      <c r="B2403" t="s">
        <v>2078</v>
      </c>
      <c r="C2403">
        <v>50650</v>
      </c>
      <c r="D2403" t="str">
        <f>"1105-0969"</f>
        <v>1105-0969</v>
      </c>
      <c r="E2403" t="s">
        <v>8</v>
      </c>
      <c r="F2403" t="s">
        <v>2412</v>
      </c>
      <c r="G2403">
        <v>1</v>
      </c>
    </row>
    <row r="2404" spans="1:7" x14ac:dyDescent="0.25">
      <c r="A2404">
        <v>15</v>
      </c>
      <c r="B2404" t="s">
        <v>2078</v>
      </c>
      <c r="C2404">
        <v>137458</v>
      </c>
      <c r="D2404" t="str">
        <f>"2118-8211"</f>
        <v>2118-8211</v>
      </c>
      <c r="E2404" t="s">
        <v>8</v>
      </c>
      <c r="F2404" t="s">
        <v>2413</v>
      </c>
      <c r="G2404">
        <v>1</v>
      </c>
    </row>
    <row r="2405" spans="1:7" x14ac:dyDescent="0.25">
      <c r="A2405">
        <v>15</v>
      </c>
      <c r="B2405" t="s">
        <v>2078</v>
      </c>
      <c r="C2405">
        <v>27375</v>
      </c>
      <c r="D2405" t="str">
        <f>"0393-0157"</f>
        <v>0393-0157</v>
      </c>
      <c r="E2405" t="s">
        <v>8</v>
      </c>
      <c r="F2405" t="s">
        <v>2414</v>
      </c>
      <c r="G2405">
        <v>1</v>
      </c>
    </row>
    <row r="2406" spans="1:7" x14ac:dyDescent="0.25">
      <c r="A2406">
        <v>15</v>
      </c>
      <c r="B2406" t="s">
        <v>2078</v>
      </c>
      <c r="C2406">
        <v>1084</v>
      </c>
      <c r="D2406" t="str">
        <f>"1501-0430"</f>
        <v>1501-0430</v>
      </c>
      <c r="E2406" t="s">
        <v>8</v>
      </c>
      <c r="F2406" t="s">
        <v>2415</v>
      </c>
      <c r="G2406">
        <v>1</v>
      </c>
    </row>
    <row r="2407" spans="1:7" x14ac:dyDescent="0.25">
      <c r="A2407">
        <v>15</v>
      </c>
      <c r="B2407" t="s">
        <v>2078</v>
      </c>
      <c r="C2407">
        <v>70576</v>
      </c>
      <c r="D2407" t="str">
        <f>"1108-149X"</f>
        <v>1108-149X</v>
      </c>
      <c r="E2407" t="s">
        <v>8</v>
      </c>
      <c r="F2407" t="s">
        <v>2416</v>
      </c>
      <c r="G2407">
        <v>1</v>
      </c>
    </row>
    <row r="2408" spans="1:7" x14ac:dyDescent="0.25">
      <c r="A2408">
        <v>15</v>
      </c>
      <c r="B2408" t="s">
        <v>2078</v>
      </c>
      <c r="C2408">
        <v>7373</v>
      </c>
      <c r="D2408" t="str">
        <f>"0308-8421"</f>
        <v>0308-8421</v>
      </c>
      <c r="E2408" t="s">
        <v>8</v>
      </c>
      <c r="F2408" t="s">
        <v>2417</v>
      </c>
      <c r="G2408">
        <v>1</v>
      </c>
    </row>
    <row r="2409" spans="1:7" x14ac:dyDescent="0.25">
      <c r="A2409">
        <v>15</v>
      </c>
      <c r="B2409" t="s">
        <v>2078</v>
      </c>
      <c r="C2409">
        <v>8444</v>
      </c>
      <c r="D2409" t="str">
        <f>"0081-1564"</f>
        <v>0081-1564</v>
      </c>
      <c r="E2409" t="s">
        <v>8</v>
      </c>
      <c r="F2409" t="s">
        <v>2418</v>
      </c>
      <c r="G2409">
        <v>1</v>
      </c>
    </row>
    <row r="2410" spans="1:7" x14ac:dyDescent="0.25">
      <c r="A2410">
        <v>15</v>
      </c>
      <c r="B2410" t="s">
        <v>2078</v>
      </c>
      <c r="C2410">
        <v>151893</v>
      </c>
      <c r="E2410" t="s">
        <v>8</v>
      </c>
      <c r="F2410" t="s">
        <v>2419</v>
      </c>
      <c r="G2410">
        <v>1</v>
      </c>
    </row>
    <row r="2411" spans="1:7" x14ac:dyDescent="0.25">
      <c r="A2411">
        <v>15</v>
      </c>
      <c r="B2411" t="s">
        <v>2078</v>
      </c>
      <c r="C2411">
        <v>52326</v>
      </c>
      <c r="D2411" t="str">
        <f>"0079-7138"</f>
        <v>0079-7138</v>
      </c>
      <c r="E2411" t="s">
        <v>8</v>
      </c>
      <c r="F2411" t="s">
        <v>2420</v>
      </c>
      <c r="G2411">
        <v>1</v>
      </c>
    </row>
    <row r="2412" spans="1:7" x14ac:dyDescent="0.25">
      <c r="A2412">
        <v>15</v>
      </c>
      <c r="B2412" t="s">
        <v>2078</v>
      </c>
      <c r="C2412">
        <v>1468</v>
      </c>
      <c r="D2412" t="str">
        <f>"1465-5187"</f>
        <v>1465-5187</v>
      </c>
      <c r="E2412" t="s">
        <v>8</v>
      </c>
      <c r="F2412" t="s">
        <v>2421</v>
      </c>
      <c r="G2412">
        <v>1</v>
      </c>
    </row>
    <row r="2413" spans="1:7" x14ac:dyDescent="0.25">
      <c r="A2413">
        <v>15</v>
      </c>
      <c r="B2413" t="s">
        <v>2078</v>
      </c>
      <c r="C2413">
        <v>4335</v>
      </c>
      <c r="D2413" t="str">
        <f>"0909-9506"</f>
        <v>0909-9506</v>
      </c>
      <c r="E2413" t="s">
        <v>8</v>
      </c>
      <c r="F2413" t="s">
        <v>2422</v>
      </c>
      <c r="G2413">
        <v>1</v>
      </c>
    </row>
    <row r="2414" spans="1:7" x14ac:dyDescent="0.25">
      <c r="A2414">
        <v>15</v>
      </c>
      <c r="B2414" t="s">
        <v>2078</v>
      </c>
      <c r="C2414">
        <v>149220</v>
      </c>
      <c r="D2414" t="str">
        <f>"0333-5844"</f>
        <v>0333-5844</v>
      </c>
      <c r="E2414" t="s">
        <v>15</v>
      </c>
      <c r="F2414" t="s">
        <v>2423</v>
      </c>
      <c r="G2414">
        <v>1</v>
      </c>
    </row>
    <row r="2415" spans="1:7" x14ac:dyDescent="0.25">
      <c r="A2415">
        <v>15</v>
      </c>
      <c r="B2415" t="s">
        <v>2078</v>
      </c>
      <c r="C2415">
        <v>27329</v>
      </c>
      <c r="D2415" t="str">
        <f>"0375-7471"</f>
        <v>0375-7471</v>
      </c>
      <c r="E2415" t="s">
        <v>8</v>
      </c>
      <c r="F2415" t="s">
        <v>2424</v>
      </c>
      <c r="G2415">
        <v>1</v>
      </c>
    </row>
    <row r="2416" spans="1:7" x14ac:dyDescent="0.25">
      <c r="A2416">
        <v>15</v>
      </c>
      <c r="B2416" t="s">
        <v>2078</v>
      </c>
      <c r="C2416">
        <v>931</v>
      </c>
      <c r="D2416" t="str">
        <f>"0034-5806"</f>
        <v>0034-5806</v>
      </c>
      <c r="E2416" t="s">
        <v>8</v>
      </c>
      <c r="F2416" t="s">
        <v>2425</v>
      </c>
      <c r="G2416">
        <v>1</v>
      </c>
    </row>
    <row r="2417" spans="1:7" x14ac:dyDescent="0.25">
      <c r="A2417">
        <v>15</v>
      </c>
      <c r="B2417" t="s">
        <v>2078</v>
      </c>
      <c r="C2417">
        <v>53774</v>
      </c>
      <c r="D2417" t="str">
        <f>"1864-7251"</f>
        <v>1864-7251</v>
      </c>
      <c r="E2417" t="s">
        <v>8</v>
      </c>
      <c r="F2417" t="s">
        <v>2426</v>
      </c>
      <c r="G2417">
        <v>1</v>
      </c>
    </row>
    <row r="2418" spans="1:7" x14ac:dyDescent="0.25">
      <c r="A2418">
        <v>15</v>
      </c>
      <c r="B2418" t="s">
        <v>2078</v>
      </c>
      <c r="C2418">
        <v>1651</v>
      </c>
      <c r="D2418" t="str">
        <f>"0035-0737"</f>
        <v>0035-0737</v>
      </c>
      <c r="E2418" t="s">
        <v>8</v>
      </c>
      <c r="F2418" t="s">
        <v>2427</v>
      </c>
      <c r="G2418">
        <v>1</v>
      </c>
    </row>
    <row r="2419" spans="1:7" x14ac:dyDescent="0.25">
      <c r="A2419">
        <v>15</v>
      </c>
      <c r="B2419" t="s">
        <v>2078</v>
      </c>
      <c r="C2419">
        <v>18418</v>
      </c>
      <c r="D2419" t="str">
        <f>"0373-6032"</f>
        <v>0373-6032</v>
      </c>
      <c r="E2419" t="s">
        <v>8</v>
      </c>
      <c r="F2419" t="s">
        <v>2428</v>
      </c>
      <c r="G2419">
        <v>1</v>
      </c>
    </row>
    <row r="2420" spans="1:7" x14ac:dyDescent="0.25">
      <c r="A2420">
        <v>15</v>
      </c>
      <c r="B2420" t="s">
        <v>2078</v>
      </c>
      <c r="C2420">
        <v>11869</v>
      </c>
      <c r="D2420" t="str">
        <f>"0035-1849"</f>
        <v>0035-1849</v>
      </c>
      <c r="E2420" t="s">
        <v>8</v>
      </c>
      <c r="F2420" t="s">
        <v>2429</v>
      </c>
      <c r="G2420">
        <v>1</v>
      </c>
    </row>
    <row r="2421" spans="1:7" x14ac:dyDescent="0.25">
      <c r="A2421">
        <v>15</v>
      </c>
      <c r="B2421" t="s">
        <v>2078</v>
      </c>
      <c r="C2421">
        <v>206</v>
      </c>
      <c r="D2421" t="str">
        <f>"0484-8942"</f>
        <v>0484-8942</v>
      </c>
      <c r="E2421" t="s">
        <v>8</v>
      </c>
      <c r="F2421" t="s">
        <v>2430</v>
      </c>
      <c r="G2421">
        <v>1</v>
      </c>
    </row>
    <row r="2422" spans="1:7" x14ac:dyDescent="0.25">
      <c r="A2422">
        <v>15</v>
      </c>
      <c r="B2422" t="s">
        <v>2078</v>
      </c>
      <c r="C2422">
        <v>8783637</v>
      </c>
      <c r="D2422" t="str">
        <f>"1862-4812  "</f>
        <v xml:space="preserve">1862-4812  </v>
      </c>
      <c r="E2422" t="s">
        <v>15</v>
      </c>
      <c r="F2422" t="s">
        <v>2431</v>
      </c>
      <c r="G2422">
        <v>1</v>
      </c>
    </row>
    <row r="2423" spans="1:7" x14ac:dyDescent="0.25">
      <c r="A2423">
        <v>15</v>
      </c>
      <c r="B2423" t="s">
        <v>2078</v>
      </c>
      <c r="C2423">
        <v>138940</v>
      </c>
      <c r="D2423" t="str">
        <f>"1102-187X"</f>
        <v>1102-187X</v>
      </c>
      <c r="E2423" t="s">
        <v>15</v>
      </c>
      <c r="F2423" t="s">
        <v>2432</v>
      </c>
      <c r="G2423">
        <v>1</v>
      </c>
    </row>
    <row r="2424" spans="1:7" x14ac:dyDescent="0.25">
      <c r="A2424">
        <v>15</v>
      </c>
      <c r="B2424" t="s">
        <v>2078</v>
      </c>
      <c r="C2424">
        <v>15198</v>
      </c>
      <c r="D2424" t="str">
        <f>"0392-0895"</f>
        <v>0392-0895</v>
      </c>
      <c r="E2424" t="s">
        <v>15</v>
      </c>
      <c r="F2424" t="s">
        <v>2433</v>
      </c>
      <c r="G2424">
        <v>1</v>
      </c>
    </row>
    <row r="2425" spans="1:7" x14ac:dyDescent="0.25">
      <c r="A2425">
        <v>15</v>
      </c>
      <c r="B2425" t="s">
        <v>2078</v>
      </c>
      <c r="C2425">
        <v>92765</v>
      </c>
      <c r="D2425" t="str">
        <f>"0035-6042"</f>
        <v>0035-6042</v>
      </c>
      <c r="E2425" t="s">
        <v>8</v>
      </c>
      <c r="F2425" t="s">
        <v>2434</v>
      </c>
      <c r="G2425">
        <v>1</v>
      </c>
    </row>
    <row r="2426" spans="1:7" x14ac:dyDescent="0.25">
      <c r="A2426">
        <v>15</v>
      </c>
      <c r="B2426" t="s">
        <v>2078</v>
      </c>
      <c r="C2426">
        <v>133415</v>
      </c>
      <c r="D2426" t="str">
        <f>"0035-6514"</f>
        <v>0035-6514</v>
      </c>
      <c r="E2426" t="s">
        <v>8</v>
      </c>
      <c r="F2426" t="s">
        <v>2435</v>
      </c>
      <c r="G2426">
        <v>1</v>
      </c>
    </row>
    <row r="2427" spans="1:7" x14ac:dyDescent="0.25">
      <c r="A2427">
        <v>15</v>
      </c>
      <c r="B2427" t="s">
        <v>2078</v>
      </c>
      <c r="C2427">
        <v>941</v>
      </c>
      <c r="D2427" t="str">
        <f>"1120-3579"</f>
        <v>1120-3579</v>
      </c>
      <c r="E2427" t="s">
        <v>8</v>
      </c>
      <c r="F2427" t="s">
        <v>2436</v>
      </c>
      <c r="G2427">
        <v>1</v>
      </c>
    </row>
    <row r="2428" spans="1:7" x14ac:dyDescent="0.25">
      <c r="A2428">
        <v>15</v>
      </c>
      <c r="B2428" t="s">
        <v>2078</v>
      </c>
      <c r="C2428">
        <v>7907</v>
      </c>
      <c r="D2428" t="str">
        <f>"0813-0426"</f>
        <v>0813-0426</v>
      </c>
      <c r="E2428" t="s">
        <v>8</v>
      </c>
      <c r="F2428" t="s">
        <v>2437</v>
      </c>
      <c r="G2428">
        <v>1</v>
      </c>
    </row>
    <row r="2429" spans="1:7" x14ac:dyDescent="0.25">
      <c r="A2429">
        <v>15</v>
      </c>
      <c r="B2429" t="s">
        <v>2078</v>
      </c>
      <c r="C2429">
        <v>51694</v>
      </c>
      <c r="D2429" t="str">
        <f>"0869-6063"</f>
        <v>0869-6063</v>
      </c>
      <c r="E2429" t="s">
        <v>8</v>
      </c>
      <c r="F2429" t="s">
        <v>2438</v>
      </c>
      <c r="G2429">
        <v>1</v>
      </c>
    </row>
    <row r="2430" spans="1:7" x14ac:dyDescent="0.25">
      <c r="A2430">
        <v>15</v>
      </c>
      <c r="B2430" t="s">
        <v>2078</v>
      </c>
      <c r="C2430">
        <v>8783638</v>
      </c>
      <c r="E2430" t="s">
        <v>15</v>
      </c>
      <c r="F2430" t="s">
        <v>2439</v>
      </c>
      <c r="G2430">
        <v>1</v>
      </c>
    </row>
    <row r="2431" spans="1:7" x14ac:dyDescent="0.25">
      <c r="A2431">
        <v>15</v>
      </c>
      <c r="B2431" t="s">
        <v>2078</v>
      </c>
      <c r="C2431">
        <v>151919</v>
      </c>
      <c r="D2431" t="str">
        <f>"0327-9596"</f>
        <v>0327-9596</v>
      </c>
      <c r="E2431" t="s">
        <v>8</v>
      </c>
      <c r="F2431" t="s">
        <v>2440</v>
      </c>
      <c r="G2431">
        <v>1</v>
      </c>
    </row>
    <row r="2432" spans="1:7" x14ac:dyDescent="0.25">
      <c r="A2432">
        <v>15</v>
      </c>
      <c r="B2432" t="s">
        <v>2078</v>
      </c>
      <c r="C2432">
        <v>24002</v>
      </c>
      <c r="D2432" t="str">
        <f>"1471-5767"</f>
        <v>1471-5767</v>
      </c>
      <c r="E2432" t="s">
        <v>8</v>
      </c>
      <c r="F2432" t="s">
        <v>2441</v>
      </c>
      <c r="G2432">
        <v>1</v>
      </c>
    </row>
    <row r="2433" spans="1:7" x14ac:dyDescent="0.25">
      <c r="A2433">
        <v>15</v>
      </c>
      <c r="B2433" t="s">
        <v>2078</v>
      </c>
      <c r="C2433">
        <v>19158</v>
      </c>
      <c r="D2433" t="str">
        <f>"0373-630X"</f>
        <v>0373-630X</v>
      </c>
      <c r="E2433" t="s">
        <v>15</v>
      </c>
      <c r="F2433" t="s">
        <v>2442</v>
      </c>
      <c r="G2433">
        <v>1</v>
      </c>
    </row>
    <row r="2434" spans="1:7" x14ac:dyDescent="0.25">
      <c r="A2434">
        <v>15</v>
      </c>
      <c r="B2434" t="s">
        <v>2078</v>
      </c>
      <c r="C2434">
        <v>180180</v>
      </c>
      <c r="D2434" t="str">
        <f>"0901-778X"</f>
        <v>0901-778X</v>
      </c>
      <c r="E2434" t="s">
        <v>15</v>
      </c>
      <c r="F2434" t="s">
        <v>2443</v>
      </c>
      <c r="G2434">
        <v>1</v>
      </c>
    </row>
    <row r="2435" spans="1:7" x14ac:dyDescent="0.25">
      <c r="A2435">
        <v>15</v>
      </c>
      <c r="B2435" t="s">
        <v>2078</v>
      </c>
      <c r="C2435">
        <v>63865</v>
      </c>
      <c r="D2435" t="str">
        <f>"0037-4571"</f>
        <v>0037-4571</v>
      </c>
      <c r="E2435" t="s">
        <v>8</v>
      </c>
      <c r="F2435" t="s">
        <v>2444</v>
      </c>
      <c r="G2435">
        <v>1</v>
      </c>
    </row>
    <row r="2436" spans="1:7" x14ac:dyDescent="0.25">
      <c r="A2436">
        <v>15</v>
      </c>
      <c r="B2436" t="s">
        <v>2078</v>
      </c>
      <c r="C2436">
        <v>89296</v>
      </c>
      <c r="D2436" t="str">
        <f>"0080-9594"</f>
        <v>0080-9594</v>
      </c>
      <c r="E2436" t="s">
        <v>8</v>
      </c>
      <c r="F2436" t="s">
        <v>2445</v>
      </c>
      <c r="G2436">
        <v>1</v>
      </c>
    </row>
    <row r="2437" spans="1:7" x14ac:dyDescent="0.25">
      <c r="A2437">
        <v>15</v>
      </c>
      <c r="B2437" t="s">
        <v>2078</v>
      </c>
      <c r="C2437">
        <v>112876</v>
      </c>
      <c r="D2437" t="str">
        <f>"1455-0334"</f>
        <v>1455-0334</v>
      </c>
      <c r="E2437" t="s">
        <v>8</v>
      </c>
      <c r="F2437" t="s">
        <v>2446</v>
      </c>
      <c r="G2437">
        <v>1</v>
      </c>
    </row>
    <row r="2438" spans="1:7" x14ac:dyDescent="0.25">
      <c r="A2438">
        <v>15</v>
      </c>
      <c r="B2438" t="s">
        <v>2078</v>
      </c>
      <c r="C2438">
        <v>1070</v>
      </c>
      <c r="D2438" t="str">
        <f>"0586-0539"</f>
        <v>0586-0539</v>
      </c>
      <c r="E2438" t="s">
        <v>15</v>
      </c>
      <c r="F2438" t="s">
        <v>2447</v>
      </c>
      <c r="G2438">
        <v>1</v>
      </c>
    </row>
    <row r="2439" spans="1:7" x14ac:dyDescent="0.25">
      <c r="A2439">
        <v>15</v>
      </c>
      <c r="B2439" t="s">
        <v>2078</v>
      </c>
      <c r="C2439">
        <v>1098</v>
      </c>
      <c r="D2439" t="str">
        <f>"0081-9921"</f>
        <v>0081-9921</v>
      </c>
      <c r="E2439" t="s">
        <v>15</v>
      </c>
      <c r="F2439" t="s">
        <v>2448</v>
      </c>
      <c r="G2439">
        <v>1</v>
      </c>
    </row>
    <row r="2440" spans="1:7" x14ac:dyDescent="0.25">
      <c r="A2440">
        <v>15</v>
      </c>
      <c r="B2440" t="s">
        <v>2078</v>
      </c>
      <c r="C2440">
        <v>10396</v>
      </c>
      <c r="D2440" t="str">
        <f>"0081-993X"</f>
        <v>0081-993X</v>
      </c>
      <c r="E2440" t="s">
        <v>15</v>
      </c>
      <c r="F2440" t="s">
        <v>2449</v>
      </c>
      <c r="G2440">
        <v>1</v>
      </c>
    </row>
    <row r="2441" spans="1:7" x14ac:dyDescent="0.25">
      <c r="A2441">
        <v>15</v>
      </c>
      <c r="B2441" t="s">
        <v>2078</v>
      </c>
      <c r="C2441">
        <v>5059</v>
      </c>
      <c r="D2441" t="str">
        <f>"0283-8389"</f>
        <v>0283-8389</v>
      </c>
      <c r="E2441" t="s">
        <v>15</v>
      </c>
      <c r="F2441" t="s">
        <v>2450</v>
      </c>
      <c r="G2441">
        <v>1</v>
      </c>
    </row>
    <row r="2442" spans="1:7" x14ac:dyDescent="0.25">
      <c r="A2442">
        <v>15</v>
      </c>
      <c r="B2442" t="s">
        <v>2078</v>
      </c>
      <c r="C2442">
        <v>5032</v>
      </c>
      <c r="D2442" t="str">
        <f>"1436-3372"</f>
        <v>1436-3372</v>
      </c>
      <c r="E2442" t="s">
        <v>8</v>
      </c>
      <c r="F2442" t="s">
        <v>2451</v>
      </c>
      <c r="G2442">
        <v>1</v>
      </c>
    </row>
    <row r="2443" spans="1:7" x14ac:dyDescent="0.25">
      <c r="A2443">
        <v>15</v>
      </c>
      <c r="B2443" t="s">
        <v>2078</v>
      </c>
      <c r="C2443">
        <v>63176</v>
      </c>
      <c r="D2443" t="str">
        <f>"0080-9993"</f>
        <v>0080-9993</v>
      </c>
      <c r="E2443" t="s">
        <v>15</v>
      </c>
      <c r="F2443" t="s">
        <v>2452</v>
      </c>
      <c r="G2443">
        <v>1</v>
      </c>
    </row>
    <row r="2444" spans="1:7" x14ac:dyDescent="0.25">
      <c r="A2444">
        <v>15</v>
      </c>
      <c r="B2444" t="s">
        <v>2078</v>
      </c>
      <c r="C2444">
        <v>140446</v>
      </c>
      <c r="D2444" t="str">
        <f>"1335-0102"</f>
        <v>1335-0102</v>
      </c>
      <c r="E2444" t="s">
        <v>8</v>
      </c>
      <c r="F2444" t="s">
        <v>2453</v>
      </c>
      <c r="G2444">
        <v>1</v>
      </c>
    </row>
    <row r="2445" spans="1:7" x14ac:dyDescent="0.25">
      <c r="A2445">
        <v>15</v>
      </c>
      <c r="B2445" t="s">
        <v>2078</v>
      </c>
      <c r="C2445">
        <v>8783639</v>
      </c>
      <c r="E2445" t="s">
        <v>15</v>
      </c>
      <c r="F2445" t="s">
        <v>2454</v>
      </c>
      <c r="G2445">
        <v>1</v>
      </c>
    </row>
    <row r="2446" spans="1:7" x14ac:dyDescent="0.25">
      <c r="A2446">
        <v>15</v>
      </c>
      <c r="B2446" t="s">
        <v>2078</v>
      </c>
      <c r="C2446">
        <v>4052</v>
      </c>
      <c r="D2446" t="str">
        <f>"0038-1969"</f>
        <v>0038-1969</v>
      </c>
      <c r="E2446" t="s">
        <v>8</v>
      </c>
      <c r="F2446" t="s">
        <v>2455</v>
      </c>
      <c r="G2446">
        <v>1</v>
      </c>
    </row>
    <row r="2447" spans="1:7" x14ac:dyDescent="0.25">
      <c r="A2447">
        <v>15</v>
      </c>
      <c r="B2447" t="s">
        <v>2078</v>
      </c>
      <c r="C2447">
        <v>39005</v>
      </c>
      <c r="D2447" t="str">
        <f>"0081-3834"</f>
        <v>0081-3834</v>
      </c>
      <c r="E2447" t="s">
        <v>8</v>
      </c>
      <c r="F2447" t="s">
        <v>2456</v>
      </c>
      <c r="G2447">
        <v>1</v>
      </c>
    </row>
    <row r="2448" spans="1:7" x14ac:dyDescent="0.25">
      <c r="A2448">
        <v>15</v>
      </c>
      <c r="B2448" t="s">
        <v>2078</v>
      </c>
      <c r="C2448">
        <v>1352</v>
      </c>
      <c r="D2448" t="str">
        <f>"1164-5458"</f>
        <v>1164-5458</v>
      </c>
      <c r="E2448" t="s">
        <v>8</v>
      </c>
      <c r="F2448" t="s">
        <v>2457</v>
      </c>
      <c r="G2448">
        <v>1</v>
      </c>
    </row>
    <row r="2449" spans="1:7" x14ac:dyDescent="0.25">
      <c r="A2449">
        <v>15</v>
      </c>
      <c r="B2449" t="s">
        <v>2078</v>
      </c>
      <c r="C2449">
        <v>156429</v>
      </c>
      <c r="D2449" t="str">
        <f>"0349-4128"</f>
        <v>0349-4128</v>
      </c>
      <c r="E2449" t="s">
        <v>8</v>
      </c>
      <c r="F2449" t="s">
        <v>2458</v>
      </c>
      <c r="G2449">
        <v>1</v>
      </c>
    </row>
    <row r="2450" spans="1:7" x14ac:dyDescent="0.25">
      <c r="A2450">
        <v>15</v>
      </c>
      <c r="B2450" t="s">
        <v>2078</v>
      </c>
      <c r="C2450">
        <v>156433</v>
      </c>
      <c r="D2450" t="str">
        <f>"1068-9057"</f>
        <v>1068-9057</v>
      </c>
      <c r="E2450" t="s">
        <v>8</v>
      </c>
      <c r="F2450" t="s">
        <v>2459</v>
      </c>
      <c r="G2450">
        <v>1</v>
      </c>
    </row>
    <row r="2451" spans="1:7" x14ac:dyDescent="0.25">
      <c r="A2451">
        <v>15</v>
      </c>
      <c r="B2451" t="s">
        <v>2078</v>
      </c>
      <c r="C2451">
        <v>4049</v>
      </c>
      <c r="D2451" t="str">
        <f>"0391-7762"</f>
        <v>0391-7762</v>
      </c>
      <c r="E2451" t="s">
        <v>15</v>
      </c>
      <c r="F2451" t="s">
        <v>2460</v>
      </c>
      <c r="G2451">
        <v>1</v>
      </c>
    </row>
    <row r="2452" spans="1:7" x14ac:dyDescent="0.25">
      <c r="A2452">
        <v>15</v>
      </c>
      <c r="B2452" t="s">
        <v>2078</v>
      </c>
      <c r="C2452">
        <v>11318</v>
      </c>
      <c r="D2452" t="str">
        <f>"1126-6651"</f>
        <v>1126-6651</v>
      </c>
      <c r="E2452" t="s">
        <v>8</v>
      </c>
      <c r="F2452" t="s">
        <v>2461</v>
      </c>
      <c r="G2452">
        <v>1</v>
      </c>
    </row>
    <row r="2453" spans="1:7" x14ac:dyDescent="0.25">
      <c r="A2453">
        <v>15</v>
      </c>
      <c r="B2453" t="s">
        <v>2078</v>
      </c>
      <c r="C2453">
        <v>69428</v>
      </c>
      <c r="D2453" t="str">
        <f>"0340-2215"</f>
        <v>0340-2215</v>
      </c>
      <c r="E2453" t="s">
        <v>15</v>
      </c>
      <c r="F2453" t="s">
        <v>2462</v>
      </c>
      <c r="G2453">
        <v>1</v>
      </c>
    </row>
    <row r="2454" spans="1:7" x14ac:dyDescent="0.25">
      <c r="A2454">
        <v>15</v>
      </c>
      <c r="B2454" t="s">
        <v>2078</v>
      </c>
      <c r="C2454">
        <v>7685</v>
      </c>
      <c r="D2454" t="str">
        <f>"1867-2744"</f>
        <v>1867-2744</v>
      </c>
      <c r="E2454" t="s">
        <v>15</v>
      </c>
      <c r="F2454" t="s">
        <v>2463</v>
      </c>
      <c r="G2454">
        <v>1</v>
      </c>
    </row>
    <row r="2455" spans="1:7" x14ac:dyDescent="0.25">
      <c r="A2455">
        <v>15</v>
      </c>
      <c r="B2455" t="s">
        <v>2078</v>
      </c>
      <c r="C2455">
        <v>10896</v>
      </c>
      <c r="D2455" t="str">
        <f>"0933-4734"</f>
        <v>0933-4734</v>
      </c>
      <c r="E2455" t="s">
        <v>8</v>
      </c>
      <c r="F2455" t="s">
        <v>2464</v>
      </c>
      <c r="G2455">
        <v>1</v>
      </c>
    </row>
    <row r="2456" spans="1:7" x14ac:dyDescent="0.25">
      <c r="A2456">
        <v>15</v>
      </c>
      <c r="B2456" t="s">
        <v>2078</v>
      </c>
      <c r="C2456">
        <v>8783640</v>
      </c>
      <c r="E2456" t="s">
        <v>15</v>
      </c>
      <c r="F2456" t="s">
        <v>2465</v>
      </c>
      <c r="G2456">
        <v>1</v>
      </c>
    </row>
    <row r="2457" spans="1:7" x14ac:dyDescent="0.25">
      <c r="A2457">
        <v>15</v>
      </c>
      <c r="B2457" t="s">
        <v>2078</v>
      </c>
      <c r="C2457">
        <v>26892</v>
      </c>
      <c r="D2457" t="str">
        <f>"0039-7946"</f>
        <v>0039-7946</v>
      </c>
      <c r="E2457" t="s">
        <v>8</v>
      </c>
      <c r="F2457" t="s">
        <v>2466</v>
      </c>
      <c r="G2457">
        <v>1</v>
      </c>
    </row>
    <row r="2458" spans="1:7" x14ac:dyDescent="0.25">
      <c r="A2458">
        <v>15</v>
      </c>
      <c r="B2458" t="s">
        <v>2078</v>
      </c>
      <c r="C2458">
        <v>85291</v>
      </c>
      <c r="D2458" t="str">
        <f>"0732-6483"</f>
        <v>0732-6483</v>
      </c>
      <c r="E2458" t="s">
        <v>15</v>
      </c>
      <c r="F2458" t="s">
        <v>2467</v>
      </c>
      <c r="G2458">
        <v>1</v>
      </c>
    </row>
    <row r="2459" spans="1:7" x14ac:dyDescent="0.25">
      <c r="A2459">
        <v>15</v>
      </c>
      <c r="B2459" t="s">
        <v>2078</v>
      </c>
      <c r="C2459">
        <v>115419</v>
      </c>
      <c r="D2459" t="str">
        <f>"0080-5157"</f>
        <v>0080-5157</v>
      </c>
      <c r="E2459" t="s">
        <v>15</v>
      </c>
      <c r="F2459" t="s">
        <v>2468</v>
      </c>
      <c r="G2459">
        <v>1</v>
      </c>
    </row>
    <row r="2460" spans="1:7" x14ac:dyDescent="0.25">
      <c r="A2460">
        <v>15</v>
      </c>
      <c r="B2460" t="s">
        <v>2078</v>
      </c>
      <c r="C2460">
        <v>22568</v>
      </c>
      <c r="D2460" t="str">
        <f>"0334-4355"</f>
        <v>0334-4355</v>
      </c>
      <c r="E2460" t="s">
        <v>8</v>
      </c>
      <c r="F2460" t="s">
        <v>2469</v>
      </c>
      <c r="G2460">
        <v>1</v>
      </c>
    </row>
    <row r="2461" spans="1:7" x14ac:dyDescent="0.25">
      <c r="A2461">
        <v>15</v>
      </c>
      <c r="B2461" t="s">
        <v>2078</v>
      </c>
      <c r="C2461">
        <v>8614</v>
      </c>
      <c r="D2461" t="str">
        <f>"0040-4969"</f>
        <v>0040-4969</v>
      </c>
      <c r="E2461" t="s">
        <v>8</v>
      </c>
      <c r="F2461" t="s">
        <v>2470</v>
      </c>
      <c r="G2461">
        <v>1</v>
      </c>
    </row>
    <row r="2462" spans="1:7" x14ac:dyDescent="0.25">
      <c r="A2462">
        <v>15</v>
      </c>
      <c r="B2462" t="s">
        <v>2078</v>
      </c>
      <c r="C2462">
        <v>21033</v>
      </c>
      <c r="D2462" t="str">
        <f>"0003-5815"</f>
        <v>0003-5815</v>
      </c>
      <c r="E2462" t="s">
        <v>8</v>
      </c>
      <c r="F2462" t="s">
        <v>2471</v>
      </c>
      <c r="G2462">
        <v>1</v>
      </c>
    </row>
    <row r="2463" spans="1:7" x14ac:dyDescent="0.25">
      <c r="A2463">
        <v>15</v>
      </c>
      <c r="B2463" t="s">
        <v>2078</v>
      </c>
      <c r="C2463">
        <v>20611</v>
      </c>
      <c r="D2463" t="str">
        <f>"0066-5983"</f>
        <v>0066-5983</v>
      </c>
      <c r="E2463" t="s">
        <v>8</v>
      </c>
      <c r="F2463" t="s">
        <v>2472</v>
      </c>
      <c r="G2463">
        <v>1</v>
      </c>
    </row>
    <row r="2464" spans="1:7" x14ac:dyDescent="0.25">
      <c r="A2464">
        <v>15</v>
      </c>
      <c r="B2464" t="s">
        <v>2078</v>
      </c>
      <c r="C2464">
        <v>17071</v>
      </c>
      <c r="D2464" t="str">
        <f>"1750-2705"</f>
        <v>1750-2705</v>
      </c>
      <c r="E2464" t="s">
        <v>8</v>
      </c>
      <c r="F2464" t="s">
        <v>2473</v>
      </c>
      <c r="G2464">
        <v>1</v>
      </c>
    </row>
    <row r="2465" spans="1:7" x14ac:dyDescent="0.25">
      <c r="A2465">
        <v>15</v>
      </c>
      <c r="B2465" t="s">
        <v>2078</v>
      </c>
      <c r="C2465">
        <v>156432</v>
      </c>
      <c r="D2465" t="str">
        <f>"0349-8182"</f>
        <v>0349-8182</v>
      </c>
      <c r="E2465" t="s">
        <v>8</v>
      </c>
      <c r="F2465" t="s">
        <v>2474</v>
      </c>
      <c r="G2465">
        <v>1</v>
      </c>
    </row>
    <row r="2466" spans="1:7" x14ac:dyDescent="0.25">
      <c r="A2466">
        <v>15</v>
      </c>
      <c r="B2466" t="s">
        <v>2078</v>
      </c>
      <c r="C2466">
        <v>5150</v>
      </c>
      <c r="D2466" t="str">
        <f>"1569-1462"</f>
        <v>1569-1462</v>
      </c>
      <c r="E2466" t="s">
        <v>15</v>
      </c>
      <c r="F2466" t="s">
        <v>2475</v>
      </c>
      <c r="G2466">
        <v>1</v>
      </c>
    </row>
    <row r="2467" spans="1:7" x14ac:dyDescent="0.25">
      <c r="A2467">
        <v>15</v>
      </c>
      <c r="B2467" t="s">
        <v>2078</v>
      </c>
      <c r="C2467">
        <v>71583</v>
      </c>
      <c r="D2467" t="str">
        <f>"0017-4556"</f>
        <v>0017-4556</v>
      </c>
      <c r="E2467" t="s">
        <v>8</v>
      </c>
      <c r="F2467" t="s">
        <v>2476</v>
      </c>
      <c r="G2467">
        <v>1</v>
      </c>
    </row>
    <row r="2468" spans="1:7" x14ac:dyDescent="0.25">
      <c r="A2468">
        <v>15</v>
      </c>
      <c r="B2468" t="s">
        <v>2078</v>
      </c>
      <c r="C2468">
        <v>8783633</v>
      </c>
      <c r="D2468" t="str">
        <f>" 2596-7924"</f>
        <v xml:space="preserve"> 2596-7924</v>
      </c>
      <c r="E2468" t="s">
        <v>8</v>
      </c>
      <c r="F2468" t="s">
        <v>2477</v>
      </c>
      <c r="G2468">
        <v>1</v>
      </c>
    </row>
    <row r="2469" spans="1:7" x14ac:dyDescent="0.25">
      <c r="A2469">
        <v>15</v>
      </c>
      <c r="B2469" t="s">
        <v>2078</v>
      </c>
      <c r="C2469">
        <v>27319</v>
      </c>
      <c r="D2469" t="str">
        <f>"0082-5638"</f>
        <v>0082-5638</v>
      </c>
      <c r="E2469" t="s">
        <v>8</v>
      </c>
      <c r="F2469" t="s">
        <v>2478</v>
      </c>
      <c r="G2469">
        <v>1</v>
      </c>
    </row>
    <row r="2470" spans="1:7" x14ac:dyDescent="0.25">
      <c r="A2470">
        <v>15</v>
      </c>
      <c r="B2470" t="s">
        <v>2078</v>
      </c>
      <c r="C2470">
        <v>26808</v>
      </c>
      <c r="D2470" t="str">
        <f>"0342-2356"</f>
        <v>0342-2356</v>
      </c>
      <c r="E2470" t="s">
        <v>8</v>
      </c>
      <c r="F2470" t="s">
        <v>2479</v>
      </c>
      <c r="G2470">
        <v>1</v>
      </c>
    </row>
    <row r="2471" spans="1:7" x14ac:dyDescent="0.25">
      <c r="A2471">
        <v>15</v>
      </c>
      <c r="B2471" t="s">
        <v>2078</v>
      </c>
      <c r="C2471">
        <v>6315218</v>
      </c>
      <c r="E2471" t="s">
        <v>15</v>
      </c>
      <c r="F2471" t="s">
        <v>2480</v>
      </c>
      <c r="G2471">
        <v>1</v>
      </c>
    </row>
    <row r="2472" spans="1:7" x14ac:dyDescent="0.25">
      <c r="A2472">
        <v>15</v>
      </c>
      <c r="B2472" t="s">
        <v>2078</v>
      </c>
      <c r="C2472">
        <v>68935</v>
      </c>
      <c r="D2472" t="str">
        <f>"1504-3266"</f>
        <v>1504-3266</v>
      </c>
      <c r="E2472" t="s">
        <v>15</v>
      </c>
      <c r="F2472" t="s">
        <v>2481</v>
      </c>
      <c r="G2472">
        <v>1</v>
      </c>
    </row>
    <row r="2473" spans="1:7" x14ac:dyDescent="0.25">
      <c r="A2473">
        <v>15</v>
      </c>
      <c r="B2473" t="s">
        <v>2078</v>
      </c>
      <c r="C2473">
        <v>3220</v>
      </c>
      <c r="D2473" t="str">
        <f>"0332-608X"</f>
        <v>0332-608X</v>
      </c>
      <c r="E2473" t="s">
        <v>8</v>
      </c>
      <c r="F2473" t="s">
        <v>2482</v>
      </c>
      <c r="G2473">
        <v>1</v>
      </c>
    </row>
    <row r="2474" spans="1:7" x14ac:dyDescent="0.25">
      <c r="A2474">
        <v>15</v>
      </c>
      <c r="B2474" t="s">
        <v>2078</v>
      </c>
      <c r="C2474">
        <v>1736</v>
      </c>
      <c r="D2474" t="str">
        <f>"1501-6099"</f>
        <v>1501-6099</v>
      </c>
      <c r="E2474" t="s">
        <v>8</v>
      </c>
      <c r="F2474" t="s">
        <v>2483</v>
      </c>
      <c r="G2474">
        <v>1</v>
      </c>
    </row>
    <row r="2475" spans="1:7" x14ac:dyDescent="0.25">
      <c r="A2475">
        <v>15</v>
      </c>
      <c r="B2475" t="s">
        <v>2078</v>
      </c>
      <c r="C2475">
        <v>97081</v>
      </c>
      <c r="D2475" t="str">
        <f>"0043-5082"</f>
        <v>0043-5082</v>
      </c>
      <c r="E2475" t="s">
        <v>8</v>
      </c>
      <c r="F2475" t="s">
        <v>2484</v>
      </c>
      <c r="G2475">
        <v>1</v>
      </c>
    </row>
    <row r="2476" spans="1:7" x14ac:dyDescent="0.25">
      <c r="A2476">
        <v>15</v>
      </c>
      <c r="B2476" t="s">
        <v>2078</v>
      </c>
      <c r="C2476">
        <v>7756</v>
      </c>
      <c r="D2476" t="str">
        <f>"0096-848X"</f>
        <v>0096-848X</v>
      </c>
      <c r="E2476" t="s">
        <v>8</v>
      </c>
      <c r="F2476" t="s">
        <v>2485</v>
      </c>
      <c r="G2476">
        <v>1</v>
      </c>
    </row>
    <row r="2477" spans="1:7" x14ac:dyDescent="0.25">
      <c r="A2477">
        <v>15</v>
      </c>
      <c r="B2477" t="s">
        <v>2078</v>
      </c>
      <c r="C2477">
        <v>1316</v>
      </c>
      <c r="D2477" t="str">
        <f>"0012-1169"</f>
        <v>0012-1169</v>
      </c>
      <c r="E2477" t="s">
        <v>8</v>
      </c>
      <c r="F2477" t="s">
        <v>2486</v>
      </c>
      <c r="G2477">
        <v>1</v>
      </c>
    </row>
    <row r="2478" spans="1:7" x14ac:dyDescent="0.25">
      <c r="A2478">
        <v>15</v>
      </c>
      <c r="B2478" t="s">
        <v>2078</v>
      </c>
      <c r="C2478">
        <v>103240</v>
      </c>
      <c r="D2478" t="str">
        <f>"0044-3476"</f>
        <v>0044-3476</v>
      </c>
      <c r="E2478" t="s">
        <v>8</v>
      </c>
      <c r="F2478" t="s">
        <v>2487</v>
      </c>
      <c r="G2478">
        <v>1</v>
      </c>
    </row>
    <row r="2479" spans="1:7" x14ac:dyDescent="0.25">
      <c r="A2479">
        <v>15</v>
      </c>
      <c r="B2479" t="s">
        <v>2078</v>
      </c>
      <c r="C2479">
        <v>4705</v>
      </c>
      <c r="D2479" t="str">
        <f>"0084-5299"</f>
        <v>0084-5299</v>
      </c>
      <c r="E2479" t="s">
        <v>8</v>
      </c>
      <c r="F2479" t="s">
        <v>2488</v>
      </c>
      <c r="G2479">
        <v>1</v>
      </c>
    </row>
    <row r="2480" spans="1:7" x14ac:dyDescent="0.25">
      <c r="A2480">
        <v>15</v>
      </c>
      <c r="B2480" t="s">
        <v>2078</v>
      </c>
      <c r="C2480">
        <v>11514</v>
      </c>
      <c r="D2480" t="str">
        <f>"0084-585X"</f>
        <v>0084-585X</v>
      </c>
      <c r="E2480" t="s">
        <v>8</v>
      </c>
      <c r="F2480" t="s">
        <v>2489</v>
      </c>
      <c r="G2480">
        <v>1</v>
      </c>
    </row>
    <row r="2481" spans="1:7" x14ac:dyDescent="0.25">
      <c r="A2481">
        <v>15</v>
      </c>
      <c r="B2481" t="s">
        <v>2078</v>
      </c>
      <c r="C2481">
        <v>67552</v>
      </c>
      <c r="D2481" t="str">
        <f>"1399-2686"</f>
        <v>1399-2686</v>
      </c>
      <c r="E2481" t="s">
        <v>15</v>
      </c>
      <c r="F2481" t="s">
        <v>2490</v>
      </c>
      <c r="G2481">
        <v>1</v>
      </c>
    </row>
    <row r="2482" spans="1:7" x14ac:dyDescent="0.25">
      <c r="A2482">
        <v>16</v>
      </c>
      <c r="B2482" t="s">
        <v>2491</v>
      </c>
      <c r="C2482">
        <v>9781</v>
      </c>
      <c r="D2482" t="str">
        <f>"1872-3357"</f>
        <v>1872-3357</v>
      </c>
      <c r="E2482" t="s">
        <v>15</v>
      </c>
      <c r="F2482" t="s">
        <v>2492</v>
      </c>
      <c r="G2482">
        <v>2</v>
      </c>
    </row>
    <row r="2483" spans="1:7" x14ac:dyDescent="0.25">
      <c r="A2483">
        <v>16</v>
      </c>
      <c r="B2483" t="s">
        <v>2491</v>
      </c>
      <c r="C2483">
        <v>6008</v>
      </c>
      <c r="D2483" t="str">
        <f>"0007-7704"</f>
        <v>0007-7704</v>
      </c>
      <c r="E2483" t="s">
        <v>8</v>
      </c>
      <c r="F2483" t="s">
        <v>2493</v>
      </c>
      <c r="G2483">
        <v>2</v>
      </c>
    </row>
    <row r="2484" spans="1:7" x14ac:dyDescent="0.25">
      <c r="A2484">
        <v>16</v>
      </c>
      <c r="B2484" t="s">
        <v>2491</v>
      </c>
      <c r="C2484">
        <v>155</v>
      </c>
      <c r="D2484" t="str">
        <f>"0378-2506"</f>
        <v>0378-2506</v>
      </c>
      <c r="E2484" t="s">
        <v>8</v>
      </c>
      <c r="F2484" t="s">
        <v>2494</v>
      </c>
      <c r="G2484">
        <v>2</v>
      </c>
    </row>
    <row r="2485" spans="1:7" x14ac:dyDescent="0.25">
      <c r="A2485">
        <v>16</v>
      </c>
      <c r="B2485" t="s">
        <v>2491</v>
      </c>
      <c r="C2485">
        <v>10853</v>
      </c>
      <c r="D2485" t="str">
        <f>"1904-9196"</f>
        <v>1904-9196</v>
      </c>
      <c r="E2485" t="s">
        <v>8</v>
      </c>
      <c r="F2485" t="s">
        <v>2495</v>
      </c>
      <c r="G2485">
        <v>2</v>
      </c>
    </row>
    <row r="2486" spans="1:7" x14ac:dyDescent="0.25">
      <c r="A2486">
        <v>16</v>
      </c>
      <c r="B2486" t="s">
        <v>2491</v>
      </c>
      <c r="C2486">
        <v>1287</v>
      </c>
      <c r="D2486" t="str">
        <f>"0009-837X"</f>
        <v>0009-837X</v>
      </c>
      <c r="E2486" t="s">
        <v>8</v>
      </c>
      <c r="F2486" t="s">
        <v>2496</v>
      </c>
      <c r="G2486">
        <v>2</v>
      </c>
    </row>
    <row r="2487" spans="1:7" x14ac:dyDescent="0.25">
      <c r="A2487">
        <v>16</v>
      </c>
      <c r="B2487" t="s">
        <v>2491</v>
      </c>
      <c r="C2487">
        <v>11022</v>
      </c>
      <c r="D2487" t="str">
        <f>"1124-0008"</f>
        <v>1124-0008</v>
      </c>
      <c r="E2487" t="s">
        <v>8</v>
      </c>
      <c r="F2487" t="s">
        <v>2497</v>
      </c>
      <c r="G2487">
        <v>2</v>
      </c>
    </row>
    <row r="2488" spans="1:7" x14ac:dyDescent="0.25">
      <c r="A2488">
        <v>16</v>
      </c>
      <c r="B2488" t="s">
        <v>2491</v>
      </c>
      <c r="C2488">
        <v>12144</v>
      </c>
      <c r="D2488" t="str">
        <f>"0017-1417"</f>
        <v>0017-1417</v>
      </c>
      <c r="E2488" t="s">
        <v>8</v>
      </c>
      <c r="F2488" t="s">
        <v>2498</v>
      </c>
      <c r="G2488">
        <v>2</v>
      </c>
    </row>
    <row r="2489" spans="1:7" x14ac:dyDescent="0.25">
      <c r="A2489">
        <v>16</v>
      </c>
      <c r="B2489" t="s">
        <v>2491</v>
      </c>
      <c r="C2489">
        <v>8182</v>
      </c>
      <c r="D2489" t="str">
        <f>"0072-7482"</f>
        <v>0072-7482</v>
      </c>
      <c r="E2489" t="s">
        <v>8</v>
      </c>
      <c r="F2489" t="s">
        <v>2499</v>
      </c>
      <c r="G2489">
        <v>2</v>
      </c>
    </row>
    <row r="2490" spans="1:7" x14ac:dyDescent="0.25">
      <c r="A2490">
        <v>16</v>
      </c>
      <c r="B2490" t="s">
        <v>2491</v>
      </c>
      <c r="C2490">
        <v>8829</v>
      </c>
      <c r="D2490" t="str">
        <f>"0073-0688"</f>
        <v>0073-0688</v>
      </c>
      <c r="E2490" t="s">
        <v>8</v>
      </c>
      <c r="F2490" t="s">
        <v>2500</v>
      </c>
      <c r="G2490">
        <v>2</v>
      </c>
    </row>
    <row r="2491" spans="1:7" x14ac:dyDescent="0.25">
      <c r="A2491">
        <v>16</v>
      </c>
      <c r="B2491" t="s">
        <v>2491</v>
      </c>
      <c r="C2491">
        <v>3036</v>
      </c>
      <c r="D2491" t="str">
        <f>"0018-0777"</f>
        <v>0018-0777</v>
      </c>
      <c r="E2491" t="s">
        <v>8</v>
      </c>
      <c r="F2491" t="s">
        <v>2501</v>
      </c>
      <c r="G2491">
        <v>2</v>
      </c>
    </row>
    <row r="2492" spans="1:7" x14ac:dyDescent="0.25">
      <c r="A2492">
        <v>16</v>
      </c>
      <c r="B2492" t="s">
        <v>2491</v>
      </c>
      <c r="C2492">
        <v>10155</v>
      </c>
      <c r="D2492" t="str">
        <f>"0075-4358"</f>
        <v>0075-4358</v>
      </c>
      <c r="E2492" t="s">
        <v>8</v>
      </c>
      <c r="F2492" t="s">
        <v>2502</v>
      </c>
      <c r="G2492">
        <v>2</v>
      </c>
    </row>
    <row r="2493" spans="1:7" x14ac:dyDescent="0.25">
      <c r="A2493">
        <v>16</v>
      </c>
      <c r="B2493" t="s">
        <v>2491</v>
      </c>
      <c r="C2493">
        <v>2710</v>
      </c>
      <c r="D2493" t="str">
        <f>"0076-9754"</f>
        <v>0076-9754</v>
      </c>
      <c r="E2493" t="s">
        <v>15</v>
      </c>
      <c r="F2493" t="s">
        <v>2503</v>
      </c>
      <c r="G2493">
        <v>2</v>
      </c>
    </row>
    <row r="2494" spans="1:7" x14ac:dyDescent="0.25">
      <c r="A2494">
        <v>16</v>
      </c>
      <c r="B2494" t="s">
        <v>2491</v>
      </c>
      <c r="C2494">
        <v>11741</v>
      </c>
      <c r="D2494" t="str">
        <f>"1438-213X"</f>
        <v>1438-213X</v>
      </c>
      <c r="E2494" t="s">
        <v>8</v>
      </c>
      <c r="F2494" t="s">
        <v>2504</v>
      </c>
      <c r="G2494">
        <v>2</v>
      </c>
    </row>
    <row r="2495" spans="1:7" x14ac:dyDescent="0.25">
      <c r="A2495">
        <v>16</v>
      </c>
      <c r="B2495" t="s">
        <v>2491</v>
      </c>
      <c r="C2495">
        <v>2042</v>
      </c>
      <c r="D2495" t="str">
        <f>"0031-7985"</f>
        <v>0031-7985</v>
      </c>
      <c r="E2495" t="s">
        <v>8</v>
      </c>
      <c r="F2495" t="s">
        <v>2505</v>
      </c>
      <c r="G2495">
        <v>2</v>
      </c>
    </row>
    <row r="2496" spans="1:7" x14ac:dyDescent="0.25">
      <c r="A2496">
        <v>16</v>
      </c>
      <c r="B2496" t="s">
        <v>2491</v>
      </c>
      <c r="C2496">
        <v>8214</v>
      </c>
      <c r="D2496" t="str">
        <f>"0373-5737"</f>
        <v>0373-5737</v>
      </c>
      <c r="E2496" t="s">
        <v>8</v>
      </c>
      <c r="F2496" t="s">
        <v>2506</v>
      </c>
      <c r="G2496">
        <v>2</v>
      </c>
    </row>
    <row r="2497" spans="1:7" x14ac:dyDescent="0.25">
      <c r="A2497">
        <v>16</v>
      </c>
      <c r="B2497" t="s">
        <v>2491</v>
      </c>
      <c r="C2497">
        <v>11748</v>
      </c>
      <c r="D2497" t="str">
        <f>"0373-6075"</f>
        <v>0373-6075</v>
      </c>
      <c r="E2497" t="s">
        <v>8</v>
      </c>
      <c r="F2497" t="s">
        <v>2507</v>
      </c>
      <c r="G2497">
        <v>2</v>
      </c>
    </row>
    <row r="2498" spans="1:7" x14ac:dyDescent="0.25">
      <c r="A2498">
        <v>16</v>
      </c>
      <c r="B2498" t="s">
        <v>2491</v>
      </c>
      <c r="C2498">
        <v>12346</v>
      </c>
      <c r="D2498" t="str">
        <f>"0080-3073"</f>
        <v>0080-3073</v>
      </c>
      <c r="E2498" t="s">
        <v>8</v>
      </c>
      <c r="F2498" t="s">
        <v>2508</v>
      </c>
      <c r="G2498">
        <v>2</v>
      </c>
    </row>
    <row r="2499" spans="1:7" x14ac:dyDescent="0.25">
      <c r="A2499">
        <v>16</v>
      </c>
      <c r="B2499" t="s">
        <v>2491</v>
      </c>
      <c r="C2499">
        <v>5474</v>
      </c>
      <c r="D2499" t="str">
        <f>"0036-9772"</f>
        <v>0036-9772</v>
      </c>
      <c r="E2499" t="s">
        <v>8</v>
      </c>
      <c r="F2499" t="s">
        <v>2509</v>
      </c>
      <c r="G2499">
        <v>2</v>
      </c>
    </row>
    <row r="2500" spans="1:7" x14ac:dyDescent="0.25">
      <c r="A2500">
        <v>16</v>
      </c>
      <c r="B2500" t="s">
        <v>2491</v>
      </c>
      <c r="C2500">
        <v>4319</v>
      </c>
      <c r="D2500" t="str">
        <f>"0009-8353"</f>
        <v>0009-8353</v>
      </c>
      <c r="E2500" t="s">
        <v>8</v>
      </c>
      <c r="F2500" t="s">
        <v>2510</v>
      </c>
      <c r="G2500">
        <v>2</v>
      </c>
    </row>
    <row r="2501" spans="1:7" x14ac:dyDescent="0.25">
      <c r="A2501">
        <v>16</v>
      </c>
      <c r="B2501" t="s">
        <v>2491</v>
      </c>
      <c r="C2501">
        <v>5585</v>
      </c>
      <c r="D2501" t="str">
        <f>"0009-8388"</f>
        <v>0009-8388</v>
      </c>
      <c r="E2501" t="s">
        <v>8</v>
      </c>
      <c r="F2501" t="s">
        <v>2511</v>
      </c>
      <c r="G2501">
        <v>2</v>
      </c>
    </row>
    <row r="2502" spans="1:7" x14ac:dyDescent="0.25">
      <c r="A2502">
        <v>16</v>
      </c>
      <c r="B2502" t="s">
        <v>2491</v>
      </c>
      <c r="C2502">
        <v>11890</v>
      </c>
      <c r="D2502" t="str">
        <f>"0075-4269"</f>
        <v>0075-4269</v>
      </c>
      <c r="E2502" t="s">
        <v>8</v>
      </c>
      <c r="F2502" t="s">
        <v>2512</v>
      </c>
      <c r="G2502">
        <v>2</v>
      </c>
    </row>
    <row r="2503" spans="1:7" x14ac:dyDescent="0.25">
      <c r="A2503">
        <v>16</v>
      </c>
      <c r="B2503" t="s">
        <v>2491</v>
      </c>
      <c r="C2503">
        <v>9908</v>
      </c>
      <c r="D2503" t="str">
        <f>"0362-1529"</f>
        <v>0362-1529</v>
      </c>
      <c r="E2503" t="s">
        <v>8</v>
      </c>
      <c r="F2503" t="s">
        <v>2513</v>
      </c>
      <c r="G2503">
        <v>2</v>
      </c>
    </row>
    <row r="2504" spans="1:7" x14ac:dyDescent="0.25">
      <c r="A2504">
        <v>16</v>
      </c>
      <c r="B2504" t="s">
        <v>2491</v>
      </c>
      <c r="C2504">
        <v>1959</v>
      </c>
      <c r="D2504" t="str">
        <f>"0083-5897"</f>
        <v>0083-5897</v>
      </c>
      <c r="E2504" t="s">
        <v>8</v>
      </c>
      <c r="F2504" t="s">
        <v>2514</v>
      </c>
      <c r="G2504">
        <v>2</v>
      </c>
    </row>
    <row r="2505" spans="1:7" x14ac:dyDescent="0.25">
      <c r="A2505">
        <v>16</v>
      </c>
      <c r="B2505" t="s">
        <v>2491</v>
      </c>
      <c r="C2505">
        <v>553</v>
      </c>
      <c r="D2505" t="str">
        <f>"0084-5388"</f>
        <v>0084-5388</v>
      </c>
      <c r="E2505" t="s">
        <v>8</v>
      </c>
      <c r="F2505" t="s">
        <v>2515</v>
      </c>
      <c r="G2505">
        <v>2</v>
      </c>
    </row>
    <row r="2506" spans="1:7" x14ac:dyDescent="0.25">
      <c r="A2506">
        <v>16</v>
      </c>
      <c r="B2506" t="s">
        <v>2491</v>
      </c>
      <c r="C2506">
        <v>13803</v>
      </c>
      <c r="D2506" t="str">
        <f>"1124-3783"</f>
        <v>1124-3783</v>
      </c>
      <c r="E2506" t="s">
        <v>8</v>
      </c>
      <c r="F2506" t="s">
        <v>2516</v>
      </c>
      <c r="G2506">
        <v>1</v>
      </c>
    </row>
    <row r="2507" spans="1:7" x14ac:dyDescent="0.25">
      <c r="A2507">
        <v>16</v>
      </c>
      <c r="B2507" t="s">
        <v>2491</v>
      </c>
      <c r="C2507">
        <v>105094</v>
      </c>
      <c r="D2507" t="str">
        <f>"0001-494X"</f>
        <v>0001-494X</v>
      </c>
      <c r="E2507" t="s">
        <v>8</v>
      </c>
      <c r="F2507" t="s">
        <v>2517</v>
      </c>
      <c r="G2507">
        <v>1</v>
      </c>
    </row>
    <row r="2508" spans="1:7" x14ac:dyDescent="0.25">
      <c r="A2508">
        <v>16</v>
      </c>
      <c r="B2508" t="s">
        <v>2491</v>
      </c>
      <c r="C2508">
        <v>10814</v>
      </c>
      <c r="D2508" t="str">
        <f>"0044-5975"</f>
        <v>0044-5975</v>
      </c>
      <c r="E2508" t="s">
        <v>8</v>
      </c>
      <c r="F2508" t="s">
        <v>2518</v>
      </c>
      <c r="G2508">
        <v>1</v>
      </c>
    </row>
    <row r="2509" spans="1:7" x14ac:dyDescent="0.25">
      <c r="A2509">
        <v>16</v>
      </c>
      <c r="B2509" t="s">
        <v>2491</v>
      </c>
      <c r="C2509">
        <v>10616</v>
      </c>
      <c r="D2509" t="str">
        <f>"1458-7017"</f>
        <v>1458-7017</v>
      </c>
      <c r="E2509" t="s">
        <v>8</v>
      </c>
      <c r="F2509" t="s">
        <v>2519</v>
      </c>
      <c r="G2509">
        <v>1</v>
      </c>
    </row>
    <row r="2510" spans="1:7" x14ac:dyDescent="0.25">
      <c r="A2510">
        <v>16</v>
      </c>
      <c r="B2510" t="s">
        <v>2491</v>
      </c>
      <c r="C2510">
        <v>3325</v>
      </c>
      <c r="D2510" t="str">
        <f>"0065-1141"</f>
        <v>0065-1141</v>
      </c>
      <c r="E2510" t="s">
        <v>8</v>
      </c>
      <c r="F2510" t="s">
        <v>2520</v>
      </c>
      <c r="G2510">
        <v>1</v>
      </c>
    </row>
    <row r="2511" spans="1:7" x14ac:dyDescent="0.25">
      <c r="A2511">
        <v>16</v>
      </c>
      <c r="B2511" t="s">
        <v>2491</v>
      </c>
      <c r="C2511">
        <v>5607</v>
      </c>
      <c r="D2511" t="str">
        <f>"0567-8269"</f>
        <v>0567-8269</v>
      </c>
      <c r="E2511" t="s">
        <v>8</v>
      </c>
      <c r="F2511" t="s">
        <v>2521</v>
      </c>
      <c r="G2511">
        <v>1</v>
      </c>
    </row>
    <row r="2512" spans="1:7" x14ac:dyDescent="0.25">
      <c r="A2512">
        <v>16</v>
      </c>
      <c r="B2512" t="s">
        <v>2491</v>
      </c>
      <c r="C2512">
        <v>1901</v>
      </c>
      <c r="D2512" t="str">
        <f>"0001-9046"</f>
        <v>0001-9046</v>
      </c>
      <c r="E2512" t="s">
        <v>8</v>
      </c>
      <c r="F2512" t="s">
        <v>2522</v>
      </c>
      <c r="G2512">
        <v>1</v>
      </c>
    </row>
    <row r="2513" spans="1:7" x14ac:dyDescent="0.25">
      <c r="A2513">
        <v>16</v>
      </c>
      <c r="B2513" t="s">
        <v>2491</v>
      </c>
      <c r="C2513">
        <v>5136</v>
      </c>
      <c r="D2513" t="str">
        <f>"0001-9593"</f>
        <v>0001-9593</v>
      </c>
      <c r="E2513" t="s">
        <v>8</v>
      </c>
      <c r="F2513" t="s">
        <v>2523</v>
      </c>
      <c r="G2513">
        <v>1</v>
      </c>
    </row>
    <row r="2514" spans="1:7" x14ac:dyDescent="0.25">
      <c r="A2514">
        <v>16</v>
      </c>
      <c r="B2514" t="s">
        <v>2491</v>
      </c>
      <c r="C2514">
        <v>9925</v>
      </c>
      <c r="D2514" t="str">
        <f>"1121-8932"</f>
        <v>1121-8932</v>
      </c>
      <c r="E2514" t="s">
        <v>8</v>
      </c>
      <c r="F2514" t="s">
        <v>2524</v>
      </c>
      <c r="G2514">
        <v>1</v>
      </c>
    </row>
    <row r="2515" spans="1:7" x14ac:dyDescent="0.25">
      <c r="A2515">
        <v>16</v>
      </c>
      <c r="B2515" t="s">
        <v>2491</v>
      </c>
      <c r="C2515">
        <v>27213</v>
      </c>
      <c r="D2515" t="str">
        <f>"0874-5498"</f>
        <v>0874-5498</v>
      </c>
      <c r="E2515" t="s">
        <v>8</v>
      </c>
      <c r="F2515" t="s">
        <v>2525</v>
      </c>
      <c r="G2515">
        <v>1</v>
      </c>
    </row>
    <row r="2516" spans="1:7" x14ac:dyDescent="0.25">
      <c r="A2516">
        <v>16</v>
      </c>
      <c r="B2516" t="s">
        <v>2491</v>
      </c>
      <c r="C2516">
        <v>10224</v>
      </c>
      <c r="D2516" t="str">
        <f>"1901-6859"</f>
        <v>1901-6859</v>
      </c>
      <c r="E2516" t="s">
        <v>8</v>
      </c>
      <c r="F2516" t="s">
        <v>2526</v>
      </c>
      <c r="G2516">
        <v>1</v>
      </c>
    </row>
    <row r="2517" spans="1:7" x14ac:dyDescent="0.25">
      <c r="A2517">
        <v>16</v>
      </c>
      <c r="B2517" t="s">
        <v>2491</v>
      </c>
      <c r="C2517">
        <v>12072</v>
      </c>
      <c r="D2517" t="str">
        <f>"1128-7209"</f>
        <v>1128-7209</v>
      </c>
      <c r="E2517" t="s">
        <v>8</v>
      </c>
      <c r="F2517" t="s">
        <v>2527</v>
      </c>
      <c r="G2517">
        <v>1</v>
      </c>
    </row>
    <row r="2518" spans="1:7" x14ac:dyDescent="0.25">
      <c r="A2518">
        <v>16</v>
      </c>
      <c r="B2518" t="s">
        <v>2491</v>
      </c>
      <c r="C2518">
        <v>76396</v>
      </c>
      <c r="D2518" t="str">
        <f>"0340-3149"</f>
        <v>0340-3149</v>
      </c>
      <c r="E2518" t="s">
        <v>15</v>
      </c>
      <c r="F2518" t="s">
        <v>2528</v>
      </c>
      <c r="G2518">
        <v>1</v>
      </c>
    </row>
    <row r="2519" spans="1:7" x14ac:dyDescent="0.25">
      <c r="A2519">
        <v>16</v>
      </c>
      <c r="B2519" t="s">
        <v>2491</v>
      </c>
      <c r="C2519">
        <v>23979</v>
      </c>
      <c r="D2519" t="str">
        <f>"0362-8914"</f>
        <v>0362-8914</v>
      </c>
      <c r="E2519" t="s">
        <v>8</v>
      </c>
      <c r="F2519" t="s">
        <v>2529</v>
      </c>
      <c r="G2519">
        <v>1</v>
      </c>
    </row>
    <row r="2520" spans="1:7" x14ac:dyDescent="0.25">
      <c r="A2520">
        <v>16</v>
      </c>
      <c r="B2520" t="s">
        <v>2491</v>
      </c>
      <c r="C2520">
        <v>15897</v>
      </c>
      <c r="D2520" t="str">
        <f>"0002-9475"</f>
        <v>0002-9475</v>
      </c>
      <c r="E2520" t="s">
        <v>8</v>
      </c>
      <c r="F2520" t="s">
        <v>2530</v>
      </c>
      <c r="G2520">
        <v>1</v>
      </c>
    </row>
    <row r="2521" spans="1:7" x14ac:dyDescent="0.25">
      <c r="A2521">
        <v>16</v>
      </c>
      <c r="B2521" t="s">
        <v>2491</v>
      </c>
      <c r="C2521">
        <v>1490</v>
      </c>
      <c r="D2521" t="str">
        <f>"0003-2468"</f>
        <v>0003-2468</v>
      </c>
      <c r="E2521" t="s">
        <v>8</v>
      </c>
      <c r="F2521" t="s">
        <v>2531</v>
      </c>
      <c r="G2521">
        <v>1</v>
      </c>
    </row>
    <row r="2522" spans="1:7" x14ac:dyDescent="0.25">
      <c r="A2522">
        <v>16</v>
      </c>
      <c r="B2522" t="s">
        <v>2491</v>
      </c>
      <c r="C2522">
        <v>10223</v>
      </c>
      <c r="D2522" t="str">
        <f>"1122-2336"</f>
        <v>1122-2336</v>
      </c>
      <c r="E2522" t="s">
        <v>8</v>
      </c>
      <c r="F2522" t="s">
        <v>2532</v>
      </c>
      <c r="G2522">
        <v>1</v>
      </c>
    </row>
    <row r="2523" spans="1:7" x14ac:dyDescent="0.25">
      <c r="A2523">
        <v>16</v>
      </c>
      <c r="B2523" t="s">
        <v>2491</v>
      </c>
      <c r="C2523">
        <v>15757</v>
      </c>
      <c r="D2523" t="str">
        <f>"0325-1721"</f>
        <v>0325-1721</v>
      </c>
      <c r="E2523" t="s">
        <v>8</v>
      </c>
      <c r="F2523" t="s">
        <v>2533</v>
      </c>
      <c r="G2523">
        <v>1</v>
      </c>
    </row>
    <row r="2524" spans="1:7" x14ac:dyDescent="0.25">
      <c r="A2524">
        <v>16</v>
      </c>
      <c r="B2524" t="s">
        <v>2491</v>
      </c>
      <c r="C2524">
        <v>9903</v>
      </c>
      <c r="D2524" t="str">
        <f>"1568-3540"</f>
        <v>1568-3540</v>
      </c>
      <c r="E2524" t="s">
        <v>8</v>
      </c>
      <c r="F2524" t="s">
        <v>2534</v>
      </c>
      <c r="G2524">
        <v>1</v>
      </c>
    </row>
    <row r="2525" spans="1:7" x14ac:dyDescent="0.25">
      <c r="A2525">
        <v>16</v>
      </c>
      <c r="B2525" t="s">
        <v>2491</v>
      </c>
      <c r="C2525">
        <v>21624</v>
      </c>
      <c r="D2525" t="str">
        <f>"0066-1619"</f>
        <v>0066-1619</v>
      </c>
      <c r="E2525" t="s">
        <v>8</v>
      </c>
      <c r="F2525" t="s">
        <v>2535</v>
      </c>
      <c r="G2525">
        <v>1</v>
      </c>
    </row>
    <row r="2526" spans="1:7" x14ac:dyDescent="0.25">
      <c r="A2526">
        <v>16</v>
      </c>
      <c r="B2526" t="s">
        <v>2491</v>
      </c>
      <c r="C2526">
        <v>17724</v>
      </c>
      <c r="D2526" t="str">
        <f>"0160-9645"</f>
        <v>0160-9645</v>
      </c>
      <c r="E2526" t="s">
        <v>8</v>
      </c>
      <c r="F2526" t="s">
        <v>2536</v>
      </c>
      <c r="G2526">
        <v>1</v>
      </c>
    </row>
    <row r="2527" spans="1:7" x14ac:dyDescent="0.25">
      <c r="A2527">
        <v>16</v>
      </c>
      <c r="B2527" t="s">
        <v>2491</v>
      </c>
      <c r="C2527">
        <v>995</v>
      </c>
      <c r="D2527" t="str">
        <f>"0154-5868"</f>
        <v>0154-5868</v>
      </c>
      <c r="E2527" t="s">
        <v>8</v>
      </c>
      <c r="F2527" t="s">
        <v>2537</v>
      </c>
      <c r="G2527">
        <v>1</v>
      </c>
    </row>
    <row r="2528" spans="1:7" x14ac:dyDescent="0.25">
      <c r="A2528">
        <v>16</v>
      </c>
      <c r="B2528" t="s">
        <v>2491</v>
      </c>
      <c r="C2528">
        <v>13875</v>
      </c>
      <c r="D2528" t="str">
        <f>"0392-095X"</f>
        <v>0392-095X</v>
      </c>
      <c r="E2528" t="s">
        <v>8</v>
      </c>
      <c r="F2528" t="s">
        <v>2538</v>
      </c>
      <c r="G2528">
        <v>1</v>
      </c>
    </row>
    <row r="2529" spans="1:7" x14ac:dyDescent="0.25">
      <c r="A2529">
        <v>16</v>
      </c>
      <c r="B2529" t="s">
        <v>2491</v>
      </c>
      <c r="C2529">
        <v>16081</v>
      </c>
      <c r="D2529" t="str">
        <f>"0066-4774"</f>
        <v>0066-4774</v>
      </c>
      <c r="E2529" t="s">
        <v>8</v>
      </c>
      <c r="F2529" t="s">
        <v>2539</v>
      </c>
      <c r="G2529">
        <v>1</v>
      </c>
    </row>
    <row r="2530" spans="1:7" x14ac:dyDescent="0.25">
      <c r="A2530">
        <v>16</v>
      </c>
      <c r="B2530" t="s">
        <v>2491</v>
      </c>
      <c r="C2530">
        <v>448</v>
      </c>
      <c r="D2530" t="str">
        <f>"0003-5696"</f>
        <v>0003-5696</v>
      </c>
      <c r="E2530" t="s">
        <v>8</v>
      </c>
      <c r="F2530" t="s">
        <v>2540</v>
      </c>
      <c r="G2530">
        <v>1</v>
      </c>
    </row>
    <row r="2531" spans="1:7" x14ac:dyDescent="0.25">
      <c r="A2531">
        <v>16</v>
      </c>
      <c r="B2531" t="s">
        <v>2491</v>
      </c>
      <c r="C2531">
        <v>12805</v>
      </c>
      <c r="D2531" t="str">
        <f>"1131-6896"</f>
        <v>1131-6896</v>
      </c>
      <c r="E2531" t="s">
        <v>8</v>
      </c>
      <c r="F2531" t="s">
        <v>2541</v>
      </c>
      <c r="G2531">
        <v>1</v>
      </c>
    </row>
    <row r="2532" spans="1:7" x14ac:dyDescent="0.25">
      <c r="A2532">
        <v>16</v>
      </c>
      <c r="B2532" t="s">
        <v>2491</v>
      </c>
      <c r="C2532">
        <v>8103</v>
      </c>
      <c r="D2532" t="str">
        <f>"0003-6293"</f>
        <v>0003-6293</v>
      </c>
      <c r="E2532" t="s">
        <v>8</v>
      </c>
      <c r="F2532" t="s">
        <v>2542</v>
      </c>
      <c r="G2532">
        <v>1</v>
      </c>
    </row>
    <row r="2533" spans="1:7" x14ac:dyDescent="0.25">
      <c r="A2533">
        <v>16</v>
      </c>
      <c r="B2533" t="s">
        <v>2491</v>
      </c>
      <c r="C2533">
        <v>1843</v>
      </c>
      <c r="D2533" t="str">
        <f>"0066-6459"</f>
        <v>0066-6459</v>
      </c>
      <c r="E2533" t="s">
        <v>8</v>
      </c>
      <c r="F2533" t="s">
        <v>2543</v>
      </c>
      <c r="G2533">
        <v>1</v>
      </c>
    </row>
    <row r="2534" spans="1:7" x14ac:dyDescent="0.25">
      <c r="A2534">
        <v>16</v>
      </c>
      <c r="B2534" t="s">
        <v>2491</v>
      </c>
      <c r="C2534">
        <v>16259</v>
      </c>
      <c r="D2534" t="str">
        <f>"0373-5478"</f>
        <v>0373-5478</v>
      </c>
      <c r="E2534" t="s">
        <v>8</v>
      </c>
      <c r="F2534" t="s">
        <v>2544</v>
      </c>
      <c r="G2534">
        <v>1</v>
      </c>
    </row>
    <row r="2535" spans="1:7" x14ac:dyDescent="0.25">
      <c r="A2535">
        <v>16</v>
      </c>
      <c r="B2535" t="s">
        <v>2491</v>
      </c>
      <c r="C2535">
        <v>13288</v>
      </c>
      <c r="D2535" t="str">
        <f>"0004-0975"</f>
        <v>0004-0975</v>
      </c>
      <c r="E2535" t="s">
        <v>8</v>
      </c>
      <c r="F2535" t="s">
        <v>2545</v>
      </c>
      <c r="G2535">
        <v>1</v>
      </c>
    </row>
    <row r="2536" spans="1:7" x14ac:dyDescent="0.25">
      <c r="A2536">
        <v>16</v>
      </c>
      <c r="B2536" t="s">
        <v>2491</v>
      </c>
      <c r="C2536">
        <v>15698</v>
      </c>
      <c r="D2536" t="str">
        <f>"0095-5809"</f>
        <v>0095-5809</v>
      </c>
      <c r="E2536" t="s">
        <v>8</v>
      </c>
      <c r="F2536" t="s">
        <v>2546</v>
      </c>
      <c r="G2536">
        <v>1</v>
      </c>
    </row>
    <row r="2537" spans="1:7" x14ac:dyDescent="0.25">
      <c r="A2537">
        <v>16</v>
      </c>
      <c r="B2537" t="s">
        <v>2491</v>
      </c>
      <c r="C2537">
        <v>2894</v>
      </c>
      <c r="D2537" t="str">
        <f>"0927-4103"</f>
        <v>0927-4103</v>
      </c>
      <c r="E2537" t="s">
        <v>15</v>
      </c>
      <c r="F2537" t="s">
        <v>2547</v>
      </c>
      <c r="G2537">
        <v>1</v>
      </c>
    </row>
    <row r="2538" spans="1:7" x14ac:dyDescent="0.25">
      <c r="A2538">
        <v>16</v>
      </c>
      <c r="B2538" t="s">
        <v>2491</v>
      </c>
      <c r="C2538">
        <v>15587</v>
      </c>
      <c r="D2538" t="str">
        <f>"0004-6493"</f>
        <v>0004-6493</v>
      </c>
      <c r="E2538" t="s">
        <v>8</v>
      </c>
      <c r="F2538" t="s">
        <v>2548</v>
      </c>
      <c r="G2538">
        <v>1</v>
      </c>
    </row>
    <row r="2539" spans="1:7" x14ac:dyDescent="0.25">
      <c r="A2539">
        <v>16</v>
      </c>
      <c r="B2539" t="s">
        <v>2491</v>
      </c>
      <c r="C2539">
        <v>3710</v>
      </c>
      <c r="D2539" t="str">
        <f>"1211-3379"</f>
        <v>1211-3379</v>
      </c>
      <c r="E2539" t="s">
        <v>8</v>
      </c>
      <c r="F2539" t="s">
        <v>2549</v>
      </c>
      <c r="G2539">
        <v>1</v>
      </c>
    </row>
    <row r="2540" spans="1:7" x14ac:dyDescent="0.25">
      <c r="A2540">
        <v>16</v>
      </c>
      <c r="B2540" t="s">
        <v>2491</v>
      </c>
      <c r="C2540">
        <v>151976</v>
      </c>
      <c r="D2540" t="str">
        <f>"0005-3783"</f>
        <v>0005-3783</v>
      </c>
      <c r="E2540" t="s">
        <v>8</v>
      </c>
      <c r="F2540" t="s">
        <v>2550</v>
      </c>
      <c r="G2540">
        <v>1</v>
      </c>
    </row>
    <row r="2541" spans="1:7" x14ac:dyDescent="0.25">
      <c r="A2541">
        <v>16</v>
      </c>
      <c r="B2541" t="s">
        <v>2491</v>
      </c>
      <c r="C2541">
        <v>16630</v>
      </c>
      <c r="D2541" t="str">
        <f>"1384-6663"</f>
        <v>1384-6663</v>
      </c>
      <c r="E2541" t="s">
        <v>8</v>
      </c>
      <c r="F2541" t="s">
        <v>2551</v>
      </c>
      <c r="G2541">
        <v>1</v>
      </c>
    </row>
    <row r="2542" spans="1:7" x14ac:dyDescent="0.25">
      <c r="A2542">
        <v>16</v>
      </c>
      <c r="B2542" t="s">
        <v>2491</v>
      </c>
      <c r="C2542">
        <v>136039</v>
      </c>
      <c r="D2542" t="str">
        <f>"0872-2110"</f>
        <v>0872-2110</v>
      </c>
      <c r="E2542" t="s">
        <v>8</v>
      </c>
      <c r="F2542" t="s">
        <v>2552</v>
      </c>
      <c r="G2542">
        <v>1</v>
      </c>
    </row>
    <row r="2543" spans="1:7" x14ac:dyDescent="0.25">
      <c r="A2543">
        <v>16</v>
      </c>
      <c r="B2543" t="s">
        <v>2491</v>
      </c>
      <c r="C2543">
        <v>3881</v>
      </c>
      <c r="D2543" t="str">
        <f>"0392-842X"</f>
        <v>0392-842X</v>
      </c>
      <c r="E2543" t="s">
        <v>8</v>
      </c>
      <c r="F2543" t="s">
        <v>2553</v>
      </c>
      <c r="G2543">
        <v>1</v>
      </c>
    </row>
    <row r="2544" spans="1:7" x14ac:dyDescent="0.25">
      <c r="A2544">
        <v>16</v>
      </c>
      <c r="B2544" t="s">
        <v>2491</v>
      </c>
      <c r="C2544">
        <v>4798</v>
      </c>
      <c r="D2544" t="str">
        <f>"0006-6583"</f>
        <v>0006-6583</v>
      </c>
      <c r="E2544" t="s">
        <v>8</v>
      </c>
      <c r="F2544" t="s">
        <v>2554</v>
      </c>
      <c r="G2544">
        <v>1</v>
      </c>
    </row>
    <row r="2545" spans="1:7" x14ac:dyDescent="0.25">
      <c r="A2545">
        <v>16</v>
      </c>
      <c r="B2545" t="s">
        <v>2491</v>
      </c>
      <c r="C2545">
        <v>4649</v>
      </c>
      <c r="D2545" t="str">
        <f>"1063-2948"</f>
        <v>1063-2948</v>
      </c>
      <c r="E2545" t="s">
        <v>8</v>
      </c>
      <c r="F2545" t="s">
        <v>2555</v>
      </c>
      <c r="G2545">
        <v>1</v>
      </c>
    </row>
    <row r="2546" spans="1:7" x14ac:dyDescent="0.25">
      <c r="A2546">
        <v>16</v>
      </c>
      <c r="B2546" t="s">
        <v>2491</v>
      </c>
      <c r="C2546">
        <v>13914</v>
      </c>
      <c r="D2546" t="str">
        <f>"0982-3794"</f>
        <v>0982-3794</v>
      </c>
      <c r="E2546" t="s">
        <v>8</v>
      </c>
      <c r="F2546" t="s">
        <v>2556</v>
      </c>
      <c r="G2546">
        <v>1</v>
      </c>
    </row>
    <row r="2547" spans="1:7" x14ac:dyDescent="0.25">
      <c r="A2547">
        <v>16</v>
      </c>
      <c r="B2547" t="s">
        <v>2491</v>
      </c>
      <c r="C2547">
        <v>5396</v>
      </c>
      <c r="D2547" t="str">
        <f>"0994-8090"</f>
        <v>0994-8090</v>
      </c>
      <c r="E2547" t="s">
        <v>15</v>
      </c>
      <c r="F2547" t="s">
        <v>2557</v>
      </c>
      <c r="G2547">
        <v>1</v>
      </c>
    </row>
    <row r="2548" spans="1:7" x14ac:dyDescent="0.25">
      <c r="A2548">
        <v>16</v>
      </c>
      <c r="B2548" t="s">
        <v>2491</v>
      </c>
      <c r="C2548">
        <v>14536</v>
      </c>
      <c r="D2548" t="str">
        <f>"0003-1186"</f>
        <v>0003-1186</v>
      </c>
      <c r="E2548" t="s">
        <v>8</v>
      </c>
      <c r="F2548" t="s">
        <v>2558</v>
      </c>
      <c r="G2548">
        <v>1</v>
      </c>
    </row>
    <row r="2549" spans="1:7" x14ac:dyDescent="0.25">
      <c r="A2549">
        <v>16</v>
      </c>
      <c r="B2549" t="s">
        <v>2491</v>
      </c>
      <c r="C2549">
        <v>8078</v>
      </c>
      <c r="D2549" t="str">
        <f>"0076-0730"</f>
        <v>0076-0730</v>
      </c>
      <c r="E2549" t="s">
        <v>8</v>
      </c>
      <c r="F2549" t="s">
        <v>2559</v>
      </c>
      <c r="G2549">
        <v>1</v>
      </c>
    </row>
    <row r="2550" spans="1:7" x14ac:dyDescent="0.25">
      <c r="A2550">
        <v>16</v>
      </c>
      <c r="B2550" t="s">
        <v>2491</v>
      </c>
      <c r="C2550">
        <v>7792</v>
      </c>
      <c r="D2550" t="str">
        <f>"0167-5346"</f>
        <v>0167-5346</v>
      </c>
      <c r="E2550" t="s">
        <v>15</v>
      </c>
      <c r="F2550" t="s">
        <v>2560</v>
      </c>
      <c r="G2550">
        <v>1</v>
      </c>
    </row>
    <row r="2551" spans="1:7" x14ac:dyDescent="0.25">
      <c r="A2551">
        <v>16</v>
      </c>
      <c r="B2551" t="s">
        <v>2491</v>
      </c>
      <c r="C2551">
        <v>10644</v>
      </c>
      <c r="D2551" t="str">
        <f>"0007-7712"</f>
        <v>0007-7712</v>
      </c>
      <c r="E2551" t="s">
        <v>8</v>
      </c>
      <c r="F2551" t="s">
        <v>2561</v>
      </c>
      <c r="G2551">
        <v>1</v>
      </c>
    </row>
    <row r="2552" spans="1:7" x14ac:dyDescent="0.25">
      <c r="A2552">
        <v>16</v>
      </c>
      <c r="B2552" t="s">
        <v>2491</v>
      </c>
      <c r="C2552">
        <v>8946</v>
      </c>
      <c r="D2552" t="str">
        <f>"0783-2478"</f>
        <v>0783-2478</v>
      </c>
      <c r="E2552" t="s">
        <v>8</v>
      </c>
      <c r="F2552" t="s">
        <v>2562</v>
      </c>
      <c r="G2552">
        <v>1</v>
      </c>
    </row>
    <row r="2553" spans="1:7" x14ac:dyDescent="0.25">
      <c r="A2553">
        <v>16</v>
      </c>
      <c r="B2553" t="s">
        <v>2491</v>
      </c>
      <c r="C2553">
        <v>15097</v>
      </c>
      <c r="D2553" t="str">
        <f>"1123-8968"</f>
        <v>1123-8968</v>
      </c>
      <c r="E2553" t="s">
        <v>8</v>
      </c>
      <c r="F2553" t="s">
        <v>2563</v>
      </c>
      <c r="G2553">
        <v>1</v>
      </c>
    </row>
    <row r="2554" spans="1:7" x14ac:dyDescent="0.25">
      <c r="A2554">
        <v>16</v>
      </c>
      <c r="B2554" t="s">
        <v>2491</v>
      </c>
      <c r="C2554">
        <v>3020</v>
      </c>
      <c r="D2554" t="str">
        <f>"1587-6470"</f>
        <v>1587-6470</v>
      </c>
      <c r="E2554" t="s">
        <v>15</v>
      </c>
      <c r="F2554" t="s">
        <v>2564</v>
      </c>
      <c r="G2554">
        <v>1</v>
      </c>
    </row>
    <row r="2555" spans="1:7" x14ac:dyDescent="0.25">
      <c r="A2555">
        <v>16</v>
      </c>
      <c r="B2555" t="s">
        <v>2491</v>
      </c>
      <c r="C2555">
        <v>10857</v>
      </c>
      <c r="D2555" t="str">
        <f>"0069-3715"</f>
        <v>0069-3715</v>
      </c>
      <c r="E2555" t="s">
        <v>8</v>
      </c>
      <c r="F2555" t="s">
        <v>2565</v>
      </c>
      <c r="G2555">
        <v>1</v>
      </c>
    </row>
    <row r="2556" spans="1:7" x14ac:dyDescent="0.25">
      <c r="A2556">
        <v>16</v>
      </c>
      <c r="B2556" t="s">
        <v>2491</v>
      </c>
      <c r="C2556">
        <v>13845</v>
      </c>
      <c r="D2556" t="str">
        <f>"0009-6687"</f>
        <v>0009-6687</v>
      </c>
      <c r="E2556" t="s">
        <v>8</v>
      </c>
      <c r="F2556" t="s">
        <v>2566</v>
      </c>
      <c r="G2556">
        <v>1</v>
      </c>
    </row>
    <row r="2557" spans="1:7" x14ac:dyDescent="0.25">
      <c r="A2557">
        <v>16</v>
      </c>
      <c r="B2557" t="s">
        <v>2491</v>
      </c>
      <c r="C2557">
        <v>14960</v>
      </c>
      <c r="D2557" t="str">
        <f>"0197-2227"</f>
        <v>0197-2227</v>
      </c>
      <c r="E2557" t="s">
        <v>8</v>
      </c>
      <c r="F2557" t="s">
        <v>2567</v>
      </c>
      <c r="G2557">
        <v>1</v>
      </c>
    </row>
    <row r="2558" spans="1:7" x14ac:dyDescent="0.25">
      <c r="A2558">
        <v>16</v>
      </c>
      <c r="B2558" t="s">
        <v>2491</v>
      </c>
      <c r="C2558">
        <v>16401</v>
      </c>
      <c r="D2558" t="str">
        <f>"0009-8418"</f>
        <v>0009-8418</v>
      </c>
      <c r="E2558" t="s">
        <v>8</v>
      </c>
      <c r="F2558" t="s">
        <v>2568</v>
      </c>
      <c r="G2558">
        <v>1</v>
      </c>
    </row>
    <row r="2559" spans="1:7" x14ac:dyDescent="0.25">
      <c r="A2559">
        <v>16</v>
      </c>
      <c r="B2559" t="s">
        <v>2491</v>
      </c>
      <c r="C2559">
        <v>12019</v>
      </c>
      <c r="D2559" t="str">
        <f>"0791-9417"</f>
        <v>0791-9417</v>
      </c>
      <c r="E2559" t="s">
        <v>8</v>
      </c>
      <c r="F2559" t="s">
        <v>2569</v>
      </c>
      <c r="G2559">
        <v>1</v>
      </c>
    </row>
    <row r="2560" spans="1:7" x14ac:dyDescent="0.25">
      <c r="A2560">
        <v>16</v>
      </c>
      <c r="B2560" t="s">
        <v>2491</v>
      </c>
      <c r="C2560">
        <v>15284</v>
      </c>
      <c r="D2560" t="str">
        <f>"0166-1302"</f>
        <v>0166-1302</v>
      </c>
      <c r="E2560" t="s">
        <v>15</v>
      </c>
      <c r="F2560" t="s">
        <v>2570</v>
      </c>
      <c r="G2560">
        <v>1</v>
      </c>
    </row>
    <row r="2561" spans="1:7" x14ac:dyDescent="0.25">
      <c r="A2561">
        <v>16</v>
      </c>
      <c r="B2561" t="s">
        <v>2491</v>
      </c>
      <c r="C2561">
        <v>130118</v>
      </c>
      <c r="D2561" t="str">
        <f>"1131-9070"</f>
        <v>1131-9070</v>
      </c>
      <c r="E2561" t="s">
        <v>8</v>
      </c>
      <c r="F2561" t="s">
        <v>2571</v>
      </c>
      <c r="G2561">
        <v>1</v>
      </c>
    </row>
    <row r="2562" spans="1:7" x14ac:dyDescent="0.25">
      <c r="A2562">
        <v>16</v>
      </c>
      <c r="B2562" t="s">
        <v>2491</v>
      </c>
      <c r="C2562">
        <v>43699</v>
      </c>
      <c r="D2562" t="str">
        <f>"1128-8221"</f>
        <v>1128-8221</v>
      </c>
      <c r="E2562" t="s">
        <v>8</v>
      </c>
      <c r="F2562" t="s">
        <v>2572</v>
      </c>
      <c r="G2562">
        <v>1</v>
      </c>
    </row>
    <row r="2563" spans="1:7" x14ac:dyDescent="0.25">
      <c r="A2563">
        <v>16</v>
      </c>
      <c r="B2563" t="s">
        <v>2491</v>
      </c>
      <c r="C2563">
        <v>151988</v>
      </c>
      <c r="D2563" t="str">
        <f>"1122-5750"</f>
        <v>1122-5750</v>
      </c>
      <c r="E2563" t="s">
        <v>15</v>
      </c>
      <c r="F2563" t="s">
        <v>2573</v>
      </c>
      <c r="G2563">
        <v>1</v>
      </c>
    </row>
    <row r="2564" spans="1:7" x14ac:dyDescent="0.25">
      <c r="A2564">
        <v>16</v>
      </c>
      <c r="B2564" t="s">
        <v>2491</v>
      </c>
      <c r="C2564">
        <v>7931</v>
      </c>
      <c r="D2564" t="str">
        <f>"1121-8819"</f>
        <v>1121-8819</v>
      </c>
      <c r="E2564" t="s">
        <v>8</v>
      </c>
      <c r="F2564" t="s">
        <v>2574</v>
      </c>
      <c r="G2564">
        <v>1</v>
      </c>
    </row>
    <row r="2565" spans="1:7" x14ac:dyDescent="0.25">
      <c r="A2565">
        <v>16</v>
      </c>
      <c r="B2565" t="s">
        <v>2491</v>
      </c>
      <c r="C2565">
        <v>15910</v>
      </c>
      <c r="D2565" t="str">
        <f>"0046-1628"</f>
        <v>0046-1628</v>
      </c>
      <c r="E2565" t="s">
        <v>8</v>
      </c>
      <c r="F2565" t="s">
        <v>2575</v>
      </c>
      <c r="G2565">
        <v>1</v>
      </c>
    </row>
    <row r="2566" spans="1:7" x14ac:dyDescent="0.25">
      <c r="A2566">
        <v>16</v>
      </c>
      <c r="B2566" t="s">
        <v>2491</v>
      </c>
      <c r="C2566">
        <v>13496</v>
      </c>
      <c r="D2566" t="str">
        <f>"0013-9947"</f>
        <v>0013-9947</v>
      </c>
      <c r="E2566" t="s">
        <v>8</v>
      </c>
      <c r="F2566" t="s">
        <v>2576</v>
      </c>
      <c r="G2566">
        <v>1</v>
      </c>
    </row>
    <row r="2567" spans="1:7" x14ac:dyDescent="0.25">
      <c r="A2567">
        <v>16</v>
      </c>
      <c r="B2567" t="s">
        <v>2491</v>
      </c>
      <c r="C2567">
        <v>12029</v>
      </c>
      <c r="D2567" t="str">
        <f>"0212-9264"</f>
        <v>0212-9264</v>
      </c>
      <c r="E2567" t="s">
        <v>8</v>
      </c>
      <c r="F2567" t="s">
        <v>2577</v>
      </c>
      <c r="G2567">
        <v>1</v>
      </c>
    </row>
    <row r="2568" spans="1:7" x14ac:dyDescent="0.25">
      <c r="A2568">
        <v>16</v>
      </c>
      <c r="B2568" t="s">
        <v>2491</v>
      </c>
      <c r="C2568">
        <v>139101</v>
      </c>
      <c r="D2568" t="str">
        <f>"0870-0133"</f>
        <v>0870-0133</v>
      </c>
      <c r="E2568" t="s">
        <v>8</v>
      </c>
      <c r="F2568" t="s">
        <v>2578</v>
      </c>
      <c r="G2568">
        <v>1</v>
      </c>
    </row>
    <row r="2569" spans="1:7" x14ac:dyDescent="0.25">
      <c r="A2569">
        <v>16</v>
      </c>
      <c r="B2569" t="s">
        <v>2491</v>
      </c>
      <c r="C2569">
        <v>53349</v>
      </c>
      <c r="D2569" t="str">
        <f>"1699-3225"</f>
        <v>1699-3225</v>
      </c>
      <c r="E2569" t="s">
        <v>8</v>
      </c>
      <c r="F2569" t="s">
        <v>2579</v>
      </c>
      <c r="G2569">
        <v>1</v>
      </c>
    </row>
    <row r="2570" spans="1:7" x14ac:dyDescent="0.25">
      <c r="A2570">
        <v>16</v>
      </c>
      <c r="B2570" t="s">
        <v>2491</v>
      </c>
      <c r="C2570">
        <v>154902</v>
      </c>
      <c r="D2570" t="str">
        <f>"0210-7570"</f>
        <v>0210-7570</v>
      </c>
      <c r="E2570" t="s">
        <v>8</v>
      </c>
      <c r="F2570" t="s">
        <v>2580</v>
      </c>
      <c r="G2570">
        <v>1</v>
      </c>
    </row>
    <row r="2571" spans="1:7" x14ac:dyDescent="0.25">
      <c r="A2571">
        <v>16</v>
      </c>
      <c r="B2571" t="s">
        <v>2491</v>
      </c>
      <c r="C2571">
        <v>15692</v>
      </c>
      <c r="D2571" t="str">
        <f>"1123-4059"</f>
        <v>1123-4059</v>
      </c>
      <c r="E2571" t="s">
        <v>8</v>
      </c>
      <c r="F2571" t="s">
        <v>2581</v>
      </c>
      <c r="G2571">
        <v>1</v>
      </c>
    </row>
    <row r="2572" spans="1:7" x14ac:dyDescent="0.25">
      <c r="A2572">
        <v>16</v>
      </c>
      <c r="B2572" t="s">
        <v>2491</v>
      </c>
      <c r="C2572">
        <v>15622</v>
      </c>
      <c r="D2572" t="str">
        <f>"0709-5201"</f>
        <v>0709-5201</v>
      </c>
      <c r="E2572" t="s">
        <v>8</v>
      </c>
      <c r="F2572" t="s">
        <v>2582</v>
      </c>
      <c r="G2572">
        <v>1</v>
      </c>
    </row>
    <row r="2573" spans="1:7" x14ac:dyDescent="0.25">
      <c r="A2573">
        <v>16</v>
      </c>
      <c r="B2573" t="s">
        <v>2491</v>
      </c>
      <c r="C2573">
        <v>74875</v>
      </c>
      <c r="D2573" t="str">
        <f>"0213-0181"</f>
        <v>0213-0181</v>
      </c>
      <c r="E2573" t="s">
        <v>8</v>
      </c>
      <c r="F2573" t="s">
        <v>2583</v>
      </c>
      <c r="G2573">
        <v>1</v>
      </c>
    </row>
    <row r="2574" spans="1:7" x14ac:dyDescent="0.25">
      <c r="A2574">
        <v>16</v>
      </c>
      <c r="B2574" t="s">
        <v>2491</v>
      </c>
      <c r="C2574">
        <v>7474</v>
      </c>
      <c r="D2574" t="str">
        <f>"0017-0461"</f>
        <v>0017-0461</v>
      </c>
      <c r="E2574" t="s">
        <v>8</v>
      </c>
      <c r="F2574" t="s">
        <v>2584</v>
      </c>
      <c r="G2574">
        <v>1</v>
      </c>
    </row>
    <row r="2575" spans="1:7" x14ac:dyDescent="0.25">
      <c r="A2575">
        <v>16</v>
      </c>
      <c r="B2575" t="s">
        <v>2491</v>
      </c>
      <c r="C2575">
        <v>11591</v>
      </c>
      <c r="D2575" t="str">
        <f>"0017-1298"</f>
        <v>0017-1298</v>
      </c>
      <c r="E2575" t="s">
        <v>8</v>
      </c>
      <c r="F2575" t="s">
        <v>2585</v>
      </c>
      <c r="G2575">
        <v>1</v>
      </c>
    </row>
    <row r="2576" spans="1:7" x14ac:dyDescent="0.25">
      <c r="A2576">
        <v>16</v>
      </c>
      <c r="B2576" t="s">
        <v>2491</v>
      </c>
      <c r="C2576">
        <v>12926</v>
      </c>
      <c r="D2576" t="str">
        <f>"0017-1549"</f>
        <v>0017-1549</v>
      </c>
      <c r="E2576" t="s">
        <v>8</v>
      </c>
      <c r="F2576" t="s">
        <v>2586</v>
      </c>
      <c r="G2576">
        <v>1</v>
      </c>
    </row>
    <row r="2577" spans="1:7" x14ac:dyDescent="0.25">
      <c r="A2577">
        <v>16</v>
      </c>
      <c r="B2577" t="s">
        <v>2491</v>
      </c>
      <c r="C2577">
        <v>14653</v>
      </c>
      <c r="D2577" t="str">
        <f>"0083-4114"</f>
        <v>0083-4114</v>
      </c>
      <c r="E2577" t="s">
        <v>15</v>
      </c>
      <c r="F2577" t="s">
        <v>2587</v>
      </c>
      <c r="G2577">
        <v>1</v>
      </c>
    </row>
    <row r="2578" spans="1:7" x14ac:dyDescent="0.25">
      <c r="A2578">
        <v>16</v>
      </c>
      <c r="B2578" t="s">
        <v>2491</v>
      </c>
      <c r="C2578">
        <v>1946</v>
      </c>
      <c r="D2578" t="str">
        <f>"0376-5253"</f>
        <v>0376-5253</v>
      </c>
      <c r="E2578" t="s">
        <v>8</v>
      </c>
      <c r="F2578" t="s">
        <v>2588</v>
      </c>
      <c r="G2578">
        <v>1</v>
      </c>
    </row>
    <row r="2579" spans="1:7" x14ac:dyDescent="0.25">
      <c r="A2579">
        <v>16</v>
      </c>
      <c r="B2579" t="s">
        <v>2491</v>
      </c>
      <c r="C2579">
        <v>9489</v>
      </c>
      <c r="D2579" t="str">
        <f>"0017-3835"</f>
        <v>0017-3835</v>
      </c>
      <c r="E2579" t="s">
        <v>8</v>
      </c>
      <c r="F2579" t="s">
        <v>2589</v>
      </c>
      <c r="G2579">
        <v>1</v>
      </c>
    </row>
    <row r="2580" spans="1:7" x14ac:dyDescent="0.25">
      <c r="A2580">
        <v>16</v>
      </c>
      <c r="B2580" t="s">
        <v>2491</v>
      </c>
      <c r="C2580">
        <v>3950</v>
      </c>
      <c r="D2580" t="str">
        <f>"0342-5231"</f>
        <v>0342-5231</v>
      </c>
      <c r="E2580" t="s">
        <v>8</v>
      </c>
      <c r="F2580" t="s">
        <v>2590</v>
      </c>
      <c r="G2580">
        <v>1</v>
      </c>
    </row>
    <row r="2581" spans="1:7" x14ac:dyDescent="0.25">
      <c r="A2581">
        <v>16</v>
      </c>
      <c r="B2581" t="s">
        <v>2491</v>
      </c>
      <c r="C2581">
        <v>1561</v>
      </c>
      <c r="D2581" t="str">
        <f>"0210-7694"</f>
        <v>0210-7694</v>
      </c>
      <c r="E2581" t="s">
        <v>8</v>
      </c>
      <c r="F2581" t="s">
        <v>2591</v>
      </c>
      <c r="G2581">
        <v>1</v>
      </c>
    </row>
    <row r="2582" spans="1:7" x14ac:dyDescent="0.25">
      <c r="A2582">
        <v>16</v>
      </c>
      <c r="B2582" t="s">
        <v>2491</v>
      </c>
      <c r="C2582">
        <v>1045</v>
      </c>
      <c r="D2582" t="str">
        <f>"0160-0923"</f>
        <v>0160-0923</v>
      </c>
      <c r="E2582" t="s">
        <v>8</v>
      </c>
      <c r="F2582" t="s">
        <v>2592</v>
      </c>
      <c r="G2582">
        <v>1</v>
      </c>
    </row>
    <row r="2583" spans="1:7" x14ac:dyDescent="0.25">
      <c r="A2583">
        <v>16</v>
      </c>
      <c r="B2583" t="s">
        <v>2491</v>
      </c>
      <c r="C2583">
        <v>7920</v>
      </c>
      <c r="D2583" t="str">
        <f>"0018-0750"</f>
        <v>0018-0750</v>
      </c>
      <c r="E2583" t="s">
        <v>8</v>
      </c>
      <c r="F2583" t="s">
        <v>2593</v>
      </c>
      <c r="G2583">
        <v>1</v>
      </c>
    </row>
    <row r="2584" spans="1:7" x14ac:dyDescent="0.25">
      <c r="A2584">
        <v>16</v>
      </c>
      <c r="B2584" t="s">
        <v>2491</v>
      </c>
      <c r="C2584">
        <v>8782946</v>
      </c>
      <c r="D2584" t="str">
        <f>"2468-2314"</f>
        <v>2468-2314</v>
      </c>
      <c r="E2584" t="s">
        <v>15</v>
      </c>
      <c r="F2584" t="s">
        <v>2594</v>
      </c>
      <c r="G2584">
        <v>1</v>
      </c>
    </row>
    <row r="2585" spans="1:7" x14ac:dyDescent="0.25">
      <c r="A2585">
        <v>16</v>
      </c>
      <c r="B2585" t="s">
        <v>2491</v>
      </c>
      <c r="C2585">
        <v>16835</v>
      </c>
      <c r="D2585" t="str">
        <f>"0774-2908"</f>
        <v>0774-2908</v>
      </c>
      <c r="E2585" t="s">
        <v>8</v>
      </c>
      <c r="F2585" t="s">
        <v>2595</v>
      </c>
      <c r="G2585">
        <v>1</v>
      </c>
    </row>
    <row r="2586" spans="1:7" x14ac:dyDescent="0.25">
      <c r="A2586">
        <v>16</v>
      </c>
      <c r="B2586" t="s">
        <v>2491</v>
      </c>
      <c r="C2586">
        <v>15824</v>
      </c>
      <c r="D2586" t="str">
        <f>"0871-1569"</f>
        <v>0871-1569</v>
      </c>
      <c r="E2586" t="s">
        <v>8</v>
      </c>
      <c r="F2586" t="s">
        <v>2596</v>
      </c>
      <c r="G2586">
        <v>1</v>
      </c>
    </row>
    <row r="2587" spans="1:7" x14ac:dyDescent="0.25">
      <c r="A2587">
        <v>16</v>
      </c>
      <c r="B2587" t="s">
        <v>2491</v>
      </c>
      <c r="C2587">
        <v>1716</v>
      </c>
      <c r="D2587" t="str">
        <f>"0949-2615"</f>
        <v>0949-2615</v>
      </c>
      <c r="E2587" t="s">
        <v>8</v>
      </c>
      <c r="F2587" t="s">
        <v>2597</v>
      </c>
      <c r="G2587">
        <v>1</v>
      </c>
    </row>
    <row r="2588" spans="1:7" x14ac:dyDescent="0.25">
      <c r="A2588">
        <v>16</v>
      </c>
      <c r="B2588" t="s">
        <v>2491</v>
      </c>
      <c r="C2588">
        <v>10994</v>
      </c>
      <c r="D2588" t="str">
        <f>"0363-1923"</f>
        <v>0363-1923</v>
      </c>
      <c r="E2588" t="s">
        <v>8</v>
      </c>
      <c r="F2588" t="s">
        <v>2598</v>
      </c>
      <c r="G2588">
        <v>1</v>
      </c>
    </row>
    <row r="2589" spans="1:7" x14ac:dyDescent="0.25">
      <c r="A2589">
        <v>16</v>
      </c>
      <c r="B2589" t="s">
        <v>2491</v>
      </c>
      <c r="C2589">
        <v>3692</v>
      </c>
      <c r="D2589" t="str">
        <f>"0153-5021"</f>
        <v>0153-5021</v>
      </c>
      <c r="E2589" t="s">
        <v>8</v>
      </c>
      <c r="F2589" t="s">
        <v>2599</v>
      </c>
      <c r="G2589">
        <v>1</v>
      </c>
    </row>
    <row r="2590" spans="1:7" x14ac:dyDescent="0.25">
      <c r="A2590">
        <v>16</v>
      </c>
      <c r="B2590" t="s">
        <v>2491</v>
      </c>
      <c r="C2590">
        <v>7133</v>
      </c>
      <c r="D2590" t="str">
        <f>"1073-0508"</f>
        <v>1073-0508</v>
      </c>
      <c r="E2590" t="s">
        <v>8</v>
      </c>
      <c r="F2590" t="s">
        <v>2600</v>
      </c>
      <c r="G2590">
        <v>1</v>
      </c>
    </row>
    <row r="2591" spans="1:7" x14ac:dyDescent="0.25">
      <c r="A2591">
        <v>16</v>
      </c>
      <c r="B2591" t="s">
        <v>2491</v>
      </c>
      <c r="C2591">
        <v>7707176</v>
      </c>
      <c r="D2591" t="str">
        <f>"1879-9787"</f>
        <v>1879-9787</v>
      </c>
      <c r="E2591" t="s">
        <v>15</v>
      </c>
      <c r="F2591" t="s">
        <v>2601</v>
      </c>
      <c r="G2591">
        <v>1</v>
      </c>
    </row>
    <row r="2592" spans="1:7" x14ac:dyDescent="0.25">
      <c r="A2592">
        <v>16</v>
      </c>
      <c r="B2592" t="s">
        <v>2491</v>
      </c>
      <c r="C2592">
        <v>9375</v>
      </c>
      <c r="D2592" t="str">
        <f>"0213-6643"</f>
        <v>0213-6643</v>
      </c>
      <c r="E2592" t="s">
        <v>8</v>
      </c>
      <c r="F2592" t="s">
        <v>2602</v>
      </c>
      <c r="G2592">
        <v>1</v>
      </c>
    </row>
    <row r="2593" spans="1:7" x14ac:dyDescent="0.25">
      <c r="A2593">
        <v>16</v>
      </c>
      <c r="B2593" t="s">
        <v>2491</v>
      </c>
      <c r="C2593">
        <v>6127</v>
      </c>
      <c r="D2593" t="str">
        <f>"0391-7495"</f>
        <v>0391-7495</v>
      </c>
      <c r="E2593" t="s">
        <v>8</v>
      </c>
      <c r="F2593" t="s">
        <v>2603</v>
      </c>
      <c r="G2593">
        <v>1</v>
      </c>
    </row>
    <row r="2594" spans="1:7" x14ac:dyDescent="0.25">
      <c r="A2594">
        <v>16</v>
      </c>
      <c r="B2594" t="s">
        <v>2491</v>
      </c>
      <c r="C2594">
        <v>12360</v>
      </c>
      <c r="D2594" t="str">
        <f>"0378-8660"</f>
        <v>0378-8660</v>
      </c>
      <c r="E2594" t="s">
        <v>8</v>
      </c>
      <c r="F2594" t="s">
        <v>2604</v>
      </c>
      <c r="G2594">
        <v>1</v>
      </c>
    </row>
    <row r="2595" spans="1:7" x14ac:dyDescent="0.25">
      <c r="A2595">
        <v>16</v>
      </c>
      <c r="B2595" t="s">
        <v>2491</v>
      </c>
      <c r="C2595">
        <v>3600</v>
      </c>
      <c r="D2595" t="str">
        <f>"1741-7627"</f>
        <v>1741-7627</v>
      </c>
      <c r="E2595" t="s">
        <v>8</v>
      </c>
      <c r="F2595" t="s">
        <v>2605</v>
      </c>
      <c r="G2595">
        <v>1</v>
      </c>
    </row>
    <row r="2596" spans="1:7" x14ac:dyDescent="0.25">
      <c r="A2596">
        <v>16</v>
      </c>
      <c r="B2596" t="s">
        <v>2491</v>
      </c>
      <c r="C2596">
        <v>8663</v>
      </c>
      <c r="D2596" t="str">
        <f>"0022-7498"</f>
        <v>0022-7498</v>
      </c>
      <c r="E2596" t="s">
        <v>8</v>
      </c>
      <c r="F2596" t="s">
        <v>2606</v>
      </c>
      <c r="G2596">
        <v>1</v>
      </c>
    </row>
    <row r="2597" spans="1:7" x14ac:dyDescent="0.25">
      <c r="A2597">
        <v>16</v>
      </c>
      <c r="B2597" t="s">
        <v>2491</v>
      </c>
      <c r="C2597">
        <v>876</v>
      </c>
      <c r="D2597" t="str">
        <f>"0776-3824"</f>
        <v>0776-3824</v>
      </c>
      <c r="E2597" t="s">
        <v>8</v>
      </c>
      <c r="F2597" t="s">
        <v>2607</v>
      </c>
      <c r="G2597">
        <v>1</v>
      </c>
    </row>
    <row r="2598" spans="1:7" x14ac:dyDescent="0.25">
      <c r="A2598">
        <v>16</v>
      </c>
      <c r="B2598" t="s">
        <v>2491</v>
      </c>
      <c r="C2598">
        <v>20554</v>
      </c>
      <c r="D2598" t="str">
        <f>"0023-4567"</f>
        <v>0023-4567</v>
      </c>
      <c r="E2598" t="s">
        <v>8</v>
      </c>
      <c r="F2598" t="s">
        <v>2608</v>
      </c>
      <c r="G2598">
        <v>1</v>
      </c>
    </row>
    <row r="2599" spans="1:7" x14ac:dyDescent="0.25">
      <c r="A2599">
        <v>16</v>
      </c>
      <c r="B2599" t="s">
        <v>2491</v>
      </c>
      <c r="C2599">
        <v>48930</v>
      </c>
      <c r="D2599" t="str">
        <f>"0221-5896"</f>
        <v>0221-5896</v>
      </c>
      <c r="E2599" t="s">
        <v>8</v>
      </c>
      <c r="F2599" t="s">
        <v>2609</v>
      </c>
      <c r="G2599">
        <v>1</v>
      </c>
    </row>
    <row r="2600" spans="1:7" x14ac:dyDescent="0.25">
      <c r="A2600">
        <v>16</v>
      </c>
      <c r="B2600" t="s">
        <v>2491</v>
      </c>
      <c r="C2600">
        <v>14999</v>
      </c>
      <c r="D2600" t="str">
        <f>"0031-2355"</f>
        <v>0031-2355</v>
      </c>
      <c r="E2600" t="s">
        <v>8</v>
      </c>
      <c r="F2600" t="s">
        <v>2610</v>
      </c>
      <c r="G2600">
        <v>1</v>
      </c>
    </row>
    <row r="2601" spans="1:7" x14ac:dyDescent="0.25">
      <c r="A2601">
        <v>16</v>
      </c>
      <c r="B2601" t="s">
        <v>2491</v>
      </c>
      <c r="C2601">
        <v>9713</v>
      </c>
      <c r="D2601" t="str">
        <f>"0165-8204"</f>
        <v>0165-8204</v>
      </c>
      <c r="E2601" t="s">
        <v>8</v>
      </c>
      <c r="F2601" t="s">
        <v>2611</v>
      </c>
      <c r="G2601">
        <v>1</v>
      </c>
    </row>
    <row r="2602" spans="1:7" x14ac:dyDescent="0.25">
      <c r="A2602">
        <v>16</v>
      </c>
      <c r="B2602" t="s">
        <v>2491</v>
      </c>
      <c r="C2602">
        <v>9947</v>
      </c>
      <c r="D2602" t="str">
        <f>"0023-883X"</f>
        <v>0023-883X</v>
      </c>
      <c r="E2602" t="s">
        <v>8</v>
      </c>
      <c r="F2602" t="s">
        <v>2612</v>
      </c>
      <c r="G2602">
        <v>1</v>
      </c>
    </row>
    <row r="2603" spans="1:7" x14ac:dyDescent="0.25">
      <c r="A2603">
        <v>16</v>
      </c>
      <c r="B2603" t="s">
        <v>2491</v>
      </c>
      <c r="C2603">
        <v>4438</v>
      </c>
      <c r="D2603" t="str">
        <f>"0023-8856"</f>
        <v>0023-8856</v>
      </c>
      <c r="E2603" t="s">
        <v>8</v>
      </c>
      <c r="F2603" t="s">
        <v>2613</v>
      </c>
      <c r="G2603">
        <v>1</v>
      </c>
    </row>
    <row r="2604" spans="1:7" x14ac:dyDescent="0.25">
      <c r="A2604">
        <v>16</v>
      </c>
      <c r="B2604" t="s">
        <v>2491</v>
      </c>
      <c r="C2604">
        <v>1609</v>
      </c>
      <c r="E2604" t="s">
        <v>8</v>
      </c>
      <c r="F2604" t="s">
        <v>2614</v>
      </c>
      <c r="G2604">
        <v>1</v>
      </c>
    </row>
    <row r="2605" spans="1:7" x14ac:dyDescent="0.25">
      <c r="A2605">
        <v>16</v>
      </c>
      <c r="B2605" t="s">
        <v>2491</v>
      </c>
      <c r="C2605">
        <v>15034</v>
      </c>
      <c r="D2605" t="str">
        <f>"0014-200X"</f>
        <v>0014-200X</v>
      </c>
      <c r="E2605" t="s">
        <v>8</v>
      </c>
      <c r="F2605" t="s">
        <v>2615</v>
      </c>
      <c r="G2605">
        <v>1</v>
      </c>
    </row>
    <row r="2606" spans="1:7" x14ac:dyDescent="0.25">
      <c r="A2606">
        <v>16</v>
      </c>
      <c r="B2606" t="s">
        <v>2491</v>
      </c>
      <c r="C2606">
        <v>9395</v>
      </c>
      <c r="D2606" t="str">
        <f>"1129-4981"</f>
        <v>1129-4981</v>
      </c>
      <c r="E2606" t="s">
        <v>8</v>
      </c>
      <c r="F2606" t="s">
        <v>2616</v>
      </c>
      <c r="G2606">
        <v>1</v>
      </c>
    </row>
    <row r="2607" spans="1:7" x14ac:dyDescent="0.25">
      <c r="A2607">
        <v>16</v>
      </c>
      <c r="B2607" t="s">
        <v>2491</v>
      </c>
      <c r="C2607">
        <v>91336</v>
      </c>
      <c r="D2607" t="str">
        <f>"1825-9189"</f>
        <v>1825-9189</v>
      </c>
      <c r="E2607" t="s">
        <v>8</v>
      </c>
      <c r="F2607" t="s">
        <v>2617</v>
      </c>
      <c r="G2607">
        <v>1</v>
      </c>
    </row>
    <row r="2608" spans="1:7" x14ac:dyDescent="0.25">
      <c r="A2608">
        <v>16</v>
      </c>
      <c r="B2608" t="s">
        <v>2491</v>
      </c>
      <c r="C2608">
        <v>16072</v>
      </c>
      <c r="D2608" t="str">
        <f>"0992-5279"</f>
        <v>0992-5279</v>
      </c>
      <c r="E2608" t="s">
        <v>8</v>
      </c>
      <c r="F2608" t="s">
        <v>2618</v>
      </c>
      <c r="G2608">
        <v>1</v>
      </c>
    </row>
    <row r="2609" spans="1:7" x14ac:dyDescent="0.25">
      <c r="A2609">
        <v>16</v>
      </c>
      <c r="B2609" t="s">
        <v>2491</v>
      </c>
      <c r="C2609">
        <v>7743911</v>
      </c>
      <c r="D2609" t="str">
        <f>"2241-2425"</f>
        <v>2241-2425</v>
      </c>
      <c r="E2609" t="s">
        <v>8</v>
      </c>
      <c r="F2609" t="s">
        <v>2619</v>
      </c>
      <c r="G2609">
        <v>1</v>
      </c>
    </row>
    <row r="2610" spans="1:7" x14ac:dyDescent="0.25">
      <c r="A2610">
        <v>16</v>
      </c>
      <c r="B2610" t="s">
        <v>2491</v>
      </c>
      <c r="C2610">
        <v>11193</v>
      </c>
      <c r="D2610" t="str">
        <f>"0165-9421"</f>
        <v>0165-9421</v>
      </c>
      <c r="E2610" t="s">
        <v>15</v>
      </c>
      <c r="F2610" t="s">
        <v>2620</v>
      </c>
      <c r="G2610">
        <v>1</v>
      </c>
    </row>
    <row r="2611" spans="1:7" x14ac:dyDescent="0.25">
      <c r="A2611">
        <v>16</v>
      </c>
      <c r="B2611" t="s">
        <v>2491</v>
      </c>
      <c r="C2611">
        <v>73946</v>
      </c>
      <c r="D2611" t="str">
        <f>"0024-7421"</f>
        <v>0024-7421</v>
      </c>
      <c r="E2611" t="s">
        <v>15</v>
      </c>
      <c r="F2611" t="s">
        <v>2621</v>
      </c>
      <c r="G2611">
        <v>1</v>
      </c>
    </row>
    <row r="2612" spans="1:7" x14ac:dyDescent="0.25">
      <c r="A2612">
        <v>16</v>
      </c>
      <c r="B2612" t="s">
        <v>2491</v>
      </c>
      <c r="C2612">
        <v>16108</v>
      </c>
      <c r="D2612" t="str">
        <f>"0025-0538"</f>
        <v>0025-0538</v>
      </c>
      <c r="E2612" t="s">
        <v>8</v>
      </c>
      <c r="F2612" t="s">
        <v>2622</v>
      </c>
      <c r="G2612">
        <v>1</v>
      </c>
    </row>
    <row r="2613" spans="1:7" x14ac:dyDescent="0.25">
      <c r="A2613">
        <v>16</v>
      </c>
      <c r="B2613" t="s">
        <v>2491</v>
      </c>
      <c r="C2613">
        <v>17842</v>
      </c>
      <c r="D2613" t="str">
        <f>"0025-2603"</f>
        <v>0025-2603</v>
      </c>
      <c r="E2613" t="s">
        <v>8</v>
      </c>
      <c r="F2613" t="s">
        <v>2623</v>
      </c>
      <c r="G2613">
        <v>1</v>
      </c>
    </row>
    <row r="2614" spans="1:7" x14ac:dyDescent="0.25">
      <c r="A2614">
        <v>16</v>
      </c>
      <c r="B2614" t="s">
        <v>2491</v>
      </c>
      <c r="C2614">
        <v>1644</v>
      </c>
      <c r="D2614" t="str">
        <f>"0392-6338"</f>
        <v>0392-6338</v>
      </c>
      <c r="E2614" t="s">
        <v>8</v>
      </c>
      <c r="F2614" t="s">
        <v>2624</v>
      </c>
      <c r="G2614">
        <v>1</v>
      </c>
    </row>
    <row r="2615" spans="1:7" x14ac:dyDescent="0.25">
      <c r="A2615">
        <v>16</v>
      </c>
      <c r="B2615" t="s">
        <v>2491</v>
      </c>
      <c r="C2615">
        <v>6024</v>
      </c>
      <c r="D2615" t="str">
        <f>"0076-6127"</f>
        <v>0076-6127</v>
      </c>
      <c r="E2615" t="s">
        <v>15</v>
      </c>
      <c r="F2615" t="s">
        <v>2625</v>
      </c>
      <c r="G2615">
        <v>1</v>
      </c>
    </row>
    <row r="2616" spans="1:7" x14ac:dyDescent="0.25">
      <c r="A2616">
        <v>16</v>
      </c>
      <c r="B2616" t="s">
        <v>2491</v>
      </c>
      <c r="C2616">
        <v>34798</v>
      </c>
      <c r="D2616" t="str">
        <f>"0394-7858"</f>
        <v>0394-7858</v>
      </c>
      <c r="E2616" t="s">
        <v>15</v>
      </c>
      <c r="F2616" t="s">
        <v>2626</v>
      </c>
      <c r="G2616">
        <v>1</v>
      </c>
    </row>
    <row r="2617" spans="1:7" x14ac:dyDescent="0.25">
      <c r="A2617">
        <v>16</v>
      </c>
      <c r="B2617" t="s">
        <v>2491</v>
      </c>
      <c r="C2617">
        <v>86283</v>
      </c>
      <c r="D2617" t="str">
        <f>"1593-456X"</f>
        <v>1593-456X</v>
      </c>
      <c r="E2617" t="s">
        <v>8</v>
      </c>
      <c r="F2617" t="s">
        <v>2627</v>
      </c>
      <c r="G2617">
        <v>1</v>
      </c>
    </row>
    <row r="2618" spans="1:7" x14ac:dyDescent="0.25">
      <c r="A2618">
        <v>16</v>
      </c>
      <c r="B2618" t="s">
        <v>2491</v>
      </c>
      <c r="C2618">
        <v>6066</v>
      </c>
      <c r="D2618" t="str">
        <f>"0025-8385"</f>
        <v>0025-8385</v>
      </c>
      <c r="E2618" t="s">
        <v>8</v>
      </c>
      <c r="F2618" t="s">
        <v>2628</v>
      </c>
      <c r="G2618">
        <v>1</v>
      </c>
    </row>
    <row r="2619" spans="1:7" x14ac:dyDescent="0.25">
      <c r="A2619">
        <v>16</v>
      </c>
      <c r="B2619" t="s">
        <v>2491</v>
      </c>
      <c r="C2619">
        <v>8941</v>
      </c>
      <c r="D2619" t="str">
        <f>"0065-6801"</f>
        <v>0065-6801</v>
      </c>
      <c r="E2619" t="s">
        <v>15</v>
      </c>
      <c r="F2619" t="s">
        <v>2629</v>
      </c>
      <c r="G2619">
        <v>1</v>
      </c>
    </row>
    <row r="2620" spans="1:7" x14ac:dyDescent="0.25">
      <c r="A2620">
        <v>16</v>
      </c>
      <c r="B2620" t="s">
        <v>2491</v>
      </c>
      <c r="C2620">
        <v>7478</v>
      </c>
      <c r="D2620" t="str">
        <f>"0076-9762"</f>
        <v>0076-9762</v>
      </c>
      <c r="E2620" t="s">
        <v>8</v>
      </c>
      <c r="F2620" t="s">
        <v>2630</v>
      </c>
      <c r="G2620">
        <v>1</v>
      </c>
    </row>
    <row r="2621" spans="1:7" x14ac:dyDescent="0.25">
      <c r="A2621">
        <v>16</v>
      </c>
      <c r="B2621" t="s">
        <v>2491</v>
      </c>
      <c r="C2621">
        <v>15568</v>
      </c>
      <c r="D2621" t="str">
        <f>"0169-8958"</f>
        <v>0169-8958</v>
      </c>
      <c r="E2621" t="s">
        <v>8</v>
      </c>
      <c r="F2621" t="s">
        <v>2631</v>
      </c>
      <c r="G2621">
        <v>1</v>
      </c>
    </row>
    <row r="2622" spans="1:7" x14ac:dyDescent="0.25">
      <c r="A2622">
        <v>16</v>
      </c>
      <c r="B2622" t="s">
        <v>2491</v>
      </c>
      <c r="C2622">
        <v>8782945</v>
      </c>
      <c r="D2622" t="str">
        <f>"1397-1433"</f>
        <v>1397-1433</v>
      </c>
      <c r="E2622" t="s">
        <v>15</v>
      </c>
      <c r="F2622" t="s">
        <v>2632</v>
      </c>
      <c r="G2622">
        <v>1</v>
      </c>
    </row>
    <row r="2623" spans="1:7" x14ac:dyDescent="0.25">
      <c r="A2623">
        <v>16</v>
      </c>
      <c r="B2623" t="s">
        <v>2491</v>
      </c>
      <c r="C2623">
        <v>2315</v>
      </c>
      <c r="D2623" t="str">
        <f>"1496-9343"</f>
        <v>1496-9343</v>
      </c>
      <c r="E2623" t="s">
        <v>8</v>
      </c>
      <c r="F2623" t="s">
        <v>2633</v>
      </c>
      <c r="G2623">
        <v>1</v>
      </c>
    </row>
    <row r="2624" spans="1:7" x14ac:dyDescent="0.25">
      <c r="A2624">
        <v>16</v>
      </c>
      <c r="B2624" t="s">
        <v>2491</v>
      </c>
      <c r="C2624">
        <v>409</v>
      </c>
      <c r="D2624" t="str">
        <f>"0027-4054"</f>
        <v>0027-4054</v>
      </c>
      <c r="E2624" t="s">
        <v>8</v>
      </c>
      <c r="F2624" t="s">
        <v>2634</v>
      </c>
      <c r="G2624">
        <v>1</v>
      </c>
    </row>
    <row r="2625" spans="1:7" x14ac:dyDescent="0.25">
      <c r="A2625">
        <v>16</v>
      </c>
      <c r="B2625" t="s">
        <v>2491</v>
      </c>
      <c r="C2625">
        <v>156441</v>
      </c>
      <c r="D2625" t="str">
        <f>"2597-0143"</f>
        <v>2597-0143</v>
      </c>
      <c r="E2625" t="s">
        <v>8</v>
      </c>
      <c r="F2625" t="s">
        <v>2635</v>
      </c>
      <c r="G2625">
        <v>1</v>
      </c>
    </row>
    <row r="2626" spans="1:7" x14ac:dyDescent="0.25">
      <c r="A2626">
        <v>16</v>
      </c>
      <c r="B2626" t="s">
        <v>2491</v>
      </c>
      <c r="C2626">
        <v>3666</v>
      </c>
      <c r="D2626" t="str">
        <f>"0185-3058"</f>
        <v>0185-3058</v>
      </c>
      <c r="E2626" t="s">
        <v>8</v>
      </c>
      <c r="F2626" t="s">
        <v>2636</v>
      </c>
      <c r="G2626">
        <v>1</v>
      </c>
    </row>
    <row r="2627" spans="1:7" x14ac:dyDescent="0.25">
      <c r="A2627">
        <v>16</v>
      </c>
      <c r="B2627" t="s">
        <v>2491</v>
      </c>
      <c r="C2627">
        <v>27643</v>
      </c>
      <c r="D2627" t="str">
        <f>"1385-285X"</f>
        <v>1385-285X</v>
      </c>
      <c r="E2627" t="s">
        <v>8</v>
      </c>
      <c r="F2627" t="s">
        <v>2637</v>
      </c>
      <c r="G2627">
        <v>1</v>
      </c>
    </row>
    <row r="2628" spans="1:7" x14ac:dyDescent="0.25">
      <c r="A2628">
        <v>16</v>
      </c>
      <c r="B2628" t="s">
        <v>2491</v>
      </c>
      <c r="C2628">
        <v>406</v>
      </c>
      <c r="D2628" t="str">
        <f>"0293-2113"</f>
        <v>0293-2113</v>
      </c>
      <c r="E2628" t="s">
        <v>8</v>
      </c>
      <c r="F2628" t="s">
        <v>2638</v>
      </c>
      <c r="G2628">
        <v>1</v>
      </c>
    </row>
    <row r="2629" spans="1:7" x14ac:dyDescent="0.25">
      <c r="A2629">
        <v>16</v>
      </c>
      <c r="B2629" t="s">
        <v>2491</v>
      </c>
      <c r="C2629">
        <v>706</v>
      </c>
      <c r="D2629" t="str">
        <f>"0030-5790"</f>
        <v>0030-5790</v>
      </c>
      <c r="E2629" t="s">
        <v>8</v>
      </c>
      <c r="F2629" t="s">
        <v>2639</v>
      </c>
      <c r="G2629">
        <v>1</v>
      </c>
    </row>
    <row r="2630" spans="1:7" x14ac:dyDescent="0.25">
      <c r="A2630">
        <v>16</v>
      </c>
      <c r="B2630" t="s">
        <v>2491</v>
      </c>
      <c r="C2630">
        <v>8637</v>
      </c>
      <c r="D2630" t="str">
        <f>"0031-0387"</f>
        <v>0031-0387</v>
      </c>
      <c r="E2630" t="s">
        <v>8</v>
      </c>
      <c r="F2630" t="s">
        <v>2640</v>
      </c>
      <c r="G2630">
        <v>1</v>
      </c>
    </row>
    <row r="2631" spans="1:7" x14ac:dyDescent="0.25">
      <c r="A2631">
        <v>16</v>
      </c>
      <c r="B2631" t="s">
        <v>2491</v>
      </c>
      <c r="C2631">
        <v>9757</v>
      </c>
      <c r="D2631" t="str">
        <f>"0031-8299"</f>
        <v>0031-8299</v>
      </c>
      <c r="E2631" t="s">
        <v>8</v>
      </c>
      <c r="F2631" t="s">
        <v>2641</v>
      </c>
      <c r="G2631">
        <v>1</v>
      </c>
    </row>
    <row r="2632" spans="1:7" x14ac:dyDescent="0.25">
      <c r="A2632">
        <v>16</v>
      </c>
      <c r="B2632" t="s">
        <v>2491</v>
      </c>
      <c r="C2632">
        <v>109912</v>
      </c>
      <c r="D2632" t="str">
        <f>"0901-2583"</f>
        <v>0901-2583</v>
      </c>
      <c r="E2632" t="s">
        <v>15</v>
      </c>
      <c r="F2632" t="s">
        <v>2642</v>
      </c>
      <c r="G2632">
        <v>1</v>
      </c>
    </row>
    <row r="2633" spans="1:7" x14ac:dyDescent="0.25">
      <c r="A2633">
        <v>16</v>
      </c>
      <c r="B2633" t="s">
        <v>2491</v>
      </c>
      <c r="C2633">
        <v>119065</v>
      </c>
      <c r="D2633" t="str">
        <f>"0082-5328"</f>
        <v>0082-5328</v>
      </c>
      <c r="E2633" t="s">
        <v>15</v>
      </c>
      <c r="F2633" t="s">
        <v>2643</v>
      </c>
      <c r="G2633">
        <v>1</v>
      </c>
    </row>
    <row r="2634" spans="1:7" x14ac:dyDescent="0.25">
      <c r="A2634">
        <v>16</v>
      </c>
      <c r="B2634" t="s">
        <v>2491</v>
      </c>
      <c r="C2634">
        <v>13719</v>
      </c>
      <c r="D2634" t="str">
        <f>"0968-2112"</f>
        <v>0968-2112</v>
      </c>
      <c r="E2634" t="s">
        <v>8</v>
      </c>
      <c r="F2634" t="s">
        <v>2644</v>
      </c>
      <c r="G2634">
        <v>1</v>
      </c>
    </row>
    <row r="2635" spans="1:7" x14ac:dyDescent="0.25">
      <c r="A2635">
        <v>16</v>
      </c>
      <c r="B2635" t="s">
        <v>2491</v>
      </c>
      <c r="C2635">
        <v>2851</v>
      </c>
      <c r="D2635" t="str">
        <f>"0110-487X"</f>
        <v>0110-487X</v>
      </c>
      <c r="E2635" t="s">
        <v>8</v>
      </c>
      <c r="F2635" t="s">
        <v>2645</v>
      </c>
      <c r="G2635">
        <v>1</v>
      </c>
    </row>
    <row r="2636" spans="1:7" x14ac:dyDescent="0.25">
      <c r="A2636">
        <v>16</v>
      </c>
      <c r="B2636" t="s">
        <v>2491</v>
      </c>
      <c r="C2636">
        <v>13566</v>
      </c>
      <c r="D2636" t="str">
        <f>"0394-3976"</f>
        <v>0394-3976</v>
      </c>
      <c r="E2636" t="s">
        <v>8</v>
      </c>
      <c r="F2636" t="s">
        <v>2646</v>
      </c>
      <c r="G2636">
        <v>1</v>
      </c>
    </row>
    <row r="2637" spans="1:7" x14ac:dyDescent="0.25">
      <c r="A2637">
        <v>16</v>
      </c>
      <c r="B2637" t="s">
        <v>2491</v>
      </c>
      <c r="C2637">
        <v>9526</v>
      </c>
      <c r="D2637" t="str">
        <f>"0033-4987"</f>
        <v>0033-4987</v>
      </c>
      <c r="E2637" t="s">
        <v>8</v>
      </c>
      <c r="F2637" t="s">
        <v>2647</v>
      </c>
      <c r="G2637">
        <v>1</v>
      </c>
    </row>
    <row r="2638" spans="1:7" x14ac:dyDescent="0.25">
      <c r="A2638">
        <v>16</v>
      </c>
      <c r="B2638" t="s">
        <v>2491</v>
      </c>
      <c r="C2638">
        <v>6541</v>
      </c>
      <c r="D2638" t="str">
        <f>"0048-671X"</f>
        <v>0048-671X</v>
      </c>
      <c r="E2638" t="s">
        <v>8</v>
      </c>
      <c r="F2638" t="s">
        <v>2648</v>
      </c>
      <c r="G2638">
        <v>1</v>
      </c>
    </row>
    <row r="2639" spans="1:7" x14ac:dyDescent="0.25">
      <c r="A2639">
        <v>16</v>
      </c>
      <c r="B2639" t="s">
        <v>2491</v>
      </c>
      <c r="C2639">
        <v>143649</v>
      </c>
      <c r="D2639" t="str">
        <f>"0902-9907"</f>
        <v>0902-9907</v>
      </c>
      <c r="E2639" t="s">
        <v>15</v>
      </c>
      <c r="F2639" t="s">
        <v>2649</v>
      </c>
      <c r="G2639">
        <v>1</v>
      </c>
    </row>
    <row r="2640" spans="1:7" x14ac:dyDescent="0.25">
      <c r="A2640">
        <v>16</v>
      </c>
      <c r="B2640" t="s">
        <v>2491</v>
      </c>
      <c r="C2640">
        <v>10030</v>
      </c>
      <c r="D2640" t="str">
        <f>"0325-3465"</f>
        <v>0325-3465</v>
      </c>
      <c r="E2640" t="s">
        <v>8</v>
      </c>
      <c r="F2640" t="s">
        <v>2650</v>
      </c>
      <c r="G2640">
        <v>1</v>
      </c>
    </row>
    <row r="2641" spans="1:7" x14ac:dyDescent="0.25">
      <c r="A2641">
        <v>16</v>
      </c>
      <c r="B2641" t="s">
        <v>2491</v>
      </c>
      <c r="C2641">
        <v>97</v>
      </c>
      <c r="D2641" t="str">
        <f>"0035-1652"</f>
        <v>0035-1652</v>
      </c>
      <c r="E2641" t="s">
        <v>8</v>
      </c>
      <c r="F2641" t="s">
        <v>2651</v>
      </c>
      <c r="G2641">
        <v>1</v>
      </c>
    </row>
    <row r="2642" spans="1:7" x14ac:dyDescent="0.25">
      <c r="A2642">
        <v>16</v>
      </c>
      <c r="B2642" t="s">
        <v>2491</v>
      </c>
      <c r="C2642">
        <v>13093</v>
      </c>
      <c r="D2642" t="str">
        <f>"0035-2004"</f>
        <v>0035-2004</v>
      </c>
      <c r="E2642" t="s">
        <v>8</v>
      </c>
      <c r="F2642" t="s">
        <v>2652</v>
      </c>
      <c r="G2642">
        <v>1</v>
      </c>
    </row>
    <row r="2643" spans="1:7" x14ac:dyDescent="0.25">
      <c r="A2643">
        <v>16</v>
      </c>
      <c r="B2643" t="s">
        <v>2491</v>
      </c>
      <c r="C2643">
        <v>14889</v>
      </c>
      <c r="D2643" t="str">
        <f>"0766-5598"</f>
        <v>0766-5598</v>
      </c>
      <c r="E2643" t="s">
        <v>15</v>
      </c>
      <c r="F2643" t="s">
        <v>2653</v>
      </c>
      <c r="G2643">
        <v>1</v>
      </c>
    </row>
    <row r="2644" spans="1:7" x14ac:dyDescent="0.25">
      <c r="A2644">
        <v>16</v>
      </c>
      <c r="B2644" t="s">
        <v>2491</v>
      </c>
      <c r="C2644">
        <v>524</v>
      </c>
      <c r="D2644" t="str">
        <f>"0035-449X"</f>
        <v>0035-449X</v>
      </c>
      <c r="E2644" t="s">
        <v>8</v>
      </c>
      <c r="F2644" t="s">
        <v>2654</v>
      </c>
      <c r="G2644">
        <v>1</v>
      </c>
    </row>
    <row r="2645" spans="1:7" x14ac:dyDescent="0.25">
      <c r="A2645">
        <v>16</v>
      </c>
      <c r="B2645" t="s">
        <v>2491</v>
      </c>
      <c r="C2645">
        <v>5998</v>
      </c>
      <c r="D2645" t="str">
        <f>"0720-5775"</f>
        <v>0720-5775</v>
      </c>
      <c r="E2645" t="s">
        <v>8</v>
      </c>
      <c r="F2645" t="s">
        <v>2655</v>
      </c>
      <c r="G2645">
        <v>1</v>
      </c>
    </row>
    <row r="2646" spans="1:7" x14ac:dyDescent="0.25">
      <c r="A2646">
        <v>16</v>
      </c>
      <c r="B2646" t="s">
        <v>2491</v>
      </c>
      <c r="C2646">
        <v>7379</v>
      </c>
      <c r="D2646" t="str">
        <f>"0035-6085"</f>
        <v>0035-6085</v>
      </c>
      <c r="E2646" t="s">
        <v>8</v>
      </c>
      <c r="F2646" t="s">
        <v>2656</v>
      </c>
      <c r="G2646">
        <v>1</v>
      </c>
    </row>
    <row r="2647" spans="1:7" x14ac:dyDescent="0.25">
      <c r="A2647">
        <v>16</v>
      </c>
      <c r="B2647" t="s">
        <v>2491</v>
      </c>
      <c r="C2647">
        <v>8428</v>
      </c>
      <c r="D2647" t="str">
        <f>"0557-1367"</f>
        <v>0557-1367</v>
      </c>
      <c r="E2647" t="s">
        <v>8</v>
      </c>
      <c r="F2647" t="s">
        <v>2657</v>
      </c>
      <c r="G2647">
        <v>1</v>
      </c>
    </row>
    <row r="2648" spans="1:7" x14ac:dyDescent="0.25">
      <c r="A2648">
        <v>16</v>
      </c>
      <c r="B2648" t="s">
        <v>2491</v>
      </c>
      <c r="C2648">
        <v>10553</v>
      </c>
      <c r="D2648" t="str">
        <f>"1124-5344"</f>
        <v>1124-5344</v>
      </c>
      <c r="E2648" t="s">
        <v>8</v>
      </c>
      <c r="F2648" t="s">
        <v>2658</v>
      </c>
      <c r="G2648">
        <v>1</v>
      </c>
    </row>
    <row r="2649" spans="1:7" x14ac:dyDescent="0.25">
      <c r="A2649">
        <v>16</v>
      </c>
      <c r="B2649" t="s">
        <v>2491</v>
      </c>
      <c r="C2649">
        <v>15238</v>
      </c>
      <c r="D2649" t="str">
        <f>"1569-3600"</f>
        <v>1569-3600</v>
      </c>
      <c r="E2649" t="s">
        <v>15</v>
      </c>
      <c r="F2649" t="s">
        <v>2659</v>
      </c>
      <c r="G2649">
        <v>1</v>
      </c>
    </row>
    <row r="2650" spans="1:7" x14ac:dyDescent="0.25">
      <c r="A2650">
        <v>16</v>
      </c>
      <c r="B2650" t="s">
        <v>2491</v>
      </c>
      <c r="C2650">
        <v>170085</v>
      </c>
      <c r="D2650" t="str">
        <f>"1904-5506"</f>
        <v>1904-5506</v>
      </c>
      <c r="E2650" t="s">
        <v>15</v>
      </c>
      <c r="F2650" t="s">
        <v>2660</v>
      </c>
      <c r="G2650">
        <v>1</v>
      </c>
    </row>
    <row r="2651" spans="1:7" x14ac:dyDescent="0.25">
      <c r="A2651">
        <v>16</v>
      </c>
      <c r="B2651" t="s">
        <v>2491</v>
      </c>
      <c r="C2651">
        <v>7591</v>
      </c>
      <c r="D2651" t="str">
        <f>"1817-7530"</f>
        <v>1817-7530</v>
      </c>
      <c r="E2651" t="s">
        <v>8</v>
      </c>
      <c r="F2651" t="s">
        <v>2661</v>
      </c>
      <c r="G2651">
        <v>1</v>
      </c>
    </row>
    <row r="2652" spans="1:7" x14ac:dyDescent="0.25">
      <c r="A2652">
        <v>16</v>
      </c>
      <c r="B2652" t="s">
        <v>2491</v>
      </c>
      <c r="C2652">
        <v>64544</v>
      </c>
      <c r="E2652" t="s">
        <v>8</v>
      </c>
      <c r="F2652" t="s">
        <v>2662</v>
      </c>
      <c r="G2652">
        <v>1</v>
      </c>
    </row>
    <row r="2653" spans="1:7" x14ac:dyDescent="0.25">
      <c r="A2653">
        <v>16</v>
      </c>
      <c r="B2653" t="s">
        <v>2491</v>
      </c>
      <c r="C2653">
        <v>56182</v>
      </c>
      <c r="D2653" t="str">
        <f>"1399-5820"</f>
        <v>1399-5820</v>
      </c>
      <c r="E2653" t="s">
        <v>15</v>
      </c>
      <c r="F2653" t="s">
        <v>2663</v>
      </c>
      <c r="G2653">
        <v>1</v>
      </c>
    </row>
    <row r="2654" spans="1:7" x14ac:dyDescent="0.25">
      <c r="A2654">
        <v>16</v>
      </c>
      <c r="B2654" t="s">
        <v>2491</v>
      </c>
      <c r="C2654">
        <v>1916</v>
      </c>
      <c r="D2654" t="str">
        <f>"0081-6124"</f>
        <v>0081-6124</v>
      </c>
      <c r="E2654" t="s">
        <v>8</v>
      </c>
      <c r="F2654" t="s">
        <v>2664</v>
      </c>
      <c r="G2654">
        <v>1</v>
      </c>
    </row>
    <row r="2655" spans="1:7" x14ac:dyDescent="0.25">
      <c r="A2655">
        <v>16</v>
      </c>
      <c r="B2655" t="s">
        <v>2491</v>
      </c>
      <c r="C2655">
        <v>14315</v>
      </c>
      <c r="D2655" t="str">
        <f>"0039-2987"</f>
        <v>0039-2987</v>
      </c>
      <c r="E2655" t="s">
        <v>8</v>
      </c>
      <c r="F2655" t="s">
        <v>2665</v>
      </c>
      <c r="G2655">
        <v>1</v>
      </c>
    </row>
    <row r="2656" spans="1:7" x14ac:dyDescent="0.25">
      <c r="A2656">
        <v>16</v>
      </c>
      <c r="B2656" t="s">
        <v>2491</v>
      </c>
      <c r="C2656">
        <v>12255</v>
      </c>
      <c r="D2656" t="str">
        <f>"0391-8467"</f>
        <v>0391-8467</v>
      </c>
      <c r="E2656" t="s">
        <v>8</v>
      </c>
      <c r="F2656" t="s">
        <v>2666</v>
      </c>
      <c r="G2656">
        <v>1</v>
      </c>
    </row>
    <row r="2657" spans="1:7" x14ac:dyDescent="0.25">
      <c r="A2657">
        <v>16</v>
      </c>
      <c r="B2657" t="s">
        <v>2491</v>
      </c>
      <c r="C2657">
        <v>103297</v>
      </c>
      <c r="D2657" t="str">
        <f>"1126-4764"</f>
        <v>1126-4764</v>
      </c>
      <c r="E2657" t="s">
        <v>8</v>
      </c>
      <c r="F2657" t="s">
        <v>2667</v>
      </c>
      <c r="G2657">
        <v>1</v>
      </c>
    </row>
    <row r="2658" spans="1:7" x14ac:dyDescent="0.25">
      <c r="A2658">
        <v>16</v>
      </c>
      <c r="B2658" t="s">
        <v>2491</v>
      </c>
      <c r="C2658">
        <v>180024</v>
      </c>
      <c r="D2658" t="str">
        <f>"2032-1252"</f>
        <v>2032-1252</v>
      </c>
      <c r="E2658" t="s">
        <v>15</v>
      </c>
      <c r="F2658" t="s">
        <v>2668</v>
      </c>
      <c r="G2658">
        <v>1</v>
      </c>
    </row>
    <row r="2659" spans="1:7" x14ac:dyDescent="0.25">
      <c r="A2659">
        <v>16</v>
      </c>
      <c r="B2659" t="s">
        <v>2491</v>
      </c>
      <c r="C2659">
        <v>7121</v>
      </c>
      <c r="D2659" t="str">
        <f>"1040-3612"</f>
        <v>1040-3612</v>
      </c>
      <c r="E2659" t="s">
        <v>8</v>
      </c>
      <c r="F2659" t="s">
        <v>2669</v>
      </c>
      <c r="G2659">
        <v>1</v>
      </c>
    </row>
    <row r="2660" spans="1:7" x14ac:dyDescent="0.25">
      <c r="A2660">
        <v>16</v>
      </c>
      <c r="B2660" t="s">
        <v>2491</v>
      </c>
      <c r="C2660">
        <v>3507</v>
      </c>
      <c r="D2660" t="str">
        <f>"0039-7679"</f>
        <v>0039-7679</v>
      </c>
      <c r="E2660" t="s">
        <v>15</v>
      </c>
      <c r="F2660" t="s">
        <v>2670</v>
      </c>
      <c r="G2660">
        <v>1</v>
      </c>
    </row>
    <row r="2661" spans="1:7" x14ac:dyDescent="0.25">
      <c r="A2661">
        <v>16</v>
      </c>
      <c r="B2661" t="s">
        <v>2491</v>
      </c>
      <c r="C2661">
        <v>4708</v>
      </c>
      <c r="D2661" t="str">
        <f>"0360-5949"</f>
        <v>0360-5949</v>
      </c>
      <c r="E2661" t="s">
        <v>8</v>
      </c>
      <c r="F2661" t="s">
        <v>2671</v>
      </c>
      <c r="G2661">
        <v>1</v>
      </c>
    </row>
    <row r="2662" spans="1:7" x14ac:dyDescent="0.25">
      <c r="A2662">
        <v>16</v>
      </c>
      <c r="B2662" t="s">
        <v>2491</v>
      </c>
      <c r="C2662">
        <v>10835</v>
      </c>
      <c r="D2662" t="str">
        <f>"0009-8361"</f>
        <v>0009-8361</v>
      </c>
      <c r="E2662" t="s">
        <v>8</v>
      </c>
      <c r="F2662" t="s">
        <v>2672</v>
      </c>
      <c r="G2662">
        <v>1</v>
      </c>
    </row>
    <row r="2663" spans="1:7" x14ac:dyDescent="0.25">
      <c r="A2663">
        <v>16</v>
      </c>
      <c r="B2663" t="s">
        <v>2491</v>
      </c>
      <c r="C2663">
        <v>2721</v>
      </c>
      <c r="D2663" t="str">
        <f>"0009-840X"</f>
        <v>0009-840X</v>
      </c>
      <c r="E2663" t="s">
        <v>8</v>
      </c>
      <c r="F2663" t="s">
        <v>2673</v>
      </c>
      <c r="G2663">
        <v>1</v>
      </c>
    </row>
    <row r="2664" spans="1:7" x14ac:dyDescent="0.25">
      <c r="A2664">
        <v>16</v>
      </c>
      <c r="B2664" t="s">
        <v>2491</v>
      </c>
      <c r="C2664">
        <v>12290</v>
      </c>
      <c r="D2664" t="str">
        <f>"0075-4277"</f>
        <v>0075-4277</v>
      </c>
      <c r="E2664" t="s">
        <v>8</v>
      </c>
      <c r="F2664" t="s">
        <v>2674</v>
      </c>
      <c r="G2664">
        <v>1</v>
      </c>
    </row>
    <row r="2665" spans="1:7" x14ac:dyDescent="0.25">
      <c r="A2665">
        <v>16</v>
      </c>
      <c r="B2665" t="s">
        <v>2491</v>
      </c>
      <c r="C2665">
        <v>6434</v>
      </c>
      <c r="D2665" t="str">
        <f>"0778-9750"</f>
        <v>0778-9750</v>
      </c>
      <c r="E2665" t="s">
        <v>8</v>
      </c>
      <c r="F2665" t="s">
        <v>2675</v>
      </c>
      <c r="G2665">
        <v>1</v>
      </c>
    </row>
    <row r="2666" spans="1:7" x14ac:dyDescent="0.25">
      <c r="A2666">
        <v>16</v>
      </c>
      <c r="B2666" t="s">
        <v>2491</v>
      </c>
      <c r="C2666">
        <v>11673</v>
      </c>
      <c r="D2666" t="str">
        <f>"0161-9284"</f>
        <v>0161-9284</v>
      </c>
      <c r="E2666" t="s">
        <v>8</v>
      </c>
      <c r="F2666" t="s">
        <v>2676</v>
      </c>
      <c r="G2666">
        <v>1</v>
      </c>
    </row>
    <row r="2667" spans="1:7" x14ac:dyDescent="0.25">
      <c r="A2667">
        <v>16</v>
      </c>
      <c r="B2667" t="s">
        <v>2491</v>
      </c>
      <c r="C2667">
        <v>16293</v>
      </c>
      <c r="D2667" t="str">
        <f>"0577-1471"</f>
        <v>0577-1471</v>
      </c>
      <c r="E2667" t="s">
        <v>15</v>
      </c>
      <c r="F2667" t="s">
        <v>2677</v>
      </c>
      <c r="G2667">
        <v>1</v>
      </c>
    </row>
    <row r="2668" spans="1:7" x14ac:dyDescent="0.25">
      <c r="A2668">
        <v>16</v>
      </c>
      <c r="B2668" t="s">
        <v>2491</v>
      </c>
      <c r="C2668">
        <v>16435</v>
      </c>
      <c r="D2668" t="str">
        <f>"0418-453X"</f>
        <v>0418-453X</v>
      </c>
      <c r="E2668" t="s">
        <v>8</v>
      </c>
      <c r="F2668" t="s">
        <v>2678</v>
      </c>
      <c r="G2668">
        <v>1</v>
      </c>
    </row>
    <row r="2669" spans="1:7" x14ac:dyDescent="0.25">
      <c r="A2669">
        <v>16</v>
      </c>
      <c r="B2669" t="s">
        <v>2491</v>
      </c>
      <c r="C2669">
        <v>6291</v>
      </c>
      <c r="D2669" t="str">
        <f>"0506-7294"</f>
        <v>0506-7294</v>
      </c>
      <c r="E2669" t="s">
        <v>8</v>
      </c>
      <c r="F2669" t="s">
        <v>2679</v>
      </c>
      <c r="G2669">
        <v>1</v>
      </c>
    </row>
    <row r="2670" spans="1:7" x14ac:dyDescent="0.25">
      <c r="A2670">
        <v>16</v>
      </c>
      <c r="B2670" t="s">
        <v>2491</v>
      </c>
      <c r="C2670">
        <v>30006</v>
      </c>
      <c r="D2670" t="str">
        <f>"0042-5079"</f>
        <v>0042-5079</v>
      </c>
      <c r="E2670" t="s">
        <v>8</v>
      </c>
      <c r="F2670" t="s">
        <v>2680</v>
      </c>
      <c r="G2670">
        <v>1</v>
      </c>
    </row>
    <row r="2671" spans="1:7" x14ac:dyDescent="0.25">
      <c r="A2671">
        <v>16</v>
      </c>
      <c r="B2671" t="s">
        <v>2491</v>
      </c>
      <c r="C2671">
        <v>12529</v>
      </c>
      <c r="D2671" t="str">
        <f>"0084-005X"</f>
        <v>0084-005X</v>
      </c>
      <c r="E2671" t="s">
        <v>8</v>
      </c>
      <c r="F2671" t="s">
        <v>2681</v>
      </c>
      <c r="G2671">
        <v>1</v>
      </c>
    </row>
    <row r="2672" spans="1:7" x14ac:dyDescent="0.25">
      <c r="A2672">
        <v>16</v>
      </c>
      <c r="B2672" t="s">
        <v>2491</v>
      </c>
      <c r="C2672">
        <v>15883</v>
      </c>
      <c r="D2672" t="str">
        <f>"0084-330X"</f>
        <v>0084-330X</v>
      </c>
      <c r="E2672" t="s">
        <v>15</v>
      </c>
      <c r="F2672" t="s">
        <v>2682</v>
      </c>
      <c r="G2672">
        <v>1</v>
      </c>
    </row>
    <row r="2673" spans="1:7" x14ac:dyDescent="0.25">
      <c r="A2673">
        <v>17</v>
      </c>
      <c r="B2673" t="s">
        <v>2683</v>
      </c>
      <c r="C2673">
        <v>5903</v>
      </c>
      <c r="D2673" t="str">
        <f>"1537-260X"</f>
        <v>1537-260X</v>
      </c>
      <c r="E2673" t="s">
        <v>8</v>
      </c>
      <c r="F2673" t="s">
        <v>2684</v>
      </c>
      <c r="G2673">
        <v>2</v>
      </c>
    </row>
    <row r="2674" spans="1:7" x14ac:dyDescent="0.25">
      <c r="A2674">
        <v>17</v>
      </c>
      <c r="B2674" t="s">
        <v>2683</v>
      </c>
      <c r="C2674">
        <v>7344</v>
      </c>
      <c r="D2674" t="str">
        <f>"0741-7136"</f>
        <v>0741-7136</v>
      </c>
      <c r="E2674" t="s">
        <v>8</v>
      </c>
      <c r="F2674" t="s">
        <v>2685</v>
      </c>
      <c r="G2674">
        <v>2</v>
      </c>
    </row>
    <row r="2675" spans="1:7" x14ac:dyDescent="0.25">
      <c r="A2675">
        <v>17</v>
      </c>
      <c r="B2675" t="s">
        <v>2683</v>
      </c>
      <c r="C2675">
        <v>12797</v>
      </c>
      <c r="D2675" t="str">
        <f>"0002-8312"</f>
        <v>0002-8312</v>
      </c>
      <c r="E2675" t="s">
        <v>8</v>
      </c>
      <c r="F2675" t="s">
        <v>2686</v>
      </c>
      <c r="G2675">
        <v>2</v>
      </c>
    </row>
    <row r="2676" spans="1:7" x14ac:dyDescent="0.25">
      <c r="A2676">
        <v>17</v>
      </c>
      <c r="B2676" t="s">
        <v>2683</v>
      </c>
      <c r="C2676">
        <v>83</v>
      </c>
      <c r="D2676" t="str">
        <f>"0161-7761"</f>
        <v>0161-7761</v>
      </c>
      <c r="E2676" t="s">
        <v>8</v>
      </c>
      <c r="F2676" t="s">
        <v>2687</v>
      </c>
      <c r="G2676">
        <v>2</v>
      </c>
    </row>
    <row r="2677" spans="1:7" x14ac:dyDescent="0.25">
      <c r="A2677">
        <v>17</v>
      </c>
      <c r="B2677" t="s">
        <v>2683</v>
      </c>
      <c r="C2677">
        <v>1209</v>
      </c>
      <c r="D2677" t="str">
        <f>"0260-2938"</f>
        <v>0260-2938</v>
      </c>
      <c r="E2677" t="s">
        <v>8</v>
      </c>
      <c r="F2677" t="s">
        <v>2688</v>
      </c>
      <c r="G2677">
        <v>2</v>
      </c>
    </row>
    <row r="2678" spans="1:7" x14ac:dyDescent="0.25">
      <c r="A2678">
        <v>17</v>
      </c>
      <c r="B2678" t="s">
        <v>2683</v>
      </c>
      <c r="C2678">
        <v>8481</v>
      </c>
      <c r="D2678" t="str">
        <f>"0004-9441"</f>
        <v>0004-9441</v>
      </c>
      <c r="E2678" t="s">
        <v>8</v>
      </c>
      <c r="F2678" t="s">
        <v>2689</v>
      </c>
      <c r="G2678">
        <v>2</v>
      </c>
    </row>
    <row r="2679" spans="1:7" x14ac:dyDescent="0.25">
      <c r="A2679">
        <v>17</v>
      </c>
      <c r="B2679" t="s">
        <v>2683</v>
      </c>
      <c r="C2679">
        <v>2733</v>
      </c>
      <c r="D2679" t="str">
        <f>"0141-1926"</f>
        <v>0141-1926</v>
      </c>
      <c r="E2679" t="s">
        <v>8</v>
      </c>
      <c r="F2679" t="s">
        <v>2690</v>
      </c>
      <c r="G2679">
        <v>2</v>
      </c>
    </row>
    <row r="2680" spans="1:7" x14ac:dyDescent="0.25">
      <c r="A2680">
        <v>17</v>
      </c>
      <c r="B2680" t="s">
        <v>2683</v>
      </c>
      <c r="C2680">
        <v>7460</v>
      </c>
      <c r="D2680" t="str">
        <f>"0007-1005"</f>
        <v>0007-1005</v>
      </c>
      <c r="E2680" t="s">
        <v>8</v>
      </c>
      <c r="F2680" t="s">
        <v>2691</v>
      </c>
      <c r="G2680">
        <v>2</v>
      </c>
    </row>
    <row r="2681" spans="1:7" x14ac:dyDescent="0.25">
      <c r="A2681">
        <v>17</v>
      </c>
      <c r="B2681" t="s">
        <v>2683</v>
      </c>
      <c r="C2681">
        <v>2328</v>
      </c>
      <c r="D2681" t="str">
        <f>"0306-9885"</f>
        <v>0306-9885</v>
      </c>
      <c r="E2681" t="s">
        <v>8</v>
      </c>
      <c r="F2681" t="s">
        <v>2692</v>
      </c>
      <c r="G2681">
        <v>2</v>
      </c>
    </row>
    <row r="2682" spans="1:7" x14ac:dyDescent="0.25">
      <c r="A2682">
        <v>17</v>
      </c>
      <c r="B2682" t="s">
        <v>2683</v>
      </c>
      <c r="C2682">
        <v>11900</v>
      </c>
      <c r="D2682" t="str">
        <f>"0142-5692"</f>
        <v>0142-5692</v>
      </c>
      <c r="E2682" t="s">
        <v>8</v>
      </c>
      <c r="F2682" t="s">
        <v>2693</v>
      </c>
      <c r="G2682">
        <v>2</v>
      </c>
    </row>
    <row r="2683" spans="1:7" x14ac:dyDescent="0.25">
      <c r="A2683">
        <v>17</v>
      </c>
      <c r="B2683" t="s">
        <v>2683</v>
      </c>
      <c r="C2683">
        <v>15247</v>
      </c>
      <c r="D2683" t="str">
        <f>"1478-8047"</f>
        <v>1478-8047</v>
      </c>
      <c r="E2683" t="s">
        <v>8</v>
      </c>
      <c r="F2683" t="s">
        <v>2694</v>
      </c>
      <c r="G2683">
        <v>2</v>
      </c>
    </row>
    <row r="2684" spans="1:7" x14ac:dyDescent="0.25">
      <c r="A2684">
        <v>17</v>
      </c>
      <c r="B2684" t="s">
        <v>2683</v>
      </c>
      <c r="C2684">
        <v>15440</v>
      </c>
      <c r="D2684" t="str">
        <f>"0737-0008"</f>
        <v>0737-0008</v>
      </c>
      <c r="E2684" t="s">
        <v>8</v>
      </c>
      <c r="F2684" t="s">
        <v>2695</v>
      </c>
      <c r="G2684">
        <v>2</v>
      </c>
    </row>
    <row r="2685" spans="1:7" x14ac:dyDescent="0.25">
      <c r="A2685">
        <v>17</v>
      </c>
      <c r="B2685" t="s">
        <v>2683</v>
      </c>
      <c r="C2685">
        <v>10366</v>
      </c>
      <c r="D2685" t="str">
        <f>"0305-0068"</f>
        <v>0305-0068</v>
      </c>
      <c r="E2685" t="s">
        <v>8</v>
      </c>
      <c r="F2685" t="s">
        <v>2696</v>
      </c>
      <c r="G2685">
        <v>2</v>
      </c>
    </row>
    <row r="2686" spans="1:7" x14ac:dyDescent="0.25">
      <c r="A2686">
        <v>17</v>
      </c>
      <c r="B2686" t="s">
        <v>2683</v>
      </c>
      <c r="C2686">
        <v>2616</v>
      </c>
      <c r="D2686" t="str">
        <f>"0010-4086"</f>
        <v>0010-4086</v>
      </c>
      <c r="E2686" t="s">
        <v>8</v>
      </c>
      <c r="F2686" t="s">
        <v>2697</v>
      </c>
      <c r="G2686">
        <v>2</v>
      </c>
    </row>
    <row r="2687" spans="1:7" x14ac:dyDescent="0.25">
      <c r="A2687">
        <v>17</v>
      </c>
      <c r="B2687" t="s">
        <v>2683</v>
      </c>
      <c r="C2687">
        <v>16305</v>
      </c>
      <c r="D2687" t="str">
        <f>"0361-476X"</f>
        <v>0361-476X</v>
      </c>
      <c r="E2687" t="s">
        <v>8</v>
      </c>
      <c r="F2687" t="s">
        <v>2698</v>
      </c>
      <c r="G2687">
        <v>2</v>
      </c>
    </row>
    <row r="2688" spans="1:7" x14ac:dyDescent="0.25">
      <c r="A2688">
        <v>17</v>
      </c>
      <c r="B2688" t="s">
        <v>2683</v>
      </c>
      <c r="C2688">
        <v>19673</v>
      </c>
      <c r="D2688" t="str">
        <f>"1750-8487"</f>
        <v>1750-8487</v>
      </c>
      <c r="E2688" t="s">
        <v>8</v>
      </c>
      <c r="F2688" t="s">
        <v>2699</v>
      </c>
      <c r="G2688">
        <v>2</v>
      </c>
    </row>
    <row r="2689" spans="1:7" x14ac:dyDescent="0.25">
      <c r="A2689">
        <v>17</v>
      </c>
      <c r="B2689" t="s">
        <v>2683</v>
      </c>
      <c r="C2689">
        <v>14350</v>
      </c>
      <c r="D2689" t="str">
        <f>"0362-6784"</f>
        <v>0362-6784</v>
      </c>
      <c r="E2689" t="s">
        <v>8</v>
      </c>
      <c r="F2689" t="s">
        <v>2700</v>
      </c>
      <c r="G2689">
        <v>2</v>
      </c>
    </row>
    <row r="2690" spans="1:7" x14ac:dyDescent="0.25">
      <c r="A2690">
        <v>17</v>
      </c>
      <c r="B2690" t="s">
        <v>2683</v>
      </c>
      <c r="C2690">
        <v>7757</v>
      </c>
      <c r="D2690" t="str">
        <f>"0159-6306"</f>
        <v>0159-6306</v>
      </c>
      <c r="E2690" t="s">
        <v>8</v>
      </c>
      <c r="F2690" t="s">
        <v>2701</v>
      </c>
      <c r="G2690">
        <v>2</v>
      </c>
    </row>
    <row r="2691" spans="1:7" x14ac:dyDescent="0.25">
      <c r="A2691">
        <v>17</v>
      </c>
      <c r="B2691" t="s">
        <v>2683</v>
      </c>
      <c r="C2691">
        <v>4027</v>
      </c>
      <c r="D2691" t="str">
        <f>"1076-9242"</f>
        <v>1076-9242</v>
      </c>
      <c r="E2691" t="s">
        <v>8</v>
      </c>
      <c r="F2691" t="s">
        <v>2702</v>
      </c>
      <c r="G2691">
        <v>2</v>
      </c>
    </row>
    <row r="2692" spans="1:7" x14ac:dyDescent="0.25">
      <c r="A2692">
        <v>17</v>
      </c>
      <c r="B2692" t="s">
        <v>2683</v>
      </c>
      <c r="C2692">
        <v>111</v>
      </c>
      <c r="D2692" t="str">
        <f>"1082-3301"</f>
        <v>1082-3301</v>
      </c>
      <c r="E2692" t="s">
        <v>8</v>
      </c>
      <c r="F2692" t="s">
        <v>2703</v>
      </c>
      <c r="G2692">
        <v>2</v>
      </c>
    </row>
    <row r="2693" spans="1:7" x14ac:dyDescent="0.25">
      <c r="A2693">
        <v>17</v>
      </c>
      <c r="B2693" t="s">
        <v>2683</v>
      </c>
      <c r="C2693">
        <v>1174</v>
      </c>
      <c r="D2693" t="str">
        <f>"0885-2006"</f>
        <v>0885-2006</v>
      </c>
      <c r="E2693" t="s">
        <v>8</v>
      </c>
      <c r="F2693" t="s">
        <v>2704</v>
      </c>
      <c r="G2693">
        <v>2</v>
      </c>
    </row>
    <row r="2694" spans="1:7" x14ac:dyDescent="0.25">
      <c r="A2694">
        <v>17</v>
      </c>
      <c r="B2694" t="s">
        <v>2683</v>
      </c>
      <c r="C2694">
        <v>16147</v>
      </c>
      <c r="D2694" t="str">
        <f>"0272-7757"</f>
        <v>0272-7757</v>
      </c>
      <c r="E2694" t="s">
        <v>8</v>
      </c>
      <c r="F2694" t="s">
        <v>2705</v>
      </c>
      <c r="G2694">
        <v>2</v>
      </c>
    </row>
    <row r="2695" spans="1:7" x14ac:dyDescent="0.25">
      <c r="A2695">
        <v>17</v>
      </c>
      <c r="B2695" t="s">
        <v>2683</v>
      </c>
      <c r="C2695">
        <v>3119</v>
      </c>
      <c r="D2695" t="str">
        <f>"0013-161X"</f>
        <v>0013-161X</v>
      </c>
      <c r="E2695" t="s">
        <v>8</v>
      </c>
      <c r="F2695" t="s">
        <v>2706</v>
      </c>
      <c r="G2695">
        <v>2</v>
      </c>
    </row>
    <row r="2696" spans="1:7" x14ac:dyDescent="0.25">
      <c r="A2696">
        <v>17</v>
      </c>
      <c r="B2696" t="s">
        <v>2683</v>
      </c>
      <c r="C2696">
        <v>3407</v>
      </c>
      <c r="D2696" t="str">
        <f>"0013-1644"</f>
        <v>0013-1644</v>
      </c>
      <c r="E2696" t="s">
        <v>8</v>
      </c>
      <c r="F2696" t="s">
        <v>2707</v>
      </c>
      <c r="G2696">
        <v>2</v>
      </c>
    </row>
    <row r="2697" spans="1:7" x14ac:dyDescent="0.25">
      <c r="A2697">
        <v>17</v>
      </c>
      <c r="B2697" t="s">
        <v>2683</v>
      </c>
      <c r="C2697">
        <v>4277</v>
      </c>
      <c r="D2697" t="str">
        <f>"0162-3737"</f>
        <v>0162-3737</v>
      </c>
      <c r="E2697" t="s">
        <v>8</v>
      </c>
      <c r="F2697" t="s">
        <v>2708</v>
      </c>
      <c r="G2697">
        <v>2</v>
      </c>
    </row>
    <row r="2698" spans="1:7" x14ac:dyDescent="0.25">
      <c r="A2698">
        <v>17</v>
      </c>
      <c r="B2698" t="s">
        <v>2683</v>
      </c>
      <c r="C2698">
        <v>11684</v>
      </c>
      <c r="D2698" t="str">
        <f>"0895-9048"</f>
        <v>0895-9048</v>
      </c>
      <c r="E2698" t="s">
        <v>8</v>
      </c>
      <c r="F2698" t="s">
        <v>2709</v>
      </c>
      <c r="G2698">
        <v>2</v>
      </c>
    </row>
    <row r="2699" spans="1:7" x14ac:dyDescent="0.25">
      <c r="A2699">
        <v>17</v>
      </c>
      <c r="B2699" t="s">
        <v>2683</v>
      </c>
      <c r="C2699">
        <v>6805</v>
      </c>
      <c r="D2699" t="str">
        <f>"0046-1520"</f>
        <v>0046-1520</v>
      </c>
      <c r="E2699" t="s">
        <v>8</v>
      </c>
      <c r="F2699" t="s">
        <v>2710</v>
      </c>
      <c r="G2699">
        <v>2</v>
      </c>
    </row>
    <row r="2700" spans="1:7" x14ac:dyDescent="0.25">
      <c r="A2700">
        <v>17</v>
      </c>
      <c r="B2700" t="s">
        <v>2683</v>
      </c>
      <c r="C2700">
        <v>15942</v>
      </c>
      <c r="D2700" t="str">
        <f>"0013-1881"</f>
        <v>0013-1881</v>
      </c>
      <c r="E2700" t="s">
        <v>8</v>
      </c>
      <c r="F2700" t="s">
        <v>2711</v>
      </c>
      <c r="G2700">
        <v>2</v>
      </c>
    </row>
    <row r="2701" spans="1:7" x14ac:dyDescent="0.25">
      <c r="A2701">
        <v>17</v>
      </c>
      <c r="B2701" t="s">
        <v>2683</v>
      </c>
      <c r="C2701">
        <v>729</v>
      </c>
      <c r="D2701" t="str">
        <f>"1747-938X"</f>
        <v>1747-938X</v>
      </c>
      <c r="E2701" t="s">
        <v>8</v>
      </c>
      <c r="F2701" t="s">
        <v>2712</v>
      </c>
      <c r="G2701">
        <v>2</v>
      </c>
    </row>
    <row r="2702" spans="1:7" x14ac:dyDescent="0.25">
      <c r="A2702">
        <v>17</v>
      </c>
      <c r="B2702" t="s">
        <v>2683</v>
      </c>
      <c r="C2702">
        <v>3702</v>
      </c>
      <c r="D2702" t="str">
        <f>"0013-189X"</f>
        <v>0013-189X</v>
      </c>
      <c r="E2702" t="s">
        <v>8</v>
      </c>
      <c r="F2702" t="s">
        <v>2713</v>
      </c>
      <c r="G2702">
        <v>2</v>
      </c>
    </row>
    <row r="2703" spans="1:7" x14ac:dyDescent="0.25">
      <c r="A2703">
        <v>17</v>
      </c>
      <c r="B2703" t="s">
        <v>2683</v>
      </c>
      <c r="C2703">
        <v>3859</v>
      </c>
      <c r="D2703" t="str">
        <f>"0013-1911"</f>
        <v>0013-1911</v>
      </c>
      <c r="E2703" t="s">
        <v>8</v>
      </c>
      <c r="F2703" t="s">
        <v>2714</v>
      </c>
      <c r="G2703">
        <v>2</v>
      </c>
    </row>
    <row r="2704" spans="1:7" x14ac:dyDescent="0.25">
      <c r="A2704">
        <v>17</v>
      </c>
      <c r="B2704" t="s">
        <v>2683</v>
      </c>
      <c r="C2704">
        <v>4552</v>
      </c>
      <c r="D2704" t="str">
        <f>"0305-5698"</f>
        <v>0305-5698</v>
      </c>
      <c r="E2704" t="s">
        <v>8</v>
      </c>
      <c r="F2704" t="s">
        <v>2715</v>
      </c>
      <c r="G2704">
        <v>2</v>
      </c>
    </row>
    <row r="2705" spans="1:7" x14ac:dyDescent="0.25">
      <c r="A2705">
        <v>17</v>
      </c>
      <c r="B2705" t="s">
        <v>2683</v>
      </c>
      <c r="C2705">
        <v>10777</v>
      </c>
      <c r="D2705" t="str">
        <f>"1350-4622"</f>
        <v>1350-4622</v>
      </c>
      <c r="E2705" t="s">
        <v>8</v>
      </c>
      <c r="F2705" t="s">
        <v>2716</v>
      </c>
      <c r="G2705">
        <v>2</v>
      </c>
    </row>
    <row r="2706" spans="1:7" x14ac:dyDescent="0.25">
      <c r="A2706">
        <v>17</v>
      </c>
      <c r="B2706" t="s">
        <v>2683</v>
      </c>
      <c r="C2706">
        <v>14905</v>
      </c>
      <c r="D2706" t="str">
        <f>"1745-7823"</f>
        <v>1745-7823</v>
      </c>
      <c r="E2706" t="s">
        <v>8</v>
      </c>
      <c r="F2706" t="s">
        <v>2717</v>
      </c>
      <c r="G2706">
        <v>2</v>
      </c>
    </row>
    <row r="2707" spans="1:7" x14ac:dyDescent="0.25">
      <c r="A2707">
        <v>17</v>
      </c>
      <c r="B2707" t="s">
        <v>2683</v>
      </c>
      <c r="C2707">
        <v>12624</v>
      </c>
      <c r="D2707" t="str">
        <f>"1350-293X"</f>
        <v>1350-293X</v>
      </c>
      <c r="E2707" t="s">
        <v>8</v>
      </c>
      <c r="F2707" t="s">
        <v>2718</v>
      </c>
      <c r="G2707">
        <v>2</v>
      </c>
    </row>
    <row r="2708" spans="1:7" x14ac:dyDescent="0.25">
      <c r="A2708">
        <v>17</v>
      </c>
      <c r="B2708" t="s">
        <v>2683</v>
      </c>
      <c r="C2708">
        <v>6302</v>
      </c>
      <c r="E2708" t="s">
        <v>8</v>
      </c>
      <c r="F2708" t="s">
        <v>2719</v>
      </c>
      <c r="G2708">
        <v>2</v>
      </c>
    </row>
    <row r="2709" spans="1:7" x14ac:dyDescent="0.25">
      <c r="A2709">
        <v>17</v>
      </c>
      <c r="B2709" t="s">
        <v>2683</v>
      </c>
      <c r="C2709">
        <v>2006</v>
      </c>
      <c r="D2709" t="str">
        <f>"0141-8211"</f>
        <v>0141-8211</v>
      </c>
      <c r="E2709" t="s">
        <v>8</v>
      </c>
      <c r="F2709" t="s">
        <v>2720</v>
      </c>
      <c r="G2709">
        <v>2</v>
      </c>
    </row>
    <row r="2710" spans="1:7" x14ac:dyDescent="0.25">
      <c r="A2710">
        <v>17</v>
      </c>
      <c r="B2710" t="s">
        <v>2683</v>
      </c>
      <c r="C2710">
        <v>12405</v>
      </c>
      <c r="D2710" t="str">
        <f>"0304-3797"</f>
        <v>0304-3797</v>
      </c>
      <c r="E2710" t="s">
        <v>8</v>
      </c>
      <c r="F2710" t="s">
        <v>2721</v>
      </c>
      <c r="G2710">
        <v>2</v>
      </c>
    </row>
    <row r="2711" spans="1:7" x14ac:dyDescent="0.25">
      <c r="A2711">
        <v>17</v>
      </c>
      <c r="B2711" t="s">
        <v>2683</v>
      </c>
      <c r="C2711">
        <v>14756</v>
      </c>
      <c r="D2711" t="str">
        <f>"0256-2928"</f>
        <v>0256-2928</v>
      </c>
      <c r="E2711" t="s">
        <v>8</v>
      </c>
      <c r="F2711" t="s">
        <v>2722</v>
      </c>
      <c r="G2711">
        <v>2</v>
      </c>
    </row>
    <row r="2712" spans="1:7" x14ac:dyDescent="0.25">
      <c r="A2712">
        <v>17</v>
      </c>
      <c r="B2712" t="s">
        <v>2683</v>
      </c>
      <c r="C2712">
        <v>12684</v>
      </c>
      <c r="D2712" t="str">
        <f>"0261-9768"</f>
        <v>0261-9768</v>
      </c>
      <c r="E2712" t="s">
        <v>8</v>
      </c>
      <c r="F2712" t="s">
        <v>2723</v>
      </c>
      <c r="G2712">
        <v>2</v>
      </c>
    </row>
    <row r="2713" spans="1:7" x14ac:dyDescent="0.25">
      <c r="A2713">
        <v>17</v>
      </c>
      <c r="B2713" t="s">
        <v>2683</v>
      </c>
      <c r="C2713">
        <v>1177</v>
      </c>
      <c r="D2713" t="str">
        <f>"0954-0253"</f>
        <v>0954-0253</v>
      </c>
      <c r="E2713" t="s">
        <v>8</v>
      </c>
      <c r="F2713" t="s">
        <v>2724</v>
      </c>
      <c r="G2713">
        <v>2</v>
      </c>
    </row>
    <row r="2714" spans="1:7" x14ac:dyDescent="0.25">
      <c r="A2714">
        <v>17</v>
      </c>
      <c r="B2714" t="s">
        <v>2683</v>
      </c>
      <c r="C2714">
        <v>5855</v>
      </c>
      <c r="D2714" t="str">
        <f>"0017-8055"</f>
        <v>0017-8055</v>
      </c>
      <c r="E2714" t="s">
        <v>8</v>
      </c>
      <c r="F2714" t="s">
        <v>2725</v>
      </c>
      <c r="G2714">
        <v>2</v>
      </c>
    </row>
    <row r="2715" spans="1:7" x14ac:dyDescent="0.25">
      <c r="A2715">
        <v>17</v>
      </c>
      <c r="B2715" t="s">
        <v>2683</v>
      </c>
      <c r="C2715">
        <v>2433</v>
      </c>
      <c r="D2715" t="str">
        <f>"0268-1153"</f>
        <v>0268-1153</v>
      </c>
      <c r="E2715" t="s">
        <v>8</v>
      </c>
      <c r="F2715" t="s">
        <v>2726</v>
      </c>
      <c r="G2715">
        <v>2</v>
      </c>
    </row>
    <row r="2716" spans="1:7" x14ac:dyDescent="0.25">
      <c r="A2716">
        <v>17</v>
      </c>
      <c r="B2716" t="s">
        <v>2683</v>
      </c>
      <c r="C2716">
        <v>11751</v>
      </c>
      <c r="D2716" t="str">
        <f>"0018-1560"</f>
        <v>0018-1560</v>
      </c>
      <c r="E2716" t="s">
        <v>8</v>
      </c>
      <c r="F2716" t="s">
        <v>2727</v>
      </c>
      <c r="G2716">
        <v>2</v>
      </c>
    </row>
    <row r="2717" spans="1:7" x14ac:dyDescent="0.25">
      <c r="A2717">
        <v>17</v>
      </c>
      <c r="B2717" t="s">
        <v>2683</v>
      </c>
      <c r="C2717">
        <v>7110</v>
      </c>
      <c r="D2717" t="str">
        <f>"0729-4360"</f>
        <v>0729-4360</v>
      </c>
      <c r="E2717" t="s">
        <v>8</v>
      </c>
      <c r="F2717" t="s">
        <v>2728</v>
      </c>
      <c r="G2717">
        <v>2</v>
      </c>
    </row>
    <row r="2718" spans="1:7" x14ac:dyDescent="0.25">
      <c r="A2718">
        <v>17</v>
      </c>
      <c r="B2718" t="s">
        <v>2683</v>
      </c>
      <c r="C2718">
        <v>4527</v>
      </c>
      <c r="D2718" t="str">
        <f>"0046-760X"</f>
        <v>0046-760X</v>
      </c>
      <c r="E2718" t="s">
        <v>8</v>
      </c>
      <c r="F2718" t="s">
        <v>2729</v>
      </c>
      <c r="G2718">
        <v>2</v>
      </c>
    </row>
    <row r="2719" spans="1:7" x14ac:dyDescent="0.25">
      <c r="A2719">
        <v>17</v>
      </c>
      <c r="B2719" t="s">
        <v>2683</v>
      </c>
      <c r="C2719">
        <v>5735</v>
      </c>
      <c r="D2719" t="str">
        <f>"1470-3297"</f>
        <v>1470-3297</v>
      </c>
      <c r="E2719" t="s">
        <v>8</v>
      </c>
      <c r="F2719" t="s">
        <v>2730</v>
      </c>
      <c r="G2719">
        <v>2</v>
      </c>
    </row>
    <row r="2720" spans="1:7" x14ac:dyDescent="0.25">
      <c r="A2720">
        <v>17</v>
      </c>
      <c r="B2720" t="s">
        <v>2683</v>
      </c>
      <c r="C2720">
        <v>16640</v>
      </c>
      <c r="D2720" t="str">
        <f>"0020-4277"</f>
        <v>0020-4277</v>
      </c>
      <c r="E2720" t="s">
        <v>8</v>
      </c>
      <c r="F2720" t="s">
        <v>2731</v>
      </c>
      <c r="G2720">
        <v>2</v>
      </c>
    </row>
    <row r="2721" spans="1:7" x14ac:dyDescent="0.25">
      <c r="A2721">
        <v>17</v>
      </c>
      <c r="B2721" t="s">
        <v>2683</v>
      </c>
      <c r="C2721">
        <v>1747</v>
      </c>
      <c r="D2721" t="str">
        <f>"0738-0593"</f>
        <v>0738-0593</v>
      </c>
      <c r="E2721" t="s">
        <v>8</v>
      </c>
      <c r="F2721" t="s">
        <v>2732</v>
      </c>
      <c r="G2721">
        <v>2</v>
      </c>
    </row>
    <row r="2722" spans="1:7" x14ac:dyDescent="0.25">
      <c r="A2722">
        <v>17</v>
      </c>
      <c r="B2722" t="s">
        <v>2683</v>
      </c>
      <c r="C2722">
        <v>4933</v>
      </c>
      <c r="D2722" t="str">
        <f>"0883-0355"</f>
        <v>0883-0355</v>
      </c>
      <c r="E2722" t="s">
        <v>8</v>
      </c>
      <c r="F2722" t="s">
        <v>2733</v>
      </c>
      <c r="G2722">
        <v>2</v>
      </c>
    </row>
    <row r="2723" spans="1:7" x14ac:dyDescent="0.25">
      <c r="A2723">
        <v>17</v>
      </c>
      <c r="B2723" t="s">
        <v>2683</v>
      </c>
      <c r="C2723">
        <v>11217</v>
      </c>
      <c r="D2723" t="str">
        <f>"0949-149X"</f>
        <v>0949-149X</v>
      </c>
      <c r="E2723" t="s">
        <v>8</v>
      </c>
      <c r="F2723" t="s">
        <v>2734</v>
      </c>
      <c r="G2723">
        <v>2</v>
      </c>
    </row>
    <row r="2724" spans="1:7" x14ac:dyDescent="0.25">
      <c r="A2724">
        <v>17</v>
      </c>
      <c r="B2724" t="s">
        <v>2683</v>
      </c>
      <c r="C2724">
        <v>6735</v>
      </c>
      <c r="D2724" t="str">
        <f>"1360-3116"</f>
        <v>1360-3116</v>
      </c>
      <c r="E2724" t="s">
        <v>8</v>
      </c>
      <c r="F2724" t="s">
        <v>2735</v>
      </c>
      <c r="G2724">
        <v>2</v>
      </c>
    </row>
    <row r="2725" spans="1:7" x14ac:dyDescent="0.25">
      <c r="A2725">
        <v>17</v>
      </c>
      <c r="B2725" t="s">
        <v>2683</v>
      </c>
      <c r="C2725">
        <v>16670</v>
      </c>
      <c r="D2725" t="str">
        <f>"0951-8398"</f>
        <v>0951-8398</v>
      </c>
      <c r="E2725" t="s">
        <v>8</v>
      </c>
      <c r="F2725" t="s">
        <v>2736</v>
      </c>
      <c r="G2725">
        <v>2</v>
      </c>
    </row>
    <row r="2726" spans="1:7" x14ac:dyDescent="0.25">
      <c r="A2726">
        <v>17</v>
      </c>
      <c r="B2726" t="s">
        <v>2683</v>
      </c>
      <c r="C2726">
        <v>149</v>
      </c>
      <c r="D2726" t="str">
        <f>"1571-0068"</f>
        <v>1571-0068</v>
      </c>
      <c r="E2726" t="s">
        <v>8</v>
      </c>
      <c r="F2726" t="s">
        <v>2737</v>
      </c>
      <c r="G2726">
        <v>2</v>
      </c>
    </row>
    <row r="2727" spans="1:7" x14ac:dyDescent="0.25">
      <c r="A2727">
        <v>17</v>
      </c>
      <c r="B2727" t="s">
        <v>2683</v>
      </c>
      <c r="C2727">
        <v>6560</v>
      </c>
      <c r="D2727" t="str">
        <f>"0950-0693"</f>
        <v>0950-0693</v>
      </c>
      <c r="E2727" t="s">
        <v>8</v>
      </c>
      <c r="F2727" t="s">
        <v>2738</v>
      </c>
      <c r="G2727">
        <v>2</v>
      </c>
    </row>
    <row r="2728" spans="1:7" x14ac:dyDescent="0.25">
      <c r="A2728">
        <v>17</v>
      </c>
      <c r="B2728" t="s">
        <v>2683</v>
      </c>
      <c r="C2728">
        <v>10061</v>
      </c>
      <c r="D2728" t="str">
        <f>"1467-6370"</f>
        <v>1467-6370</v>
      </c>
      <c r="E2728" t="s">
        <v>8</v>
      </c>
      <c r="F2728" t="s">
        <v>2739</v>
      </c>
      <c r="G2728">
        <v>2</v>
      </c>
    </row>
    <row r="2729" spans="1:7" x14ac:dyDescent="0.25">
      <c r="A2729">
        <v>17</v>
      </c>
      <c r="B2729" t="s">
        <v>2683</v>
      </c>
      <c r="C2729">
        <v>16546</v>
      </c>
      <c r="D2729" t="str">
        <f>"0957-7572"</f>
        <v>0957-7572</v>
      </c>
      <c r="E2729" t="s">
        <v>8</v>
      </c>
      <c r="F2729" t="s">
        <v>2740</v>
      </c>
      <c r="G2729">
        <v>2</v>
      </c>
    </row>
    <row r="2730" spans="1:7" x14ac:dyDescent="0.25">
      <c r="A2730">
        <v>17</v>
      </c>
      <c r="B2730" t="s">
        <v>2683</v>
      </c>
      <c r="C2730">
        <v>15266</v>
      </c>
      <c r="D2730" t="str">
        <f>"0020-8566"</f>
        <v>0020-8566</v>
      </c>
      <c r="E2730" t="s">
        <v>8</v>
      </c>
      <c r="F2730" t="s">
        <v>2741</v>
      </c>
      <c r="G2730">
        <v>2</v>
      </c>
    </row>
    <row r="2731" spans="1:7" x14ac:dyDescent="0.25">
      <c r="A2731">
        <v>17</v>
      </c>
      <c r="B2731" t="s">
        <v>2683</v>
      </c>
      <c r="C2731">
        <v>4844</v>
      </c>
      <c r="D2731" t="str">
        <f>"1081-3004"</f>
        <v>1081-3004</v>
      </c>
      <c r="E2731" t="s">
        <v>8</v>
      </c>
      <c r="F2731" t="s">
        <v>2742</v>
      </c>
      <c r="G2731">
        <v>2</v>
      </c>
    </row>
    <row r="2732" spans="1:7" x14ac:dyDescent="0.25">
      <c r="A2732">
        <v>17</v>
      </c>
      <c r="B2732" t="s">
        <v>2683</v>
      </c>
      <c r="C2732">
        <v>10886</v>
      </c>
      <c r="D2732" t="str">
        <f>"1068-0667"</f>
        <v>1068-0667</v>
      </c>
      <c r="E2732" t="s">
        <v>8</v>
      </c>
      <c r="F2732" t="s">
        <v>2743</v>
      </c>
      <c r="G2732">
        <v>2</v>
      </c>
    </row>
    <row r="2733" spans="1:7" x14ac:dyDescent="0.25">
      <c r="A2733">
        <v>17</v>
      </c>
      <c r="B2733" t="s">
        <v>2683</v>
      </c>
      <c r="C2733">
        <v>3059</v>
      </c>
      <c r="D2733" t="str">
        <f>"0021-9266"</f>
        <v>0021-9266</v>
      </c>
      <c r="E2733" t="s">
        <v>8</v>
      </c>
      <c r="F2733" t="s">
        <v>2744</v>
      </c>
      <c r="G2733">
        <v>2</v>
      </c>
    </row>
    <row r="2734" spans="1:7" x14ac:dyDescent="0.25">
      <c r="A2734">
        <v>17</v>
      </c>
      <c r="B2734" t="s">
        <v>2683</v>
      </c>
      <c r="C2734">
        <v>4281</v>
      </c>
      <c r="D2734" t="str">
        <f>"0748-9633"</f>
        <v>0748-9633</v>
      </c>
      <c r="E2734" t="s">
        <v>8</v>
      </c>
      <c r="F2734" t="s">
        <v>2745</v>
      </c>
      <c r="G2734">
        <v>2</v>
      </c>
    </row>
    <row r="2735" spans="1:7" x14ac:dyDescent="0.25">
      <c r="A2735">
        <v>17</v>
      </c>
      <c r="B2735" t="s">
        <v>2683</v>
      </c>
      <c r="C2735">
        <v>6535</v>
      </c>
      <c r="D2735" t="str">
        <f>"0022-0272"</f>
        <v>0022-0272</v>
      </c>
      <c r="E2735" t="s">
        <v>8</v>
      </c>
      <c r="F2735" t="s">
        <v>2746</v>
      </c>
      <c r="G2735">
        <v>2</v>
      </c>
    </row>
    <row r="2736" spans="1:7" x14ac:dyDescent="0.25">
      <c r="A2736">
        <v>17</v>
      </c>
      <c r="B2736" t="s">
        <v>2683</v>
      </c>
      <c r="C2736">
        <v>8724</v>
      </c>
      <c r="D2736" t="str">
        <f>"1363-9080"</f>
        <v>1363-9080</v>
      </c>
      <c r="E2736" t="s">
        <v>8</v>
      </c>
      <c r="F2736" t="s">
        <v>2747</v>
      </c>
      <c r="G2736">
        <v>2</v>
      </c>
    </row>
    <row r="2737" spans="1:7" x14ac:dyDescent="0.25">
      <c r="A2737">
        <v>17</v>
      </c>
      <c r="B2737" t="s">
        <v>2683</v>
      </c>
      <c r="C2737">
        <v>10531</v>
      </c>
      <c r="D2737" t="str">
        <f>"0260-7476"</f>
        <v>0260-7476</v>
      </c>
      <c r="E2737" t="s">
        <v>8</v>
      </c>
      <c r="F2737" t="s">
        <v>2748</v>
      </c>
      <c r="G2737">
        <v>2</v>
      </c>
    </row>
    <row r="2738" spans="1:7" x14ac:dyDescent="0.25">
      <c r="A2738">
        <v>17</v>
      </c>
      <c r="B2738" t="s">
        <v>2683</v>
      </c>
      <c r="C2738">
        <v>1495</v>
      </c>
      <c r="D2738" t="str">
        <f>"0268-0939"</f>
        <v>0268-0939</v>
      </c>
      <c r="E2738" t="s">
        <v>8</v>
      </c>
      <c r="F2738" t="s">
        <v>2749</v>
      </c>
      <c r="G2738">
        <v>2</v>
      </c>
    </row>
    <row r="2739" spans="1:7" x14ac:dyDescent="0.25">
      <c r="A2739">
        <v>17</v>
      </c>
      <c r="B2739" t="s">
        <v>2683</v>
      </c>
      <c r="C2739">
        <v>16587</v>
      </c>
      <c r="D2739" t="str">
        <f>"1076-9986"</f>
        <v>1076-9986</v>
      </c>
      <c r="E2739" t="s">
        <v>8</v>
      </c>
      <c r="F2739" t="s">
        <v>2750</v>
      </c>
      <c r="G2739">
        <v>2</v>
      </c>
    </row>
    <row r="2740" spans="1:7" x14ac:dyDescent="0.25">
      <c r="A2740">
        <v>17</v>
      </c>
      <c r="B2740" t="s">
        <v>2683</v>
      </c>
      <c r="C2740">
        <v>19670</v>
      </c>
      <c r="D2740" t="str">
        <f>"1069-4730"</f>
        <v>1069-4730</v>
      </c>
      <c r="E2740" t="s">
        <v>8</v>
      </c>
      <c r="F2740" t="s">
        <v>2751</v>
      </c>
      <c r="G2740">
        <v>2</v>
      </c>
    </row>
    <row r="2741" spans="1:7" x14ac:dyDescent="0.25">
      <c r="A2741">
        <v>17</v>
      </c>
      <c r="B2741" t="s">
        <v>2683</v>
      </c>
      <c r="C2741">
        <v>4132</v>
      </c>
      <c r="D2741" t="str">
        <f>"0022-1546"</f>
        <v>0022-1546</v>
      </c>
      <c r="E2741" t="s">
        <v>8</v>
      </c>
      <c r="F2741" t="s">
        <v>2752</v>
      </c>
      <c r="G2741">
        <v>2</v>
      </c>
    </row>
    <row r="2742" spans="1:7" x14ac:dyDescent="0.25">
      <c r="A2742">
        <v>17</v>
      </c>
      <c r="B2742" t="s">
        <v>2683</v>
      </c>
      <c r="C2742">
        <v>8883</v>
      </c>
      <c r="D2742" t="str">
        <f>"0022-2194"</f>
        <v>0022-2194</v>
      </c>
      <c r="E2742" t="s">
        <v>8</v>
      </c>
      <c r="F2742" t="s">
        <v>2753</v>
      </c>
      <c r="G2742">
        <v>2</v>
      </c>
    </row>
    <row r="2743" spans="1:7" x14ac:dyDescent="0.25">
      <c r="A2743">
        <v>17</v>
      </c>
      <c r="B2743" t="s">
        <v>2683</v>
      </c>
      <c r="C2743">
        <v>16127</v>
      </c>
      <c r="D2743" t="str">
        <f>"0305-7240"</f>
        <v>0305-7240</v>
      </c>
      <c r="E2743" t="s">
        <v>8</v>
      </c>
      <c r="F2743" t="s">
        <v>2754</v>
      </c>
      <c r="G2743">
        <v>2</v>
      </c>
    </row>
    <row r="2744" spans="1:7" x14ac:dyDescent="0.25">
      <c r="A2744">
        <v>17</v>
      </c>
      <c r="B2744" t="s">
        <v>2683</v>
      </c>
      <c r="C2744">
        <v>15659</v>
      </c>
      <c r="D2744" t="str">
        <f>"0309-8249"</f>
        <v>0309-8249</v>
      </c>
      <c r="E2744" t="s">
        <v>8</v>
      </c>
      <c r="F2744" t="s">
        <v>2755</v>
      </c>
      <c r="G2744">
        <v>2</v>
      </c>
    </row>
    <row r="2745" spans="1:7" x14ac:dyDescent="0.25">
      <c r="A2745">
        <v>17</v>
      </c>
      <c r="B2745" t="s">
        <v>2683</v>
      </c>
      <c r="C2745">
        <v>12678</v>
      </c>
      <c r="D2745" t="str">
        <f>"0734-2829"</f>
        <v>0734-2829</v>
      </c>
      <c r="E2745" t="s">
        <v>8</v>
      </c>
      <c r="F2745" t="s">
        <v>2756</v>
      </c>
      <c r="G2745">
        <v>2</v>
      </c>
    </row>
    <row r="2746" spans="1:7" x14ac:dyDescent="0.25">
      <c r="A2746">
        <v>17</v>
      </c>
      <c r="B2746" t="s">
        <v>2683</v>
      </c>
      <c r="C2746">
        <v>13871</v>
      </c>
      <c r="D2746" t="str">
        <f>"0022-4308"</f>
        <v>0022-4308</v>
      </c>
      <c r="E2746" t="s">
        <v>8</v>
      </c>
      <c r="F2746" t="s">
        <v>2757</v>
      </c>
      <c r="G2746">
        <v>2</v>
      </c>
    </row>
    <row r="2747" spans="1:7" x14ac:dyDescent="0.25">
      <c r="A2747">
        <v>17</v>
      </c>
      <c r="B2747" t="s">
        <v>2683</v>
      </c>
      <c r="C2747">
        <v>13130</v>
      </c>
      <c r="D2747" t="str">
        <f>"0022-4391"</f>
        <v>0022-4391</v>
      </c>
      <c r="E2747" t="s">
        <v>8</v>
      </c>
      <c r="F2747" t="s">
        <v>2758</v>
      </c>
      <c r="G2747">
        <v>2</v>
      </c>
    </row>
    <row r="2748" spans="1:7" x14ac:dyDescent="0.25">
      <c r="A2748">
        <v>17</v>
      </c>
      <c r="B2748" t="s">
        <v>2683</v>
      </c>
      <c r="C2748">
        <v>2457</v>
      </c>
      <c r="D2748" t="str">
        <f>"1046-560X"</f>
        <v>1046-560X</v>
      </c>
      <c r="E2748" t="s">
        <v>8</v>
      </c>
      <c r="F2748" t="s">
        <v>2759</v>
      </c>
      <c r="G2748">
        <v>2</v>
      </c>
    </row>
    <row r="2749" spans="1:7" x14ac:dyDescent="0.25">
      <c r="A2749">
        <v>17</v>
      </c>
      <c r="B2749" t="s">
        <v>2683</v>
      </c>
      <c r="C2749">
        <v>10005</v>
      </c>
      <c r="D2749" t="str">
        <f>"1611-9665"</f>
        <v>1611-9665</v>
      </c>
      <c r="E2749" t="s">
        <v>8</v>
      </c>
      <c r="F2749" t="s">
        <v>2760</v>
      </c>
      <c r="G2749">
        <v>2</v>
      </c>
    </row>
    <row r="2750" spans="1:7" x14ac:dyDescent="0.25">
      <c r="A2750">
        <v>17</v>
      </c>
      <c r="B2750" t="s">
        <v>2683</v>
      </c>
      <c r="C2750">
        <v>12655</v>
      </c>
      <c r="D2750" t="str">
        <f>"1028-3153"</f>
        <v>1028-3153</v>
      </c>
      <c r="E2750" t="s">
        <v>8</v>
      </c>
      <c r="F2750" t="s">
        <v>2761</v>
      </c>
      <c r="G2750">
        <v>2</v>
      </c>
    </row>
    <row r="2751" spans="1:7" x14ac:dyDescent="0.25">
      <c r="A2751">
        <v>17</v>
      </c>
      <c r="B2751" t="s">
        <v>2683</v>
      </c>
      <c r="C2751">
        <v>2159</v>
      </c>
      <c r="D2751" t="str">
        <f>"0022-4871"</f>
        <v>0022-4871</v>
      </c>
      <c r="E2751" t="s">
        <v>8</v>
      </c>
      <c r="F2751" t="s">
        <v>2762</v>
      </c>
      <c r="G2751">
        <v>2</v>
      </c>
    </row>
    <row r="2752" spans="1:7" x14ac:dyDescent="0.25">
      <c r="A2752">
        <v>17</v>
      </c>
      <c r="B2752" t="s">
        <v>2683</v>
      </c>
      <c r="C2752">
        <v>15318</v>
      </c>
      <c r="D2752" t="str">
        <f>"0273-5024"</f>
        <v>0273-5024</v>
      </c>
      <c r="E2752" t="s">
        <v>8</v>
      </c>
      <c r="F2752" t="s">
        <v>2763</v>
      </c>
      <c r="G2752">
        <v>2</v>
      </c>
    </row>
    <row r="2753" spans="1:7" x14ac:dyDescent="0.25">
      <c r="A2753">
        <v>17</v>
      </c>
      <c r="B2753" t="s">
        <v>2683</v>
      </c>
      <c r="C2753">
        <v>11995</v>
      </c>
      <c r="D2753" t="str">
        <f>"0950-0782"</f>
        <v>0950-0782</v>
      </c>
      <c r="E2753" t="s">
        <v>8</v>
      </c>
      <c r="F2753" t="s">
        <v>2764</v>
      </c>
      <c r="G2753">
        <v>2</v>
      </c>
    </row>
    <row r="2754" spans="1:7" x14ac:dyDescent="0.25">
      <c r="A2754">
        <v>17</v>
      </c>
      <c r="B2754" t="s">
        <v>2683</v>
      </c>
      <c r="C2754">
        <v>4697</v>
      </c>
      <c r="D2754" t="str">
        <f>"0023-8333"</f>
        <v>0023-8333</v>
      </c>
      <c r="E2754" t="s">
        <v>8</v>
      </c>
      <c r="F2754" t="s">
        <v>2765</v>
      </c>
      <c r="G2754">
        <v>2</v>
      </c>
    </row>
    <row r="2755" spans="1:7" x14ac:dyDescent="0.25">
      <c r="A2755">
        <v>17</v>
      </c>
      <c r="B2755" t="s">
        <v>2683</v>
      </c>
      <c r="C2755">
        <v>5493</v>
      </c>
      <c r="D2755" t="str">
        <f>"0261-4448"</f>
        <v>0261-4448</v>
      </c>
      <c r="E2755" t="s">
        <v>8</v>
      </c>
      <c r="F2755" t="s">
        <v>2766</v>
      </c>
      <c r="G2755">
        <v>2</v>
      </c>
    </row>
    <row r="2756" spans="1:7" x14ac:dyDescent="0.25">
      <c r="A2756">
        <v>17</v>
      </c>
      <c r="B2756" t="s">
        <v>2683</v>
      </c>
      <c r="C2756">
        <v>2390</v>
      </c>
      <c r="D2756" t="str">
        <f>"1362-1688"</f>
        <v>1362-1688</v>
      </c>
      <c r="E2756" t="s">
        <v>8</v>
      </c>
      <c r="F2756" t="s">
        <v>2767</v>
      </c>
      <c r="G2756">
        <v>2</v>
      </c>
    </row>
    <row r="2757" spans="1:7" x14ac:dyDescent="0.25">
      <c r="A2757">
        <v>17</v>
      </c>
      <c r="B2757" t="s">
        <v>2683</v>
      </c>
      <c r="C2757">
        <v>9500</v>
      </c>
      <c r="D2757" t="str">
        <f>"1041-6080"</f>
        <v>1041-6080</v>
      </c>
      <c r="E2757" t="s">
        <v>8</v>
      </c>
      <c r="F2757" t="s">
        <v>2768</v>
      </c>
      <c r="G2757">
        <v>2</v>
      </c>
    </row>
    <row r="2758" spans="1:7" x14ac:dyDescent="0.25">
      <c r="A2758">
        <v>17</v>
      </c>
      <c r="B2758" t="s">
        <v>2683</v>
      </c>
      <c r="C2758">
        <v>2391</v>
      </c>
      <c r="D2758" t="str">
        <f>"0959-4752"</f>
        <v>0959-4752</v>
      </c>
      <c r="E2758" t="s">
        <v>8</v>
      </c>
      <c r="F2758" t="s">
        <v>2769</v>
      </c>
      <c r="G2758">
        <v>2</v>
      </c>
    </row>
    <row r="2759" spans="1:7" x14ac:dyDescent="0.25">
      <c r="A2759">
        <v>17</v>
      </c>
      <c r="B2759" t="s">
        <v>2683</v>
      </c>
      <c r="C2759">
        <v>27503</v>
      </c>
      <c r="D2759" t="str">
        <f>"1755-2273"</f>
        <v>1755-2273</v>
      </c>
      <c r="E2759" t="s">
        <v>8</v>
      </c>
      <c r="F2759" t="s">
        <v>2770</v>
      </c>
      <c r="G2759">
        <v>2</v>
      </c>
    </row>
    <row r="2760" spans="1:7" x14ac:dyDescent="0.25">
      <c r="A2760">
        <v>17</v>
      </c>
      <c r="B2760" t="s">
        <v>2683</v>
      </c>
      <c r="C2760">
        <v>9058</v>
      </c>
      <c r="D2760" t="str">
        <f>"0731-9487"</f>
        <v>0731-9487</v>
      </c>
      <c r="E2760" t="s">
        <v>8</v>
      </c>
      <c r="F2760" t="s">
        <v>2771</v>
      </c>
      <c r="G2760">
        <v>2</v>
      </c>
    </row>
    <row r="2761" spans="1:7" x14ac:dyDescent="0.25">
      <c r="A2761">
        <v>17</v>
      </c>
      <c r="B2761" t="s">
        <v>2683</v>
      </c>
      <c r="C2761">
        <v>11080</v>
      </c>
      <c r="D2761" t="str">
        <f>"1350-5076"</f>
        <v>1350-5076</v>
      </c>
      <c r="E2761" t="s">
        <v>8</v>
      </c>
      <c r="F2761" t="s">
        <v>2772</v>
      </c>
      <c r="G2761">
        <v>2</v>
      </c>
    </row>
    <row r="2762" spans="1:7" x14ac:dyDescent="0.25">
      <c r="A2762">
        <v>17</v>
      </c>
      <c r="B2762" t="s">
        <v>2683</v>
      </c>
      <c r="C2762">
        <v>12546</v>
      </c>
      <c r="D2762" t="str">
        <f>"0308-0110"</f>
        <v>0308-0110</v>
      </c>
      <c r="E2762" t="s">
        <v>8</v>
      </c>
      <c r="F2762" t="s">
        <v>2773</v>
      </c>
      <c r="G2762">
        <v>2</v>
      </c>
    </row>
    <row r="2763" spans="1:7" x14ac:dyDescent="0.25">
      <c r="A2763">
        <v>17</v>
      </c>
      <c r="B2763" t="s">
        <v>2683</v>
      </c>
      <c r="C2763">
        <v>1479</v>
      </c>
      <c r="D2763" t="str">
        <f>"1387-6740"</f>
        <v>1387-6740</v>
      </c>
      <c r="E2763" t="s">
        <v>8</v>
      </c>
      <c r="F2763" t="s">
        <v>2774</v>
      </c>
      <c r="G2763">
        <v>2</v>
      </c>
    </row>
    <row r="2764" spans="1:7" x14ac:dyDescent="0.25">
      <c r="A2764">
        <v>17</v>
      </c>
      <c r="B2764" t="s">
        <v>2683</v>
      </c>
      <c r="C2764">
        <v>6304</v>
      </c>
      <c r="D2764" t="str">
        <f>"1891-5914"</f>
        <v>1891-5914</v>
      </c>
      <c r="E2764" t="s">
        <v>8</v>
      </c>
      <c r="F2764" t="s">
        <v>2775</v>
      </c>
      <c r="G2764">
        <v>2</v>
      </c>
    </row>
    <row r="2765" spans="1:7" x14ac:dyDescent="0.25">
      <c r="A2765">
        <v>17</v>
      </c>
      <c r="B2765" t="s">
        <v>2683</v>
      </c>
      <c r="C2765">
        <v>1379</v>
      </c>
      <c r="D2765" t="str">
        <f>"1504-4556"</f>
        <v>1504-4556</v>
      </c>
      <c r="E2765" t="s">
        <v>8</v>
      </c>
      <c r="F2765" t="s">
        <v>2776</v>
      </c>
      <c r="G2765">
        <v>2</v>
      </c>
    </row>
    <row r="2766" spans="1:7" x14ac:dyDescent="0.25">
      <c r="A2766">
        <v>17</v>
      </c>
      <c r="B2766" t="s">
        <v>2683</v>
      </c>
      <c r="C2766">
        <v>8569</v>
      </c>
      <c r="D2766" t="str">
        <f>"0305-4985"</f>
        <v>0305-4985</v>
      </c>
      <c r="E2766" t="s">
        <v>8</v>
      </c>
      <c r="F2766" t="s">
        <v>2777</v>
      </c>
      <c r="G2766">
        <v>2</v>
      </c>
    </row>
    <row r="2767" spans="1:7" x14ac:dyDescent="0.25">
      <c r="A2767">
        <v>17</v>
      </c>
      <c r="B2767" t="s">
        <v>2683</v>
      </c>
      <c r="C2767">
        <v>16121</v>
      </c>
      <c r="D2767" t="str">
        <f>"0030-9230"</f>
        <v>0030-9230</v>
      </c>
      <c r="E2767" t="s">
        <v>8</v>
      </c>
      <c r="F2767" t="s">
        <v>2778</v>
      </c>
      <c r="G2767">
        <v>2</v>
      </c>
    </row>
    <row r="2768" spans="1:7" x14ac:dyDescent="0.25">
      <c r="A2768">
        <v>17</v>
      </c>
      <c r="B2768" t="s">
        <v>2683</v>
      </c>
      <c r="C2768">
        <v>13086</v>
      </c>
      <c r="D2768" t="str">
        <f>"1361-3324"</f>
        <v>1361-3324</v>
      </c>
      <c r="E2768" t="s">
        <v>8</v>
      </c>
      <c r="F2768" t="s">
        <v>2779</v>
      </c>
      <c r="G2768">
        <v>2</v>
      </c>
    </row>
    <row r="2769" spans="1:7" x14ac:dyDescent="0.25">
      <c r="A2769">
        <v>17</v>
      </c>
      <c r="B2769" t="s">
        <v>2683</v>
      </c>
      <c r="C2769">
        <v>11780</v>
      </c>
      <c r="D2769" t="str">
        <f>"0741-9325"</f>
        <v>0741-9325</v>
      </c>
      <c r="E2769" t="s">
        <v>8</v>
      </c>
      <c r="F2769" t="s">
        <v>2780</v>
      </c>
      <c r="G2769">
        <v>2</v>
      </c>
    </row>
    <row r="2770" spans="1:7" x14ac:dyDescent="0.25">
      <c r="A2770">
        <v>17</v>
      </c>
      <c r="B2770" t="s">
        <v>2683</v>
      </c>
      <c r="C2770">
        <v>3801</v>
      </c>
      <c r="D2770" t="str">
        <f>"0361-0365"</f>
        <v>0361-0365</v>
      </c>
      <c r="E2770" t="s">
        <v>8</v>
      </c>
      <c r="F2770" t="s">
        <v>2781</v>
      </c>
      <c r="G2770">
        <v>2</v>
      </c>
    </row>
    <row r="2771" spans="1:7" x14ac:dyDescent="0.25">
      <c r="A2771">
        <v>17</v>
      </c>
      <c r="B2771" t="s">
        <v>2683</v>
      </c>
      <c r="C2771">
        <v>8789</v>
      </c>
      <c r="D2771" t="str">
        <f>"0157-244X"</f>
        <v>0157-244X</v>
      </c>
      <c r="E2771" t="s">
        <v>8</v>
      </c>
      <c r="F2771" t="s">
        <v>2782</v>
      </c>
      <c r="G2771">
        <v>2</v>
      </c>
    </row>
    <row r="2772" spans="1:7" x14ac:dyDescent="0.25">
      <c r="A2772">
        <v>17</v>
      </c>
      <c r="B2772" t="s">
        <v>2683</v>
      </c>
      <c r="C2772">
        <v>15147</v>
      </c>
      <c r="D2772" t="str">
        <f>"0034-527X"</f>
        <v>0034-527X</v>
      </c>
      <c r="E2772" t="s">
        <v>8</v>
      </c>
      <c r="F2772" t="s">
        <v>2783</v>
      </c>
      <c r="G2772">
        <v>2</v>
      </c>
    </row>
    <row r="2773" spans="1:7" x14ac:dyDescent="0.25">
      <c r="A2773">
        <v>17</v>
      </c>
      <c r="B2773" t="s">
        <v>2683</v>
      </c>
      <c r="C2773">
        <v>12187</v>
      </c>
      <c r="D2773" t="str">
        <f>"0034-6543"</f>
        <v>0034-6543</v>
      </c>
      <c r="E2773" t="s">
        <v>8</v>
      </c>
      <c r="F2773" t="s">
        <v>2784</v>
      </c>
      <c r="G2773">
        <v>2</v>
      </c>
    </row>
    <row r="2774" spans="1:7" x14ac:dyDescent="0.25">
      <c r="A2774">
        <v>17</v>
      </c>
      <c r="B2774" t="s">
        <v>2683</v>
      </c>
      <c r="C2774">
        <v>5660</v>
      </c>
      <c r="D2774" t="str">
        <f>"0091-732X"</f>
        <v>0091-732X</v>
      </c>
      <c r="E2774" t="s">
        <v>8</v>
      </c>
      <c r="F2774" t="s">
        <v>2785</v>
      </c>
      <c r="G2774">
        <v>2</v>
      </c>
    </row>
    <row r="2775" spans="1:7" x14ac:dyDescent="0.25">
      <c r="A2775">
        <v>17</v>
      </c>
      <c r="B2775" t="s">
        <v>2683</v>
      </c>
      <c r="C2775">
        <v>14913</v>
      </c>
      <c r="D2775" t="str">
        <f>"0031-3831"</f>
        <v>0031-3831</v>
      </c>
      <c r="E2775" t="s">
        <v>8</v>
      </c>
      <c r="F2775" t="s">
        <v>2786</v>
      </c>
      <c r="G2775">
        <v>2</v>
      </c>
    </row>
    <row r="2776" spans="1:7" x14ac:dyDescent="0.25">
      <c r="A2776">
        <v>17</v>
      </c>
      <c r="B2776" t="s">
        <v>2683</v>
      </c>
      <c r="C2776">
        <v>10633</v>
      </c>
      <c r="D2776" t="str">
        <f>"0924-3453"</f>
        <v>0924-3453</v>
      </c>
      <c r="E2776" t="s">
        <v>8</v>
      </c>
      <c r="F2776" t="s">
        <v>2787</v>
      </c>
      <c r="G2776">
        <v>2</v>
      </c>
    </row>
    <row r="2777" spans="1:7" x14ac:dyDescent="0.25">
      <c r="A2777">
        <v>17</v>
      </c>
      <c r="B2777" t="s">
        <v>2683</v>
      </c>
      <c r="C2777">
        <v>2761</v>
      </c>
      <c r="D2777" t="str">
        <f>"0926-7220"</f>
        <v>0926-7220</v>
      </c>
      <c r="E2777" t="s">
        <v>8</v>
      </c>
      <c r="F2777" t="s">
        <v>2788</v>
      </c>
      <c r="G2777">
        <v>2</v>
      </c>
    </row>
    <row r="2778" spans="1:7" x14ac:dyDescent="0.25">
      <c r="A2778">
        <v>17</v>
      </c>
      <c r="B2778" t="s">
        <v>2683</v>
      </c>
      <c r="C2778">
        <v>14061</v>
      </c>
      <c r="D2778" t="str">
        <f>"0036-8326"</f>
        <v>0036-8326</v>
      </c>
      <c r="E2778" t="s">
        <v>8</v>
      </c>
      <c r="F2778" t="s">
        <v>2789</v>
      </c>
      <c r="G2778">
        <v>2</v>
      </c>
    </row>
    <row r="2779" spans="1:7" x14ac:dyDescent="0.25">
      <c r="A2779">
        <v>17</v>
      </c>
      <c r="B2779" t="s">
        <v>2683</v>
      </c>
      <c r="C2779">
        <v>2796</v>
      </c>
      <c r="D2779" t="str">
        <f>"1088-8438"</f>
        <v>1088-8438</v>
      </c>
      <c r="E2779" t="s">
        <v>8</v>
      </c>
      <c r="F2779" t="s">
        <v>2790</v>
      </c>
      <c r="G2779">
        <v>2</v>
      </c>
    </row>
    <row r="2780" spans="1:7" x14ac:dyDescent="0.25">
      <c r="A2780">
        <v>17</v>
      </c>
      <c r="B2780" t="s">
        <v>2683</v>
      </c>
      <c r="C2780">
        <v>9347</v>
      </c>
      <c r="D2780" t="str">
        <f>"0038-0407"</f>
        <v>0038-0407</v>
      </c>
      <c r="E2780" t="s">
        <v>8</v>
      </c>
      <c r="F2780" t="s">
        <v>2791</v>
      </c>
      <c r="G2780">
        <v>2</v>
      </c>
    </row>
    <row r="2781" spans="1:7" x14ac:dyDescent="0.25">
      <c r="A2781">
        <v>17</v>
      </c>
      <c r="B2781" t="s">
        <v>2683</v>
      </c>
      <c r="C2781">
        <v>12178</v>
      </c>
      <c r="D2781" t="str">
        <f>"0158-037X"</f>
        <v>0158-037X</v>
      </c>
      <c r="E2781" t="s">
        <v>8</v>
      </c>
      <c r="F2781" t="s">
        <v>2792</v>
      </c>
      <c r="G2781">
        <v>2</v>
      </c>
    </row>
    <row r="2782" spans="1:7" x14ac:dyDescent="0.25">
      <c r="A2782">
        <v>17</v>
      </c>
      <c r="B2782" t="s">
        <v>2683</v>
      </c>
      <c r="C2782">
        <v>13527</v>
      </c>
      <c r="D2782" t="str">
        <f>"0307-5079"</f>
        <v>0307-5079</v>
      </c>
      <c r="E2782" t="s">
        <v>8</v>
      </c>
      <c r="F2782" t="s">
        <v>2793</v>
      </c>
      <c r="G2782">
        <v>2</v>
      </c>
    </row>
    <row r="2783" spans="1:7" x14ac:dyDescent="0.25">
      <c r="A2783">
        <v>17</v>
      </c>
      <c r="B2783" t="s">
        <v>2683</v>
      </c>
      <c r="C2783">
        <v>8429</v>
      </c>
      <c r="D2783" t="str">
        <f>"0039-3746"</f>
        <v>0039-3746</v>
      </c>
      <c r="E2783" t="s">
        <v>8</v>
      </c>
      <c r="F2783" t="s">
        <v>2794</v>
      </c>
      <c r="G2783">
        <v>2</v>
      </c>
    </row>
    <row r="2784" spans="1:7" x14ac:dyDescent="0.25">
      <c r="A2784">
        <v>17</v>
      </c>
      <c r="B2784" t="s">
        <v>2683</v>
      </c>
      <c r="C2784">
        <v>2121</v>
      </c>
      <c r="D2784" t="str">
        <f>"0305-7267"</f>
        <v>0305-7267</v>
      </c>
      <c r="E2784" t="s">
        <v>8</v>
      </c>
      <c r="F2784" t="s">
        <v>2795</v>
      </c>
      <c r="G2784">
        <v>2</v>
      </c>
    </row>
    <row r="2785" spans="1:7" x14ac:dyDescent="0.25">
      <c r="A2785">
        <v>17</v>
      </c>
      <c r="B2785" t="s">
        <v>2683</v>
      </c>
      <c r="C2785">
        <v>6892</v>
      </c>
      <c r="D2785" t="str">
        <f>"0272-2631"</f>
        <v>0272-2631</v>
      </c>
      <c r="E2785" t="s">
        <v>8</v>
      </c>
      <c r="F2785" t="s">
        <v>2796</v>
      </c>
      <c r="G2785">
        <v>2</v>
      </c>
    </row>
    <row r="2786" spans="1:7" x14ac:dyDescent="0.25">
      <c r="A2786">
        <v>17</v>
      </c>
      <c r="B2786" t="s">
        <v>2683</v>
      </c>
      <c r="C2786">
        <v>15420</v>
      </c>
      <c r="D2786" t="str">
        <f>"1354-0602"</f>
        <v>1354-0602</v>
      </c>
      <c r="E2786" t="s">
        <v>8</v>
      </c>
      <c r="F2786" t="s">
        <v>2797</v>
      </c>
      <c r="G2786">
        <v>2</v>
      </c>
    </row>
    <row r="2787" spans="1:7" x14ac:dyDescent="0.25">
      <c r="A2787">
        <v>17</v>
      </c>
      <c r="B2787" t="s">
        <v>2683</v>
      </c>
      <c r="C2787">
        <v>8155</v>
      </c>
      <c r="D2787" t="str">
        <f>"0742-051X"</f>
        <v>0742-051X</v>
      </c>
      <c r="E2787" t="s">
        <v>8</v>
      </c>
      <c r="F2787" t="s">
        <v>2798</v>
      </c>
      <c r="G2787">
        <v>2</v>
      </c>
    </row>
    <row r="2788" spans="1:7" x14ac:dyDescent="0.25">
      <c r="A2788">
        <v>17</v>
      </c>
      <c r="B2788" t="s">
        <v>2683</v>
      </c>
      <c r="C2788">
        <v>14844</v>
      </c>
      <c r="D2788" t="str">
        <f>"1356-2517"</f>
        <v>1356-2517</v>
      </c>
      <c r="E2788" t="s">
        <v>8</v>
      </c>
      <c r="F2788" t="s">
        <v>2799</v>
      </c>
      <c r="G2788">
        <v>2</v>
      </c>
    </row>
    <row r="2789" spans="1:7" x14ac:dyDescent="0.25">
      <c r="A2789">
        <v>17</v>
      </c>
      <c r="B2789" t="s">
        <v>2683</v>
      </c>
      <c r="C2789">
        <v>17037</v>
      </c>
      <c r="D2789" t="str">
        <f>"0311-6999"</f>
        <v>0311-6999</v>
      </c>
      <c r="E2789" t="s">
        <v>8</v>
      </c>
      <c r="F2789" t="s">
        <v>2800</v>
      </c>
      <c r="G2789">
        <v>2</v>
      </c>
    </row>
    <row r="2790" spans="1:7" x14ac:dyDescent="0.25">
      <c r="A2790">
        <v>17</v>
      </c>
      <c r="B2790" t="s">
        <v>2683</v>
      </c>
      <c r="C2790">
        <v>4999</v>
      </c>
      <c r="D2790" t="str">
        <f>"0889-4019"</f>
        <v>0889-4019</v>
      </c>
      <c r="E2790" t="s">
        <v>8</v>
      </c>
      <c r="F2790" t="s">
        <v>2801</v>
      </c>
      <c r="G2790">
        <v>2</v>
      </c>
    </row>
    <row r="2791" spans="1:7" x14ac:dyDescent="0.25">
      <c r="A2791">
        <v>17</v>
      </c>
      <c r="B2791" t="s">
        <v>2683</v>
      </c>
      <c r="C2791">
        <v>1583</v>
      </c>
      <c r="D2791" t="str">
        <f>"0958-5176"</f>
        <v>0958-5176</v>
      </c>
      <c r="E2791" t="s">
        <v>8</v>
      </c>
      <c r="F2791" t="s">
        <v>2802</v>
      </c>
      <c r="G2791">
        <v>2</v>
      </c>
    </row>
    <row r="2792" spans="1:7" x14ac:dyDescent="0.25">
      <c r="A2792">
        <v>17</v>
      </c>
      <c r="B2792" t="s">
        <v>2683</v>
      </c>
      <c r="C2792">
        <v>8726</v>
      </c>
      <c r="D2792" t="str">
        <f>"0013-5984"</f>
        <v>0013-5984</v>
      </c>
      <c r="E2792" t="s">
        <v>8</v>
      </c>
      <c r="F2792" t="s">
        <v>2803</v>
      </c>
      <c r="G2792">
        <v>2</v>
      </c>
    </row>
    <row r="2793" spans="1:7" x14ac:dyDescent="0.25">
      <c r="A2793">
        <v>17</v>
      </c>
      <c r="B2793" t="s">
        <v>2683</v>
      </c>
      <c r="C2793">
        <v>14682</v>
      </c>
      <c r="D2793" t="str">
        <f>"0022-0671"</f>
        <v>0022-0671</v>
      </c>
      <c r="E2793" t="s">
        <v>8</v>
      </c>
      <c r="F2793" t="s">
        <v>2804</v>
      </c>
      <c r="G2793">
        <v>2</v>
      </c>
    </row>
    <row r="2794" spans="1:7" x14ac:dyDescent="0.25">
      <c r="A2794">
        <v>17</v>
      </c>
      <c r="B2794" t="s">
        <v>2683</v>
      </c>
      <c r="C2794">
        <v>18462</v>
      </c>
      <c r="D2794" t="str">
        <f>"0095-8964"</f>
        <v>0095-8964</v>
      </c>
      <c r="E2794" t="s">
        <v>8</v>
      </c>
      <c r="F2794" t="s">
        <v>2805</v>
      </c>
      <c r="G2794">
        <v>2</v>
      </c>
    </row>
    <row r="2795" spans="1:7" x14ac:dyDescent="0.25">
      <c r="A2795">
        <v>17</v>
      </c>
      <c r="B2795" t="s">
        <v>2683</v>
      </c>
      <c r="C2795">
        <v>14180</v>
      </c>
      <c r="D2795" t="str">
        <f>"0022-4669"</f>
        <v>0022-4669</v>
      </c>
      <c r="E2795" t="s">
        <v>8</v>
      </c>
      <c r="F2795" t="s">
        <v>2806</v>
      </c>
      <c r="G2795">
        <v>2</v>
      </c>
    </row>
    <row r="2796" spans="1:7" x14ac:dyDescent="0.25">
      <c r="A2796">
        <v>17</v>
      </c>
      <c r="B2796" t="s">
        <v>2683</v>
      </c>
      <c r="C2796">
        <v>84</v>
      </c>
      <c r="D2796" t="str">
        <f>"0034-0561"</f>
        <v>0034-0561</v>
      </c>
      <c r="E2796" t="s">
        <v>8</v>
      </c>
      <c r="F2796" t="s">
        <v>2807</v>
      </c>
      <c r="G2796">
        <v>2</v>
      </c>
    </row>
    <row r="2797" spans="1:7" x14ac:dyDescent="0.25">
      <c r="A2797">
        <v>17</v>
      </c>
      <c r="B2797" t="s">
        <v>2683</v>
      </c>
      <c r="C2797">
        <v>4914</v>
      </c>
      <c r="D2797" t="str">
        <f>"0162-5748"</f>
        <v>0162-5748</v>
      </c>
      <c r="E2797" t="s">
        <v>8</v>
      </c>
      <c r="F2797" t="s">
        <v>2808</v>
      </c>
      <c r="G2797">
        <v>2</v>
      </c>
    </row>
    <row r="2798" spans="1:7" x14ac:dyDescent="0.25">
      <c r="A2798">
        <v>17</v>
      </c>
      <c r="B2798" t="s">
        <v>2683</v>
      </c>
      <c r="C2798">
        <v>9074</v>
      </c>
      <c r="D2798" t="str">
        <f>"0040-5841"</f>
        <v>0040-5841</v>
      </c>
      <c r="E2798" t="s">
        <v>8</v>
      </c>
      <c r="F2798" t="s">
        <v>2809</v>
      </c>
      <c r="G2798">
        <v>2</v>
      </c>
    </row>
    <row r="2799" spans="1:7" x14ac:dyDescent="0.25">
      <c r="A2799">
        <v>17</v>
      </c>
      <c r="B2799" t="s">
        <v>2683</v>
      </c>
      <c r="C2799">
        <v>9658</v>
      </c>
      <c r="D2799" t="str">
        <f>"0271-1214"</f>
        <v>0271-1214</v>
      </c>
      <c r="E2799" t="s">
        <v>8</v>
      </c>
      <c r="F2799" t="s">
        <v>2810</v>
      </c>
      <c r="G2799">
        <v>2</v>
      </c>
    </row>
    <row r="2800" spans="1:7" x14ac:dyDescent="0.25">
      <c r="A2800">
        <v>17</v>
      </c>
      <c r="B2800" t="s">
        <v>2683</v>
      </c>
      <c r="C2800">
        <v>16473</v>
      </c>
      <c r="D2800" t="str">
        <f>"1874-785X"</f>
        <v>1874-785X</v>
      </c>
      <c r="E2800" t="s">
        <v>8</v>
      </c>
      <c r="F2800" t="s">
        <v>2811</v>
      </c>
      <c r="G2800">
        <v>2</v>
      </c>
    </row>
    <row r="2801" spans="1:7" x14ac:dyDescent="0.25">
      <c r="A2801">
        <v>17</v>
      </c>
      <c r="B2801" t="s">
        <v>2683</v>
      </c>
      <c r="C2801">
        <v>9567</v>
      </c>
      <c r="D2801" t="str">
        <f>"1434-663X"</f>
        <v>1434-663X</v>
      </c>
      <c r="E2801" t="s">
        <v>8</v>
      </c>
      <c r="F2801" t="s">
        <v>2812</v>
      </c>
      <c r="G2801">
        <v>2</v>
      </c>
    </row>
    <row r="2802" spans="1:7" x14ac:dyDescent="0.25">
      <c r="A2802">
        <v>17</v>
      </c>
      <c r="B2802" t="s">
        <v>2683</v>
      </c>
      <c r="C2802">
        <v>11598</v>
      </c>
      <c r="D2802" t="str">
        <f>"0044-3247"</f>
        <v>0044-3247</v>
      </c>
      <c r="E2802" t="s">
        <v>8</v>
      </c>
      <c r="F2802" t="s">
        <v>2813</v>
      </c>
      <c r="G2802">
        <v>2</v>
      </c>
    </row>
    <row r="2803" spans="1:7" x14ac:dyDescent="0.25">
      <c r="A2803">
        <v>17</v>
      </c>
      <c r="B2803" t="s">
        <v>2683</v>
      </c>
      <c r="C2803">
        <v>4429</v>
      </c>
      <c r="D2803" t="str">
        <f>"0190-2946"</f>
        <v>0190-2946</v>
      </c>
      <c r="E2803" t="s">
        <v>8</v>
      </c>
      <c r="F2803" t="s">
        <v>2814</v>
      </c>
      <c r="G2803">
        <v>1</v>
      </c>
    </row>
    <row r="2804" spans="1:7" x14ac:dyDescent="0.25">
      <c r="A2804">
        <v>17</v>
      </c>
      <c r="B2804" t="s">
        <v>2683</v>
      </c>
      <c r="C2804">
        <v>8817</v>
      </c>
      <c r="E2804" t="s">
        <v>8</v>
      </c>
      <c r="F2804" t="s">
        <v>2815</v>
      </c>
      <c r="G2804">
        <v>1</v>
      </c>
    </row>
    <row r="2805" spans="1:7" x14ac:dyDescent="0.25">
      <c r="A2805">
        <v>17</v>
      </c>
      <c r="B2805" t="s">
        <v>2683</v>
      </c>
      <c r="C2805">
        <v>8782660</v>
      </c>
      <c r="D2805" t="str">
        <f>"1392-5016"</f>
        <v>1392-5016</v>
      </c>
      <c r="E2805" t="s">
        <v>8</v>
      </c>
      <c r="F2805" t="s">
        <v>2816</v>
      </c>
      <c r="G2805">
        <v>1</v>
      </c>
    </row>
    <row r="2806" spans="1:7" x14ac:dyDescent="0.25">
      <c r="A2806">
        <v>17</v>
      </c>
      <c r="B2806" t="s">
        <v>2683</v>
      </c>
      <c r="C2806">
        <v>8782895</v>
      </c>
      <c r="D2806" t="str">
        <f>"1326-964X"</f>
        <v>1326-964X</v>
      </c>
      <c r="E2806" t="s">
        <v>2100</v>
      </c>
      <c r="F2806" t="s">
        <v>2817</v>
      </c>
      <c r="G2806">
        <v>1</v>
      </c>
    </row>
    <row r="2807" spans="1:7" x14ac:dyDescent="0.25">
      <c r="A2807">
        <v>17</v>
      </c>
      <c r="B2807" t="s">
        <v>2683</v>
      </c>
      <c r="C2807">
        <v>9572</v>
      </c>
      <c r="D2807" t="str">
        <f>"1476-7333"</f>
        <v>1476-7333</v>
      </c>
      <c r="E2807" t="s">
        <v>8</v>
      </c>
      <c r="F2807" t="s">
        <v>2818</v>
      </c>
      <c r="G2807">
        <v>1</v>
      </c>
    </row>
    <row r="2808" spans="1:7" x14ac:dyDescent="0.25">
      <c r="A2808">
        <v>17</v>
      </c>
      <c r="B2808" t="s">
        <v>2683</v>
      </c>
      <c r="C2808">
        <v>4638</v>
      </c>
      <c r="D2808" t="str">
        <f>"1469-7874"</f>
        <v>1469-7874</v>
      </c>
      <c r="E2808" t="s">
        <v>8</v>
      </c>
      <c r="F2808" t="s">
        <v>2819</v>
      </c>
      <c r="G2808">
        <v>1</v>
      </c>
    </row>
    <row r="2809" spans="1:7" x14ac:dyDescent="0.25">
      <c r="A2809">
        <v>17</v>
      </c>
      <c r="B2809" t="s">
        <v>2683</v>
      </c>
      <c r="C2809">
        <v>10647</v>
      </c>
      <c r="D2809" t="str">
        <f>"0342-7633"</f>
        <v>0342-7633</v>
      </c>
      <c r="E2809" t="s">
        <v>8</v>
      </c>
      <c r="F2809" t="s">
        <v>2820</v>
      </c>
      <c r="G2809">
        <v>1</v>
      </c>
    </row>
    <row r="2810" spans="1:7" x14ac:dyDescent="0.25">
      <c r="A2810">
        <v>17</v>
      </c>
      <c r="B2810" t="s">
        <v>2683</v>
      </c>
      <c r="C2810">
        <v>26390</v>
      </c>
      <c r="D2810" t="str">
        <f>"1045-1595"</f>
        <v>1045-1595</v>
      </c>
      <c r="E2810" t="s">
        <v>8</v>
      </c>
      <c r="F2810" t="s">
        <v>2821</v>
      </c>
      <c r="G2810">
        <v>1</v>
      </c>
    </row>
    <row r="2811" spans="1:7" x14ac:dyDescent="0.25">
      <c r="A2811">
        <v>17</v>
      </c>
      <c r="B2811" t="s">
        <v>2683</v>
      </c>
      <c r="C2811">
        <v>76508</v>
      </c>
      <c r="D2811" t="str">
        <f>"1941-1766"</f>
        <v>1941-1766</v>
      </c>
      <c r="E2811" t="s">
        <v>8</v>
      </c>
      <c r="F2811" t="s">
        <v>2822</v>
      </c>
      <c r="G2811">
        <v>1</v>
      </c>
    </row>
    <row r="2812" spans="1:7" x14ac:dyDescent="0.25">
      <c r="A2812">
        <v>17</v>
      </c>
      <c r="B2812" t="s">
        <v>2683</v>
      </c>
      <c r="C2812">
        <v>8150</v>
      </c>
      <c r="D2812" t="str">
        <f>"1382-4996"</f>
        <v>1382-4996</v>
      </c>
      <c r="E2812" t="s">
        <v>8</v>
      </c>
      <c r="F2812" t="s">
        <v>2823</v>
      </c>
      <c r="G2812">
        <v>1</v>
      </c>
    </row>
    <row r="2813" spans="1:7" x14ac:dyDescent="0.25">
      <c r="A2813">
        <v>17</v>
      </c>
      <c r="B2813" t="s">
        <v>2683</v>
      </c>
      <c r="C2813">
        <v>8782944</v>
      </c>
      <c r="D2813" t="str">
        <f>"1869-4918"</f>
        <v>1869-4918</v>
      </c>
      <c r="E2813" t="s">
        <v>15</v>
      </c>
      <c r="F2813" t="s">
        <v>2824</v>
      </c>
      <c r="G2813">
        <v>1</v>
      </c>
    </row>
    <row r="2814" spans="1:7" x14ac:dyDescent="0.25">
      <c r="A2814">
        <v>17</v>
      </c>
      <c r="B2814" t="s">
        <v>2683</v>
      </c>
      <c r="C2814">
        <v>7703345</v>
      </c>
      <c r="E2814" t="s">
        <v>8</v>
      </c>
      <c r="F2814" t="s">
        <v>2825</v>
      </c>
      <c r="G2814">
        <v>1</v>
      </c>
    </row>
    <row r="2815" spans="1:7" x14ac:dyDescent="0.25">
      <c r="A2815">
        <v>17</v>
      </c>
      <c r="B2815" t="s">
        <v>2683</v>
      </c>
      <c r="C2815">
        <v>7969</v>
      </c>
      <c r="D2815" t="str">
        <f>"1043-4046"</f>
        <v>1043-4046</v>
      </c>
      <c r="E2815" t="s">
        <v>8</v>
      </c>
      <c r="F2815" t="s">
        <v>2826</v>
      </c>
      <c r="G2815">
        <v>1</v>
      </c>
    </row>
    <row r="2816" spans="1:7" x14ac:dyDescent="0.25">
      <c r="A2816">
        <v>17</v>
      </c>
      <c r="B2816" t="s">
        <v>2683</v>
      </c>
      <c r="C2816">
        <v>99989</v>
      </c>
      <c r="D2816" t="str">
        <f>"1479-3687"</f>
        <v>1479-3687</v>
      </c>
      <c r="E2816" t="s">
        <v>15</v>
      </c>
      <c r="F2816" t="s">
        <v>2827</v>
      </c>
      <c r="G2816">
        <v>1</v>
      </c>
    </row>
    <row r="2817" spans="1:7" x14ac:dyDescent="0.25">
      <c r="A2817">
        <v>17</v>
      </c>
      <c r="B2817" t="s">
        <v>2683</v>
      </c>
      <c r="C2817">
        <v>8783030</v>
      </c>
      <c r="D2817" t="str">
        <f>"0163-9676"</f>
        <v>0163-9676</v>
      </c>
      <c r="E2817" t="s">
        <v>2100</v>
      </c>
      <c r="F2817" t="s">
        <v>2828</v>
      </c>
      <c r="G2817">
        <v>1</v>
      </c>
    </row>
    <row r="2818" spans="1:7" x14ac:dyDescent="0.25">
      <c r="A2818">
        <v>17</v>
      </c>
      <c r="B2818" t="s">
        <v>2683</v>
      </c>
      <c r="C2818">
        <v>8783063</v>
      </c>
      <c r="E2818" t="s">
        <v>8</v>
      </c>
      <c r="F2818" t="s">
        <v>2829</v>
      </c>
      <c r="G2818">
        <v>1</v>
      </c>
    </row>
    <row r="2819" spans="1:7" x14ac:dyDescent="0.25">
      <c r="A2819">
        <v>17</v>
      </c>
      <c r="B2819" t="s">
        <v>2683</v>
      </c>
      <c r="C2819">
        <v>6489</v>
      </c>
      <c r="D2819" t="str">
        <f>"1028-8457"</f>
        <v>1028-8457</v>
      </c>
      <c r="E2819" t="s">
        <v>8</v>
      </c>
      <c r="F2819" t="s">
        <v>2830</v>
      </c>
      <c r="G2819">
        <v>1</v>
      </c>
    </row>
    <row r="2820" spans="1:7" x14ac:dyDescent="0.25">
      <c r="A2820">
        <v>17</v>
      </c>
      <c r="B2820" t="s">
        <v>2683</v>
      </c>
      <c r="C2820">
        <v>8782486</v>
      </c>
      <c r="D2820" t="str">
        <f>"1811-7295"</f>
        <v>1811-7295</v>
      </c>
      <c r="E2820" t="s">
        <v>8</v>
      </c>
      <c r="F2820" t="s">
        <v>2831</v>
      </c>
      <c r="G2820">
        <v>1</v>
      </c>
    </row>
    <row r="2821" spans="1:7" x14ac:dyDescent="0.25">
      <c r="A2821">
        <v>17</v>
      </c>
      <c r="B2821" t="s">
        <v>2683</v>
      </c>
      <c r="C2821">
        <v>1666</v>
      </c>
      <c r="D2821" t="str">
        <f>"0002-4805"</f>
        <v>0002-4805</v>
      </c>
      <c r="E2821" t="s">
        <v>8</v>
      </c>
      <c r="F2821" t="s">
        <v>2832</v>
      </c>
      <c r="G2821">
        <v>1</v>
      </c>
    </row>
    <row r="2822" spans="1:7" x14ac:dyDescent="0.25">
      <c r="A2822">
        <v>17</v>
      </c>
      <c r="B2822" t="s">
        <v>2683</v>
      </c>
      <c r="C2822">
        <v>129829</v>
      </c>
      <c r="D2822" t="str">
        <f>"1982-5153"</f>
        <v>1982-5153</v>
      </c>
      <c r="E2822" t="s">
        <v>8</v>
      </c>
      <c r="F2822" t="s">
        <v>2833</v>
      </c>
      <c r="G2822">
        <v>1</v>
      </c>
    </row>
    <row r="2823" spans="1:7" x14ac:dyDescent="0.25">
      <c r="A2823">
        <v>17</v>
      </c>
      <c r="B2823" t="s">
        <v>2683</v>
      </c>
      <c r="C2823">
        <v>8050</v>
      </c>
      <c r="D2823" t="str">
        <f>"0892-3647"</f>
        <v>0892-3647</v>
      </c>
      <c r="E2823" t="s">
        <v>8</v>
      </c>
      <c r="F2823" t="s">
        <v>2834</v>
      </c>
      <c r="G2823">
        <v>1</v>
      </c>
    </row>
    <row r="2824" spans="1:7" x14ac:dyDescent="0.25">
      <c r="A2824">
        <v>17</v>
      </c>
      <c r="B2824" t="s">
        <v>2683</v>
      </c>
      <c r="C2824">
        <v>7063</v>
      </c>
      <c r="D2824" t="str">
        <f>"0195-6744"</f>
        <v>0195-6744</v>
      </c>
      <c r="E2824" t="s">
        <v>8</v>
      </c>
      <c r="F2824" t="s">
        <v>2835</v>
      </c>
      <c r="G2824">
        <v>1</v>
      </c>
    </row>
    <row r="2825" spans="1:7" x14ac:dyDescent="0.25">
      <c r="A2825">
        <v>17</v>
      </c>
      <c r="B2825" t="s">
        <v>2683</v>
      </c>
      <c r="C2825">
        <v>1506</v>
      </c>
      <c r="D2825" t="str">
        <f>"0002-9459"</f>
        <v>0002-9459</v>
      </c>
      <c r="E2825" t="s">
        <v>8</v>
      </c>
      <c r="F2825" t="s">
        <v>2836</v>
      </c>
      <c r="G2825">
        <v>1</v>
      </c>
    </row>
    <row r="2826" spans="1:7" x14ac:dyDescent="0.25">
      <c r="A2826">
        <v>17</v>
      </c>
      <c r="B2826" t="s">
        <v>2683</v>
      </c>
      <c r="C2826">
        <v>151787</v>
      </c>
      <c r="D2826" t="str">
        <f>"0987-7576"</f>
        <v>0987-7576</v>
      </c>
      <c r="E2826" t="s">
        <v>8</v>
      </c>
      <c r="F2826" t="s">
        <v>2837</v>
      </c>
      <c r="G2826">
        <v>1</v>
      </c>
    </row>
    <row r="2827" spans="1:7" x14ac:dyDescent="0.25">
      <c r="A2827">
        <v>17</v>
      </c>
      <c r="B2827" t="s">
        <v>2683</v>
      </c>
      <c r="C2827">
        <v>8782852</v>
      </c>
      <c r="E2827" t="s">
        <v>2100</v>
      </c>
      <c r="F2827" t="s">
        <v>2838</v>
      </c>
      <c r="G2827">
        <v>1</v>
      </c>
    </row>
    <row r="2828" spans="1:7" x14ac:dyDescent="0.25">
      <c r="A2828">
        <v>17</v>
      </c>
      <c r="B2828" t="s">
        <v>2683</v>
      </c>
      <c r="C2828">
        <v>10962</v>
      </c>
      <c r="D2828" t="str">
        <f>"1533-015X"</f>
        <v>1533-015X</v>
      </c>
      <c r="E2828" t="s">
        <v>8</v>
      </c>
      <c r="F2828" t="s">
        <v>2839</v>
      </c>
      <c r="G2828">
        <v>1</v>
      </c>
    </row>
    <row r="2829" spans="1:7" x14ac:dyDescent="0.25">
      <c r="A2829">
        <v>17</v>
      </c>
      <c r="B2829" t="s">
        <v>2683</v>
      </c>
      <c r="C2829">
        <v>5614</v>
      </c>
      <c r="D2829" t="str">
        <f>"0895-7347"</f>
        <v>0895-7347</v>
      </c>
      <c r="E2829" t="s">
        <v>8</v>
      </c>
      <c r="F2829" t="s">
        <v>2840</v>
      </c>
      <c r="G2829">
        <v>1</v>
      </c>
    </row>
    <row r="2830" spans="1:7" x14ac:dyDescent="0.25">
      <c r="A2830">
        <v>17</v>
      </c>
      <c r="B2830" t="s">
        <v>2683</v>
      </c>
      <c r="C2830">
        <v>13520</v>
      </c>
      <c r="D2830" t="str">
        <f>"1474-0222"</f>
        <v>1474-0222</v>
      </c>
      <c r="E2830" t="s">
        <v>8</v>
      </c>
      <c r="F2830" t="s">
        <v>2841</v>
      </c>
      <c r="G2830">
        <v>1</v>
      </c>
    </row>
    <row r="2831" spans="1:7" x14ac:dyDescent="0.25">
      <c r="A2831">
        <v>17</v>
      </c>
      <c r="B2831" t="s">
        <v>2683</v>
      </c>
      <c r="C2831">
        <v>8782894</v>
      </c>
      <c r="D2831" t="str">
        <f>"21535965"</f>
        <v>21535965</v>
      </c>
      <c r="E2831" t="s">
        <v>2100</v>
      </c>
      <c r="F2831" t="s">
        <v>2842</v>
      </c>
      <c r="G2831">
        <v>1</v>
      </c>
    </row>
    <row r="2832" spans="1:7" x14ac:dyDescent="0.25">
      <c r="A2832">
        <v>17</v>
      </c>
      <c r="B2832" t="s">
        <v>2683</v>
      </c>
      <c r="C2832">
        <v>8782896</v>
      </c>
      <c r="E2832" t="s">
        <v>2100</v>
      </c>
      <c r="F2832" t="s">
        <v>2843</v>
      </c>
      <c r="G2832">
        <v>1</v>
      </c>
    </row>
    <row r="2833" spans="1:7" x14ac:dyDescent="0.25">
      <c r="A2833">
        <v>17</v>
      </c>
      <c r="B2833" t="s">
        <v>2683</v>
      </c>
      <c r="C2833">
        <v>107466</v>
      </c>
      <c r="D2833" t="str">
        <f>"1551-6970"</f>
        <v>1551-6970</v>
      </c>
      <c r="E2833" t="s">
        <v>8</v>
      </c>
      <c r="F2833" t="s">
        <v>2844</v>
      </c>
      <c r="G2833">
        <v>1</v>
      </c>
    </row>
    <row r="2834" spans="1:7" x14ac:dyDescent="0.25">
      <c r="A2834">
        <v>17</v>
      </c>
      <c r="B2834" t="s">
        <v>2683</v>
      </c>
      <c r="C2834">
        <v>17017</v>
      </c>
      <c r="D2834" t="str">
        <f>"1598-1037"</f>
        <v>1598-1037</v>
      </c>
      <c r="E2834" t="s">
        <v>8</v>
      </c>
      <c r="F2834" t="s">
        <v>2845</v>
      </c>
      <c r="G2834">
        <v>1</v>
      </c>
    </row>
    <row r="2835" spans="1:7" x14ac:dyDescent="0.25">
      <c r="A2835">
        <v>17</v>
      </c>
      <c r="B2835" t="s">
        <v>2683</v>
      </c>
      <c r="C2835">
        <v>22987</v>
      </c>
      <c r="D2835" t="str">
        <f>"0218-8791"</f>
        <v>0218-8791</v>
      </c>
      <c r="E2835" t="s">
        <v>8</v>
      </c>
      <c r="F2835" t="s">
        <v>2846</v>
      </c>
      <c r="G2835">
        <v>1</v>
      </c>
    </row>
    <row r="2836" spans="1:7" x14ac:dyDescent="0.25">
      <c r="A2836">
        <v>17</v>
      </c>
      <c r="B2836" t="s">
        <v>2683</v>
      </c>
      <c r="C2836">
        <v>7708414</v>
      </c>
      <c r="D2836" t="str">
        <f>"2046-3162"</f>
        <v>2046-3162</v>
      </c>
      <c r="E2836" t="s">
        <v>8</v>
      </c>
      <c r="F2836" t="s">
        <v>2847</v>
      </c>
      <c r="G2836">
        <v>1</v>
      </c>
    </row>
    <row r="2837" spans="1:7" x14ac:dyDescent="0.25">
      <c r="A2837">
        <v>17</v>
      </c>
      <c r="B2837" t="s">
        <v>2683</v>
      </c>
      <c r="C2837">
        <v>12905</v>
      </c>
      <c r="D2837" t="str">
        <f>"1359-866X"</f>
        <v>1359-866X</v>
      </c>
      <c r="E2837" t="s">
        <v>8</v>
      </c>
      <c r="F2837" t="s">
        <v>2848</v>
      </c>
      <c r="G2837">
        <v>1</v>
      </c>
    </row>
    <row r="2838" spans="1:7" x14ac:dyDescent="0.25">
      <c r="A2838">
        <v>17</v>
      </c>
      <c r="B2838" t="s">
        <v>2683</v>
      </c>
      <c r="C2838">
        <v>6713</v>
      </c>
      <c r="D2838" t="str">
        <f>"1075-2935"</f>
        <v>1075-2935</v>
      </c>
      <c r="E2838" t="s">
        <v>8</v>
      </c>
      <c r="F2838" t="s">
        <v>2849</v>
      </c>
      <c r="G2838">
        <v>1</v>
      </c>
    </row>
    <row r="2839" spans="1:7" x14ac:dyDescent="0.25">
      <c r="A2839">
        <v>17</v>
      </c>
      <c r="B2839" t="s">
        <v>2683</v>
      </c>
      <c r="C2839">
        <v>3341</v>
      </c>
      <c r="D2839" t="str">
        <f>"0969-594X"</f>
        <v>0969-594X</v>
      </c>
      <c r="E2839" t="s">
        <v>8</v>
      </c>
      <c r="F2839" t="s">
        <v>2850</v>
      </c>
      <c r="G2839">
        <v>1</v>
      </c>
    </row>
    <row r="2840" spans="1:7" x14ac:dyDescent="0.25">
      <c r="A2840">
        <v>17</v>
      </c>
      <c r="B2840" t="s">
        <v>2683</v>
      </c>
      <c r="C2840">
        <v>110621</v>
      </c>
      <c r="D2840" t="str">
        <f>"1904-2698"</f>
        <v>1904-2698</v>
      </c>
      <c r="E2840" t="s">
        <v>8</v>
      </c>
      <c r="F2840" t="s">
        <v>2851</v>
      </c>
      <c r="G2840">
        <v>1</v>
      </c>
    </row>
    <row r="2841" spans="1:7" x14ac:dyDescent="0.25">
      <c r="A2841">
        <v>17</v>
      </c>
      <c r="B2841" t="s">
        <v>2683</v>
      </c>
      <c r="C2841">
        <v>25905</v>
      </c>
      <c r="D2841" t="str">
        <f>"1836-9391"</f>
        <v>1836-9391</v>
      </c>
      <c r="E2841" t="s">
        <v>8</v>
      </c>
      <c r="F2841" t="s">
        <v>2852</v>
      </c>
      <c r="G2841">
        <v>1</v>
      </c>
    </row>
    <row r="2842" spans="1:7" x14ac:dyDescent="0.25">
      <c r="A2842">
        <v>17</v>
      </c>
      <c r="B2842" t="s">
        <v>2683</v>
      </c>
      <c r="C2842">
        <v>10966</v>
      </c>
      <c r="D2842" t="str">
        <f>"2205-4952"</f>
        <v>2205-4952</v>
      </c>
      <c r="E2842" t="s">
        <v>8</v>
      </c>
      <c r="F2842" t="s">
        <v>2853</v>
      </c>
      <c r="G2842">
        <v>1</v>
      </c>
    </row>
    <row r="2843" spans="1:7" x14ac:dyDescent="0.25">
      <c r="A2843">
        <v>17</v>
      </c>
      <c r="B2843" t="s">
        <v>2683</v>
      </c>
      <c r="C2843">
        <v>24118</v>
      </c>
      <c r="D2843" t="str">
        <f>"1443-1394"</f>
        <v>1443-1394</v>
      </c>
      <c r="E2843" t="s">
        <v>8</v>
      </c>
      <c r="F2843" t="s">
        <v>2854</v>
      </c>
      <c r="G2843">
        <v>1</v>
      </c>
    </row>
    <row r="2844" spans="1:7" x14ac:dyDescent="0.25">
      <c r="A2844">
        <v>17</v>
      </c>
      <c r="B2844" t="s">
        <v>2683</v>
      </c>
      <c r="C2844">
        <v>27082</v>
      </c>
      <c r="D2844" t="str">
        <f>"0814-0626"</f>
        <v>0814-0626</v>
      </c>
      <c r="E2844" t="s">
        <v>8</v>
      </c>
      <c r="F2844" t="s">
        <v>2855</v>
      </c>
      <c r="G2844">
        <v>1</v>
      </c>
    </row>
    <row r="2845" spans="1:7" x14ac:dyDescent="0.25">
      <c r="A2845">
        <v>17</v>
      </c>
      <c r="B2845" t="s">
        <v>2683</v>
      </c>
      <c r="C2845">
        <v>170387</v>
      </c>
      <c r="D2845" t="str">
        <f>"0800-1669"</f>
        <v>0800-1669</v>
      </c>
      <c r="E2845" t="s">
        <v>8</v>
      </c>
      <c r="F2845" t="s">
        <v>2856</v>
      </c>
      <c r="G2845">
        <v>1</v>
      </c>
    </row>
    <row r="2846" spans="1:7" x14ac:dyDescent="0.25">
      <c r="A2846">
        <v>17</v>
      </c>
      <c r="B2846" t="s">
        <v>2683</v>
      </c>
      <c r="C2846">
        <v>180030</v>
      </c>
      <c r="D2846" t="str">
        <f>"2072-9065"</f>
        <v>2072-9065</v>
      </c>
      <c r="E2846" t="s">
        <v>8</v>
      </c>
      <c r="F2846" t="s">
        <v>2857</v>
      </c>
      <c r="G2846">
        <v>1</v>
      </c>
    </row>
    <row r="2847" spans="1:7" x14ac:dyDescent="0.25">
      <c r="A2847">
        <v>17</v>
      </c>
      <c r="B2847" t="s">
        <v>2683</v>
      </c>
      <c r="C2847">
        <v>21653</v>
      </c>
      <c r="D2847" t="str">
        <f>"0006-2456"</f>
        <v>0006-2456</v>
      </c>
      <c r="E2847" t="s">
        <v>8</v>
      </c>
      <c r="F2847" t="s">
        <v>2858</v>
      </c>
      <c r="G2847">
        <v>1</v>
      </c>
    </row>
    <row r="2848" spans="1:7" x14ac:dyDescent="0.25">
      <c r="A2848">
        <v>17</v>
      </c>
      <c r="B2848" t="s">
        <v>2683</v>
      </c>
      <c r="C2848">
        <v>27639</v>
      </c>
      <c r="D2848" t="str">
        <f>"1860-8213"</f>
        <v>1860-8213</v>
      </c>
      <c r="E2848" t="s">
        <v>8</v>
      </c>
      <c r="F2848" t="s">
        <v>2859</v>
      </c>
      <c r="G2848">
        <v>1</v>
      </c>
    </row>
    <row r="2849" spans="1:7" x14ac:dyDescent="0.25">
      <c r="A2849">
        <v>17</v>
      </c>
      <c r="B2849" t="s">
        <v>2683</v>
      </c>
      <c r="C2849">
        <v>10322</v>
      </c>
      <c r="D2849" t="str">
        <f>"1470-8175"</f>
        <v>1470-8175</v>
      </c>
      <c r="E2849" t="s">
        <v>8</v>
      </c>
      <c r="F2849" t="s">
        <v>2860</v>
      </c>
      <c r="G2849">
        <v>1</v>
      </c>
    </row>
    <row r="2850" spans="1:7" x14ac:dyDescent="0.25">
      <c r="A2850">
        <v>17</v>
      </c>
      <c r="B2850" t="s">
        <v>2683</v>
      </c>
      <c r="C2850">
        <v>1889</v>
      </c>
      <c r="D2850" t="str">
        <f>"1354-4187"</f>
        <v>1354-4187</v>
      </c>
      <c r="E2850" t="s">
        <v>8</v>
      </c>
      <c r="F2850" t="s">
        <v>2861</v>
      </c>
      <c r="G2850">
        <v>1</v>
      </c>
    </row>
    <row r="2851" spans="1:7" x14ac:dyDescent="0.25">
      <c r="A2851">
        <v>17</v>
      </c>
      <c r="B2851" t="s">
        <v>2683</v>
      </c>
      <c r="C2851">
        <v>5766</v>
      </c>
      <c r="D2851" t="str">
        <f>"0952-3383"</f>
        <v>0952-3383</v>
      </c>
      <c r="E2851" t="s">
        <v>8</v>
      </c>
      <c r="F2851" t="s">
        <v>2862</v>
      </c>
      <c r="G2851">
        <v>1</v>
      </c>
    </row>
    <row r="2852" spans="1:7" x14ac:dyDescent="0.25">
      <c r="A2852">
        <v>17</v>
      </c>
      <c r="B2852" t="s">
        <v>2683</v>
      </c>
      <c r="C2852">
        <v>8612</v>
      </c>
      <c r="D2852" t="str">
        <f>"0907-6581"</f>
        <v>0907-6581</v>
      </c>
      <c r="E2852" t="s">
        <v>8</v>
      </c>
      <c r="F2852" t="s">
        <v>2863</v>
      </c>
      <c r="G2852">
        <v>1</v>
      </c>
    </row>
    <row r="2853" spans="1:7" x14ac:dyDescent="0.25">
      <c r="A2853">
        <v>17</v>
      </c>
      <c r="B2853" t="s">
        <v>2683</v>
      </c>
      <c r="C2853">
        <v>6479</v>
      </c>
      <c r="D2853" t="str">
        <f>"0305-764X"</f>
        <v>0305-764X</v>
      </c>
      <c r="E2853" t="s">
        <v>8</v>
      </c>
      <c r="F2853" t="s">
        <v>2864</v>
      </c>
      <c r="G2853">
        <v>1</v>
      </c>
    </row>
    <row r="2854" spans="1:7" x14ac:dyDescent="0.25">
      <c r="A2854">
        <v>17</v>
      </c>
      <c r="B2854" t="s">
        <v>2683</v>
      </c>
      <c r="C2854">
        <v>21898</v>
      </c>
      <c r="D2854" t="str">
        <f>"0380-2361"</f>
        <v>0380-2361</v>
      </c>
      <c r="E2854" t="s">
        <v>8</v>
      </c>
      <c r="F2854" t="s">
        <v>2865</v>
      </c>
      <c r="G2854">
        <v>1</v>
      </c>
    </row>
    <row r="2855" spans="1:7" x14ac:dyDescent="0.25">
      <c r="A2855">
        <v>17</v>
      </c>
      <c r="B2855" t="s">
        <v>2683</v>
      </c>
      <c r="C2855">
        <v>24181</v>
      </c>
      <c r="D2855" t="str">
        <f>"1205-5352"</f>
        <v>1205-5352</v>
      </c>
      <c r="E2855" t="s">
        <v>8</v>
      </c>
      <c r="F2855" t="s">
        <v>2866</v>
      </c>
      <c r="G2855">
        <v>1</v>
      </c>
    </row>
    <row r="2856" spans="1:7" x14ac:dyDescent="0.25">
      <c r="A2856">
        <v>17</v>
      </c>
      <c r="B2856" t="s">
        <v>2683</v>
      </c>
      <c r="C2856">
        <v>11969</v>
      </c>
      <c r="D2856" t="str">
        <f>"0316-1218"</f>
        <v>0316-1218</v>
      </c>
      <c r="E2856" t="s">
        <v>8</v>
      </c>
      <c r="F2856" t="s">
        <v>2867</v>
      </c>
      <c r="G2856">
        <v>1</v>
      </c>
    </row>
    <row r="2857" spans="1:7" x14ac:dyDescent="0.25">
      <c r="A2857">
        <v>17</v>
      </c>
      <c r="B2857" t="s">
        <v>2683</v>
      </c>
      <c r="C2857">
        <v>4756</v>
      </c>
      <c r="D2857" t="str">
        <f>"1492-6156"</f>
        <v>1492-6156</v>
      </c>
      <c r="E2857" t="s">
        <v>8</v>
      </c>
      <c r="F2857" t="s">
        <v>2868</v>
      </c>
      <c r="G2857">
        <v>1</v>
      </c>
    </row>
    <row r="2858" spans="1:7" x14ac:dyDescent="0.25">
      <c r="A2858">
        <v>17</v>
      </c>
      <c r="B2858" t="s">
        <v>2683</v>
      </c>
      <c r="C2858">
        <v>26965</v>
      </c>
      <c r="E2858" t="s">
        <v>8</v>
      </c>
      <c r="F2858" t="s">
        <v>2869</v>
      </c>
      <c r="G2858">
        <v>1</v>
      </c>
    </row>
    <row r="2859" spans="1:7" x14ac:dyDescent="0.25">
      <c r="A2859">
        <v>17</v>
      </c>
      <c r="B2859" t="s">
        <v>2683</v>
      </c>
      <c r="C2859">
        <v>7684720</v>
      </c>
      <c r="D2859" t="str">
        <f>"1903-8143"</f>
        <v>1903-8143</v>
      </c>
      <c r="E2859" t="s">
        <v>8</v>
      </c>
      <c r="F2859" t="s">
        <v>2870</v>
      </c>
      <c r="G2859">
        <v>1</v>
      </c>
    </row>
    <row r="2860" spans="1:7" x14ac:dyDescent="0.25">
      <c r="A2860">
        <v>17</v>
      </c>
      <c r="B2860" t="s">
        <v>2683</v>
      </c>
      <c r="C2860">
        <v>10631</v>
      </c>
      <c r="D2860" t="str">
        <f>"0009-1383"</f>
        <v>0009-1383</v>
      </c>
      <c r="E2860" t="s">
        <v>8</v>
      </c>
      <c r="F2860" t="s">
        <v>2871</v>
      </c>
      <c r="G2860">
        <v>1</v>
      </c>
    </row>
    <row r="2861" spans="1:7" x14ac:dyDescent="0.25">
      <c r="A2861">
        <v>17</v>
      </c>
      <c r="B2861" t="s">
        <v>2683</v>
      </c>
      <c r="C2861">
        <v>26065</v>
      </c>
      <c r="D2861" t="str">
        <f>"0009-2479"</f>
        <v>0009-2479</v>
      </c>
      <c r="E2861" t="s">
        <v>8</v>
      </c>
      <c r="F2861" t="s">
        <v>2872</v>
      </c>
      <c r="G2861">
        <v>1</v>
      </c>
    </row>
    <row r="2862" spans="1:7" x14ac:dyDescent="0.25">
      <c r="A2862">
        <v>17</v>
      </c>
      <c r="B2862" t="s">
        <v>2683</v>
      </c>
      <c r="C2862">
        <v>32368</v>
      </c>
      <c r="E2862" t="s">
        <v>8</v>
      </c>
      <c r="F2862" t="s">
        <v>2873</v>
      </c>
      <c r="G2862">
        <v>1</v>
      </c>
    </row>
    <row r="2863" spans="1:7" x14ac:dyDescent="0.25">
      <c r="A2863">
        <v>17</v>
      </c>
      <c r="B2863" t="s">
        <v>2683</v>
      </c>
      <c r="C2863">
        <v>11008</v>
      </c>
      <c r="D2863" t="str">
        <f>"1053-1890"</f>
        <v>1053-1890</v>
      </c>
      <c r="E2863" t="s">
        <v>8</v>
      </c>
      <c r="F2863" t="s">
        <v>2874</v>
      </c>
      <c r="G2863">
        <v>1</v>
      </c>
    </row>
    <row r="2864" spans="1:7" x14ac:dyDescent="0.25">
      <c r="A2864">
        <v>17</v>
      </c>
      <c r="B2864" t="s">
        <v>2683</v>
      </c>
      <c r="C2864">
        <v>7497</v>
      </c>
      <c r="D2864" t="str">
        <f>"0265-6590"</f>
        <v>0265-6590</v>
      </c>
      <c r="E2864" t="s">
        <v>8</v>
      </c>
      <c r="F2864" t="s">
        <v>2875</v>
      </c>
      <c r="G2864">
        <v>1</v>
      </c>
    </row>
    <row r="2865" spans="1:7" x14ac:dyDescent="0.25">
      <c r="A2865">
        <v>17</v>
      </c>
      <c r="B2865" t="s">
        <v>2683</v>
      </c>
      <c r="C2865">
        <v>156420</v>
      </c>
      <c r="D2865" t="str">
        <f>"2525-5061"</f>
        <v>2525-5061</v>
      </c>
      <c r="E2865" t="s">
        <v>8</v>
      </c>
      <c r="F2865" t="s">
        <v>2876</v>
      </c>
      <c r="G2865">
        <v>1</v>
      </c>
    </row>
    <row r="2866" spans="1:7" x14ac:dyDescent="0.25">
      <c r="A2866">
        <v>17</v>
      </c>
      <c r="B2866" t="s">
        <v>2683</v>
      </c>
      <c r="C2866">
        <v>22271</v>
      </c>
      <c r="D2866" t="str">
        <f>"0009-4056"</f>
        <v>0009-4056</v>
      </c>
      <c r="E2866" t="s">
        <v>8</v>
      </c>
      <c r="F2866" t="s">
        <v>2877</v>
      </c>
      <c r="G2866">
        <v>1</v>
      </c>
    </row>
    <row r="2867" spans="1:7" x14ac:dyDescent="0.25">
      <c r="A2867">
        <v>17</v>
      </c>
      <c r="B2867" t="s">
        <v>2683</v>
      </c>
      <c r="C2867">
        <v>628</v>
      </c>
      <c r="D2867" t="str">
        <f>"0045-6713"</f>
        <v>0045-6713</v>
      </c>
      <c r="E2867" t="s">
        <v>8</v>
      </c>
      <c r="F2867" t="s">
        <v>2878</v>
      </c>
      <c r="G2867">
        <v>1</v>
      </c>
    </row>
    <row r="2868" spans="1:7" x14ac:dyDescent="0.25">
      <c r="A2868">
        <v>17</v>
      </c>
      <c r="B2868" t="s">
        <v>2683</v>
      </c>
      <c r="C2868">
        <v>2003</v>
      </c>
      <c r="D2868" t="str">
        <f>"1061-1932"</f>
        <v>1061-1932</v>
      </c>
      <c r="E2868" t="s">
        <v>8</v>
      </c>
      <c r="F2868" t="s">
        <v>2879</v>
      </c>
      <c r="G2868">
        <v>1</v>
      </c>
    </row>
    <row r="2869" spans="1:7" x14ac:dyDescent="0.25">
      <c r="A2869">
        <v>17</v>
      </c>
      <c r="B2869" t="s">
        <v>2683</v>
      </c>
      <c r="C2869">
        <v>160019</v>
      </c>
      <c r="D2869" t="str">
        <f>"1904-5255"</f>
        <v>1904-5255</v>
      </c>
      <c r="E2869" t="s">
        <v>15</v>
      </c>
      <c r="F2869" t="s">
        <v>2880</v>
      </c>
      <c r="G2869">
        <v>1</v>
      </c>
    </row>
    <row r="2870" spans="1:7" x14ac:dyDescent="0.25">
      <c r="A2870">
        <v>17</v>
      </c>
      <c r="B2870" t="s">
        <v>2683</v>
      </c>
      <c r="C2870">
        <v>8783856</v>
      </c>
      <c r="E2870" t="s">
        <v>8</v>
      </c>
      <c r="F2870" t="s">
        <v>2881</v>
      </c>
      <c r="G2870">
        <v>1</v>
      </c>
    </row>
    <row r="2871" spans="1:7" x14ac:dyDescent="0.25">
      <c r="A2871">
        <v>17</v>
      </c>
      <c r="B2871" t="s">
        <v>2683</v>
      </c>
      <c r="C2871">
        <v>8782850</v>
      </c>
      <c r="E2871" t="s">
        <v>2100</v>
      </c>
      <c r="F2871" t="s">
        <v>2882</v>
      </c>
      <c r="G2871">
        <v>1</v>
      </c>
    </row>
    <row r="2872" spans="1:7" x14ac:dyDescent="0.25">
      <c r="A2872">
        <v>17</v>
      </c>
      <c r="B2872" t="s">
        <v>2683</v>
      </c>
      <c r="C2872">
        <v>25455</v>
      </c>
      <c r="D2872" t="str">
        <f>"8756-7555"</f>
        <v>8756-7555</v>
      </c>
      <c r="E2872" t="s">
        <v>8</v>
      </c>
      <c r="F2872" t="s">
        <v>2883</v>
      </c>
      <c r="G2872">
        <v>1</v>
      </c>
    </row>
    <row r="2873" spans="1:7" x14ac:dyDescent="0.25">
      <c r="A2873">
        <v>17</v>
      </c>
      <c r="B2873" t="s">
        <v>2683</v>
      </c>
      <c r="C2873">
        <v>1297</v>
      </c>
      <c r="D2873" t="str">
        <f>"1066-8926"</f>
        <v>1066-8926</v>
      </c>
      <c r="E2873" t="s">
        <v>8</v>
      </c>
      <c r="F2873" t="s">
        <v>2884</v>
      </c>
      <c r="G2873">
        <v>1</v>
      </c>
    </row>
    <row r="2874" spans="1:7" x14ac:dyDescent="0.25">
      <c r="A2874">
        <v>17</v>
      </c>
      <c r="B2874" t="s">
        <v>2683</v>
      </c>
      <c r="C2874">
        <v>14306</v>
      </c>
      <c r="D2874" t="str">
        <f>"0305-7925"</f>
        <v>0305-7925</v>
      </c>
      <c r="E2874" t="s">
        <v>8</v>
      </c>
      <c r="F2874" t="s">
        <v>2885</v>
      </c>
      <c r="G2874">
        <v>1</v>
      </c>
    </row>
    <row r="2875" spans="1:7" x14ac:dyDescent="0.25">
      <c r="A2875">
        <v>17</v>
      </c>
      <c r="B2875" t="s">
        <v>2683</v>
      </c>
      <c r="C2875">
        <v>84031</v>
      </c>
      <c r="D2875" t="str">
        <f>"1710-5668"</f>
        <v>1710-5668</v>
      </c>
      <c r="E2875" t="s">
        <v>8</v>
      </c>
      <c r="F2875" t="s">
        <v>2886</v>
      </c>
      <c r="G2875">
        <v>1</v>
      </c>
    </row>
    <row r="2876" spans="1:7" x14ac:dyDescent="0.25">
      <c r="A2876">
        <v>17</v>
      </c>
      <c r="B2876" t="s">
        <v>2683</v>
      </c>
      <c r="C2876">
        <v>1460</v>
      </c>
      <c r="D2876" t="str">
        <f>"1061-3773"</f>
        <v>1061-3773</v>
      </c>
      <c r="E2876" t="s">
        <v>8</v>
      </c>
      <c r="F2876" t="s">
        <v>2887</v>
      </c>
      <c r="G2876">
        <v>1</v>
      </c>
    </row>
    <row r="2877" spans="1:7" x14ac:dyDescent="0.25">
      <c r="A2877">
        <v>17</v>
      </c>
      <c r="B2877" t="s">
        <v>2683</v>
      </c>
      <c r="C2877">
        <v>8725</v>
      </c>
      <c r="D2877" t="str">
        <f>"0899-3408"</f>
        <v>0899-3408</v>
      </c>
      <c r="E2877" t="s">
        <v>8</v>
      </c>
      <c r="F2877" t="s">
        <v>2888</v>
      </c>
      <c r="G2877">
        <v>1</v>
      </c>
    </row>
    <row r="2878" spans="1:7" x14ac:dyDescent="0.25">
      <c r="A2878">
        <v>17</v>
      </c>
      <c r="B2878" t="s">
        <v>2683</v>
      </c>
      <c r="C2878">
        <v>27906</v>
      </c>
      <c r="D2878" t="str">
        <f>"1069-3769"</f>
        <v>1069-3769</v>
      </c>
      <c r="E2878" t="s">
        <v>8</v>
      </c>
      <c r="F2878" t="s">
        <v>2889</v>
      </c>
      <c r="G2878">
        <v>1</v>
      </c>
    </row>
    <row r="2879" spans="1:7" x14ac:dyDescent="0.25">
      <c r="A2879">
        <v>17</v>
      </c>
      <c r="B2879" t="s">
        <v>2683</v>
      </c>
      <c r="C2879">
        <v>18334</v>
      </c>
      <c r="D2879" t="str">
        <f>"0738-0569"</f>
        <v>0738-0569</v>
      </c>
      <c r="E2879" t="s">
        <v>8</v>
      </c>
      <c r="F2879" t="s">
        <v>2890</v>
      </c>
      <c r="G2879">
        <v>1</v>
      </c>
    </row>
    <row r="2880" spans="1:7" x14ac:dyDescent="0.25">
      <c r="A2880">
        <v>17</v>
      </c>
      <c r="B2880" t="s">
        <v>2683</v>
      </c>
      <c r="C2880">
        <v>8782892</v>
      </c>
      <c r="E2880" t="s">
        <v>2100</v>
      </c>
      <c r="F2880" t="s">
        <v>2891</v>
      </c>
      <c r="G2880">
        <v>1</v>
      </c>
    </row>
    <row r="2881" spans="1:7" x14ac:dyDescent="0.25">
      <c r="A2881">
        <v>17</v>
      </c>
      <c r="B2881" t="s">
        <v>2683</v>
      </c>
      <c r="C2881">
        <v>8758252</v>
      </c>
      <c r="E2881" t="s">
        <v>2100</v>
      </c>
      <c r="F2881" t="s">
        <v>2892</v>
      </c>
      <c r="G2881">
        <v>1</v>
      </c>
    </row>
    <row r="2882" spans="1:7" x14ac:dyDescent="0.25">
      <c r="A2882">
        <v>17</v>
      </c>
      <c r="B2882" t="s">
        <v>2683</v>
      </c>
      <c r="C2882">
        <v>8782898</v>
      </c>
      <c r="D2882" t="str">
        <f>"1059-7069"</f>
        <v>1059-7069</v>
      </c>
      <c r="E2882" t="s">
        <v>2100</v>
      </c>
      <c r="F2882" t="s">
        <v>2893</v>
      </c>
      <c r="G2882">
        <v>1</v>
      </c>
    </row>
    <row r="2883" spans="1:7" x14ac:dyDescent="0.25">
      <c r="A2883">
        <v>17</v>
      </c>
      <c r="B2883" t="s">
        <v>2683</v>
      </c>
      <c r="C2883">
        <v>7742902</v>
      </c>
      <c r="D2883" t="str">
        <f>"2001-4562"</f>
        <v>2001-4562</v>
      </c>
      <c r="E2883" t="s">
        <v>8</v>
      </c>
      <c r="F2883" t="s">
        <v>2894</v>
      </c>
      <c r="G2883">
        <v>1</v>
      </c>
    </row>
    <row r="2884" spans="1:7" x14ac:dyDescent="0.25">
      <c r="A2884">
        <v>17</v>
      </c>
      <c r="B2884" t="s">
        <v>2683</v>
      </c>
      <c r="C2884">
        <v>7689150</v>
      </c>
      <c r="D2884" t="str">
        <f>"1309-517X"</f>
        <v>1309-517X</v>
      </c>
      <c r="E2884" t="s">
        <v>8</v>
      </c>
      <c r="F2884" t="s">
        <v>2895</v>
      </c>
      <c r="G2884">
        <v>1</v>
      </c>
    </row>
    <row r="2885" spans="1:7" x14ac:dyDescent="0.25">
      <c r="A2885">
        <v>17</v>
      </c>
      <c r="B2885" t="s">
        <v>2683</v>
      </c>
      <c r="C2885">
        <v>7755847</v>
      </c>
      <c r="D2885" t="str">
        <f>"2049-7202"</f>
        <v>2049-7202</v>
      </c>
      <c r="E2885" t="s">
        <v>8</v>
      </c>
      <c r="F2885" t="s">
        <v>2896</v>
      </c>
      <c r="G2885">
        <v>1</v>
      </c>
    </row>
    <row r="2886" spans="1:7" x14ac:dyDescent="0.25">
      <c r="A2886">
        <v>17</v>
      </c>
      <c r="B2886" t="s">
        <v>2683</v>
      </c>
      <c r="C2886">
        <v>2718</v>
      </c>
      <c r="E2886" t="s">
        <v>8</v>
      </c>
      <c r="F2886" t="s">
        <v>2897</v>
      </c>
      <c r="G2886">
        <v>1</v>
      </c>
    </row>
    <row r="2887" spans="1:7" x14ac:dyDescent="0.25">
      <c r="A2887">
        <v>17</v>
      </c>
      <c r="B2887" t="s">
        <v>2683</v>
      </c>
      <c r="C2887">
        <v>8783798</v>
      </c>
      <c r="D2887" t="str">
        <f>"2213-3623"</f>
        <v>2213-3623</v>
      </c>
      <c r="E2887" t="s">
        <v>15</v>
      </c>
      <c r="F2887" t="s">
        <v>2898</v>
      </c>
      <c r="G2887">
        <v>1</v>
      </c>
    </row>
    <row r="2888" spans="1:7" x14ac:dyDescent="0.25">
      <c r="A2888">
        <v>17</v>
      </c>
      <c r="B2888" t="s">
        <v>2683</v>
      </c>
      <c r="C2888">
        <v>12907</v>
      </c>
      <c r="D2888" t="str">
        <f>"0011-0035"</f>
        <v>0011-0035</v>
      </c>
      <c r="E2888" t="s">
        <v>8</v>
      </c>
      <c r="F2888" t="s">
        <v>2899</v>
      </c>
      <c r="G2888">
        <v>1</v>
      </c>
    </row>
    <row r="2889" spans="1:7" x14ac:dyDescent="0.25">
      <c r="A2889">
        <v>17</v>
      </c>
      <c r="B2889" t="s">
        <v>2683</v>
      </c>
      <c r="C2889">
        <v>8782754</v>
      </c>
      <c r="E2889" t="s">
        <v>15</v>
      </c>
      <c r="F2889" t="s">
        <v>2900</v>
      </c>
      <c r="G2889">
        <v>1</v>
      </c>
    </row>
    <row r="2890" spans="1:7" x14ac:dyDescent="0.25">
      <c r="A2890">
        <v>17</v>
      </c>
      <c r="B2890" t="s">
        <v>2683</v>
      </c>
      <c r="C2890">
        <v>8783029</v>
      </c>
      <c r="D2890" t="str">
        <f>"2364-6675"</f>
        <v>2364-6675</v>
      </c>
      <c r="E2890" t="s">
        <v>15</v>
      </c>
      <c r="F2890" t="s">
        <v>2901</v>
      </c>
      <c r="G2890">
        <v>1</v>
      </c>
    </row>
    <row r="2891" spans="1:7" x14ac:dyDescent="0.25">
      <c r="A2891">
        <v>17</v>
      </c>
      <c r="B2891" t="s">
        <v>2683</v>
      </c>
      <c r="C2891">
        <v>7694009</v>
      </c>
      <c r="D2891" t="str">
        <f>"1753-0873"</f>
        <v>1753-0873</v>
      </c>
      <c r="E2891" t="s">
        <v>8</v>
      </c>
      <c r="F2891" t="s">
        <v>2902</v>
      </c>
      <c r="G2891">
        <v>1</v>
      </c>
    </row>
    <row r="2892" spans="1:7" x14ac:dyDescent="0.25">
      <c r="A2892">
        <v>17</v>
      </c>
      <c r="B2892" t="s">
        <v>2683</v>
      </c>
      <c r="C2892">
        <v>2978</v>
      </c>
      <c r="D2892" t="str">
        <f>"1135-6405"</f>
        <v>1135-6405</v>
      </c>
      <c r="E2892" t="s">
        <v>8</v>
      </c>
      <c r="F2892" t="s">
        <v>2903</v>
      </c>
      <c r="G2892">
        <v>1</v>
      </c>
    </row>
    <row r="2893" spans="1:7" x14ac:dyDescent="0.25">
      <c r="A2893">
        <v>17</v>
      </c>
      <c r="B2893" t="s">
        <v>2683</v>
      </c>
      <c r="C2893">
        <v>1594</v>
      </c>
      <c r="D2893" t="str">
        <f>"1871-1502"</f>
        <v>1871-1502</v>
      </c>
      <c r="E2893" t="s">
        <v>8</v>
      </c>
      <c r="F2893" t="s">
        <v>2904</v>
      </c>
      <c r="G2893">
        <v>1</v>
      </c>
    </row>
    <row r="2894" spans="1:7" x14ac:dyDescent="0.25">
      <c r="A2894">
        <v>17</v>
      </c>
      <c r="B2894" t="s">
        <v>2683</v>
      </c>
      <c r="C2894">
        <v>2712</v>
      </c>
      <c r="E2894" t="s">
        <v>8</v>
      </c>
      <c r="F2894" t="s">
        <v>2905</v>
      </c>
      <c r="G2894">
        <v>1</v>
      </c>
    </row>
    <row r="2895" spans="1:7" x14ac:dyDescent="0.25">
      <c r="A2895">
        <v>17</v>
      </c>
      <c r="B2895" t="s">
        <v>2683</v>
      </c>
      <c r="C2895">
        <v>27614</v>
      </c>
      <c r="D2895" t="str">
        <f>"1901-8878"</f>
        <v>1901-8878</v>
      </c>
      <c r="E2895" t="s">
        <v>15</v>
      </c>
      <c r="F2895" t="s">
        <v>2906</v>
      </c>
      <c r="G2895">
        <v>1</v>
      </c>
    </row>
    <row r="2896" spans="1:7" x14ac:dyDescent="0.25">
      <c r="A2896">
        <v>17</v>
      </c>
      <c r="B2896" t="s">
        <v>2683</v>
      </c>
      <c r="C2896">
        <v>8783188</v>
      </c>
      <c r="E2896" t="s">
        <v>2100</v>
      </c>
      <c r="F2896" t="s">
        <v>2907</v>
      </c>
      <c r="G2896">
        <v>1</v>
      </c>
    </row>
    <row r="2897" spans="1:7" x14ac:dyDescent="0.25">
      <c r="A2897">
        <v>17</v>
      </c>
      <c r="B2897" t="s">
        <v>2683</v>
      </c>
      <c r="C2897">
        <v>13495</v>
      </c>
      <c r="D2897" t="str">
        <f>"0904-2393"</f>
        <v>0904-2393</v>
      </c>
      <c r="E2897" t="s">
        <v>8</v>
      </c>
      <c r="F2897" t="s">
        <v>2908</v>
      </c>
      <c r="G2897">
        <v>1</v>
      </c>
    </row>
    <row r="2898" spans="1:7" x14ac:dyDescent="0.25">
      <c r="A2898">
        <v>17</v>
      </c>
      <c r="B2898" t="s">
        <v>2683</v>
      </c>
      <c r="C2898">
        <v>27292</v>
      </c>
      <c r="D2898" t="str">
        <f>"1901-5089"</f>
        <v>1901-5089</v>
      </c>
      <c r="E2898" t="s">
        <v>8</v>
      </c>
      <c r="F2898" t="s">
        <v>2909</v>
      </c>
      <c r="G2898">
        <v>1</v>
      </c>
    </row>
    <row r="2899" spans="1:7" x14ac:dyDescent="0.25">
      <c r="A2899">
        <v>17</v>
      </c>
      <c r="B2899" t="s">
        <v>2683</v>
      </c>
      <c r="C2899">
        <v>4271</v>
      </c>
      <c r="D2899" t="str">
        <f>"1464-3154"</f>
        <v>1464-3154</v>
      </c>
      <c r="E2899" t="s">
        <v>8</v>
      </c>
      <c r="F2899" t="s">
        <v>2910</v>
      </c>
      <c r="G2899">
        <v>1</v>
      </c>
    </row>
    <row r="2900" spans="1:7" x14ac:dyDescent="0.25">
      <c r="A2900">
        <v>17</v>
      </c>
      <c r="B2900" t="s">
        <v>2683</v>
      </c>
      <c r="C2900">
        <v>14992</v>
      </c>
      <c r="D2900" t="str">
        <f>"0025-5807"</f>
        <v>0025-5807</v>
      </c>
      <c r="E2900" t="s">
        <v>8</v>
      </c>
      <c r="F2900" t="s">
        <v>2911</v>
      </c>
      <c r="G2900">
        <v>1</v>
      </c>
    </row>
    <row r="2901" spans="1:7" x14ac:dyDescent="0.25">
      <c r="A2901">
        <v>17</v>
      </c>
      <c r="B2901" t="s">
        <v>2683</v>
      </c>
      <c r="C2901">
        <v>180034</v>
      </c>
      <c r="E2901" t="s">
        <v>8</v>
      </c>
      <c r="F2901" t="s">
        <v>2912</v>
      </c>
      <c r="G2901">
        <v>1</v>
      </c>
    </row>
    <row r="2902" spans="1:7" x14ac:dyDescent="0.25">
      <c r="A2902">
        <v>17</v>
      </c>
      <c r="B2902" t="s">
        <v>2683</v>
      </c>
      <c r="C2902">
        <v>48272</v>
      </c>
      <c r="D2902" t="str">
        <f>"0862-013X"</f>
        <v>0862-013X</v>
      </c>
      <c r="E2902" t="s">
        <v>8</v>
      </c>
      <c r="F2902" t="s">
        <v>2913</v>
      </c>
      <c r="G2902">
        <v>1</v>
      </c>
    </row>
    <row r="2903" spans="1:7" x14ac:dyDescent="0.25">
      <c r="A2903">
        <v>17</v>
      </c>
      <c r="B2903" t="s">
        <v>2683</v>
      </c>
      <c r="C2903">
        <v>8783799</v>
      </c>
      <c r="E2903" t="s">
        <v>15</v>
      </c>
      <c r="F2903" t="s">
        <v>2914</v>
      </c>
      <c r="G2903">
        <v>1</v>
      </c>
    </row>
    <row r="2904" spans="1:7" x14ac:dyDescent="0.25">
      <c r="A2904">
        <v>17</v>
      </c>
      <c r="B2904" t="s">
        <v>2683</v>
      </c>
      <c r="C2904">
        <v>8782736</v>
      </c>
      <c r="D2904" t="str">
        <f>" 2446-4554"</f>
        <v xml:space="preserve"> 2446-4554</v>
      </c>
      <c r="E2904" t="s">
        <v>15</v>
      </c>
      <c r="F2904" t="s">
        <v>2915</v>
      </c>
      <c r="G2904">
        <v>1</v>
      </c>
    </row>
    <row r="2905" spans="1:7" x14ac:dyDescent="0.25">
      <c r="A2905">
        <v>17</v>
      </c>
      <c r="B2905" t="s">
        <v>2683</v>
      </c>
      <c r="C2905">
        <v>13207</v>
      </c>
      <c r="D2905" t="str">
        <f>"0158-7919"</f>
        <v>0158-7919</v>
      </c>
      <c r="E2905" t="s">
        <v>8</v>
      </c>
      <c r="F2905" t="s">
        <v>2916</v>
      </c>
      <c r="G2905">
        <v>1</v>
      </c>
    </row>
    <row r="2906" spans="1:7" x14ac:dyDescent="0.25">
      <c r="A2906">
        <v>17</v>
      </c>
      <c r="B2906" t="s">
        <v>2683</v>
      </c>
      <c r="C2906">
        <v>11295</v>
      </c>
      <c r="D2906" t="str">
        <f>"0300-4430"</f>
        <v>0300-4430</v>
      </c>
      <c r="E2906" t="s">
        <v>8</v>
      </c>
      <c r="F2906" t="s">
        <v>2917</v>
      </c>
      <c r="G2906">
        <v>1</v>
      </c>
    </row>
    <row r="2907" spans="1:7" x14ac:dyDescent="0.25">
      <c r="A2907">
        <v>17</v>
      </c>
      <c r="B2907" t="s">
        <v>2683</v>
      </c>
      <c r="C2907">
        <v>26497</v>
      </c>
      <c r="D2907" t="str">
        <f>"1040-9289"</f>
        <v>1040-9289</v>
      </c>
      <c r="E2907" t="s">
        <v>8</v>
      </c>
      <c r="F2907" t="s">
        <v>2918</v>
      </c>
      <c r="G2907">
        <v>1</v>
      </c>
    </row>
    <row r="2908" spans="1:7" x14ac:dyDescent="0.25">
      <c r="A2908">
        <v>17</v>
      </c>
      <c r="B2908" t="s">
        <v>2683</v>
      </c>
      <c r="C2908">
        <v>5440</v>
      </c>
      <c r="D2908" t="str">
        <f>"0957-5146"</f>
        <v>0957-5146</v>
      </c>
      <c r="E2908" t="s">
        <v>8</v>
      </c>
      <c r="F2908" t="s">
        <v>2919</v>
      </c>
      <c r="G2908">
        <v>1</v>
      </c>
    </row>
    <row r="2909" spans="1:7" x14ac:dyDescent="0.25">
      <c r="A2909">
        <v>17</v>
      </c>
      <c r="B2909" t="s">
        <v>2683</v>
      </c>
      <c r="C2909">
        <v>156421</v>
      </c>
      <c r="D2909" t="str">
        <f>"1519-387X"</f>
        <v>1519-387X</v>
      </c>
      <c r="E2909" t="s">
        <v>8</v>
      </c>
      <c r="F2909" t="s">
        <v>2920</v>
      </c>
      <c r="G2909">
        <v>1</v>
      </c>
    </row>
    <row r="2910" spans="1:7" x14ac:dyDescent="0.25">
      <c r="A2910">
        <v>17</v>
      </c>
      <c r="B2910" t="s">
        <v>2683</v>
      </c>
      <c r="C2910">
        <v>87325</v>
      </c>
      <c r="D2910" t="str">
        <f>"0211-819X"</f>
        <v>0211-819X</v>
      </c>
      <c r="E2910" t="s">
        <v>8</v>
      </c>
      <c r="F2910" t="s">
        <v>2921</v>
      </c>
      <c r="G2910">
        <v>1</v>
      </c>
    </row>
    <row r="2911" spans="1:7" x14ac:dyDescent="0.25">
      <c r="A2911">
        <v>17</v>
      </c>
      <c r="B2911" t="s">
        <v>2683</v>
      </c>
      <c r="C2911">
        <v>148965</v>
      </c>
      <c r="D2911" t="str">
        <f>"1653-1868"</f>
        <v>1653-1868</v>
      </c>
      <c r="E2911" t="s">
        <v>15</v>
      </c>
      <c r="F2911" t="s">
        <v>2922</v>
      </c>
      <c r="G2911">
        <v>1</v>
      </c>
    </row>
    <row r="2912" spans="1:7" x14ac:dyDescent="0.25">
      <c r="A2912">
        <v>17</v>
      </c>
      <c r="B2912" t="s">
        <v>2683</v>
      </c>
      <c r="C2912">
        <v>7737768</v>
      </c>
      <c r="D2912" t="str">
        <f>"1477-5557"</f>
        <v>1477-5557</v>
      </c>
      <c r="E2912" t="s">
        <v>8</v>
      </c>
      <c r="F2912" t="s">
        <v>2923</v>
      </c>
      <c r="G2912">
        <v>1</v>
      </c>
    </row>
    <row r="2913" spans="1:7" x14ac:dyDescent="0.25">
      <c r="A2913">
        <v>17</v>
      </c>
      <c r="B2913" t="s">
        <v>2683</v>
      </c>
      <c r="C2913">
        <v>5841</v>
      </c>
      <c r="D2913" t="str">
        <f>"0040-0912"</f>
        <v>0040-0912</v>
      </c>
      <c r="E2913" t="s">
        <v>8</v>
      </c>
      <c r="F2913" t="s">
        <v>2924</v>
      </c>
      <c r="G2913">
        <v>1</v>
      </c>
    </row>
    <row r="2914" spans="1:7" x14ac:dyDescent="0.25">
      <c r="A2914">
        <v>17</v>
      </c>
      <c r="B2914" t="s">
        <v>2683</v>
      </c>
      <c r="C2914">
        <v>17696</v>
      </c>
      <c r="D2914" t="str">
        <f>"2154-1647"</f>
        <v>2154-1647</v>
      </c>
      <c r="E2914" t="s">
        <v>8</v>
      </c>
      <c r="F2914" t="s">
        <v>2925</v>
      </c>
      <c r="G2914">
        <v>1</v>
      </c>
    </row>
    <row r="2915" spans="1:7" x14ac:dyDescent="0.25">
      <c r="A2915">
        <v>17</v>
      </c>
      <c r="B2915" t="s">
        <v>2683</v>
      </c>
      <c r="C2915">
        <v>15257</v>
      </c>
      <c r="D2915" t="str">
        <f>"0964-5292"</f>
        <v>0964-5292</v>
      </c>
      <c r="E2915" t="s">
        <v>8</v>
      </c>
      <c r="F2915" t="s">
        <v>2926</v>
      </c>
      <c r="G2915">
        <v>1</v>
      </c>
    </row>
    <row r="2916" spans="1:7" x14ac:dyDescent="0.25">
      <c r="A2916">
        <v>17</v>
      </c>
      <c r="B2916" t="s">
        <v>2683</v>
      </c>
      <c r="C2916">
        <v>27344</v>
      </c>
      <c r="D2916" t="str">
        <f>"1956-3485"</f>
        <v>1956-3485</v>
      </c>
      <c r="E2916" t="s">
        <v>8</v>
      </c>
      <c r="F2916" t="s">
        <v>2927</v>
      </c>
      <c r="G2916">
        <v>1</v>
      </c>
    </row>
    <row r="2917" spans="1:7" x14ac:dyDescent="0.25">
      <c r="A2917">
        <v>17</v>
      </c>
      <c r="B2917" t="s">
        <v>2683</v>
      </c>
      <c r="C2917">
        <v>8782893</v>
      </c>
      <c r="D2917" t="str">
        <f>"1281-7597"</f>
        <v>1281-7597</v>
      </c>
      <c r="E2917" t="s">
        <v>15</v>
      </c>
      <c r="F2917" t="s">
        <v>2928</v>
      </c>
      <c r="G2917">
        <v>1</v>
      </c>
    </row>
    <row r="2918" spans="1:7" x14ac:dyDescent="0.25">
      <c r="A2918">
        <v>17</v>
      </c>
      <c r="B2918" t="s">
        <v>2683</v>
      </c>
      <c r="C2918">
        <v>65150</v>
      </c>
      <c r="D2918" t="str">
        <f>"1373-847X"</f>
        <v>1373-847X</v>
      </c>
      <c r="E2918" t="s">
        <v>8</v>
      </c>
      <c r="F2918" t="s">
        <v>2929</v>
      </c>
      <c r="G2918">
        <v>1</v>
      </c>
    </row>
    <row r="2919" spans="1:7" x14ac:dyDescent="0.25">
      <c r="A2919">
        <v>17</v>
      </c>
      <c r="B2919" t="s">
        <v>2683</v>
      </c>
      <c r="C2919">
        <v>27674</v>
      </c>
      <c r="D2919" t="str">
        <f>"1749-7728"</f>
        <v>1749-7728</v>
      </c>
      <c r="E2919" t="s">
        <v>8</v>
      </c>
      <c r="F2919" t="s">
        <v>2930</v>
      </c>
      <c r="G2919">
        <v>1</v>
      </c>
    </row>
    <row r="2920" spans="1:7" x14ac:dyDescent="0.25">
      <c r="A2920">
        <v>17</v>
      </c>
      <c r="B2920" t="s">
        <v>2683</v>
      </c>
      <c r="C2920">
        <v>7698175</v>
      </c>
      <c r="E2920" t="s">
        <v>8</v>
      </c>
      <c r="F2920" t="s">
        <v>2931</v>
      </c>
      <c r="G2920">
        <v>1</v>
      </c>
    </row>
    <row r="2921" spans="1:7" x14ac:dyDescent="0.25">
      <c r="A2921">
        <v>17</v>
      </c>
      <c r="B2921" t="s">
        <v>2683</v>
      </c>
      <c r="C2921">
        <v>8891</v>
      </c>
      <c r="D2921" t="str">
        <f>"1539-9664"</f>
        <v>1539-9664</v>
      </c>
      <c r="E2921" t="s">
        <v>8</v>
      </c>
      <c r="F2921" t="s">
        <v>2932</v>
      </c>
      <c r="G2921">
        <v>1</v>
      </c>
    </row>
    <row r="2922" spans="1:7" x14ac:dyDescent="0.25">
      <c r="A2922">
        <v>17</v>
      </c>
      <c r="B2922" t="s">
        <v>2683</v>
      </c>
      <c r="C2922">
        <v>5972</v>
      </c>
      <c r="E2922" t="s">
        <v>8</v>
      </c>
      <c r="F2922" t="s">
        <v>2933</v>
      </c>
      <c r="G2922">
        <v>1</v>
      </c>
    </row>
    <row r="2923" spans="1:7" x14ac:dyDescent="0.25">
      <c r="A2923">
        <v>17</v>
      </c>
      <c r="B2923" t="s">
        <v>2683</v>
      </c>
      <c r="C2923">
        <v>160016</v>
      </c>
      <c r="D2923" t="str">
        <f>"2090-4002"</f>
        <v>2090-4002</v>
      </c>
      <c r="E2923" t="s">
        <v>8</v>
      </c>
      <c r="F2923" t="s">
        <v>2934</v>
      </c>
      <c r="G2923">
        <v>1</v>
      </c>
    </row>
    <row r="2924" spans="1:7" x14ac:dyDescent="0.25">
      <c r="A2924">
        <v>17</v>
      </c>
      <c r="B2924" t="s">
        <v>2683</v>
      </c>
      <c r="C2924">
        <v>7742452</v>
      </c>
      <c r="E2924" t="s">
        <v>8</v>
      </c>
      <c r="F2924" t="s">
        <v>2935</v>
      </c>
      <c r="G2924">
        <v>1</v>
      </c>
    </row>
    <row r="2925" spans="1:7" x14ac:dyDescent="0.25">
      <c r="A2925">
        <v>17</v>
      </c>
      <c r="B2925" t="s">
        <v>2683</v>
      </c>
      <c r="C2925">
        <v>2562</v>
      </c>
      <c r="D2925" t="str">
        <f>"0965-0792"</f>
        <v>0965-0792</v>
      </c>
      <c r="E2925" t="s">
        <v>8</v>
      </c>
      <c r="F2925" t="s">
        <v>2936</v>
      </c>
      <c r="G2925">
        <v>1</v>
      </c>
    </row>
    <row r="2926" spans="1:7" x14ac:dyDescent="0.25">
      <c r="A2926">
        <v>17</v>
      </c>
      <c r="B2926" t="s">
        <v>2683</v>
      </c>
      <c r="C2926">
        <v>11770</v>
      </c>
      <c r="D2926" t="str">
        <f>"1062-7197"</f>
        <v>1062-7197</v>
      </c>
      <c r="E2926" t="s">
        <v>8</v>
      </c>
      <c r="F2926" t="s">
        <v>2937</v>
      </c>
      <c r="G2926">
        <v>1</v>
      </c>
    </row>
    <row r="2927" spans="1:7" x14ac:dyDescent="0.25">
      <c r="A2927">
        <v>17</v>
      </c>
      <c r="B2927" t="s">
        <v>2683</v>
      </c>
      <c r="C2927">
        <v>16001</v>
      </c>
      <c r="D2927" t="str">
        <f>"1874-8597"</f>
        <v>1874-8597</v>
      </c>
      <c r="E2927" t="s">
        <v>8</v>
      </c>
      <c r="F2927" t="s">
        <v>2938</v>
      </c>
      <c r="G2927">
        <v>1</v>
      </c>
    </row>
    <row r="2928" spans="1:7" x14ac:dyDescent="0.25">
      <c r="A2928">
        <v>17</v>
      </c>
      <c r="B2928" t="s">
        <v>2683</v>
      </c>
      <c r="C2928">
        <v>8783800</v>
      </c>
      <c r="D2928" t="str">
        <f>"2625-0004"</f>
        <v>2625-0004</v>
      </c>
      <c r="E2928" t="s">
        <v>15</v>
      </c>
      <c r="F2928" t="s">
        <v>2939</v>
      </c>
      <c r="G2928">
        <v>1</v>
      </c>
    </row>
    <row r="2929" spans="1:7" x14ac:dyDescent="0.25">
      <c r="A2929">
        <v>17</v>
      </c>
      <c r="B2929" t="s">
        <v>2683</v>
      </c>
      <c r="C2929">
        <v>8782655</v>
      </c>
      <c r="E2929" t="s">
        <v>15</v>
      </c>
      <c r="F2929" t="s">
        <v>2940</v>
      </c>
      <c r="G2929">
        <v>1</v>
      </c>
    </row>
    <row r="2930" spans="1:7" x14ac:dyDescent="0.25">
      <c r="A2930">
        <v>17</v>
      </c>
      <c r="B2930" t="s">
        <v>2683</v>
      </c>
      <c r="C2930">
        <v>4247</v>
      </c>
      <c r="D2930" t="str">
        <f>"0013-1784"</f>
        <v>0013-1784</v>
      </c>
      <c r="E2930" t="s">
        <v>8</v>
      </c>
      <c r="F2930" t="s">
        <v>2941</v>
      </c>
      <c r="G2930">
        <v>1</v>
      </c>
    </row>
    <row r="2931" spans="1:7" x14ac:dyDescent="0.25">
      <c r="A2931">
        <v>17</v>
      </c>
      <c r="B2931" t="s">
        <v>2683</v>
      </c>
      <c r="C2931">
        <v>2156</v>
      </c>
      <c r="D2931" t="str">
        <f>"1741-1432"</f>
        <v>1741-1432</v>
      </c>
      <c r="E2931" t="s">
        <v>8</v>
      </c>
      <c r="F2931" t="s">
        <v>2942</v>
      </c>
      <c r="G2931">
        <v>1</v>
      </c>
    </row>
    <row r="2932" spans="1:7" x14ac:dyDescent="0.25">
      <c r="A2932">
        <v>17</v>
      </c>
      <c r="B2932" t="s">
        <v>2683</v>
      </c>
      <c r="C2932">
        <v>25408</v>
      </c>
      <c r="D2932" t="str">
        <f>"0731-1745"</f>
        <v>0731-1745</v>
      </c>
      <c r="E2932" t="s">
        <v>8</v>
      </c>
      <c r="F2932" t="s">
        <v>2943</v>
      </c>
      <c r="G2932">
        <v>1</v>
      </c>
    </row>
    <row r="2933" spans="1:7" x14ac:dyDescent="0.25">
      <c r="A2933">
        <v>17</v>
      </c>
      <c r="B2933" t="s">
        <v>2683</v>
      </c>
      <c r="C2933">
        <v>2004</v>
      </c>
      <c r="D2933" t="str">
        <f>"0144-3410"</f>
        <v>0144-3410</v>
      </c>
      <c r="E2933" t="s">
        <v>8</v>
      </c>
      <c r="F2933" t="s">
        <v>2944</v>
      </c>
      <c r="G2933">
        <v>1</v>
      </c>
    </row>
    <row r="2934" spans="1:7" x14ac:dyDescent="0.25">
      <c r="A2934">
        <v>17</v>
      </c>
      <c r="B2934" t="s">
        <v>2683</v>
      </c>
      <c r="C2934">
        <v>12980</v>
      </c>
      <c r="D2934" t="str">
        <f>"1380-3611"</f>
        <v>1380-3611</v>
      </c>
      <c r="E2934" t="s">
        <v>8</v>
      </c>
      <c r="F2934" t="s">
        <v>2945</v>
      </c>
      <c r="G2934">
        <v>1</v>
      </c>
    </row>
    <row r="2935" spans="1:7" x14ac:dyDescent="0.25">
      <c r="A2935">
        <v>17</v>
      </c>
      <c r="B2935" t="s">
        <v>2683</v>
      </c>
      <c r="C2935">
        <v>1102</v>
      </c>
      <c r="D2935" t="str">
        <f>"1570-2081"</f>
        <v>1570-2081</v>
      </c>
      <c r="E2935" t="s">
        <v>8</v>
      </c>
      <c r="F2935" t="s">
        <v>2946</v>
      </c>
      <c r="G2935">
        <v>1</v>
      </c>
    </row>
    <row r="2936" spans="1:7" x14ac:dyDescent="0.25">
      <c r="A2936">
        <v>17</v>
      </c>
      <c r="B2936" t="s">
        <v>2683</v>
      </c>
      <c r="C2936">
        <v>10968</v>
      </c>
      <c r="D2936" t="str">
        <f>"0013-1946"</f>
        <v>0013-1946</v>
      </c>
      <c r="E2936" t="s">
        <v>8</v>
      </c>
      <c r="F2936" t="s">
        <v>2715</v>
      </c>
      <c r="G2936">
        <v>1</v>
      </c>
    </row>
    <row r="2937" spans="1:7" x14ac:dyDescent="0.25">
      <c r="A2937">
        <v>17</v>
      </c>
      <c r="B2937" t="s">
        <v>2683</v>
      </c>
      <c r="C2937">
        <v>7722379</v>
      </c>
      <c r="D2937" t="str">
        <f>"2163-4246"</f>
        <v>2163-4246</v>
      </c>
      <c r="E2937" t="s">
        <v>8</v>
      </c>
      <c r="F2937" t="s">
        <v>2947</v>
      </c>
      <c r="G2937">
        <v>1</v>
      </c>
    </row>
    <row r="2938" spans="1:7" x14ac:dyDescent="0.25">
      <c r="A2938">
        <v>17</v>
      </c>
      <c r="B2938" t="s">
        <v>2683</v>
      </c>
      <c r="C2938">
        <v>4573</v>
      </c>
      <c r="D2938" t="str">
        <f>"0013-2004"</f>
        <v>0013-2004</v>
      </c>
      <c r="E2938" t="s">
        <v>8</v>
      </c>
      <c r="F2938" t="s">
        <v>2948</v>
      </c>
      <c r="G2938">
        <v>1</v>
      </c>
    </row>
    <row r="2939" spans="1:7" x14ac:dyDescent="0.25">
      <c r="A2939">
        <v>17</v>
      </c>
      <c r="B2939" t="s">
        <v>2683</v>
      </c>
      <c r="C2939">
        <v>8094</v>
      </c>
      <c r="E2939" t="s">
        <v>8</v>
      </c>
      <c r="F2939" t="s">
        <v>2949</v>
      </c>
      <c r="G2939">
        <v>1</v>
      </c>
    </row>
    <row r="2940" spans="1:7" x14ac:dyDescent="0.25">
      <c r="A2940">
        <v>17</v>
      </c>
      <c r="B2940" t="s">
        <v>2683</v>
      </c>
      <c r="C2940">
        <v>156419</v>
      </c>
      <c r="D2940" t="str">
        <f>"1877-6337"</f>
        <v>1877-6337</v>
      </c>
      <c r="E2940" t="s">
        <v>8</v>
      </c>
      <c r="F2940" t="s">
        <v>2950</v>
      </c>
      <c r="G2940">
        <v>1</v>
      </c>
    </row>
    <row r="2941" spans="1:7" x14ac:dyDescent="0.25">
      <c r="A2941">
        <v>17</v>
      </c>
      <c r="B2941" t="s">
        <v>2683</v>
      </c>
      <c r="C2941">
        <v>149333</v>
      </c>
      <c r="D2941" t="str">
        <f>"0931-5020"</f>
        <v>0931-5020</v>
      </c>
      <c r="E2941" t="s">
        <v>8</v>
      </c>
      <c r="F2941" t="s">
        <v>2951</v>
      </c>
      <c r="G2941">
        <v>1</v>
      </c>
    </row>
    <row r="2942" spans="1:7" x14ac:dyDescent="0.25">
      <c r="A2942">
        <v>17</v>
      </c>
      <c r="B2942" t="s">
        <v>2683</v>
      </c>
      <c r="C2942">
        <v>170406</v>
      </c>
      <c r="D2942" t="str">
        <f>"2157-3727"</f>
        <v>2157-3727</v>
      </c>
      <c r="E2942" t="s">
        <v>8</v>
      </c>
      <c r="F2942" t="s">
        <v>2952</v>
      </c>
      <c r="G2942">
        <v>1</v>
      </c>
    </row>
    <row r="2943" spans="1:7" x14ac:dyDescent="0.25">
      <c r="A2943">
        <v>17</v>
      </c>
      <c r="B2943" t="s">
        <v>2683</v>
      </c>
      <c r="C2943">
        <v>156016</v>
      </c>
      <c r="D2943" t="str">
        <f>"1937-8629"</f>
        <v>1937-8629</v>
      </c>
      <c r="E2943" t="s">
        <v>8</v>
      </c>
      <c r="F2943" t="s">
        <v>2953</v>
      </c>
      <c r="G2943">
        <v>1</v>
      </c>
    </row>
    <row r="2944" spans="1:7" x14ac:dyDescent="0.25">
      <c r="A2944">
        <v>17</v>
      </c>
      <c r="B2944" t="s">
        <v>2683</v>
      </c>
      <c r="C2944">
        <v>2476</v>
      </c>
      <c r="D2944" t="str">
        <f>"0212-4521"</f>
        <v>0212-4521</v>
      </c>
      <c r="E2944" t="s">
        <v>8</v>
      </c>
      <c r="F2944" t="s">
        <v>2954</v>
      </c>
      <c r="G2944">
        <v>1</v>
      </c>
    </row>
    <row r="2945" spans="1:7" x14ac:dyDescent="0.25">
      <c r="A2945">
        <v>17</v>
      </c>
      <c r="B2945" t="s">
        <v>2683</v>
      </c>
      <c r="C2945">
        <v>8642</v>
      </c>
      <c r="D2945" t="str">
        <f>"1066-5684"</f>
        <v>1066-5684</v>
      </c>
      <c r="E2945" t="s">
        <v>8</v>
      </c>
      <c r="F2945" t="s">
        <v>2955</v>
      </c>
      <c r="G2945">
        <v>1</v>
      </c>
    </row>
    <row r="2946" spans="1:7" x14ac:dyDescent="0.25">
      <c r="A2946">
        <v>17</v>
      </c>
      <c r="B2946" t="s">
        <v>2683</v>
      </c>
      <c r="C2946">
        <v>24486</v>
      </c>
      <c r="D2946" t="str">
        <f>"1744-9642"</f>
        <v>1744-9642</v>
      </c>
      <c r="E2946" t="s">
        <v>8</v>
      </c>
      <c r="F2946" t="s">
        <v>2956</v>
      </c>
      <c r="G2946">
        <v>1</v>
      </c>
    </row>
    <row r="2947" spans="1:7" x14ac:dyDescent="0.25">
      <c r="A2947">
        <v>17</v>
      </c>
      <c r="B2947" t="s">
        <v>2683</v>
      </c>
      <c r="C2947">
        <v>8782756</v>
      </c>
      <c r="E2947" t="s">
        <v>15</v>
      </c>
      <c r="F2947" t="s">
        <v>2957</v>
      </c>
      <c r="G2947">
        <v>1</v>
      </c>
    </row>
    <row r="2948" spans="1:7" x14ac:dyDescent="0.25">
      <c r="A2948">
        <v>17</v>
      </c>
      <c r="B2948" t="s">
        <v>2683</v>
      </c>
      <c r="C2948">
        <v>13321</v>
      </c>
      <c r="D2948" t="str">
        <f>"1305-8215"</f>
        <v>1305-8215</v>
      </c>
      <c r="E2948" t="s">
        <v>8</v>
      </c>
      <c r="F2948" t="s">
        <v>2958</v>
      </c>
      <c r="G2948">
        <v>1</v>
      </c>
    </row>
    <row r="2949" spans="1:7" x14ac:dyDescent="0.25">
      <c r="A2949">
        <v>17</v>
      </c>
      <c r="B2949" t="s">
        <v>2683</v>
      </c>
      <c r="C2949">
        <v>695</v>
      </c>
      <c r="D2949" t="str">
        <f>"0809-8026"</f>
        <v>0809-8026</v>
      </c>
      <c r="E2949" t="s">
        <v>15</v>
      </c>
      <c r="F2949" t="s">
        <v>2959</v>
      </c>
      <c r="G2949">
        <v>1</v>
      </c>
    </row>
    <row r="2950" spans="1:7" x14ac:dyDescent="0.25">
      <c r="A2950">
        <v>17</v>
      </c>
      <c r="B2950" t="s">
        <v>2683</v>
      </c>
      <c r="C2950">
        <v>5020013</v>
      </c>
      <c r="E2950" t="s">
        <v>2100</v>
      </c>
      <c r="F2950" t="s">
        <v>2960</v>
      </c>
      <c r="G2950">
        <v>1</v>
      </c>
    </row>
    <row r="2951" spans="1:7" x14ac:dyDescent="0.25">
      <c r="A2951">
        <v>17</v>
      </c>
      <c r="B2951" t="s">
        <v>2683</v>
      </c>
      <c r="C2951">
        <v>741</v>
      </c>
      <c r="D2951" t="str">
        <f>"1056-4934"</f>
        <v>1056-4934</v>
      </c>
      <c r="E2951" t="s">
        <v>8</v>
      </c>
      <c r="F2951" t="s">
        <v>2961</v>
      </c>
      <c r="G2951">
        <v>1</v>
      </c>
    </row>
    <row r="2952" spans="1:7" x14ac:dyDescent="0.25">
      <c r="A2952">
        <v>17</v>
      </c>
      <c r="B2952" t="s">
        <v>2683</v>
      </c>
      <c r="C2952">
        <v>7708509</v>
      </c>
      <c r="E2952" t="s">
        <v>8</v>
      </c>
      <c r="F2952" t="s">
        <v>2962</v>
      </c>
      <c r="G2952">
        <v>1</v>
      </c>
    </row>
    <row r="2953" spans="1:7" x14ac:dyDescent="0.25">
      <c r="A2953">
        <v>17</v>
      </c>
      <c r="B2953" t="s">
        <v>2683</v>
      </c>
      <c r="C2953">
        <v>16634</v>
      </c>
      <c r="E2953" t="s">
        <v>8</v>
      </c>
      <c r="F2953" t="s">
        <v>2963</v>
      </c>
      <c r="G2953">
        <v>1</v>
      </c>
    </row>
    <row r="2954" spans="1:7" x14ac:dyDescent="0.25">
      <c r="A2954">
        <v>17</v>
      </c>
      <c r="B2954" t="s">
        <v>2683</v>
      </c>
      <c r="C2954">
        <v>1372</v>
      </c>
      <c r="D2954" t="str">
        <f>"0885-6257"</f>
        <v>0885-6257</v>
      </c>
      <c r="E2954" t="s">
        <v>8</v>
      </c>
      <c r="F2954" t="s">
        <v>2964</v>
      </c>
      <c r="G2954">
        <v>1</v>
      </c>
    </row>
    <row r="2955" spans="1:7" x14ac:dyDescent="0.25">
      <c r="A2955">
        <v>17</v>
      </c>
      <c r="B2955" t="s">
        <v>2683</v>
      </c>
      <c r="C2955">
        <v>15383</v>
      </c>
      <c r="D2955" t="str">
        <f>"2046-9012"</f>
        <v>2046-9012</v>
      </c>
      <c r="E2955" t="s">
        <v>8</v>
      </c>
      <c r="F2955" t="s">
        <v>2965</v>
      </c>
      <c r="G2955">
        <v>1</v>
      </c>
    </row>
    <row r="2956" spans="1:7" x14ac:dyDescent="0.25">
      <c r="A2956">
        <v>17</v>
      </c>
      <c r="B2956" t="s">
        <v>2683</v>
      </c>
      <c r="C2956">
        <v>4026</v>
      </c>
      <c r="D2956" t="str">
        <f>"0378-5068"</f>
        <v>0378-5068</v>
      </c>
      <c r="E2956" t="s">
        <v>8</v>
      </c>
      <c r="F2956" t="s">
        <v>2966</v>
      </c>
      <c r="G2956">
        <v>1</v>
      </c>
    </row>
    <row r="2957" spans="1:7" x14ac:dyDescent="0.25">
      <c r="A2957">
        <v>17</v>
      </c>
      <c r="B2957" t="s">
        <v>2683</v>
      </c>
      <c r="C2957">
        <v>5010018</v>
      </c>
      <c r="E2957" t="s">
        <v>2100</v>
      </c>
      <c r="F2957" t="s">
        <v>2967</v>
      </c>
      <c r="G2957">
        <v>1</v>
      </c>
    </row>
    <row r="2958" spans="1:7" x14ac:dyDescent="0.25">
      <c r="A2958">
        <v>17</v>
      </c>
      <c r="B2958" t="s">
        <v>2683</v>
      </c>
      <c r="C2958">
        <v>8758253</v>
      </c>
      <c r="E2958" t="s">
        <v>2100</v>
      </c>
      <c r="F2958" t="s">
        <v>2968</v>
      </c>
      <c r="G2958">
        <v>1</v>
      </c>
    </row>
    <row r="2959" spans="1:7" x14ac:dyDescent="0.25">
      <c r="A2959">
        <v>17</v>
      </c>
      <c r="B2959" t="s">
        <v>2683</v>
      </c>
      <c r="C2959">
        <v>18789</v>
      </c>
      <c r="D2959" t="str">
        <f>"1936-6426"</f>
        <v>1936-6426</v>
      </c>
      <c r="E2959" t="s">
        <v>8</v>
      </c>
      <c r="F2959" t="s">
        <v>2969</v>
      </c>
      <c r="G2959">
        <v>1</v>
      </c>
    </row>
    <row r="2960" spans="1:7" x14ac:dyDescent="0.25">
      <c r="A2960">
        <v>17</v>
      </c>
      <c r="B2960" t="s">
        <v>2683</v>
      </c>
      <c r="C2960">
        <v>7691669</v>
      </c>
      <c r="D2960" t="str">
        <f>"2153-9669"</f>
        <v>2153-9669</v>
      </c>
      <c r="E2960" t="s">
        <v>8</v>
      </c>
      <c r="F2960" t="s">
        <v>2970</v>
      </c>
      <c r="G2960">
        <v>1</v>
      </c>
    </row>
    <row r="2961" spans="1:7" x14ac:dyDescent="0.25">
      <c r="A2961">
        <v>17</v>
      </c>
      <c r="B2961" t="s">
        <v>2683</v>
      </c>
      <c r="C2961">
        <v>8782493</v>
      </c>
      <c r="E2961" t="s">
        <v>2100</v>
      </c>
      <c r="F2961" t="s">
        <v>2971</v>
      </c>
      <c r="G2961">
        <v>1</v>
      </c>
    </row>
    <row r="2962" spans="1:7" x14ac:dyDescent="0.25">
      <c r="A2962">
        <v>17</v>
      </c>
      <c r="B2962" t="s">
        <v>2683</v>
      </c>
      <c r="C2962">
        <v>8782657</v>
      </c>
      <c r="D2962" t="str">
        <f>"1894-5988"</f>
        <v>1894-5988</v>
      </c>
      <c r="E2962" t="s">
        <v>8</v>
      </c>
      <c r="F2962" t="s">
        <v>2972</v>
      </c>
      <c r="G2962">
        <v>1</v>
      </c>
    </row>
    <row r="2963" spans="1:7" x14ac:dyDescent="0.25">
      <c r="A2963">
        <v>17</v>
      </c>
      <c r="B2963" t="s">
        <v>2683</v>
      </c>
      <c r="C2963">
        <v>32124</v>
      </c>
      <c r="D2963" t="str">
        <f>"1698-7799"</f>
        <v>1698-7799</v>
      </c>
      <c r="E2963" t="s">
        <v>8</v>
      </c>
      <c r="F2963" t="s">
        <v>2973</v>
      </c>
      <c r="G2963">
        <v>1</v>
      </c>
    </row>
    <row r="2964" spans="1:7" x14ac:dyDescent="0.25">
      <c r="A2964">
        <v>17</v>
      </c>
      <c r="B2964" t="s">
        <v>2683</v>
      </c>
      <c r="C2964">
        <v>8782471</v>
      </c>
      <c r="D2964" t="str">
        <f>"2446-2810"</f>
        <v>2446-2810</v>
      </c>
      <c r="E2964" t="s">
        <v>8</v>
      </c>
      <c r="F2964" t="s">
        <v>2974</v>
      </c>
      <c r="G2964">
        <v>1</v>
      </c>
    </row>
    <row r="2965" spans="1:7" x14ac:dyDescent="0.25">
      <c r="A2965">
        <v>17</v>
      </c>
      <c r="B2965" t="s">
        <v>2683</v>
      </c>
      <c r="C2965">
        <v>3586</v>
      </c>
      <c r="D2965" t="str">
        <f>"1504-6893"</f>
        <v>1504-6893</v>
      </c>
      <c r="E2965" t="s">
        <v>8</v>
      </c>
      <c r="F2965" t="s">
        <v>2975</v>
      </c>
      <c r="G2965">
        <v>1</v>
      </c>
    </row>
    <row r="2966" spans="1:7" x14ac:dyDescent="0.25">
      <c r="A2966">
        <v>17</v>
      </c>
      <c r="B2966" t="s">
        <v>2683</v>
      </c>
      <c r="C2966">
        <v>22104</v>
      </c>
      <c r="D2966" t="str">
        <f>"1673-341X"</f>
        <v>1673-341X</v>
      </c>
      <c r="E2966" t="s">
        <v>8</v>
      </c>
      <c r="F2966" t="s">
        <v>2976</v>
      </c>
      <c r="G2966">
        <v>1</v>
      </c>
    </row>
    <row r="2967" spans="1:7" x14ac:dyDescent="0.25">
      <c r="A2967">
        <v>17</v>
      </c>
      <c r="B2967" t="s">
        <v>2683</v>
      </c>
      <c r="C2967">
        <v>8782487</v>
      </c>
      <c r="D2967" t="str">
        <f>"2295-3159"</f>
        <v>2295-3159</v>
      </c>
      <c r="E2967" t="s">
        <v>8</v>
      </c>
      <c r="F2967" t="s">
        <v>2977</v>
      </c>
      <c r="G2967">
        <v>1</v>
      </c>
    </row>
    <row r="2968" spans="1:7" x14ac:dyDescent="0.25">
      <c r="A2968">
        <v>17</v>
      </c>
      <c r="B2968" t="s">
        <v>2683</v>
      </c>
      <c r="C2968">
        <v>7720310</v>
      </c>
      <c r="D2968" t="str">
        <f>"2191-9186"</f>
        <v>2191-9186</v>
      </c>
      <c r="E2968" t="s">
        <v>8</v>
      </c>
      <c r="F2968" t="s">
        <v>2978</v>
      </c>
      <c r="G2968">
        <v>1</v>
      </c>
    </row>
    <row r="2969" spans="1:7" x14ac:dyDescent="0.25">
      <c r="A2969">
        <v>17</v>
      </c>
      <c r="B2969" t="s">
        <v>2683</v>
      </c>
      <c r="C2969">
        <v>2401</v>
      </c>
      <c r="D2969" t="str">
        <f>"0016-9862"</f>
        <v>0016-9862</v>
      </c>
      <c r="E2969" t="s">
        <v>8</v>
      </c>
      <c r="F2969" t="s">
        <v>2979</v>
      </c>
      <c r="G2969">
        <v>1</v>
      </c>
    </row>
    <row r="2970" spans="1:7" x14ac:dyDescent="0.25">
      <c r="A2970">
        <v>17</v>
      </c>
      <c r="B2970" t="s">
        <v>2683</v>
      </c>
      <c r="C2970">
        <v>8783333</v>
      </c>
      <c r="E2970" t="s">
        <v>15</v>
      </c>
      <c r="F2970" t="s">
        <v>2980</v>
      </c>
      <c r="G2970">
        <v>1</v>
      </c>
    </row>
    <row r="2971" spans="1:7" x14ac:dyDescent="0.25">
      <c r="A2971">
        <v>17</v>
      </c>
      <c r="B2971" t="s">
        <v>2683</v>
      </c>
      <c r="C2971">
        <v>27161</v>
      </c>
      <c r="D2971" t="str">
        <f>"1328-3154"</f>
        <v>1328-3154</v>
      </c>
      <c r="E2971" t="s">
        <v>8</v>
      </c>
      <c r="F2971" t="s">
        <v>2981</v>
      </c>
      <c r="G2971">
        <v>1</v>
      </c>
    </row>
    <row r="2972" spans="1:7" x14ac:dyDescent="0.25">
      <c r="A2972">
        <v>17</v>
      </c>
      <c r="B2972" t="s">
        <v>2683</v>
      </c>
      <c r="C2972">
        <v>8783801</v>
      </c>
      <c r="E2972" t="s">
        <v>15</v>
      </c>
      <c r="F2972" t="s">
        <v>2982</v>
      </c>
      <c r="G2972">
        <v>1</v>
      </c>
    </row>
    <row r="2973" spans="1:7" x14ac:dyDescent="0.25">
      <c r="A2973">
        <v>17</v>
      </c>
      <c r="B2973" t="s">
        <v>2683</v>
      </c>
      <c r="C2973">
        <v>7699550</v>
      </c>
      <c r="D2973" t="str">
        <f>"2043-6106"</f>
        <v>2043-6106</v>
      </c>
      <c r="E2973" t="s">
        <v>8</v>
      </c>
      <c r="F2973" t="s">
        <v>2983</v>
      </c>
      <c r="G2973">
        <v>1</v>
      </c>
    </row>
    <row r="2974" spans="1:7" x14ac:dyDescent="0.25">
      <c r="A2974">
        <v>17</v>
      </c>
      <c r="B2974" t="s">
        <v>2683</v>
      </c>
      <c r="C2974">
        <v>9425</v>
      </c>
      <c r="D2974" t="str">
        <f>"1476-7724"</f>
        <v>1476-7724</v>
      </c>
      <c r="E2974" t="s">
        <v>8</v>
      </c>
      <c r="F2974" t="s">
        <v>2984</v>
      </c>
      <c r="G2974">
        <v>1</v>
      </c>
    </row>
    <row r="2975" spans="1:7" x14ac:dyDescent="0.25">
      <c r="A2975">
        <v>17</v>
      </c>
      <c r="B2975" t="s">
        <v>2683</v>
      </c>
      <c r="C2975">
        <v>23796</v>
      </c>
      <c r="D2975" t="str">
        <f>"0965-4283"</f>
        <v>0965-4283</v>
      </c>
      <c r="E2975" t="s">
        <v>8</v>
      </c>
      <c r="F2975" t="s">
        <v>2985</v>
      </c>
      <c r="G2975">
        <v>1</v>
      </c>
    </row>
    <row r="2976" spans="1:7" x14ac:dyDescent="0.25">
      <c r="A2976">
        <v>17</v>
      </c>
      <c r="B2976" t="s">
        <v>2683</v>
      </c>
      <c r="C2976">
        <v>3678</v>
      </c>
      <c r="D2976" t="str">
        <f>"1359-8139"</f>
        <v>1359-8139</v>
      </c>
      <c r="E2976" t="s">
        <v>8</v>
      </c>
      <c r="F2976" t="s">
        <v>2986</v>
      </c>
      <c r="G2976">
        <v>1</v>
      </c>
    </row>
    <row r="2977" spans="1:7" x14ac:dyDescent="0.25">
      <c r="A2977">
        <v>17</v>
      </c>
      <c r="B2977" t="s">
        <v>2683</v>
      </c>
      <c r="C2977">
        <v>14555</v>
      </c>
      <c r="D2977" t="str">
        <f>"1571-0378"</f>
        <v>1571-0378</v>
      </c>
      <c r="E2977" t="s">
        <v>8</v>
      </c>
      <c r="F2977" t="s">
        <v>2987</v>
      </c>
      <c r="G2977">
        <v>1</v>
      </c>
    </row>
    <row r="2978" spans="1:7" x14ac:dyDescent="0.25">
      <c r="A2978">
        <v>17</v>
      </c>
      <c r="B2978" t="s">
        <v>2683</v>
      </c>
      <c r="C2978">
        <v>8782656</v>
      </c>
      <c r="E2978" t="s">
        <v>8</v>
      </c>
      <c r="F2978" t="s">
        <v>2988</v>
      </c>
      <c r="G2978">
        <v>1</v>
      </c>
    </row>
    <row r="2979" spans="1:7" x14ac:dyDescent="0.25">
      <c r="A2979">
        <v>17</v>
      </c>
      <c r="B2979" t="s">
        <v>2683</v>
      </c>
      <c r="C2979">
        <v>2292</v>
      </c>
      <c r="D2979" t="str">
        <f>"0952-8733"</f>
        <v>0952-8733</v>
      </c>
      <c r="E2979" t="s">
        <v>8</v>
      </c>
      <c r="F2979" t="s">
        <v>2989</v>
      </c>
      <c r="G2979">
        <v>1</v>
      </c>
    </row>
    <row r="2980" spans="1:7" x14ac:dyDescent="0.25">
      <c r="A2980">
        <v>17</v>
      </c>
      <c r="B2980" t="s">
        <v>2683</v>
      </c>
      <c r="C2980">
        <v>8782484</v>
      </c>
      <c r="D2980" t="str">
        <f>"2446-1881"</f>
        <v>2446-1881</v>
      </c>
      <c r="E2980" t="s">
        <v>15</v>
      </c>
      <c r="F2980" t="s">
        <v>2990</v>
      </c>
      <c r="G2980">
        <v>1</v>
      </c>
    </row>
    <row r="2981" spans="1:7" x14ac:dyDescent="0.25">
      <c r="A2981">
        <v>17</v>
      </c>
      <c r="B2981" t="s">
        <v>2683</v>
      </c>
      <c r="C2981">
        <v>13844</v>
      </c>
      <c r="D2981" t="str">
        <f>"0951-5224"</f>
        <v>0951-5224</v>
      </c>
      <c r="E2981" t="s">
        <v>8</v>
      </c>
      <c r="F2981" t="s">
        <v>2991</v>
      </c>
      <c r="G2981">
        <v>1</v>
      </c>
    </row>
    <row r="2982" spans="1:7" x14ac:dyDescent="0.25">
      <c r="A2982">
        <v>17</v>
      </c>
      <c r="B2982" t="s">
        <v>2683</v>
      </c>
      <c r="C2982">
        <v>6137842</v>
      </c>
      <c r="D2982" t="str">
        <f>"2042-3896"</f>
        <v>2042-3896</v>
      </c>
      <c r="E2982" t="s">
        <v>8</v>
      </c>
      <c r="F2982" t="s">
        <v>2992</v>
      </c>
      <c r="G2982">
        <v>1</v>
      </c>
    </row>
    <row r="2983" spans="1:7" x14ac:dyDescent="0.25">
      <c r="A2983">
        <v>17</v>
      </c>
      <c r="B2983" t="s">
        <v>2683</v>
      </c>
      <c r="C2983">
        <v>87650</v>
      </c>
      <c r="D2983" t="str">
        <f>"0882-4126"</f>
        <v>0882-4126</v>
      </c>
      <c r="E2983" t="s">
        <v>15</v>
      </c>
      <c r="F2983" t="s">
        <v>2993</v>
      </c>
      <c r="G2983">
        <v>1</v>
      </c>
    </row>
    <row r="2984" spans="1:7" x14ac:dyDescent="0.25">
      <c r="A2984">
        <v>17</v>
      </c>
      <c r="B2984" t="s">
        <v>2683</v>
      </c>
      <c r="C2984">
        <v>7747313</v>
      </c>
      <c r="D2984" t="str">
        <f>"2157-6254"</f>
        <v>2157-6254</v>
      </c>
      <c r="E2984" t="s">
        <v>8</v>
      </c>
      <c r="F2984" t="s">
        <v>2994</v>
      </c>
      <c r="G2984">
        <v>1</v>
      </c>
    </row>
    <row r="2985" spans="1:7" x14ac:dyDescent="0.25">
      <c r="A2985">
        <v>17</v>
      </c>
      <c r="B2985" t="s">
        <v>2683</v>
      </c>
      <c r="C2985">
        <v>8768265</v>
      </c>
      <c r="D2985" t="str">
        <f>"2203-7543"</f>
        <v>2203-7543</v>
      </c>
      <c r="E2985" t="s">
        <v>8</v>
      </c>
      <c r="F2985" t="s">
        <v>2995</v>
      </c>
      <c r="G2985">
        <v>1</v>
      </c>
    </row>
    <row r="2986" spans="1:7" x14ac:dyDescent="0.25">
      <c r="A2986">
        <v>17</v>
      </c>
      <c r="B2986" t="s">
        <v>2683</v>
      </c>
      <c r="C2986">
        <v>7264</v>
      </c>
      <c r="D2986" t="str">
        <f>"0018-2680"</f>
        <v>0018-2680</v>
      </c>
      <c r="E2986" t="s">
        <v>8</v>
      </c>
      <c r="F2986" t="s">
        <v>2996</v>
      </c>
      <c r="G2986">
        <v>1</v>
      </c>
    </row>
    <row r="2987" spans="1:7" x14ac:dyDescent="0.25">
      <c r="A2987">
        <v>17</v>
      </c>
      <c r="B2987" t="s">
        <v>2683</v>
      </c>
      <c r="C2987">
        <v>19266</v>
      </c>
      <c r="D2987" t="str">
        <f>"1740-2433"</f>
        <v>1740-2433</v>
      </c>
      <c r="E2987" t="s">
        <v>8</v>
      </c>
      <c r="F2987" t="s">
        <v>2997</v>
      </c>
      <c r="G2987">
        <v>1</v>
      </c>
    </row>
    <row r="2988" spans="1:7" x14ac:dyDescent="0.25">
      <c r="A2988">
        <v>17</v>
      </c>
      <c r="B2988" t="s">
        <v>2683</v>
      </c>
      <c r="C2988">
        <v>119379</v>
      </c>
      <c r="D2988" t="str">
        <f>"0819-8691"</f>
        <v>0819-8691</v>
      </c>
      <c r="E2988" t="s">
        <v>8</v>
      </c>
      <c r="F2988" t="s">
        <v>2998</v>
      </c>
      <c r="G2988">
        <v>1</v>
      </c>
    </row>
    <row r="2989" spans="1:7" x14ac:dyDescent="0.25">
      <c r="A2989">
        <v>17</v>
      </c>
      <c r="B2989" t="s">
        <v>2683</v>
      </c>
      <c r="C2989">
        <v>7704421</v>
      </c>
      <c r="E2989" t="s">
        <v>8</v>
      </c>
      <c r="F2989" t="s">
        <v>2999</v>
      </c>
      <c r="G2989">
        <v>1</v>
      </c>
    </row>
    <row r="2990" spans="1:7" x14ac:dyDescent="0.25">
      <c r="A2990">
        <v>17</v>
      </c>
      <c r="B2990" t="s">
        <v>2683</v>
      </c>
      <c r="C2990">
        <v>7751668</v>
      </c>
      <c r="D2990" t="str">
        <f>"2187-0594"</f>
        <v>2187-0594</v>
      </c>
      <c r="E2990" t="s">
        <v>8</v>
      </c>
      <c r="F2990" t="s">
        <v>3000</v>
      </c>
      <c r="G2990">
        <v>1</v>
      </c>
    </row>
    <row r="2991" spans="1:7" x14ac:dyDescent="0.25">
      <c r="A2991">
        <v>17</v>
      </c>
      <c r="B2991" t="s">
        <v>2683</v>
      </c>
      <c r="C2991">
        <v>8782848</v>
      </c>
      <c r="D2991" t="str">
        <f>"1539-4565"</f>
        <v>1539-4565</v>
      </c>
      <c r="E2991" t="s">
        <v>2100</v>
      </c>
      <c r="F2991" t="s">
        <v>3001</v>
      </c>
      <c r="G2991">
        <v>1</v>
      </c>
    </row>
    <row r="2992" spans="1:7" x14ac:dyDescent="0.25">
      <c r="A2992">
        <v>17</v>
      </c>
      <c r="B2992" t="s">
        <v>2683</v>
      </c>
      <c r="C2992">
        <v>8782847</v>
      </c>
      <c r="D2992" t="str">
        <f>"21659559"</f>
        <v>21659559</v>
      </c>
      <c r="E2992" t="s">
        <v>2100</v>
      </c>
      <c r="F2992" t="s">
        <v>3002</v>
      </c>
      <c r="G2992">
        <v>1</v>
      </c>
    </row>
    <row r="2993" spans="1:7" x14ac:dyDescent="0.25">
      <c r="A2993">
        <v>17</v>
      </c>
      <c r="B2993" t="s">
        <v>2683</v>
      </c>
      <c r="C2993">
        <v>10648</v>
      </c>
      <c r="D2993" t="str">
        <f>"0018-9359"</f>
        <v>0018-9359</v>
      </c>
      <c r="E2993" t="s">
        <v>8</v>
      </c>
      <c r="F2993" t="s">
        <v>3003</v>
      </c>
      <c r="G2993">
        <v>1</v>
      </c>
    </row>
    <row r="2994" spans="1:7" x14ac:dyDescent="0.25">
      <c r="A2994">
        <v>17</v>
      </c>
      <c r="B2994" t="s">
        <v>2683</v>
      </c>
      <c r="C2994">
        <v>8783032</v>
      </c>
      <c r="D2994" t="str">
        <f>"2372-0050"</f>
        <v>2372-0050</v>
      </c>
      <c r="E2994" t="s">
        <v>8</v>
      </c>
      <c r="F2994" t="s">
        <v>3004</v>
      </c>
      <c r="G2994">
        <v>1</v>
      </c>
    </row>
    <row r="2995" spans="1:7" x14ac:dyDescent="0.25">
      <c r="A2995">
        <v>17</v>
      </c>
      <c r="B2995" t="s">
        <v>2683</v>
      </c>
      <c r="C2995">
        <v>7728371</v>
      </c>
      <c r="D2995" t="str">
        <f>"2192-4295"</f>
        <v>2192-4295</v>
      </c>
      <c r="E2995" t="s">
        <v>8</v>
      </c>
      <c r="F2995" t="s">
        <v>3005</v>
      </c>
      <c r="G2995">
        <v>1</v>
      </c>
    </row>
    <row r="2996" spans="1:7" x14ac:dyDescent="0.25">
      <c r="A2996">
        <v>17</v>
      </c>
      <c r="B2996" t="s">
        <v>2683</v>
      </c>
      <c r="C2996">
        <v>8761723</v>
      </c>
      <c r="D2996" t="str">
        <f>"2196-3673"</f>
        <v>2196-3673</v>
      </c>
      <c r="E2996" t="s">
        <v>8</v>
      </c>
      <c r="F2996" t="s">
        <v>3006</v>
      </c>
      <c r="G2996">
        <v>1</v>
      </c>
    </row>
    <row r="2997" spans="1:7" x14ac:dyDescent="0.25">
      <c r="A2997">
        <v>17</v>
      </c>
      <c r="B2997" t="s">
        <v>2683</v>
      </c>
      <c r="C2997">
        <v>12121</v>
      </c>
      <c r="D2997" t="str">
        <f>"1365-4802"</f>
        <v>1365-4802</v>
      </c>
      <c r="E2997" t="s">
        <v>8</v>
      </c>
      <c r="F2997" t="s">
        <v>3007</v>
      </c>
      <c r="G2997">
        <v>1</v>
      </c>
    </row>
    <row r="2998" spans="1:7" x14ac:dyDescent="0.25">
      <c r="A2998">
        <v>17</v>
      </c>
      <c r="B2998" t="s">
        <v>2683</v>
      </c>
      <c r="C2998">
        <v>8759041</v>
      </c>
      <c r="D2998" t="str">
        <f>"1927-6117"</f>
        <v>1927-6117</v>
      </c>
      <c r="E2998" t="s">
        <v>8</v>
      </c>
      <c r="F2998" t="s">
        <v>3008</v>
      </c>
      <c r="G2998">
        <v>1</v>
      </c>
    </row>
    <row r="2999" spans="1:7" x14ac:dyDescent="0.25">
      <c r="A2999">
        <v>17</v>
      </c>
      <c r="B2999" t="s">
        <v>2683</v>
      </c>
      <c r="C2999">
        <v>170086</v>
      </c>
      <c r="D2999" t="str">
        <f>"1602-2149"</f>
        <v>1602-2149</v>
      </c>
      <c r="E2999" t="s">
        <v>15</v>
      </c>
      <c r="F2999" t="s">
        <v>3009</v>
      </c>
      <c r="G2999">
        <v>1</v>
      </c>
    </row>
    <row r="3000" spans="1:7" x14ac:dyDescent="0.25">
      <c r="A3000">
        <v>17</v>
      </c>
      <c r="B3000" t="s">
        <v>2683</v>
      </c>
      <c r="C3000">
        <v>16341</v>
      </c>
      <c r="D3000" t="str">
        <f>"0950-4222"</f>
        <v>0950-4222</v>
      </c>
      <c r="E3000" t="s">
        <v>8</v>
      </c>
      <c r="F3000" t="s">
        <v>3010</v>
      </c>
      <c r="G3000">
        <v>1</v>
      </c>
    </row>
    <row r="3001" spans="1:7" x14ac:dyDescent="0.25">
      <c r="A3001">
        <v>17</v>
      </c>
      <c r="B3001" t="s">
        <v>2683</v>
      </c>
      <c r="C3001">
        <v>2617</v>
      </c>
      <c r="D3001" t="str">
        <f>"0210-3702"</f>
        <v>0210-3702</v>
      </c>
      <c r="E3001" t="s">
        <v>8</v>
      </c>
      <c r="F3001" t="s">
        <v>3011</v>
      </c>
      <c r="G3001">
        <v>1</v>
      </c>
    </row>
    <row r="3002" spans="1:7" x14ac:dyDescent="0.25">
      <c r="A3002">
        <v>17</v>
      </c>
      <c r="B3002" t="s">
        <v>2683</v>
      </c>
      <c r="C3002">
        <v>3375</v>
      </c>
      <c r="E3002" t="s">
        <v>8</v>
      </c>
      <c r="F3002" t="s">
        <v>3012</v>
      </c>
      <c r="G3002">
        <v>1</v>
      </c>
    </row>
    <row r="3003" spans="1:7" x14ac:dyDescent="0.25">
      <c r="A3003">
        <v>17</v>
      </c>
      <c r="B3003" t="s">
        <v>2683</v>
      </c>
      <c r="C3003">
        <v>18283</v>
      </c>
      <c r="D3003" t="str">
        <f>"1750-1229"</f>
        <v>1750-1229</v>
      </c>
      <c r="E3003" t="s">
        <v>8</v>
      </c>
      <c r="F3003" t="s">
        <v>3013</v>
      </c>
      <c r="G3003">
        <v>1</v>
      </c>
    </row>
    <row r="3004" spans="1:7" x14ac:dyDescent="0.25">
      <c r="A3004">
        <v>17</v>
      </c>
      <c r="B3004" t="s">
        <v>2683</v>
      </c>
      <c r="C3004">
        <v>7050</v>
      </c>
      <c r="D3004" t="str">
        <f>"0742-5627"</f>
        <v>0742-5627</v>
      </c>
      <c r="E3004" t="s">
        <v>8</v>
      </c>
      <c r="F3004" t="s">
        <v>3014</v>
      </c>
      <c r="G3004">
        <v>1</v>
      </c>
    </row>
    <row r="3005" spans="1:7" x14ac:dyDescent="0.25">
      <c r="A3005">
        <v>17</v>
      </c>
      <c r="B3005" t="s">
        <v>2683</v>
      </c>
      <c r="C3005">
        <v>7727673</v>
      </c>
      <c r="D3005" t="str">
        <f>"2044-3315"</f>
        <v>2044-3315</v>
      </c>
      <c r="E3005" t="s">
        <v>8</v>
      </c>
      <c r="F3005" t="s">
        <v>3015</v>
      </c>
      <c r="G3005">
        <v>1</v>
      </c>
    </row>
    <row r="3006" spans="1:7" x14ac:dyDescent="0.25">
      <c r="A3006">
        <v>17</v>
      </c>
      <c r="B3006" t="s">
        <v>2683</v>
      </c>
      <c r="C3006">
        <v>11259</v>
      </c>
      <c r="D3006" t="str">
        <f>"1079-8587"</f>
        <v>1079-8587</v>
      </c>
      <c r="E3006" t="s">
        <v>8</v>
      </c>
      <c r="F3006" t="s">
        <v>3016</v>
      </c>
      <c r="G3006">
        <v>1</v>
      </c>
    </row>
    <row r="3007" spans="1:7" x14ac:dyDescent="0.25">
      <c r="A3007">
        <v>17</v>
      </c>
      <c r="B3007" t="s">
        <v>2683</v>
      </c>
      <c r="C3007">
        <v>42003</v>
      </c>
      <c r="D3007" t="str">
        <f>"1646-2335"</f>
        <v>1646-2335</v>
      </c>
      <c r="E3007" t="s">
        <v>8</v>
      </c>
      <c r="F3007" t="s">
        <v>3017</v>
      </c>
      <c r="G3007">
        <v>1</v>
      </c>
    </row>
    <row r="3008" spans="1:7" x14ac:dyDescent="0.25">
      <c r="A3008">
        <v>17</v>
      </c>
      <c r="B3008" t="s">
        <v>2683</v>
      </c>
      <c r="C3008">
        <v>8135</v>
      </c>
      <c r="D3008" t="str">
        <f>"0826-4805"</f>
        <v>0826-4805</v>
      </c>
      <c r="E3008" t="s">
        <v>8</v>
      </c>
      <c r="F3008" t="s">
        <v>3018</v>
      </c>
      <c r="G3008">
        <v>1</v>
      </c>
    </row>
    <row r="3009" spans="1:7" x14ac:dyDescent="0.25">
      <c r="A3009">
        <v>17</v>
      </c>
      <c r="B3009" t="s">
        <v>2683</v>
      </c>
      <c r="C3009">
        <v>14629</v>
      </c>
      <c r="D3009" t="str">
        <f>"1467-5986"</f>
        <v>1467-5986</v>
      </c>
      <c r="E3009" t="s">
        <v>8</v>
      </c>
      <c r="F3009" t="s">
        <v>3019</v>
      </c>
      <c r="G3009">
        <v>1</v>
      </c>
    </row>
    <row r="3010" spans="1:7" x14ac:dyDescent="0.25">
      <c r="A3010">
        <v>17</v>
      </c>
      <c r="B3010" t="s">
        <v>2683</v>
      </c>
      <c r="C3010">
        <v>2299</v>
      </c>
      <c r="D3010" t="str">
        <f>"1552-2210"</f>
        <v>1552-2210</v>
      </c>
      <c r="E3010" t="s">
        <v>8</v>
      </c>
      <c r="F3010" t="s">
        <v>3020</v>
      </c>
      <c r="G3010">
        <v>1</v>
      </c>
    </row>
    <row r="3011" spans="1:7" x14ac:dyDescent="0.25">
      <c r="A3011">
        <v>17</v>
      </c>
      <c r="B3011" t="s">
        <v>2683</v>
      </c>
      <c r="C3011">
        <v>8782913</v>
      </c>
      <c r="E3011" t="s">
        <v>2100</v>
      </c>
      <c r="F3011" t="s">
        <v>3021</v>
      </c>
      <c r="G3011">
        <v>1</v>
      </c>
    </row>
    <row r="3012" spans="1:7" x14ac:dyDescent="0.25">
      <c r="A3012">
        <v>17</v>
      </c>
      <c r="B3012" t="s">
        <v>2683</v>
      </c>
      <c r="C3012">
        <v>8783187</v>
      </c>
      <c r="E3012" t="s">
        <v>2100</v>
      </c>
      <c r="F3012" t="s">
        <v>3022</v>
      </c>
      <c r="G3012">
        <v>1</v>
      </c>
    </row>
    <row r="3013" spans="1:7" x14ac:dyDescent="0.25">
      <c r="A3013">
        <v>17</v>
      </c>
      <c r="B3013" t="s">
        <v>2683</v>
      </c>
      <c r="C3013">
        <v>8783025</v>
      </c>
      <c r="E3013" t="s">
        <v>2100</v>
      </c>
      <c r="F3013" t="s">
        <v>3023</v>
      </c>
      <c r="G3013">
        <v>1</v>
      </c>
    </row>
    <row r="3014" spans="1:7" x14ac:dyDescent="0.25">
      <c r="A3014">
        <v>17</v>
      </c>
      <c r="B3014" t="s">
        <v>2683</v>
      </c>
      <c r="C3014">
        <v>8783026</v>
      </c>
      <c r="E3014" t="s">
        <v>2100</v>
      </c>
      <c r="F3014" t="s">
        <v>3024</v>
      </c>
      <c r="G3014">
        <v>1</v>
      </c>
    </row>
    <row r="3015" spans="1:7" x14ac:dyDescent="0.25">
      <c r="A3015">
        <v>17</v>
      </c>
      <c r="B3015" t="s">
        <v>2683</v>
      </c>
      <c r="C3015">
        <v>8783043</v>
      </c>
      <c r="D3015" t="str">
        <f>"2194-5357"</f>
        <v>2194-5357</v>
      </c>
      <c r="E3015" t="s">
        <v>2100</v>
      </c>
      <c r="F3015" t="s">
        <v>3025</v>
      </c>
      <c r="G3015">
        <v>1</v>
      </c>
    </row>
    <row r="3016" spans="1:7" x14ac:dyDescent="0.25">
      <c r="A3016">
        <v>17</v>
      </c>
      <c r="B3016" t="s">
        <v>2683</v>
      </c>
      <c r="C3016">
        <v>8783186</v>
      </c>
      <c r="E3016" t="s">
        <v>2100</v>
      </c>
      <c r="F3016" t="s">
        <v>3026</v>
      </c>
      <c r="G3016">
        <v>1</v>
      </c>
    </row>
    <row r="3017" spans="1:7" x14ac:dyDescent="0.25">
      <c r="A3017">
        <v>17</v>
      </c>
      <c r="B3017" t="s">
        <v>2683</v>
      </c>
      <c r="C3017">
        <v>8783024</v>
      </c>
      <c r="E3017" t="s">
        <v>2100</v>
      </c>
      <c r="F3017" t="s">
        <v>3027</v>
      </c>
      <c r="G3017">
        <v>1</v>
      </c>
    </row>
    <row r="3018" spans="1:7" x14ac:dyDescent="0.25">
      <c r="A3018">
        <v>17</v>
      </c>
      <c r="B3018" t="s">
        <v>2683</v>
      </c>
      <c r="C3018">
        <v>8783039</v>
      </c>
      <c r="E3018" t="s">
        <v>2100</v>
      </c>
      <c r="F3018" t="s">
        <v>3028</v>
      </c>
      <c r="G3018">
        <v>1</v>
      </c>
    </row>
    <row r="3019" spans="1:7" x14ac:dyDescent="0.25">
      <c r="A3019">
        <v>17</v>
      </c>
      <c r="B3019" t="s">
        <v>2683</v>
      </c>
      <c r="C3019">
        <v>89</v>
      </c>
      <c r="D3019" t="str">
        <f>"1443-1475"</f>
        <v>1443-1475</v>
      </c>
      <c r="E3019" t="s">
        <v>8</v>
      </c>
      <c r="F3019" t="s">
        <v>3029</v>
      </c>
      <c r="G3019">
        <v>1</v>
      </c>
    </row>
    <row r="3020" spans="1:7" x14ac:dyDescent="0.25">
      <c r="A3020">
        <v>17</v>
      </c>
      <c r="B3020" t="s">
        <v>2683</v>
      </c>
      <c r="C3020">
        <v>14097</v>
      </c>
      <c r="D3020" t="str">
        <f>"1360-144X"</f>
        <v>1360-144X</v>
      </c>
      <c r="E3020" t="s">
        <v>8</v>
      </c>
      <c r="F3020" t="s">
        <v>3030</v>
      </c>
      <c r="G3020">
        <v>1</v>
      </c>
    </row>
    <row r="3021" spans="1:7" x14ac:dyDescent="0.25">
      <c r="A3021">
        <v>17</v>
      </c>
      <c r="B3021" t="s">
        <v>2683</v>
      </c>
      <c r="C3021">
        <v>7717162</v>
      </c>
      <c r="D3021" t="str">
        <f>"2042-6364"</f>
        <v>2042-6364</v>
      </c>
      <c r="E3021" t="s">
        <v>8</v>
      </c>
      <c r="F3021" t="s">
        <v>3031</v>
      </c>
      <c r="G3021">
        <v>1</v>
      </c>
    </row>
    <row r="3022" spans="1:7" x14ac:dyDescent="0.25">
      <c r="A3022">
        <v>17</v>
      </c>
      <c r="B3022" t="s">
        <v>2683</v>
      </c>
      <c r="C3022">
        <v>4572</v>
      </c>
      <c r="D3022" t="str">
        <f>"1873-0388"</f>
        <v>1873-0388</v>
      </c>
      <c r="E3022" t="s">
        <v>8</v>
      </c>
      <c r="F3022" t="s">
        <v>3032</v>
      </c>
      <c r="G3022">
        <v>1</v>
      </c>
    </row>
    <row r="3023" spans="1:7" x14ac:dyDescent="0.25">
      <c r="A3023">
        <v>17</v>
      </c>
      <c r="B3023" t="s">
        <v>2683</v>
      </c>
      <c r="C3023">
        <v>3072</v>
      </c>
      <c r="D3023" t="str">
        <f>"1929-5499"</f>
        <v>1929-5499</v>
      </c>
      <c r="E3023" t="s">
        <v>8</v>
      </c>
      <c r="F3023" t="s">
        <v>3033</v>
      </c>
      <c r="G3023">
        <v>1</v>
      </c>
    </row>
    <row r="3024" spans="1:7" x14ac:dyDescent="0.25">
      <c r="A3024">
        <v>17</v>
      </c>
      <c r="B3024" t="s">
        <v>2683</v>
      </c>
      <c r="C3024">
        <v>7718783</v>
      </c>
      <c r="D3024" t="str">
        <f>"2046-8253"</f>
        <v>2046-8253</v>
      </c>
      <c r="E3024" t="s">
        <v>8</v>
      </c>
      <c r="F3024" t="s">
        <v>3034</v>
      </c>
      <c r="G3024">
        <v>1</v>
      </c>
    </row>
    <row r="3025" spans="1:7" x14ac:dyDescent="0.25">
      <c r="A3025">
        <v>17</v>
      </c>
      <c r="B3025" t="s">
        <v>2683</v>
      </c>
      <c r="C3025">
        <v>9445</v>
      </c>
      <c r="E3025" t="s">
        <v>8</v>
      </c>
      <c r="F3025" t="s">
        <v>3035</v>
      </c>
      <c r="G3025">
        <v>1</v>
      </c>
    </row>
    <row r="3026" spans="1:7" x14ac:dyDescent="0.25">
      <c r="A3026">
        <v>17</v>
      </c>
      <c r="B3026" t="s">
        <v>2683</v>
      </c>
      <c r="C3026">
        <v>7758203</v>
      </c>
      <c r="D3026" t="str">
        <f>"2197 8646"</f>
        <v>2197 8646</v>
      </c>
      <c r="E3026" t="s">
        <v>8</v>
      </c>
      <c r="F3026" t="s">
        <v>3036</v>
      </c>
      <c r="G3026">
        <v>1</v>
      </c>
    </row>
    <row r="3027" spans="1:7" x14ac:dyDescent="0.25">
      <c r="A3027">
        <v>17</v>
      </c>
      <c r="B3027" t="s">
        <v>2683</v>
      </c>
      <c r="C3027">
        <v>125693</v>
      </c>
      <c r="D3027" t="str">
        <f>"1555-9033"</f>
        <v>1555-9033</v>
      </c>
      <c r="E3027" t="s">
        <v>8</v>
      </c>
      <c r="F3027" t="s">
        <v>3037</v>
      </c>
      <c r="G3027">
        <v>1</v>
      </c>
    </row>
    <row r="3028" spans="1:7" x14ac:dyDescent="0.25">
      <c r="A3028">
        <v>17</v>
      </c>
      <c r="B3028" t="s">
        <v>2683</v>
      </c>
      <c r="C3028">
        <v>16253</v>
      </c>
      <c r="D3028" t="str">
        <f>"1560-4292"</f>
        <v>1560-4292</v>
      </c>
      <c r="E3028" t="s">
        <v>8</v>
      </c>
      <c r="F3028" t="s">
        <v>3038</v>
      </c>
      <c r="G3028">
        <v>1</v>
      </c>
    </row>
    <row r="3029" spans="1:7" x14ac:dyDescent="0.25">
      <c r="A3029">
        <v>17</v>
      </c>
      <c r="B3029" t="s">
        <v>2683</v>
      </c>
      <c r="C3029">
        <v>8774654</v>
      </c>
      <c r="D3029" t="str">
        <f>"2379-7363"</f>
        <v>2379-7363</v>
      </c>
      <c r="E3029" t="s">
        <v>8</v>
      </c>
      <c r="F3029" t="s">
        <v>3039</v>
      </c>
      <c r="G3029">
        <v>1</v>
      </c>
    </row>
    <row r="3030" spans="1:7" x14ac:dyDescent="0.25">
      <c r="A3030">
        <v>17</v>
      </c>
      <c r="B3030" t="s">
        <v>2683</v>
      </c>
      <c r="C3030">
        <v>7479</v>
      </c>
      <c r="D3030" t="str">
        <f>"1364-436X"</f>
        <v>1364-436X</v>
      </c>
      <c r="E3030" t="s">
        <v>8</v>
      </c>
      <c r="F3030" t="s">
        <v>3040</v>
      </c>
      <c r="G3030">
        <v>1</v>
      </c>
    </row>
    <row r="3031" spans="1:7" x14ac:dyDescent="0.25">
      <c r="A3031">
        <v>17</v>
      </c>
      <c r="B3031" t="s">
        <v>2683</v>
      </c>
      <c r="C3031">
        <v>8956</v>
      </c>
      <c r="D3031" t="str">
        <f>"1550-3984"</f>
        <v>1550-3984</v>
      </c>
      <c r="E3031" t="s">
        <v>8</v>
      </c>
      <c r="F3031" t="s">
        <v>3041</v>
      </c>
      <c r="G3031">
        <v>1</v>
      </c>
    </row>
    <row r="3032" spans="1:7" x14ac:dyDescent="0.25">
      <c r="A3032">
        <v>17</v>
      </c>
      <c r="B3032" t="s">
        <v>2683</v>
      </c>
      <c r="C3032">
        <v>16980</v>
      </c>
      <c r="D3032" t="str">
        <f>"1560-4624"</f>
        <v>1560-4624</v>
      </c>
      <c r="E3032" t="s">
        <v>8</v>
      </c>
      <c r="F3032" t="s">
        <v>3042</v>
      </c>
      <c r="G3032">
        <v>1</v>
      </c>
    </row>
    <row r="3033" spans="1:7" x14ac:dyDescent="0.25">
      <c r="A3033">
        <v>17</v>
      </c>
      <c r="B3033" t="s">
        <v>2683</v>
      </c>
      <c r="C3033">
        <v>7696148</v>
      </c>
      <c r="D3033" t="str">
        <f>"2155-7136"</f>
        <v>2155-7136</v>
      </c>
      <c r="E3033" t="s">
        <v>8</v>
      </c>
      <c r="F3033" t="s">
        <v>3043</v>
      </c>
      <c r="G3033">
        <v>1</v>
      </c>
    </row>
    <row r="3034" spans="1:7" x14ac:dyDescent="0.25">
      <c r="A3034">
        <v>17</v>
      </c>
      <c r="B3034" t="s">
        <v>2683</v>
      </c>
      <c r="C3034">
        <v>7708964</v>
      </c>
      <c r="D3034" t="str">
        <f>"2159-449X"</f>
        <v>2159-449X</v>
      </c>
      <c r="E3034" t="s">
        <v>8</v>
      </c>
      <c r="F3034" t="s">
        <v>3044</v>
      </c>
      <c r="G3034">
        <v>1</v>
      </c>
    </row>
    <row r="3035" spans="1:7" x14ac:dyDescent="0.25">
      <c r="A3035">
        <v>17</v>
      </c>
      <c r="B3035" t="s">
        <v>2683</v>
      </c>
      <c r="C3035">
        <v>1814</v>
      </c>
      <c r="D3035" t="str">
        <f>"1539-3100"</f>
        <v>1539-3100</v>
      </c>
      <c r="E3035" t="s">
        <v>8</v>
      </c>
      <c r="F3035" t="s">
        <v>3045</v>
      </c>
      <c r="G3035">
        <v>1</v>
      </c>
    </row>
    <row r="3036" spans="1:7" x14ac:dyDescent="0.25">
      <c r="A3036">
        <v>17</v>
      </c>
      <c r="B3036" t="s">
        <v>2683</v>
      </c>
      <c r="C3036">
        <v>6108</v>
      </c>
      <c r="D3036" t="str">
        <f>"1556-8881"</f>
        <v>1556-8881</v>
      </c>
      <c r="E3036" t="s">
        <v>8</v>
      </c>
      <c r="F3036" t="s">
        <v>3046</v>
      </c>
      <c r="G3036">
        <v>1</v>
      </c>
    </row>
    <row r="3037" spans="1:7" x14ac:dyDescent="0.25">
      <c r="A3037">
        <v>17</v>
      </c>
      <c r="B3037" t="s">
        <v>2683</v>
      </c>
      <c r="C3037">
        <v>15527</v>
      </c>
      <c r="D3037" t="str">
        <f>"0966-9760"</f>
        <v>0966-9760</v>
      </c>
      <c r="E3037" t="s">
        <v>8</v>
      </c>
      <c r="F3037" t="s">
        <v>3047</v>
      </c>
      <c r="G3037">
        <v>1</v>
      </c>
    </row>
    <row r="3038" spans="1:7" x14ac:dyDescent="0.25">
      <c r="A3038">
        <v>17</v>
      </c>
      <c r="B3038" t="s">
        <v>2683</v>
      </c>
      <c r="C3038">
        <v>4330</v>
      </c>
      <c r="E3038" t="s">
        <v>8</v>
      </c>
      <c r="F3038" t="s">
        <v>3048</v>
      </c>
      <c r="G3038">
        <v>1</v>
      </c>
    </row>
    <row r="3039" spans="1:7" x14ac:dyDescent="0.25">
      <c r="A3039">
        <v>17</v>
      </c>
      <c r="B3039" t="s">
        <v>2683</v>
      </c>
      <c r="C3039">
        <v>18367</v>
      </c>
      <c r="D3039" t="str">
        <f>"1743-5234"</f>
        <v>1743-5234</v>
      </c>
      <c r="E3039" t="s">
        <v>8</v>
      </c>
      <c r="F3039" t="s">
        <v>3049</v>
      </c>
      <c r="G3039">
        <v>1</v>
      </c>
    </row>
    <row r="3040" spans="1:7" x14ac:dyDescent="0.25">
      <c r="A3040">
        <v>17</v>
      </c>
      <c r="B3040" t="s">
        <v>2683</v>
      </c>
      <c r="C3040">
        <v>8783334</v>
      </c>
      <c r="D3040" t="str">
        <f>"2014-9018"</f>
        <v>2014-9018</v>
      </c>
      <c r="E3040" t="s">
        <v>8</v>
      </c>
      <c r="F3040" t="s">
        <v>3050</v>
      </c>
      <c r="G3040">
        <v>1</v>
      </c>
    </row>
    <row r="3041" spans="1:7" x14ac:dyDescent="0.25">
      <c r="A3041">
        <v>17</v>
      </c>
      <c r="B3041" t="s">
        <v>2683</v>
      </c>
      <c r="C3041">
        <v>6407</v>
      </c>
      <c r="D3041" t="str">
        <f>"0951-354X"</f>
        <v>0951-354X</v>
      </c>
      <c r="E3041" t="s">
        <v>8</v>
      </c>
      <c r="F3041" t="s">
        <v>3051</v>
      </c>
      <c r="G3041">
        <v>1</v>
      </c>
    </row>
    <row r="3042" spans="1:7" x14ac:dyDescent="0.25">
      <c r="A3042">
        <v>17</v>
      </c>
      <c r="B3042" t="s">
        <v>2683</v>
      </c>
      <c r="C3042">
        <v>21783</v>
      </c>
      <c r="D3042" t="str">
        <f>"1056-7879"</f>
        <v>1056-7879</v>
      </c>
      <c r="E3042" t="s">
        <v>8</v>
      </c>
      <c r="F3042" t="s">
        <v>3052</v>
      </c>
      <c r="G3042">
        <v>1</v>
      </c>
    </row>
    <row r="3043" spans="1:7" x14ac:dyDescent="0.25">
      <c r="A3043">
        <v>17</v>
      </c>
      <c r="B3043" t="s">
        <v>2683</v>
      </c>
      <c r="C3043">
        <v>8782489</v>
      </c>
      <c r="E3043" t="s">
        <v>8</v>
      </c>
      <c r="F3043" t="s">
        <v>3053</v>
      </c>
      <c r="G3043">
        <v>1</v>
      </c>
    </row>
    <row r="3044" spans="1:7" x14ac:dyDescent="0.25">
      <c r="A3044">
        <v>17</v>
      </c>
      <c r="B3044" t="s">
        <v>2683</v>
      </c>
      <c r="C3044">
        <v>15051</v>
      </c>
      <c r="D3044" t="str">
        <f>"0020-7209"</f>
        <v>0020-7209</v>
      </c>
      <c r="E3044" t="s">
        <v>8</v>
      </c>
      <c r="F3044" t="s">
        <v>3054</v>
      </c>
      <c r="G3044">
        <v>1</v>
      </c>
    </row>
    <row r="3045" spans="1:7" x14ac:dyDescent="0.25">
      <c r="A3045">
        <v>17</v>
      </c>
      <c r="B3045" t="s">
        <v>2683</v>
      </c>
      <c r="C3045">
        <v>3469</v>
      </c>
      <c r="D3045" t="str">
        <f>"1868-8799"</f>
        <v>1868-8799</v>
      </c>
      <c r="E3045" t="s">
        <v>8</v>
      </c>
      <c r="F3045" t="s">
        <v>3055</v>
      </c>
      <c r="G3045">
        <v>1</v>
      </c>
    </row>
    <row r="3046" spans="1:7" x14ac:dyDescent="0.25">
      <c r="A3046">
        <v>17</v>
      </c>
      <c r="B3046" t="s">
        <v>2683</v>
      </c>
      <c r="C3046">
        <v>7722288</v>
      </c>
      <c r="E3046" t="s">
        <v>8</v>
      </c>
      <c r="F3046" t="s">
        <v>3056</v>
      </c>
      <c r="G3046">
        <v>1</v>
      </c>
    </row>
    <row r="3047" spans="1:7" x14ac:dyDescent="0.25">
      <c r="A3047">
        <v>17</v>
      </c>
      <c r="B3047" t="s">
        <v>2683</v>
      </c>
      <c r="C3047">
        <v>170087</v>
      </c>
      <c r="D3047" t="str">
        <f>"1999-561X"</f>
        <v>1999-561X</v>
      </c>
      <c r="E3047" t="s">
        <v>8</v>
      </c>
      <c r="F3047" t="s">
        <v>3057</v>
      </c>
      <c r="G3047">
        <v>1</v>
      </c>
    </row>
    <row r="3048" spans="1:7" x14ac:dyDescent="0.25">
      <c r="A3048">
        <v>17</v>
      </c>
      <c r="B3048" t="s">
        <v>2683</v>
      </c>
      <c r="C3048">
        <v>8782449</v>
      </c>
      <c r="D3048" t="str">
        <f>"2056-4880"</f>
        <v>2056-4880</v>
      </c>
      <c r="E3048" t="s">
        <v>8</v>
      </c>
      <c r="F3048" t="s">
        <v>3058</v>
      </c>
      <c r="G3048">
        <v>1</v>
      </c>
    </row>
    <row r="3049" spans="1:7" x14ac:dyDescent="0.25">
      <c r="A3049">
        <v>17</v>
      </c>
      <c r="B3049" t="s">
        <v>2683</v>
      </c>
      <c r="C3049">
        <v>772</v>
      </c>
      <c r="D3049" t="str">
        <f>"1471-8197"</f>
        <v>1471-8197</v>
      </c>
      <c r="E3049" t="s">
        <v>8</v>
      </c>
      <c r="F3049" t="s">
        <v>3059</v>
      </c>
      <c r="G3049">
        <v>1</v>
      </c>
    </row>
    <row r="3050" spans="1:7" x14ac:dyDescent="0.25">
      <c r="A3050">
        <v>17</v>
      </c>
      <c r="B3050" t="s">
        <v>2683</v>
      </c>
      <c r="C3050">
        <v>15822</v>
      </c>
      <c r="D3050" t="str">
        <f>"1741-1009"</f>
        <v>1741-1009</v>
      </c>
      <c r="E3050" t="s">
        <v>8</v>
      </c>
      <c r="F3050" t="s">
        <v>3060</v>
      </c>
      <c r="G3050">
        <v>1</v>
      </c>
    </row>
    <row r="3051" spans="1:7" x14ac:dyDescent="0.25">
      <c r="A3051">
        <v>17</v>
      </c>
      <c r="B3051" t="s">
        <v>2683</v>
      </c>
      <c r="C3051">
        <v>7910</v>
      </c>
      <c r="D3051" t="str">
        <f>"1360-3124"</f>
        <v>1360-3124</v>
      </c>
      <c r="E3051" t="s">
        <v>8</v>
      </c>
      <c r="F3051" t="s">
        <v>3061</v>
      </c>
      <c r="G3051">
        <v>1</v>
      </c>
    </row>
    <row r="3052" spans="1:7" x14ac:dyDescent="0.25">
      <c r="A3052">
        <v>17</v>
      </c>
      <c r="B3052" t="s">
        <v>2683</v>
      </c>
      <c r="C3052">
        <v>14580</v>
      </c>
      <c r="D3052" t="str">
        <f>"1740-2875"</f>
        <v>1740-2875</v>
      </c>
      <c r="E3052" t="s">
        <v>8</v>
      </c>
      <c r="F3052" t="s">
        <v>3062</v>
      </c>
      <c r="G3052">
        <v>1</v>
      </c>
    </row>
    <row r="3053" spans="1:7" x14ac:dyDescent="0.25">
      <c r="A3053">
        <v>17</v>
      </c>
      <c r="B3053" t="s">
        <v>2683</v>
      </c>
      <c r="C3053">
        <v>13967</v>
      </c>
      <c r="D3053" t="str">
        <f>"0260-1370"</f>
        <v>0260-1370</v>
      </c>
      <c r="E3053" t="s">
        <v>8</v>
      </c>
      <c r="F3053" t="s">
        <v>3063</v>
      </c>
      <c r="G3053">
        <v>1</v>
      </c>
    </row>
    <row r="3054" spans="1:7" x14ac:dyDescent="0.25">
      <c r="A3054">
        <v>17</v>
      </c>
      <c r="B3054" t="s">
        <v>2683</v>
      </c>
      <c r="C3054">
        <v>24647</v>
      </c>
      <c r="D3054" t="str">
        <f>"1750-385X"</f>
        <v>1750-385X</v>
      </c>
      <c r="E3054" t="s">
        <v>8</v>
      </c>
      <c r="F3054" t="s">
        <v>3064</v>
      </c>
      <c r="G3054">
        <v>1</v>
      </c>
    </row>
    <row r="3055" spans="1:7" x14ac:dyDescent="0.25">
      <c r="A3055">
        <v>17</v>
      </c>
      <c r="B3055" t="s">
        <v>2683</v>
      </c>
      <c r="C3055">
        <v>16347</v>
      </c>
      <c r="D3055" t="str">
        <f>"0306-4190"</f>
        <v>0306-4190</v>
      </c>
      <c r="E3055" t="s">
        <v>8</v>
      </c>
      <c r="F3055" t="s">
        <v>3065</v>
      </c>
      <c r="G3055">
        <v>1</v>
      </c>
    </row>
    <row r="3056" spans="1:7" x14ac:dyDescent="0.25">
      <c r="A3056">
        <v>17</v>
      </c>
      <c r="B3056" t="s">
        <v>2683</v>
      </c>
      <c r="C3056">
        <v>6158177</v>
      </c>
      <c r="D3056" t="str">
        <f>"1941-8647"</f>
        <v>1941-8647</v>
      </c>
      <c r="E3056" t="s">
        <v>8</v>
      </c>
      <c r="F3056" t="s">
        <v>3066</v>
      </c>
      <c r="G3056">
        <v>1</v>
      </c>
    </row>
    <row r="3057" spans="1:7" x14ac:dyDescent="0.25">
      <c r="A3057">
        <v>17</v>
      </c>
      <c r="B3057" t="s">
        <v>2683</v>
      </c>
      <c r="C3057">
        <v>11045</v>
      </c>
      <c r="D3057" t="str">
        <f>"1746-725X"</f>
        <v>1746-725X</v>
      </c>
      <c r="E3057" t="s">
        <v>8</v>
      </c>
      <c r="F3057" t="s">
        <v>3067</v>
      </c>
      <c r="G3057">
        <v>1</v>
      </c>
    </row>
    <row r="3058" spans="1:7" x14ac:dyDescent="0.25">
      <c r="A3058">
        <v>17</v>
      </c>
      <c r="B3058" t="s">
        <v>2683</v>
      </c>
      <c r="C3058">
        <v>293</v>
      </c>
      <c r="D3058" t="str">
        <f>"1868-1646"</f>
        <v>1868-1646</v>
      </c>
      <c r="E3058" t="s">
        <v>8</v>
      </c>
      <c r="F3058" t="s">
        <v>3068</v>
      </c>
      <c r="G3058">
        <v>1</v>
      </c>
    </row>
    <row r="3059" spans="1:7" x14ac:dyDescent="0.25">
      <c r="A3059">
        <v>17</v>
      </c>
      <c r="B3059" t="s">
        <v>2683</v>
      </c>
      <c r="C3059">
        <v>7728193</v>
      </c>
      <c r="D3059" t="str">
        <f>"2159-4937"</f>
        <v>2159-4937</v>
      </c>
      <c r="E3059" t="s">
        <v>8</v>
      </c>
      <c r="F3059" t="s">
        <v>3069</v>
      </c>
      <c r="G3059">
        <v>1</v>
      </c>
    </row>
    <row r="3060" spans="1:7" x14ac:dyDescent="0.25">
      <c r="A3060">
        <v>17</v>
      </c>
      <c r="B3060" t="s">
        <v>2683</v>
      </c>
      <c r="C3060">
        <v>65357</v>
      </c>
      <c r="E3060" t="s">
        <v>8</v>
      </c>
      <c r="F3060" t="s">
        <v>3070</v>
      </c>
      <c r="G3060">
        <v>1</v>
      </c>
    </row>
    <row r="3061" spans="1:7" x14ac:dyDescent="0.25">
      <c r="A3061">
        <v>17</v>
      </c>
      <c r="B3061" t="s">
        <v>2683</v>
      </c>
      <c r="C3061">
        <v>7739103</v>
      </c>
      <c r="D3061" t="str">
        <f>"2049-5986"</f>
        <v>2049-5986</v>
      </c>
      <c r="E3061" t="s">
        <v>8</v>
      </c>
      <c r="F3061" t="s">
        <v>3071</v>
      </c>
      <c r="G3061">
        <v>1</v>
      </c>
    </row>
    <row r="3062" spans="1:7" x14ac:dyDescent="0.25">
      <c r="A3062">
        <v>17</v>
      </c>
      <c r="B3062" t="s">
        <v>2683</v>
      </c>
      <c r="C3062">
        <v>27282</v>
      </c>
      <c r="D3062" t="str">
        <f>"1743-727X"</f>
        <v>1743-727X</v>
      </c>
      <c r="E3062" t="s">
        <v>8</v>
      </c>
      <c r="F3062" t="s">
        <v>3072</v>
      </c>
      <c r="G3062">
        <v>1</v>
      </c>
    </row>
    <row r="3063" spans="1:7" x14ac:dyDescent="0.25">
      <c r="A3063">
        <v>17</v>
      </c>
      <c r="B3063" t="s">
        <v>2683</v>
      </c>
      <c r="C3063">
        <v>7719300</v>
      </c>
      <c r="D3063" t="str">
        <f>"2243-7738"</f>
        <v>2243-7738</v>
      </c>
      <c r="E3063" t="s">
        <v>8</v>
      </c>
      <c r="F3063" t="s">
        <v>3073</v>
      </c>
      <c r="G3063">
        <v>1</v>
      </c>
    </row>
    <row r="3064" spans="1:7" x14ac:dyDescent="0.25">
      <c r="A3064">
        <v>17</v>
      </c>
      <c r="B3064" t="s">
        <v>2683</v>
      </c>
      <c r="C3064">
        <v>7719328</v>
      </c>
      <c r="D3064" t="str">
        <f>"2243-7754"</f>
        <v>2243-7754</v>
      </c>
      <c r="E3064" t="s">
        <v>8</v>
      </c>
      <c r="F3064" t="s">
        <v>3074</v>
      </c>
      <c r="G3064">
        <v>1</v>
      </c>
    </row>
    <row r="3065" spans="1:7" x14ac:dyDescent="0.25">
      <c r="A3065">
        <v>17</v>
      </c>
      <c r="B3065" t="s">
        <v>2683</v>
      </c>
      <c r="C3065">
        <v>7693831</v>
      </c>
      <c r="D3065" t="str">
        <f>"2154-8455"</f>
        <v>2154-8455</v>
      </c>
      <c r="E3065" t="s">
        <v>8</v>
      </c>
      <c r="F3065" t="s">
        <v>3075</v>
      </c>
      <c r="G3065">
        <v>1</v>
      </c>
    </row>
    <row r="3066" spans="1:7" x14ac:dyDescent="0.25">
      <c r="A3066">
        <v>17</v>
      </c>
      <c r="B3066" t="s">
        <v>2683</v>
      </c>
      <c r="C3066">
        <v>90010</v>
      </c>
      <c r="E3066" t="s">
        <v>8</v>
      </c>
      <c r="F3066" t="s">
        <v>3076</v>
      </c>
      <c r="G3066">
        <v>1</v>
      </c>
    </row>
    <row r="3067" spans="1:7" x14ac:dyDescent="0.25">
      <c r="A3067">
        <v>17</v>
      </c>
      <c r="B3067" t="s">
        <v>2683</v>
      </c>
      <c r="C3067">
        <v>7731460</v>
      </c>
      <c r="D3067" t="str">
        <f>"2050-3954"</f>
        <v>2050-3954</v>
      </c>
      <c r="E3067" t="s">
        <v>8</v>
      </c>
      <c r="F3067" t="s">
        <v>3077</v>
      </c>
      <c r="G3067">
        <v>1</v>
      </c>
    </row>
    <row r="3068" spans="1:7" x14ac:dyDescent="0.25">
      <c r="A3068">
        <v>17</v>
      </c>
      <c r="B3068" t="s">
        <v>2683</v>
      </c>
      <c r="C3068">
        <v>7747397</v>
      </c>
      <c r="D3068" t="str">
        <f>"2051-5804"</f>
        <v>2051-5804</v>
      </c>
      <c r="E3068" t="s">
        <v>8</v>
      </c>
      <c r="F3068" t="s">
        <v>3078</v>
      </c>
      <c r="G3068">
        <v>1</v>
      </c>
    </row>
    <row r="3069" spans="1:7" x14ac:dyDescent="0.25">
      <c r="A3069">
        <v>17</v>
      </c>
      <c r="B3069" t="s">
        <v>2683</v>
      </c>
      <c r="C3069">
        <v>117139</v>
      </c>
      <c r="E3069" t="s">
        <v>8</v>
      </c>
      <c r="F3069" t="s">
        <v>3079</v>
      </c>
      <c r="G3069">
        <v>1</v>
      </c>
    </row>
    <row r="3070" spans="1:7" x14ac:dyDescent="0.25">
      <c r="A3070">
        <v>17</v>
      </c>
      <c r="B3070" t="s">
        <v>2683</v>
      </c>
      <c r="C3070">
        <v>86490</v>
      </c>
      <c r="D3070" t="str">
        <f>"1816-9325"</f>
        <v>1816-9325</v>
      </c>
      <c r="E3070" t="s">
        <v>8</v>
      </c>
      <c r="F3070" t="s">
        <v>3080</v>
      </c>
      <c r="G3070">
        <v>1</v>
      </c>
    </row>
    <row r="3071" spans="1:7" x14ac:dyDescent="0.25">
      <c r="A3071">
        <v>17</v>
      </c>
      <c r="B3071" t="s">
        <v>2683</v>
      </c>
      <c r="C3071">
        <v>138657</v>
      </c>
      <c r="D3071" t="str">
        <f>"1753-5255"</f>
        <v>1753-5255</v>
      </c>
      <c r="E3071" t="s">
        <v>8</v>
      </c>
      <c r="F3071" t="s">
        <v>3081</v>
      </c>
      <c r="G3071">
        <v>1</v>
      </c>
    </row>
    <row r="3072" spans="1:7" x14ac:dyDescent="0.25">
      <c r="A3072">
        <v>17</v>
      </c>
      <c r="B3072" t="s">
        <v>2683</v>
      </c>
      <c r="C3072">
        <v>7709647</v>
      </c>
      <c r="D3072" t="str">
        <f>"1309-6249"</f>
        <v>1309-6249</v>
      </c>
      <c r="E3072" t="s">
        <v>8</v>
      </c>
      <c r="F3072" t="s">
        <v>3082</v>
      </c>
      <c r="G3072">
        <v>1</v>
      </c>
    </row>
    <row r="3073" spans="1:7" x14ac:dyDescent="0.25">
      <c r="A3073">
        <v>17</v>
      </c>
      <c r="B3073" t="s">
        <v>2683</v>
      </c>
      <c r="C3073">
        <v>8783802</v>
      </c>
      <c r="D3073" t="str">
        <f>"2468-8746"</f>
        <v>2468-8746</v>
      </c>
      <c r="E3073" t="s">
        <v>15</v>
      </c>
      <c r="F3073" t="s">
        <v>3083</v>
      </c>
      <c r="G3073">
        <v>1</v>
      </c>
    </row>
    <row r="3074" spans="1:7" x14ac:dyDescent="0.25">
      <c r="A3074">
        <v>17</v>
      </c>
      <c r="B3074" t="s">
        <v>2683</v>
      </c>
      <c r="C3074">
        <v>8783803</v>
      </c>
      <c r="E3074" t="s">
        <v>15</v>
      </c>
      <c r="F3074" t="s">
        <v>3084</v>
      </c>
      <c r="G3074">
        <v>1</v>
      </c>
    </row>
    <row r="3075" spans="1:7" x14ac:dyDescent="0.25">
      <c r="A3075">
        <v>17</v>
      </c>
      <c r="B3075" t="s">
        <v>2683</v>
      </c>
      <c r="C3075">
        <v>7719145</v>
      </c>
      <c r="D3075" t="str">
        <f>"2211-4920"</f>
        <v>2211-4920</v>
      </c>
      <c r="E3075" t="s">
        <v>15</v>
      </c>
      <c r="F3075" t="s">
        <v>3085</v>
      </c>
      <c r="G3075">
        <v>1</v>
      </c>
    </row>
    <row r="3076" spans="1:7" x14ac:dyDescent="0.25">
      <c r="A3076">
        <v>17</v>
      </c>
      <c r="B3076" t="s">
        <v>2683</v>
      </c>
      <c r="C3076">
        <v>12931</v>
      </c>
      <c r="D3076" t="str">
        <f>"1838-0689"</f>
        <v>1838-0689</v>
      </c>
      <c r="E3076" t="s">
        <v>8</v>
      </c>
      <c r="F3076" t="s">
        <v>3086</v>
      </c>
      <c r="G3076">
        <v>1</v>
      </c>
    </row>
    <row r="3077" spans="1:7" x14ac:dyDescent="0.25">
      <c r="A3077">
        <v>17</v>
      </c>
      <c r="B3077" t="s">
        <v>2683</v>
      </c>
      <c r="C3077">
        <v>6788</v>
      </c>
      <c r="D3077" t="str">
        <f>"1038-2046"</f>
        <v>1038-2046</v>
      </c>
      <c r="E3077" t="s">
        <v>8</v>
      </c>
      <c r="F3077" t="s">
        <v>3087</v>
      </c>
      <c r="G3077">
        <v>1</v>
      </c>
    </row>
    <row r="3078" spans="1:7" x14ac:dyDescent="0.25">
      <c r="A3078">
        <v>17</v>
      </c>
      <c r="B3078" t="s">
        <v>2683</v>
      </c>
      <c r="C3078">
        <v>8783042</v>
      </c>
      <c r="D3078" t="str">
        <f>"2446-3833"</f>
        <v>2446-3833</v>
      </c>
      <c r="E3078" t="s">
        <v>2100</v>
      </c>
      <c r="F3078" t="s">
        <v>3088</v>
      </c>
      <c r="G3078">
        <v>1</v>
      </c>
    </row>
    <row r="3079" spans="1:7" x14ac:dyDescent="0.25">
      <c r="A3079">
        <v>17</v>
      </c>
      <c r="B3079" t="s">
        <v>2683</v>
      </c>
      <c r="C3079">
        <v>8782905</v>
      </c>
      <c r="D3079" t="str">
        <f>"2446-3833"</f>
        <v>2446-3833</v>
      </c>
      <c r="E3079" t="s">
        <v>2100</v>
      </c>
      <c r="F3079" t="s">
        <v>3089</v>
      </c>
      <c r="G3079">
        <v>1</v>
      </c>
    </row>
    <row r="3080" spans="1:7" x14ac:dyDescent="0.25">
      <c r="A3080">
        <v>17</v>
      </c>
      <c r="B3080" t="s">
        <v>2683</v>
      </c>
      <c r="C3080">
        <v>8783031</v>
      </c>
      <c r="D3080" t="str">
        <f>"1492-3831"</f>
        <v>1492-3831</v>
      </c>
      <c r="E3080" t="s">
        <v>8</v>
      </c>
      <c r="F3080" t="s">
        <v>3090</v>
      </c>
      <c r="G3080">
        <v>1</v>
      </c>
    </row>
    <row r="3081" spans="1:7" x14ac:dyDescent="0.25">
      <c r="A3081">
        <v>17</v>
      </c>
      <c r="B3081" t="s">
        <v>2683</v>
      </c>
      <c r="C3081">
        <v>8783804</v>
      </c>
      <c r="E3081" t="s">
        <v>15</v>
      </c>
      <c r="F3081" t="s">
        <v>3091</v>
      </c>
      <c r="G3081">
        <v>1</v>
      </c>
    </row>
    <row r="3082" spans="1:7" x14ac:dyDescent="0.25">
      <c r="A3082">
        <v>17</v>
      </c>
      <c r="B3082" t="s">
        <v>2683</v>
      </c>
      <c r="C3082">
        <v>12881</v>
      </c>
      <c r="D3082" t="str">
        <f>"0962-0214"</f>
        <v>0962-0214</v>
      </c>
      <c r="E3082" t="s">
        <v>8</v>
      </c>
      <c r="F3082" t="s">
        <v>3092</v>
      </c>
      <c r="G3082">
        <v>1</v>
      </c>
    </row>
    <row r="3083" spans="1:7" x14ac:dyDescent="0.25">
      <c r="A3083">
        <v>17</v>
      </c>
      <c r="B3083" t="s">
        <v>2683</v>
      </c>
      <c r="C3083">
        <v>8758251</v>
      </c>
      <c r="E3083" t="s">
        <v>2100</v>
      </c>
      <c r="F3083" t="s">
        <v>3093</v>
      </c>
      <c r="G3083">
        <v>1</v>
      </c>
    </row>
    <row r="3084" spans="1:7" x14ac:dyDescent="0.25">
      <c r="A3084">
        <v>17</v>
      </c>
      <c r="B3084" t="s">
        <v>2683</v>
      </c>
      <c r="C3084">
        <v>14846</v>
      </c>
      <c r="D3084" t="str">
        <f>"1053-4512"</f>
        <v>1053-4512</v>
      </c>
      <c r="E3084" t="s">
        <v>8</v>
      </c>
      <c r="F3084" t="s">
        <v>3094</v>
      </c>
      <c r="G3084">
        <v>1</v>
      </c>
    </row>
    <row r="3085" spans="1:7" x14ac:dyDescent="0.25">
      <c r="A3085">
        <v>17</v>
      </c>
      <c r="B3085" t="s">
        <v>2683</v>
      </c>
      <c r="C3085">
        <v>152840</v>
      </c>
      <c r="D3085" t="str">
        <f>"1947-7503"</f>
        <v>1947-7503</v>
      </c>
      <c r="E3085" t="s">
        <v>8</v>
      </c>
      <c r="F3085" t="s">
        <v>3095</v>
      </c>
      <c r="G3085">
        <v>1</v>
      </c>
    </row>
    <row r="3086" spans="1:7" x14ac:dyDescent="0.25">
      <c r="A3086">
        <v>17</v>
      </c>
      <c r="B3086" t="s">
        <v>2683</v>
      </c>
      <c r="C3086">
        <v>8782764</v>
      </c>
      <c r="D3086" t="str">
        <f>"0332-3315"</f>
        <v>0332-3315</v>
      </c>
      <c r="E3086" t="s">
        <v>8</v>
      </c>
      <c r="F3086" t="s">
        <v>3096</v>
      </c>
      <c r="G3086">
        <v>1</v>
      </c>
    </row>
    <row r="3087" spans="1:7" x14ac:dyDescent="0.25">
      <c r="A3087">
        <v>17</v>
      </c>
      <c r="B3087" t="s">
        <v>2683</v>
      </c>
      <c r="C3087">
        <v>4265</v>
      </c>
      <c r="D3087" t="str">
        <f>"0313-7155"</f>
        <v>0313-7155</v>
      </c>
      <c r="E3087" t="s">
        <v>8</v>
      </c>
      <c r="F3087" t="s">
        <v>3097</v>
      </c>
      <c r="G3087">
        <v>1</v>
      </c>
    </row>
    <row r="3088" spans="1:7" x14ac:dyDescent="0.25">
      <c r="A3088">
        <v>17</v>
      </c>
      <c r="B3088" t="s">
        <v>2683</v>
      </c>
      <c r="C3088">
        <v>10079</v>
      </c>
      <c r="D3088" t="str">
        <f>"1500-7707"</f>
        <v>1500-7707</v>
      </c>
      <c r="E3088" t="s">
        <v>8</v>
      </c>
      <c r="F3088" t="s">
        <v>3098</v>
      </c>
      <c r="G3088">
        <v>1</v>
      </c>
    </row>
    <row r="3089" spans="1:7" x14ac:dyDescent="0.25">
      <c r="A3089">
        <v>17</v>
      </c>
      <c r="B3089" t="s">
        <v>2683</v>
      </c>
      <c r="C3089">
        <v>2532</v>
      </c>
      <c r="D3089" t="str">
        <f>"2051-0969"</f>
        <v>2051-0969</v>
      </c>
      <c r="E3089" t="s">
        <v>8</v>
      </c>
      <c r="F3089" t="s">
        <v>3099</v>
      </c>
      <c r="G3089">
        <v>1</v>
      </c>
    </row>
    <row r="3090" spans="1:7" x14ac:dyDescent="0.25">
      <c r="A3090">
        <v>17</v>
      </c>
      <c r="B3090" t="s">
        <v>2683</v>
      </c>
      <c r="C3090">
        <v>160018</v>
      </c>
      <c r="D3090" t="str">
        <f>"1866-6671"</f>
        <v>1866-6671</v>
      </c>
      <c r="E3090" t="s">
        <v>8</v>
      </c>
      <c r="F3090" t="s">
        <v>3100</v>
      </c>
      <c r="G3090">
        <v>1</v>
      </c>
    </row>
    <row r="3091" spans="1:7" x14ac:dyDescent="0.25">
      <c r="A3091">
        <v>17</v>
      </c>
      <c r="B3091" t="s">
        <v>2683</v>
      </c>
      <c r="C3091">
        <v>7695822</v>
      </c>
      <c r="E3091" t="s">
        <v>8</v>
      </c>
      <c r="F3091" t="s">
        <v>3101</v>
      </c>
      <c r="G3091">
        <v>1</v>
      </c>
    </row>
    <row r="3092" spans="1:7" x14ac:dyDescent="0.25">
      <c r="A3092">
        <v>17</v>
      </c>
      <c r="B3092" t="s">
        <v>2683</v>
      </c>
      <c r="C3092">
        <v>16282</v>
      </c>
      <c r="D3092" t="str">
        <f>"0162-3532"</f>
        <v>0162-3532</v>
      </c>
      <c r="E3092" t="s">
        <v>8</v>
      </c>
      <c r="F3092" t="s">
        <v>3102</v>
      </c>
      <c r="G3092">
        <v>1</v>
      </c>
    </row>
    <row r="3093" spans="1:7" x14ac:dyDescent="0.25">
      <c r="A3093">
        <v>17</v>
      </c>
      <c r="B3093" t="s">
        <v>2683</v>
      </c>
      <c r="C3093">
        <v>3429</v>
      </c>
      <c r="D3093" t="str">
        <f>"0748-5751"</f>
        <v>0748-5751</v>
      </c>
      <c r="E3093" t="s">
        <v>8</v>
      </c>
      <c r="F3093" t="s">
        <v>3103</v>
      </c>
      <c r="G3093">
        <v>1</v>
      </c>
    </row>
    <row r="3094" spans="1:7" x14ac:dyDescent="0.25">
      <c r="A3094">
        <v>17</v>
      </c>
      <c r="B3094" t="s">
        <v>2683</v>
      </c>
      <c r="C3094">
        <v>151970</v>
      </c>
      <c r="D3094" t="str">
        <f>"1477-9714"</f>
        <v>1477-9714</v>
      </c>
      <c r="E3094" t="s">
        <v>8</v>
      </c>
      <c r="F3094" t="s">
        <v>3104</v>
      </c>
      <c r="G3094">
        <v>1</v>
      </c>
    </row>
    <row r="3095" spans="1:7" x14ac:dyDescent="0.25">
      <c r="A3095">
        <v>17</v>
      </c>
      <c r="B3095" t="s">
        <v>2683</v>
      </c>
      <c r="C3095">
        <v>2715</v>
      </c>
      <c r="D3095" t="str">
        <f>"1472-9679"</f>
        <v>1472-9679</v>
      </c>
      <c r="E3095" t="s">
        <v>8</v>
      </c>
      <c r="F3095" t="s">
        <v>3105</v>
      </c>
      <c r="G3095">
        <v>1</v>
      </c>
    </row>
    <row r="3096" spans="1:7" x14ac:dyDescent="0.25">
      <c r="A3096">
        <v>17</v>
      </c>
      <c r="B3096" t="s">
        <v>2683</v>
      </c>
      <c r="C3096">
        <v>80</v>
      </c>
      <c r="D3096" t="str">
        <f>"0021-8510"</f>
        <v>0021-8510</v>
      </c>
      <c r="E3096" t="s">
        <v>8</v>
      </c>
      <c r="F3096" t="s">
        <v>3106</v>
      </c>
      <c r="G3096">
        <v>1</v>
      </c>
    </row>
    <row r="3097" spans="1:7" x14ac:dyDescent="0.25">
      <c r="A3097">
        <v>17</v>
      </c>
      <c r="B3097" t="s">
        <v>2683</v>
      </c>
      <c r="C3097">
        <v>2926</v>
      </c>
      <c r="D3097" t="str">
        <f>"1389-224X"</f>
        <v>1389-224X</v>
      </c>
      <c r="E3097" t="s">
        <v>8</v>
      </c>
      <c r="F3097" t="s">
        <v>3107</v>
      </c>
      <c r="G3097">
        <v>1</v>
      </c>
    </row>
    <row r="3098" spans="1:7" x14ac:dyDescent="0.25">
      <c r="A3098">
        <v>17</v>
      </c>
      <c r="B3098" t="s">
        <v>2683</v>
      </c>
      <c r="C3098">
        <v>6167796</v>
      </c>
      <c r="D3098" t="str">
        <f>"1758-1184"</f>
        <v>1758-1184</v>
      </c>
      <c r="E3098" t="s">
        <v>8</v>
      </c>
      <c r="F3098" t="s">
        <v>3108</v>
      </c>
      <c r="G3098">
        <v>1</v>
      </c>
    </row>
    <row r="3099" spans="1:7" x14ac:dyDescent="0.25">
      <c r="A3099">
        <v>17</v>
      </c>
      <c r="B3099" t="s">
        <v>2683</v>
      </c>
      <c r="C3099">
        <v>2876</v>
      </c>
      <c r="D3099" t="str">
        <f>"1053-0819"</f>
        <v>1053-0819</v>
      </c>
      <c r="E3099" t="s">
        <v>8</v>
      </c>
      <c r="F3099" t="s">
        <v>3109</v>
      </c>
      <c r="G3099">
        <v>1</v>
      </c>
    </row>
    <row r="3100" spans="1:7" x14ac:dyDescent="0.25">
      <c r="A3100">
        <v>17</v>
      </c>
      <c r="B3100" t="s">
        <v>2683</v>
      </c>
      <c r="C3100">
        <v>10182</v>
      </c>
      <c r="D3100" t="str">
        <f>"0021-9584"</f>
        <v>0021-9584</v>
      </c>
      <c r="E3100" t="s">
        <v>8</v>
      </c>
      <c r="F3100" t="s">
        <v>3110</v>
      </c>
      <c r="G3100">
        <v>1</v>
      </c>
    </row>
    <row r="3101" spans="1:7" x14ac:dyDescent="0.25">
      <c r="A3101">
        <v>17</v>
      </c>
      <c r="B3101" t="s">
        <v>2683</v>
      </c>
      <c r="C3101">
        <v>143554</v>
      </c>
      <c r="D3101" t="str">
        <f>"1940-1639"</f>
        <v>1940-1639</v>
      </c>
      <c r="E3101" t="s">
        <v>8</v>
      </c>
      <c r="F3101" t="s">
        <v>3111</v>
      </c>
      <c r="G3101">
        <v>1</v>
      </c>
    </row>
    <row r="3102" spans="1:7" x14ac:dyDescent="0.25">
      <c r="A3102">
        <v>17</v>
      </c>
      <c r="B3102" t="s">
        <v>2683</v>
      </c>
      <c r="C3102">
        <v>10442</v>
      </c>
      <c r="D3102" t="str">
        <f>"0897-5264"</f>
        <v>0897-5264</v>
      </c>
      <c r="E3102" t="s">
        <v>8</v>
      </c>
      <c r="F3102" t="s">
        <v>3112</v>
      </c>
      <c r="G3102">
        <v>1</v>
      </c>
    </row>
    <row r="3103" spans="1:7" x14ac:dyDescent="0.25">
      <c r="A3103">
        <v>17</v>
      </c>
      <c r="B3103" t="s">
        <v>2683</v>
      </c>
      <c r="C3103">
        <v>8291</v>
      </c>
      <c r="D3103" t="str">
        <f>"1521-0251"</f>
        <v>1521-0251</v>
      </c>
      <c r="E3103" t="s">
        <v>8</v>
      </c>
      <c r="F3103" t="s">
        <v>3113</v>
      </c>
      <c r="G3103">
        <v>1</v>
      </c>
    </row>
    <row r="3104" spans="1:7" x14ac:dyDescent="0.25">
      <c r="A3104">
        <v>17</v>
      </c>
      <c r="B3104" t="s">
        <v>2683</v>
      </c>
      <c r="C3104">
        <v>3314</v>
      </c>
      <c r="D3104" t="str">
        <f>"0731-9258"</f>
        <v>0731-9258</v>
      </c>
      <c r="E3104" t="s">
        <v>8</v>
      </c>
      <c r="F3104" t="s">
        <v>3114</v>
      </c>
      <c r="G3104">
        <v>1</v>
      </c>
    </row>
    <row r="3105" spans="1:7" x14ac:dyDescent="0.25">
      <c r="A3105">
        <v>17</v>
      </c>
      <c r="B3105" t="s">
        <v>2683</v>
      </c>
      <c r="C3105">
        <v>22345</v>
      </c>
      <c r="D3105" t="str">
        <f>"1042-1726"</f>
        <v>1042-1726</v>
      </c>
      <c r="E3105" t="s">
        <v>8</v>
      </c>
      <c r="F3105" t="s">
        <v>3115</v>
      </c>
      <c r="G3105">
        <v>1</v>
      </c>
    </row>
    <row r="3106" spans="1:7" x14ac:dyDescent="0.25">
      <c r="A3106">
        <v>17</v>
      </c>
      <c r="B3106" t="s">
        <v>2683</v>
      </c>
      <c r="C3106">
        <v>25232</v>
      </c>
      <c r="D3106" t="str">
        <f>"0737-7363"</f>
        <v>0737-7363</v>
      </c>
      <c r="E3106" t="s">
        <v>8</v>
      </c>
      <c r="F3106" t="s">
        <v>3116</v>
      </c>
      <c r="G3106">
        <v>1</v>
      </c>
    </row>
    <row r="3107" spans="1:7" x14ac:dyDescent="0.25">
      <c r="A3107">
        <v>17</v>
      </c>
      <c r="B3107" t="s">
        <v>2683</v>
      </c>
      <c r="C3107">
        <v>7466070</v>
      </c>
      <c r="D3107" t="str">
        <f>"1942-2563"</f>
        <v>1942-2563</v>
      </c>
      <c r="E3107" t="s">
        <v>8</v>
      </c>
      <c r="F3107" t="s">
        <v>3117</v>
      </c>
      <c r="G3107">
        <v>1</v>
      </c>
    </row>
    <row r="3108" spans="1:7" x14ac:dyDescent="0.25">
      <c r="A3108">
        <v>17</v>
      </c>
      <c r="B3108" t="s">
        <v>2683</v>
      </c>
      <c r="C3108">
        <v>4228</v>
      </c>
      <c r="D3108" t="str">
        <f>"1081-4159"</f>
        <v>1081-4159</v>
      </c>
      <c r="E3108" t="s">
        <v>8</v>
      </c>
      <c r="F3108" t="s">
        <v>3118</v>
      </c>
      <c r="G3108">
        <v>1</v>
      </c>
    </row>
    <row r="3109" spans="1:7" x14ac:dyDescent="0.25">
      <c r="A3109">
        <v>17</v>
      </c>
      <c r="B3109" t="s">
        <v>2683</v>
      </c>
      <c r="C3109">
        <v>17298</v>
      </c>
      <c r="D3109" t="str">
        <f>"0022-0337"</f>
        <v>0022-0337</v>
      </c>
      <c r="E3109" t="s">
        <v>8</v>
      </c>
      <c r="F3109" t="s">
        <v>3119</v>
      </c>
      <c r="G3109">
        <v>1</v>
      </c>
    </row>
    <row r="3110" spans="1:7" x14ac:dyDescent="0.25">
      <c r="A3110">
        <v>17</v>
      </c>
      <c r="B3110" t="s">
        <v>2683</v>
      </c>
      <c r="C3110">
        <v>4138</v>
      </c>
      <c r="D3110" t="str">
        <f>"1468-7984"</f>
        <v>1468-7984</v>
      </c>
      <c r="E3110" t="s">
        <v>8</v>
      </c>
      <c r="F3110" t="s">
        <v>3120</v>
      </c>
      <c r="G3110">
        <v>1</v>
      </c>
    </row>
    <row r="3111" spans="1:7" x14ac:dyDescent="0.25">
      <c r="A3111">
        <v>17</v>
      </c>
      <c r="B3111" t="s">
        <v>2683</v>
      </c>
      <c r="C3111">
        <v>13853</v>
      </c>
      <c r="D3111" t="str">
        <f>"1476-718X"</f>
        <v>1476-718X</v>
      </c>
      <c r="E3111" t="s">
        <v>8</v>
      </c>
      <c r="F3111" t="s">
        <v>3121</v>
      </c>
      <c r="G3111">
        <v>1</v>
      </c>
    </row>
    <row r="3112" spans="1:7" x14ac:dyDescent="0.25">
      <c r="A3112">
        <v>17</v>
      </c>
      <c r="B3112" t="s">
        <v>2683</v>
      </c>
      <c r="C3112">
        <v>2311</v>
      </c>
      <c r="D3112" t="str">
        <f>"1090-1027"</f>
        <v>1090-1027</v>
      </c>
      <c r="E3112" t="s">
        <v>8</v>
      </c>
      <c r="F3112" t="s">
        <v>3122</v>
      </c>
      <c r="G3112">
        <v>1</v>
      </c>
    </row>
    <row r="3113" spans="1:7" x14ac:dyDescent="0.25">
      <c r="A3113">
        <v>17</v>
      </c>
      <c r="B3113" t="s">
        <v>2683</v>
      </c>
      <c r="C3113">
        <v>18658</v>
      </c>
      <c r="D3113" t="str">
        <f>"0022-0574"</f>
        <v>0022-0574</v>
      </c>
      <c r="E3113" t="s">
        <v>8</v>
      </c>
      <c r="F3113" t="s">
        <v>3123</v>
      </c>
      <c r="G3113">
        <v>1</v>
      </c>
    </row>
    <row r="3114" spans="1:7" x14ac:dyDescent="0.25">
      <c r="A3114">
        <v>17</v>
      </c>
      <c r="B3114" t="s">
        <v>2683</v>
      </c>
      <c r="C3114">
        <v>11385</v>
      </c>
      <c r="D3114" t="str">
        <f>"1082-4669"</f>
        <v>1082-4669</v>
      </c>
      <c r="E3114" t="s">
        <v>8</v>
      </c>
      <c r="F3114" t="s">
        <v>3124</v>
      </c>
      <c r="G3114">
        <v>1</v>
      </c>
    </row>
    <row r="3115" spans="1:7" x14ac:dyDescent="0.25">
      <c r="A3115">
        <v>17</v>
      </c>
      <c r="B3115" t="s">
        <v>2683</v>
      </c>
      <c r="C3115">
        <v>24834</v>
      </c>
      <c r="D3115" t="str">
        <f>"0973-4082"</f>
        <v>0973-4082</v>
      </c>
      <c r="E3115" t="s">
        <v>8</v>
      </c>
      <c r="F3115" t="s">
        <v>3125</v>
      </c>
      <c r="G3115">
        <v>1</v>
      </c>
    </row>
    <row r="3116" spans="1:7" x14ac:dyDescent="0.25">
      <c r="A3116">
        <v>17</v>
      </c>
      <c r="B3116" t="s">
        <v>2683</v>
      </c>
      <c r="C3116">
        <v>113293</v>
      </c>
      <c r="D3116" t="str">
        <f>"1935-052X"</f>
        <v>1935-052X</v>
      </c>
      <c r="E3116" t="s">
        <v>8</v>
      </c>
      <c r="F3116" t="s">
        <v>3126</v>
      </c>
      <c r="G3116">
        <v>1</v>
      </c>
    </row>
    <row r="3117" spans="1:7" x14ac:dyDescent="0.25">
      <c r="A3117">
        <v>17</v>
      </c>
      <c r="B3117" t="s">
        <v>2683</v>
      </c>
      <c r="C3117">
        <v>8782490</v>
      </c>
      <c r="D3117" t="str">
        <f>"1339-1488"</f>
        <v>1339-1488</v>
      </c>
      <c r="E3117" t="s">
        <v>8</v>
      </c>
      <c r="F3117" t="s">
        <v>3127</v>
      </c>
      <c r="G3117">
        <v>1</v>
      </c>
    </row>
    <row r="3118" spans="1:7" x14ac:dyDescent="0.25">
      <c r="A3118">
        <v>17</v>
      </c>
      <c r="B3118" t="s">
        <v>2683</v>
      </c>
      <c r="C3118">
        <v>12391</v>
      </c>
      <c r="D3118" t="str">
        <f>"0957-8234"</f>
        <v>0957-8234</v>
      </c>
      <c r="E3118" t="s">
        <v>8</v>
      </c>
      <c r="F3118" t="s">
        <v>3128</v>
      </c>
      <c r="G3118">
        <v>1</v>
      </c>
    </row>
    <row r="3119" spans="1:7" x14ac:dyDescent="0.25">
      <c r="A3119">
        <v>17</v>
      </c>
      <c r="B3119" t="s">
        <v>2683</v>
      </c>
      <c r="C3119">
        <v>16581</v>
      </c>
      <c r="D3119" t="str">
        <f>"0022-0620"</f>
        <v>0022-0620</v>
      </c>
      <c r="E3119" t="s">
        <v>8</v>
      </c>
      <c r="F3119" t="s">
        <v>3129</v>
      </c>
      <c r="G3119">
        <v>1</v>
      </c>
    </row>
    <row r="3120" spans="1:7" x14ac:dyDescent="0.25">
      <c r="A3120">
        <v>17</v>
      </c>
      <c r="B3120" t="s">
        <v>2683</v>
      </c>
      <c r="C3120">
        <v>2423</v>
      </c>
      <c r="D3120" t="str">
        <f>"1389-2843"</f>
        <v>1389-2843</v>
      </c>
      <c r="E3120" t="s">
        <v>8</v>
      </c>
      <c r="F3120" t="s">
        <v>3130</v>
      </c>
      <c r="G3120">
        <v>1</v>
      </c>
    </row>
    <row r="3121" spans="1:7" x14ac:dyDescent="0.25">
      <c r="A3121">
        <v>17</v>
      </c>
      <c r="B3121" t="s">
        <v>2683</v>
      </c>
      <c r="C3121">
        <v>127427</v>
      </c>
      <c r="D3121" t="str">
        <f>"1935-7699"</f>
        <v>1935-7699</v>
      </c>
      <c r="E3121" t="s">
        <v>8</v>
      </c>
      <c r="F3121" t="s">
        <v>3131</v>
      </c>
      <c r="G3121">
        <v>1</v>
      </c>
    </row>
    <row r="3122" spans="1:7" x14ac:dyDescent="0.25">
      <c r="A3122">
        <v>17</v>
      </c>
      <c r="B3122" t="s">
        <v>2683</v>
      </c>
      <c r="C3122">
        <v>7690830</v>
      </c>
      <c r="D3122" t="str">
        <f>"2336-2375"</f>
        <v>2336-2375</v>
      </c>
      <c r="E3122" t="s">
        <v>8</v>
      </c>
      <c r="F3122" t="s">
        <v>3132</v>
      </c>
      <c r="G3122">
        <v>1</v>
      </c>
    </row>
    <row r="3123" spans="1:7" x14ac:dyDescent="0.25">
      <c r="A3123">
        <v>17</v>
      </c>
      <c r="B3123" t="s">
        <v>2683</v>
      </c>
      <c r="C3123">
        <v>3164</v>
      </c>
      <c r="D3123" t="str">
        <f>"0309-877X"</f>
        <v>0309-877X</v>
      </c>
      <c r="E3123" t="s">
        <v>8</v>
      </c>
      <c r="F3123" t="s">
        <v>3133</v>
      </c>
      <c r="G3123">
        <v>1</v>
      </c>
    </row>
    <row r="3124" spans="1:7" x14ac:dyDescent="0.25">
      <c r="A3124">
        <v>17</v>
      </c>
      <c r="B3124" t="s">
        <v>2683</v>
      </c>
      <c r="C3124">
        <v>3246</v>
      </c>
      <c r="D3124" t="str">
        <f>"0309-8265"</f>
        <v>0309-8265</v>
      </c>
      <c r="E3124" t="s">
        <v>8</v>
      </c>
      <c r="F3124" t="s">
        <v>3134</v>
      </c>
      <c r="G3124">
        <v>1</v>
      </c>
    </row>
    <row r="3125" spans="1:7" x14ac:dyDescent="0.25">
      <c r="A3125">
        <v>17</v>
      </c>
      <c r="B3125" t="s">
        <v>2683</v>
      </c>
      <c r="C3125">
        <v>24802</v>
      </c>
      <c r="D3125" t="str">
        <f>"1089-9995"</f>
        <v>1089-9995</v>
      </c>
      <c r="E3125" t="s">
        <v>8</v>
      </c>
      <c r="F3125" t="s">
        <v>3135</v>
      </c>
      <c r="G3125">
        <v>1</v>
      </c>
    </row>
    <row r="3126" spans="1:7" x14ac:dyDescent="0.25">
      <c r="A3126">
        <v>17</v>
      </c>
      <c r="B3126" t="s">
        <v>2683</v>
      </c>
      <c r="C3126">
        <v>163</v>
      </c>
      <c r="D3126" t="str">
        <f>"1360-080X"</f>
        <v>1360-080X</v>
      </c>
      <c r="E3126" t="s">
        <v>8</v>
      </c>
      <c r="F3126" t="s">
        <v>3136</v>
      </c>
      <c r="G3126">
        <v>1</v>
      </c>
    </row>
    <row r="3127" spans="1:7" x14ac:dyDescent="0.25">
      <c r="A3127">
        <v>17</v>
      </c>
      <c r="B3127" t="s">
        <v>2683</v>
      </c>
      <c r="C3127">
        <v>2778</v>
      </c>
      <c r="D3127" t="str">
        <f>"1538-1927"</f>
        <v>1538-1927</v>
      </c>
      <c r="E3127" t="s">
        <v>8</v>
      </c>
      <c r="F3127" t="s">
        <v>3137</v>
      </c>
      <c r="G3127">
        <v>1</v>
      </c>
    </row>
    <row r="3128" spans="1:7" x14ac:dyDescent="0.25">
      <c r="A3128">
        <v>17</v>
      </c>
      <c r="B3128" t="s">
        <v>2683</v>
      </c>
      <c r="C3128">
        <v>25114</v>
      </c>
      <c r="D3128" t="str">
        <f>"1096-3758"</f>
        <v>1096-3758</v>
      </c>
      <c r="E3128" t="s">
        <v>8</v>
      </c>
      <c r="F3128" t="s">
        <v>3138</v>
      </c>
      <c r="G3128">
        <v>1</v>
      </c>
    </row>
    <row r="3129" spans="1:7" x14ac:dyDescent="0.25">
      <c r="A3129">
        <v>17</v>
      </c>
      <c r="B3129" t="s">
        <v>2683</v>
      </c>
      <c r="C3129">
        <v>13791</v>
      </c>
      <c r="D3129" t="str">
        <f>"1055-3096"</f>
        <v>1055-3096</v>
      </c>
      <c r="E3129" t="s">
        <v>8</v>
      </c>
      <c r="F3129" t="s">
        <v>3139</v>
      </c>
      <c r="G3129">
        <v>1</v>
      </c>
    </row>
    <row r="3130" spans="1:7" x14ac:dyDescent="0.25">
      <c r="A3130">
        <v>17</v>
      </c>
      <c r="B3130" t="s">
        <v>2683</v>
      </c>
      <c r="C3130">
        <v>4715</v>
      </c>
      <c r="D3130" t="str">
        <f>"1547-9714"</f>
        <v>1547-9714</v>
      </c>
      <c r="E3130" t="s">
        <v>8</v>
      </c>
      <c r="F3130" t="s">
        <v>3140</v>
      </c>
      <c r="G3130">
        <v>1</v>
      </c>
    </row>
    <row r="3131" spans="1:7" x14ac:dyDescent="0.25">
      <c r="A3131">
        <v>17</v>
      </c>
      <c r="B3131" t="s">
        <v>2683</v>
      </c>
      <c r="C3131">
        <v>9162</v>
      </c>
      <c r="D3131" t="str">
        <f>"1366-8250"</f>
        <v>1366-8250</v>
      </c>
      <c r="E3131" t="s">
        <v>8</v>
      </c>
      <c r="F3131" t="s">
        <v>3141</v>
      </c>
      <c r="G3131">
        <v>1</v>
      </c>
    </row>
    <row r="3132" spans="1:7" x14ac:dyDescent="0.25">
      <c r="A3132">
        <v>17</v>
      </c>
      <c r="B3132" t="s">
        <v>2683</v>
      </c>
      <c r="C3132">
        <v>7593</v>
      </c>
      <c r="D3132" t="str">
        <f>"0964-2633"</f>
        <v>0964-2633</v>
      </c>
      <c r="E3132" t="s">
        <v>8</v>
      </c>
      <c r="F3132" t="s">
        <v>3142</v>
      </c>
      <c r="G3132">
        <v>1</v>
      </c>
    </row>
    <row r="3133" spans="1:7" x14ac:dyDescent="0.25">
      <c r="A3133">
        <v>17</v>
      </c>
      <c r="B3133" t="s">
        <v>2683</v>
      </c>
      <c r="C3133">
        <v>7690938</v>
      </c>
      <c r="D3133" t="str">
        <f>"1798-4769"</f>
        <v>1798-4769</v>
      </c>
      <c r="E3133" t="s">
        <v>8</v>
      </c>
      <c r="F3133" t="s">
        <v>3143</v>
      </c>
      <c r="G3133">
        <v>1</v>
      </c>
    </row>
    <row r="3134" spans="1:7" x14ac:dyDescent="0.25">
      <c r="A3134">
        <v>17</v>
      </c>
      <c r="B3134" t="s">
        <v>2683</v>
      </c>
      <c r="C3134">
        <v>16860</v>
      </c>
      <c r="D3134" t="str">
        <f>"1534-8458"</f>
        <v>1534-8458</v>
      </c>
      <c r="E3134" t="s">
        <v>8</v>
      </c>
      <c r="F3134" t="s">
        <v>3144</v>
      </c>
      <c r="G3134">
        <v>1</v>
      </c>
    </row>
    <row r="3135" spans="1:7" x14ac:dyDescent="0.25">
      <c r="A3135">
        <v>17</v>
      </c>
      <c r="B3135" t="s">
        <v>2683</v>
      </c>
      <c r="C3135">
        <v>10190</v>
      </c>
      <c r="D3135" t="str">
        <f>"1534-8431"</f>
        <v>1534-8431</v>
      </c>
      <c r="E3135" t="s">
        <v>8</v>
      </c>
      <c r="F3135" t="s">
        <v>3145</v>
      </c>
      <c r="G3135">
        <v>1</v>
      </c>
    </row>
    <row r="3136" spans="1:7" x14ac:dyDescent="0.25">
      <c r="A3136">
        <v>17</v>
      </c>
      <c r="B3136" t="s">
        <v>2683</v>
      </c>
      <c r="C3136">
        <v>8758250</v>
      </c>
      <c r="D3136" t="str">
        <f>"1929-7750"</f>
        <v>1929-7750</v>
      </c>
      <c r="E3136" t="s">
        <v>8</v>
      </c>
      <c r="F3136" t="s">
        <v>3146</v>
      </c>
      <c r="G3136">
        <v>1</v>
      </c>
    </row>
    <row r="3137" spans="1:7" x14ac:dyDescent="0.25">
      <c r="A3137">
        <v>17</v>
      </c>
      <c r="B3137" t="s">
        <v>2683</v>
      </c>
      <c r="C3137">
        <v>7711728</v>
      </c>
      <c r="D3137" t="str">
        <f>"1759-667X"</f>
        <v>1759-667X</v>
      </c>
      <c r="E3137" t="s">
        <v>8</v>
      </c>
      <c r="F3137" t="s">
        <v>3147</v>
      </c>
      <c r="G3137">
        <v>1</v>
      </c>
    </row>
    <row r="3138" spans="1:7" x14ac:dyDescent="0.25">
      <c r="A3138">
        <v>17</v>
      </c>
      <c r="B3138" t="s">
        <v>2683</v>
      </c>
      <c r="C3138">
        <v>8782491</v>
      </c>
      <c r="D3138" t="str">
        <f>"2311-1550"</f>
        <v>2311-1550</v>
      </c>
      <c r="E3138" t="s">
        <v>8</v>
      </c>
      <c r="F3138" t="s">
        <v>3148</v>
      </c>
      <c r="G3138">
        <v>1</v>
      </c>
    </row>
    <row r="3139" spans="1:7" x14ac:dyDescent="0.25">
      <c r="A3139">
        <v>17</v>
      </c>
      <c r="B3139" t="s">
        <v>2683</v>
      </c>
      <c r="C3139">
        <v>10921</v>
      </c>
      <c r="D3139" t="str">
        <f>"1052-5629"</f>
        <v>1052-5629</v>
      </c>
      <c r="E3139" t="s">
        <v>8</v>
      </c>
      <c r="F3139" t="s">
        <v>3149</v>
      </c>
      <c r="G3139">
        <v>1</v>
      </c>
    </row>
    <row r="3140" spans="1:7" x14ac:dyDescent="0.25">
      <c r="A3140">
        <v>17</v>
      </c>
      <c r="B3140" t="s">
        <v>2683</v>
      </c>
      <c r="C3140">
        <v>16261</v>
      </c>
      <c r="D3140" t="str">
        <f>"1386-4416"</f>
        <v>1386-4416</v>
      </c>
      <c r="E3140" t="s">
        <v>8</v>
      </c>
      <c r="F3140" t="s">
        <v>3150</v>
      </c>
      <c r="G3140">
        <v>1</v>
      </c>
    </row>
    <row r="3141" spans="1:7" x14ac:dyDescent="0.25">
      <c r="A3141">
        <v>17</v>
      </c>
      <c r="B3141" t="s">
        <v>2683</v>
      </c>
      <c r="C3141">
        <v>11491</v>
      </c>
      <c r="D3141" t="str">
        <f>"0022-2984"</f>
        <v>0022-2984</v>
      </c>
      <c r="E3141" t="s">
        <v>8</v>
      </c>
      <c r="F3141" t="s">
        <v>3151</v>
      </c>
      <c r="G3141">
        <v>1</v>
      </c>
    </row>
    <row r="3142" spans="1:7" x14ac:dyDescent="0.25">
      <c r="A3142">
        <v>17</v>
      </c>
      <c r="B3142" t="s">
        <v>2683</v>
      </c>
      <c r="C3142">
        <v>9123</v>
      </c>
      <c r="D3142" t="str">
        <f>"1499-4046"</f>
        <v>1499-4046</v>
      </c>
      <c r="E3142" t="s">
        <v>8</v>
      </c>
      <c r="F3142" t="s">
        <v>3152</v>
      </c>
      <c r="G3142">
        <v>1</v>
      </c>
    </row>
    <row r="3143" spans="1:7" x14ac:dyDescent="0.25">
      <c r="A3143">
        <v>17</v>
      </c>
      <c r="B3143" t="s">
        <v>2683</v>
      </c>
      <c r="C3143">
        <v>9666</v>
      </c>
      <c r="D3143" t="str">
        <f>"1740-0201"</f>
        <v>1740-0201</v>
      </c>
      <c r="E3143" t="s">
        <v>8</v>
      </c>
      <c r="F3143" t="s">
        <v>3153</v>
      </c>
      <c r="G3143">
        <v>1</v>
      </c>
    </row>
    <row r="3144" spans="1:7" x14ac:dyDescent="0.25">
      <c r="A3144">
        <v>17</v>
      </c>
      <c r="B3144" t="s">
        <v>2683</v>
      </c>
      <c r="C3144">
        <v>13077</v>
      </c>
      <c r="D3144" t="str">
        <f>"1741-1122"</f>
        <v>1741-1122</v>
      </c>
      <c r="E3144" t="s">
        <v>8</v>
      </c>
      <c r="F3144" t="s">
        <v>3154</v>
      </c>
      <c r="G3144">
        <v>1</v>
      </c>
    </row>
    <row r="3145" spans="1:7" x14ac:dyDescent="0.25">
      <c r="A3145">
        <v>17</v>
      </c>
      <c r="B3145" t="s">
        <v>2683</v>
      </c>
      <c r="C3145">
        <v>170088</v>
      </c>
      <c r="D3145" t="str">
        <f>"2157-9288"</f>
        <v>2157-9288</v>
      </c>
      <c r="E3145" t="s">
        <v>8</v>
      </c>
      <c r="F3145" t="s">
        <v>3155</v>
      </c>
      <c r="G3145">
        <v>1</v>
      </c>
    </row>
    <row r="3146" spans="1:7" x14ac:dyDescent="0.25">
      <c r="A3146">
        <v>17</v>
      </c>
      <c r="B3146" t="s">
        <v>2683</v>
      </c>
      <c r="C3146">
        <v>180025</v>
      </c>
      <c r="E3146" t="s">
        <v>8</v>
      </c>
      <c r="F3146" t="s">
        <v>3156</v>
      </c>
      <c r="G3146">
        <v>1</v>
      </c>
    </row>
    <row r="3147" spans="1:7" x14ac:dyDescent="0.25">
      <c r="A3147">
        <v>17</v>
      </c>
      <c r="B3147" t="s">
        <v>2683</v>
      </c>
      <c r="C3147">
        <v>11527</v>
      </c>
      <c r="D3147" t="str">
        <f>"1052-3928"</f>
        <v>1052-3928</v>
      </c>
      <c r="E3147" t="s">
        <v>8</v>
      </c>
      <c r="F3147" t="s">
        <v>3157</v>
      </c>
      <c r="G3147">
        <v>1</v>
      </c>
    </row>
    <row r="3148" spans="1:7" x14ac:dyDescent="0.25">
      <c r="A3148">
        <v>17</v>
      </c>
      <c r="B3148" t="s">
        <v>2683</v>
      </c>
      <c r="C3148">
        <v>7567</v>
      </c>
      <c r="D3148" t="str">
        <f>"0256-8543"</f>
        <v>0256-8543</v>
      </c>
      <c r="E3148" t="s">
        <v>8</v>
      </c>
      <c r="F3148" t="s">
        <v>3158</v>
      </c>
      <c r="G3148">
        <v>1</v>
      </c>
    </row>
    <row r="3149" spans="1:7" x14ac:dyDescent="0.25">
      <c r="A3149">
        <v>17</v>
      </c>
      <c r="B3149" t="s">
        <v>2683</v>
      </c>
      <c r="C3149">
        <v>14010</v>
      </c>
      <c r="D3149" t="str">
        <f>"1475-2409"</f>
        <v>1475-2409</v>
      </c>
      <c r="E3149" t="s">
        <v>8</v>
      </c>
      <c r="F3149" t="s">
        <v>3159</v>
      </c>
      <c r="G3149">
        <v>1</v>
      </c>
    </row>
    <row r="3150" spans="1:7" x14ac:dyDescent="0.25">
      <c r="A3150">
        <v>17</v>
      </c>
      <c r="B3150" t="s">
        <v>2683</v>
      </c>
      <c r="C3150">
        <v>2698</v>
      </c>
      <c r="D3150" t="str">
        <f>"0141-0423"</f>
        <v>0141-0423</v>
      </c>
      <c r="E3150" t="s">
        <v>8</v>
      </c>
      <c r="F3150" t="s">
        <v>3160</v>
      </c>
      <c r="G3150">
        <v>1</v>
      </c>
    </row>
    <row r="3151" spans="1:7" x14ac:dyDescent="0.25">
      <c r="A3151">
        <v>17</v>
      </c>
      <c r="B3151" t="s">
        <v>2683</v>
      </c>
      <c r="C3151">
        <v>384</v>
      </c>
      <c r="E3151" t="s">
        <v>8</v>
      </c>
      <c r="F3151" t="s">
        <v>3161</v>
      </c>
      <c r="G3151">
        <v>1</v>
      </c>
    </row>
    <row r="3152" spans="1:7" x14ac:dyDescent="0.25">
      <c r="A3152">
        <v>17</v>
      </c>
      <c r="B3152" t="s">
        <v>2683</v>
      </c>
      <c r="C3152">
        <v>25577</v>
      </c>
      <c r="D3152" t="str">
        <f>"1934-5747"</f>
        <v>1934-5747</v>
      </c>
      <c r="E3152" t="s">
        <v>8</v>
      </c>
      <c r="F3152" t="s">
        <v>3162</v>
      </c>
      <c r="G3152">
        <v>1</v>
      </c>
    </row>
    <row r="3153" spans="1:7" x14ac:dyDescent="0.25">
      <c r="A3153">
        <v>17</v>
      </c>
      <c r="B3153" t="s">
        <v>2683</v>
      </c>
      <c r="C3153">
        <v>180033</v>
      </c>
      <c r="D3153" t="str">
        <f>"2232-0458"</f>
        <v>2232-0458</v>
      </c>
      <c r="E3153" t="s">
        <v>8</v>
      </c>
      <c r="F3153" t="s">
        <v>3163</v>
      </c>
      <c r="G3153">
        <v>1</v>
      </c>
    </row>
    <row r="3154" spans="1:7" x14ac:dyDescent="0.25">
      <c r="A3154">
        <v>17</v>
      </c>
      <c r="B3154" t="s">
        <v>2683</v>
      </c>
      <c r="C3154">
        <v>6932</v>
      </c>
      <c r="D3154" t="str">
        <f>"1059-0145"</f>
        <v>1059-0145</v>
      </c>
      <c r="E3154" t="s">
        <v>8</v>
      </c>
      <c r="F3154" t="s">
        <v>3164</v>
      </c>
      <c r="G3154">
        <v>1</v>
      </c>
    </row>
    <row r="3155" spans="1:7" x14ac:dyDescent="0.25">
      <c r="A3155">
        <v>17</v>
      </c>
      <c r="B3155" t="s">
        <v>2683</v>
      </c>
      <c r="C3155">
        <v>7715223</v>
      </c>
      <c r="D3155" t="str">
        <f>"1309-9108"</f>
        <v>1309-9108</v>
      </c>
      <c r="E3155" t="s">
        <v>8</v>
      </c>
      <c r="F3155" t="s">
        <v>3165</v>
      </c>
      <c r="G3155">
        <v>1</v>
      </c>
    </row>
    <row r="3156" spans="1:7" x14ac:dyDescent="0.25">
      <c r="A3156">
        <v>17</v>
      </c>
      <c r="B3156" t="s">
        <v>2683</v>
      </c>
      <c r="C3156">
        <v>2303</v>
      </c>
      <c r="D3156" t="str">
        <f>"1043-7797"</f>
        <v>1043-7797</v>
      </c>
      <c r="E3156" t="s">
        <v>8</v>
      </c>
      <c r="F3156" t="s">
        <v>3166</v>
      </c>
      <c r="G3156">
        <v>1</v>
      </c>
    </row>
    <row r="3157" spans="1:7" x14ac:dyDescent="0.25">
      <c r="A3157">
        <v>17</v>
      </c>
      <c r="B3157" t="s">
        <v>2683</v>
      </c>
      <c r="C3157">
        <v>1674</v>
      </c>
      <c r="E3157" t="s">
        <v>8</v>
      </c>
      <c r="F3157" t="s">
        <v>3167</v>
      </c>
      <c r="G3157">
        <v>1</v>
      </c>
    </row>
    <row r="3158" spans="1:7" x14ac:dyDescent="0.25">
      <c r="A3158">
        <v>17</v>
      </c>
      <c r="B3158" t="s">
        <v>2683</v>
      </c>
      <c r="C3158">
        <v>6172376</v>
      </c>
      <c r="D3158" t="str">
        <f>"1949-6591"</f>
        <v>1949-6591</v>
      </c>
      <c r="E3158" t="s">
        <v>8</v>
      </c>
      <c r="F3158" t="s">
        <v>3168</v>
      </c>
      <c r="G3158">
        <v>1</v>
      </c>
    </row>
    <row r="3159" spans="1:7" x14ac:dyDescent="0.25">
      <c r="A3159">
        <v>17</v>
      </c>
      <c r="B3159" t="s">
        <v>2683</v>
      </c>
      <c r="C3159">
        <v>284</v>
      </c>
      <c r="D3159" t="str">
        <f>"1407-8724"</f>
        <v>1407-8724</v>
      </c>
      <c r="E3159" t="s">
        <v>8</v>
      </c>
      <c r="F3159" t="s">
        <v>3169</v>
      </c>
      <c r="G3159">
        <v>1</v>
      </c>
    </row>
    <row r="3160" spans="1:7" x14ac:dyDescent="0.25">
      <c r="A3160">
        <v>17</v>
      </c>
      <c r="B3160" t="s">
        <v>2683</v>
      </c>
      <c r="C3160">
        <v>104702</v>
      </c>
      <c r="D3160" t="str">
        <f>"1492-1154"</f>
        <v>1492-1154</v>
      </c>
      <c r="E3160" t="s">
        <v>8</v>
      </c>
      <c r="F3160" t="s">
        <v>3170</v>
      </c>
      <c r="G3160">
        <v>1</v>
      </c>
    </row>
    <row r="3161" spans="1:7" x14ac:dyDescent="0.25">
      <c r="A3161">
        <v>17</v>
      </c>
      <c r="B3161" t="s">
        <v>2683</v>
      </c>
      <c r="C3161">
        <v>7747738</v>
      </c>
      <c r="D3161" t="str">
        <f>"2165-2554"</f>
        <v>2165-2554</v>
      </c>
      <c r="E3161" t="s">
        <v>8</v>
      </c>
      <c r="F3161" t="s">
        <v>3171</v>
      </c>
      <c r="G3161">
        <v>1</v>
      </c>
    </row>
    <row r="3162" spans="1:7" x14ac:dyDescent="0.25">
      <c r="A3162">
        <v>17</v>
      </c>
      <c r="B3162" t="s">
        <v>2683</v>
      </c>
      <c r="C3162">
        <v>15342</v>
      </c>
      <c r="D3162" t="str">
        <f>"1531-3220"</f>
        <v>1531-3220</v>
      </c>
      <c r="E3162" t="s">
        <v>8</v>
      </c>
      <c r="F3162" t="s">
        <v>3172</v>
      </c>
      <c r="G3162">
        <v>1</v>
      </c>
    </row>
    <row r="3163" spans="1:7" x14ac:dyDescent="0.25">
      <c r="A3163">
        <v>17</v>
      </c>
      <c r="B3163" t="s">
        <v>2683</v>
      </c>
      <c r="C3163">
        <v>7720358</v>
      </c>
      <c r="D3163" t="str">
        <f>"2013-6374"</f>
        <v>2013-6374</v>
      </c>
      <c r="E3163" t="s">
        <v>8</v>
      </c>
      <c r="F3163" t="s">
        <v>3173</v>
      </c>
      <c r="G3163">
        <v>1</v>
      </c>
    </row>
    <row r="3164" spans="1:7" x14ac:dyDescent="0.25">
      <c r="A3164">
        <v>17</v>
      </c>
      <c r="B3164" t="s">
        <v>2683</v>
      </c>
      <c r="C3164">
        <v>3826</v>
      </c>
      <c r="D3164" t="str">
        <f>"1045-1064"</f>
        <v>1045-1064</v>
      </c>
      <c r="E3164" t="s">
        <v>8</v>
      </c>
      <c r="F3164" t="s">
        <v>3174</v>
      </c>
      <c r="G3164">
        <v>1</v>
      </c>
    </row>
    <row r="3165" spans="1:7" x14ac:dyDescent="0.25">
      <c r="A3165">
        <v>17</v>
      </c>
      <c r="B3165" t="s">
        <v>2683</v>
      </c>
      <c r="C3165">
        <v>155994</v>
      </c>
      <c r="D3165" t="str">
        <f>"1029-5968"</f>
        <v>1029-5968</v>
      </c>
      <c r="E3165" t="s">
        <v>8</v>
      </c>
      <c r="F3165" t="s">
        <v>3175</v>
      </c>
      <c r="G3165">
        <v>1</v>
      </c>
    </row>
    <row r="3166" spans="1:7" x14ac:dyDescent="0.25">
      <c r="A3166">
        <v>17</v>
      </c>
      <c r="B3166" t="s">
        <v>2683</v>
      </c>
      <c r="C3166">
        <v>27312</v>
      </c>
      <c r="D3166" t="str">
        <f>"2030-1006"</f>
        <v>2030-1006</v>
      </c>
      <c r="E3166" t="s">
        <v>8</v>
      </c>
      <c r="F3166" t="s">
        <v>3176</v>
      </c>
      <c r="G3166">
        <v>1</v>
      </c>
    </row>
    <row r="3167" spans="1:7" x14ac:dyDescent="0.25">
      <c r="A3167">
        <v>17</v>
      </c>
      <c r="B3167" t="s">
        <v>2683</v>
      </c>
      <c r="C3167">
        <v>1865</v>
      </c>
      <c r="D3167" t="str">
        <f>"1541-3446"</f>
        <v>1541-3446</v>
      </c>
      <c r="E3167" t="s">
        <v>8</v>
      </c>
      <c r="F3167" t="s">
        <v>3177</v>
      </c>
      <c r="G3167">
        <v>1</v>
      </c>
    </row>
    <row r="3168" spans="1:7" x14ac:dyDescent="0.25">
      <c r="A3168">
        <v>17</v>
      </c>
      <c r="B3168" t="s">
        <v>2683</v>
      </c>
      <c r="C3168">
        <v>44235</v>
      </c>
      <c r="E3168" t="s">
        <v>8</v>
      </c>
      <c r="F3168" t="s">
        <v>3178</v>
      </c>
      <c r="G3168">
        <v>1</v>
      </c>
    </row>
    <row r="3169" spans="1:7" x14ac:dyDescent="0.25">
      <c r="A3169">
        <v>17</v>
      </c>
      <c r="B3169" t="s">
        <v>2683</v>
      </c>
      <c r="C3169">
        <v>27813</v>
      </c>
      <c r="D3169" t="str">
        <f>"2151-2612"</f>
        <v>2151-2612</v>
      </c>
      <c r="E3169" t="s">
        <v>8</v>
      </c>
      <c r="F3169" t="s">
        <v>3179</v>
      </c>
      <c r="G3169">
        <v>1</v>
      </c>
    </row>
    <row r="3170" spans="1:7" x14ac:dyDescent="0.25">
      <c r="A3170">
        <v>17</v>
      </c>
      <c r="B3170" t="s">
        <v>2683</v>
      </c>
      <c r="C3170">
        <v>4595</v>
      </c>
      <c r="D3170" t="str">
        <f>"0748-321X"</f>
        <v>0748-321X</v>
      </c>
      <c r="E3170" t="s">
        <v>8</v>
      </c>
      <c r="F3170" t="s">
        <v>3180</v>
      </c>
      <c r="G3170">
        <v>1</v>
      </c>
    </row>
    <row r="3171" spans="1:7" x14ac:dyDescent="0.25">
      <c r="A3171">
        <v>17</v>
      </c>
      <c r="B3171" t="s">
        <v>2683</v>
      </c>
      <c r="C3171">
        <v>4827</v>
      </c>
      <c r="D3171" t="str">
        <f>"1363-6820"</f>
        <v>1363-6820</v>
      </c>
      <c r="E3171" t="s">
        <v>8</v>
      </c>
      <c r="F3171" t="s">
        <v>3181</v>
      </c>
      <c r="G3171">
        <v>1</v>
      </c>
    </row>
    <row r="3172" spans="1:7" x14ac:dyDescent="0.25">
      <c r="A3172">
        <v>17</v>
      </c>
      <c r="B3172" t="s">
        <v>2683</v>
      </c>
      <c r="C3172">
        <v>8210</v>
      </c>
      <c r="D3172" t="str">
        <f>"1366-5626"</f>
        <v>1366-5626</v>
      </c>
      <c r="E3172" t="s">
        <v>8</v>
      </c>
      <c r="F3172" t="s">
        <v>3182</v>
      </c>
      <c r="G3172">
        <v>1</v>
      </c>
    </row>
    <row r="3173" spans="1:7" x14ac:dyDescent="0.25">
      <c r="A3173">
        <v>17</v>
      </c>
      <c r="B3173" t="s">
        <v>2683</v>
      </c>
      <c r="C3173">
        <v>121612</v>
      </c>
      <c r="D3173" t="str">
        <f>"0906-6225"</f>
        <v>0906-6225</v>
      </c>
      <c r="E3173" t="s">
        <v>8</v>
      </c>
      <c r="F3173" t="s">
        <v>3183</v>
      </c>
      <c r="G3173">
        <v>1</v>
      </c>
    </row>
    <row r="3174" spans="1:7" x14ac:dyDescent="0.25">
      <c r="A3174">
        <v>17</v>
      </c>
      <c r="B3174" t="s">
        <v>2683</v>
      </c>
      <c r="C3174">
        <v>10596</v>
      </c>
      <c r="D3174" t="str">
        <f>"1578-6617"</f>
        <v>1578-6617</v>
      </c>
      <c r="E3174" t="s">
        <v>8</v>
      </c>
      <c r="F3174" t="s">
        <v>3184</v>
      </c>
      <c r="G3174">
        <v>1</v>
      </c>
    </row>
    <row r="3175" spans="1:7" x14ac:dyDescent="0.25">
      <c r="A3175">
        <v>17</v>
      </c>
      <c r="B3175" t="s">
        <v>2683</v>
      </c>
      <c r="C3175">
        <v>5480</v>
      </c>
      <c r="D3175" t="str">
        <f>"0957-1736"</f>
        <v>0957-1736</v>
      </c>
      <c r="E3175" t="s">
        <v>8</v>
      </c>
      <c r="F3175" t="s">
        <v>3185</v>
      </c>
      <c r="G3175">
        <v>1</v>
      </c>
    </row>
    <row r="3176" spans="1:7" x14ac:dyDescent="0.25">
      <c r="A3176">
        <v>17</v>
      </c>
      <c r="B3176" t="s">
        <v>2683</v>
      </c>
      <c r="C3176">
        <v>7756594</v>
      </c>
      <c r="E3176" t="s">
        <v>8</v>
      </c>
      <c r="F3176" t="s">
        <v>3186</v>
      </c>
      <c r="G3176">
        <v>1</v>
      </c>
    </row>
    <row r="3177" spans="1:7" x14ac:dyDescent="0.25">
      <c r="A3177">
        <v>17</v>
      </c>
      <c r="B3177" t="s">
        <v>2683</v>
      </c>
      <c r="C3177">
        <v>3227</v>
      </c>
      <c r="D3177" t="str">
        <f>"1570-0763"</f>
        <v>1570-0763</v>
      </c>
      <c r="E3177" t="s">
        <v>8</v>
      </c>
      <c r="F3177" t="s">
        <v>3187</v>
      </c>
      <c r="G3177">
        <v>1</v>
      </c>
    </row>
    <row r="3178" spans="1:7" x14ac:dyDescent="0.25">
      <c r="A3178">
        <v>17</v>
      </c>
      <c r="B3178" t="s">
        <v>2683</v>
      </c>
      <c r="C3178">
        <v>8782902</v>
      </c>
      <c r="E3178" t="s">
        <v>2100</v>
      </c>
      <c r="F3178" t="s">
        <v>3188</v>
      </c>
      <c r="G3178">
        <v>1</v>
      </c>
    </row>
    <row r="3179" spans="1:7" x14ac:dyDescent="0.25">
      <c r="A3179">
        <v>17</v>
      </c>
      <c r="B3179" t="s">
        <v>2683</v>
      </c>
      <c r="C3179">
        <v>49377</v>
      </c>
      <c r="D3179" t="str">
        <f>"1742-240X"</f>
        <v>1742-240X</v>
      </c>
      <c r="E3179" t="s">
        <v>8</v>
      </c>
      <c r="F3179" t="s">
        <v>3189</v>
      </c>
      <c r="G3179">
        <v>1</v>
      </c>
    </row>
    <row r="3180" spans="1:7" x14ac:dyDescent="0.25">
      <c r="A3180">
        <v>17</v>
      </c>
      <c r="B3180" t="s">
        <v>2683</v>
      </c>
      <c r="C3180">
        <v>16968</v>
      </c>
      <c r="D3180" t="str">
        <f>"0938-8982"</f>
        <v>0938-8982</v>
      </c>
      <c r="E3180" t="s">
        <v>8</v>
      </c>
      <c r="F3180" t="s">
        <v>3190</v>
      </c>
      <c r="G3180">
        <v>1</v>
      </c>
    </row>
    <row r="3181" spans="1:7" x14ac:dyDescent="0.25">
      <c r="A3181">
        <v>17</v>
      </c>
      <c r="B3181" t="s">
        <v>2683</v>
      </c>
      <c r="C3181">
        <v>13961</v>
      </c>
      <c r="D3181" t="str">
        <f>"1387-1579"</f>
        <v>1387-1579</v>
      </c>
      <c r="E3181" t="s">
        <v>8</v>
      </c>
      <c r="F3181" t="s">
        <v>3191</v>
      </c>
      <c r="G3181">
        <v>1</v>
      </c>
    </row>
    <row r="3182" spans="1:7" x14ac:dyDescent="0.25">
      <c r="A3182">
        <v>17</v>
      </c>
      <c r="B3182" t="s">
        <v>2683</v>
      </c>
      <c r="C3182">
        <v>7720315</v>
      </c>
      <c r="D3182" t="str">
        <f>"2235-0977"</f>
        <v>2235-0977</v>
      </c>
      <c r="E3182" t="s">
        <v>8</v>
      </c>
      <c r="F3182" t="s">
        <v>3192</v>
      </c>
      <c r="G3182">
        <v>1</v>
      </c>
    </row>
    <row r="3183" spans="1:7" x14ac:dyDescent="0.25">
      <c r="A3183">
        <v>17</v>
      </c>
      <c r="B3183" t="s">
        <v>2683</v>
      </c>
      <c r="C3183">
        <v>3815</v>
      </c>
      <c r="D3183" t="str">
        <f>"1441-0559"</f>
        <v>1441-0559</v>
      </c>
      <c r="E3183" t="s">
        <v>8</v>
      </c>
      <c r="F3183" t="s">
        <v>3193</v>
      </c>
      <c r="G3183">
        <v>1</v>
      </c>
    </row>
    <row r="3184" spans="1:7" x14ac:dyDescent="0.25">
      <c r="A3184">
        <v>17</v>
      </c>
      <c r="B3184" t="s">
        <v>2683</v>
      </c>
      <c r="C3184">
        <v>9924</v>
      </c>
      <c r="D3184" t="str">
        <f>"1938-8071"</f>
        <v>1938-8071</v>
      </c>
      <c r="E3184" t="s">
        <v>8</v>
      </c>
      <c r="F3184" t="s">
        <v>3194</v>
      </c>
      <c r="G3184">
        <v>1</v>
      </c>
    </row>
    <row r="3185" spans="1:7" x14ac:dyDescent="0.25">
      <c r="A3185">
        <v>17</v>
      </c>
      <c r="B3185" t="s">
        <v>2683</v>
      </c>
      <c r="C3185">
        <v>848</v>
      </c>
      <c r="D3185" t="str">
        <f>"1401-5439"</f>
        <v>1401-5439</v>
      </c>
      <c r="E3185" t="s">
        <v>8</v>
      </c>
      <c r="F3185" t="s">
        <v>3195</v>
      </c>
      <c r="G3185">
        <v>1</v>
      </c>
    </row>
    <row r="3186" spans="1:7" x14ac:dyDescent="0.25">
      <c r="A3186">
        <v>17</v>
      </c>
      <c r="B3186" t="s">
        <v>2683</v>
      </c>
      <c r="C3186">
        <v>1812</v>
      </c>
      <c r="D3186" t="str">
        <f>"1474-8460"</f>
        <v>1474-8460</v>
      </c>
      <c r="E3186" t="s">
        <v>8</v>
      </c>
      <c r="F3186" t="s">
        <v>3196</v>
      </c>
      <c r="G3186">
        <v>1</v>
      </c>
    </row>
    <row r="3187" spans="1:7" x14ac:dyDescent="0.25">
      <c r="A3187">
        <v>17</v>
      </c>
      <c r="B3187" t="s">
        <v>2683</v>
      </c>
      <c r="C3187">
        <v>7710055</v>
      </c>
      <c r="E3187" t="s">
        <v>8</v>
      </c>
      <c r="F3187" t="s">
        <v>3197</v>
      </c>
      <c r="G3187">
        <v>1</v>
      </c>
    </row>
    <row r="3188" spans="1:7" x14ac:dyDescent="0.25">
      <c r="A3188">
        <v>17</v>
      </c>
      <c r="B3188" t="s">
        <v>2683</v>
      </c>
      <c r="C3188">
        <v>8783855</v>
      </c>
      <c r="E3188" t="s">
        <v>8</v>
      </c>
      <c r="F3188" t="s">
        <v>3198</v>
      </c>
      <c r="G3188">
        <v>1</v>
      </c>
    </row>
    <row r="3189" spans="1:7" x14ac:dyDescent="0.25">
      <c r="A3189">
        <v>17</v>
      </c>
      <c r="B3189" t="s">
        <v>2683</v>
      </c>
      <c r="C3189">
        <v>156422</v>
      </c>
      <c r="E3189" t="s">
        <v>8</v>
      </c>
      <c r="F3189" t="s">
        <v>3199</v>
      </c>
      <c r="G3189">
        <v>1</v>
      </c>
    </row>
    <row r="3190" spans="1:7" x14ac:dyDescent="0.25">
      <c r="A3190">
        <v>17</v>
      </c>
      <c r="B3190" t="s">
        <v>2683</v>
      </c>
      <c r="C3190">
        <v>634</v>
      </c>
      <c r="D3190" t="str">
        <f>"1353-5080"</f>
        <v>1353-5080</v>
      </c>
      <c r="E3190" t="s">
        <v>8</v>
      </c>
      <c r="F3190" t="s">
        <v>3200</v>
      </c>
      <c r="G3190">
        <v>1</v>
      </c>
    </row>
    <row r="3191" spans="1:7" x14ac:dyDescent="0.25">
      <c r="A3191">
        <v>17</v>
      </c>
      <c r="B3191" t="s">
        <v>2683</v>
      </c>
      <c r="C3191">
        <v>26325</v>
      </c>
      <c r="D3191" t="str">
        <f>"0025-5769"</f>
        <v>0025-5769</v>
      </c>
      <c r="E3191" t="s">
        <v>8</v>
      </c>
      <c r="F3191" t="s">
        <v>3201</v>
      </c>
      <c r="G3191">
        <v>1</v>
      </c>
    </row>
    <row r="3192" spans="1:7" x14ac:dyDescent="0.25">
      <c r="A3192">
        <v>17</v>
      </c>
      <c r="B3192" t="s">
        <v>2683</v>
      </c>
      <c r="C3192">
        <v>8783185</v>
      </c>
      <c r="E3192" t="s">
        <v>2100</v>
      </c>
      <c r="F3192" t="s">
        <v>3202</v>
      </c>
      <c r="G3192">
        <v>1</v>
      </c>
    </row>
    <row r="3193" spans="1:7" x14ac:dyDescent="0.25">
      <c r="A3193">
        <v>17</v>
      </c>
      <c r="B3193" t="s">
        <v>2683</v>
      </c>
      <c r="C3193">
        <v>11115</v>
      </c>
      <c r="D3193" t="str">
        <f>"0142-159X"</f>
        <v>0142-159X</v>
      </c>
      <c r="E3193" t="s">
        <v>8</v>
      </c>
      <c r="F3193" t="s">
        <v>3203</v>
      </c>
      <c r="G3193">
        <v>1</v>
      </c>
    </row>
    <row r="3194" spans="1:7" x14ac:dyDescent="0.25">
      <c r="A3194">
        <v>17</v>
      </c>
      <c r="B3194" t="s">
        <v>2683</v>
      </c>
      <c r="C3194">
        <v>154554</v>
      </c>
      <c r="D3194" t="str">
        <f>"1424-3636"</f>
        <v>1424-3636</v>
      </c>
      <c r="E3194" t="s">
        <v>8</v>
      </c>
      <c r="F3194" t="s">
        <v>3204</v>
      </c>
      <c r="G3194">
        <v>1</v>
      </c>
    </row>
    <row r="3195" spans="1:7" x14ac:dyDescent="0.25">
      <c r="A3195">
        <v>17</v>
      </c>
      <c r="B3195" t="s">
        <v>2683</v>
      </c>
      <c r="C3195">
        <v>15986</v>
      </c>
      <c r="D3195" t="str">
        <f>"0077-2712"</f>
        <v>0077-2712</v>
      </c>
      <c r="E3195" t="s">
        <v>8</v>
      </c>
      <c r="F3195" t="s">
        <v>3205</v>
      </c>
      <c r="G3195">
        <v>1</v>
      </c>
    </row>
    <row r="3196" spans="1:7" x14ac:dyDescent="0.25">
      <c r="A3196">
        <v>17</v>
      </c>
      <c r="B3196" t="s">
        <v>2683</v>
      </c>
      <c r="C3196">
        <v>180036</v>
      </c>
      <c r="D3196" t="str">
        <f>"2246-3593"</f>
        <v>2246-3593</v>
      </c>
      <c r="E3196" t="s">
        <v>15</v>
      </c>
      <c r="F3196" t="s">
        <v>3206</v>
      </c>
      <c r="G3196">
        <v>1</v>
      </c>
    </row>
    <row r="3197" spans="1:7" x14ac:dyDescent="0.25">
      <c r="A3197">
        <v>17</v>
      </c>
      <c r="B3197" t="s">
        <v>2683</v>
      </c>
      <c r="C3197">
        <v>6333</v>
      </c>
      <c r="D3197" t="str">
        <f>"1361-1267"</f>
        <v>1361-1267</v>
      </c>
      <c r="E3197" t="s">
        <v>8</v>
      </c>
      <c r="F3197" t="s">
        <v>3207</v>
      </c>
      <c r="G3197">
        <v>1</v>
      </c>
    </row>
    <row r="3198" spans="1:7" x14ac:dyDescent="0.25">
      <c r="A3198">
        <v>17</v>
      </c>
      <c r="B3198" t="s">
        <v>2683</v>
      </c>
      <c r="C3198">
        <v>8783805</v>
      </c>
      <c r="D3198" t="str">
        <f>"2367-170X"</f>
        <v>2367-170X</v>
      </c>
      <c r="E3198" t="s">
        <v>15</v>
      </c>
      <c r="F3198" t="s">
        <v>3208</v>
      </c>
      <c r="G3198">
        <v>1</v>
      </c>
    </row>
    <row r="3199" spans="1:7" x14ac:dyDescent="0.25">
      <c r="A3199">
        <v>17</v>
      </c>
      <c r="B3199" t="s">
        <v>2683</v>
      </c>
      <c r="C3199">
        <v>27063</v>
      </c>
      <c r="D3199" t="str">
        <f>"1604-8628"</f>
        <v>1604-8628</v>
      </c>
      <c r="E3199" t="s">
        <v>8</v>
      </c>
      <c r="F3199" t="s">
        <v>3209</v>
      </c>
      <c r="G3199">
        <v>1</v>
      </c>
    </row>
    <row r="3200" spans="1:7" x14ac:dyDescent="0.25">
      <c r="A3200">
        <v>17</v>
      </c>
      <c r="B3200" t="s">
        <v>2683</v>
      </c>
      <c r="C3200">
        <v>180032</v>
      </c>
      <c r="E3200" t="s">
        <v>15</v>
      </c>
      <c r="F3200" t="s">
        <v>3210</v>
      </c>
      <c r="G3200">
        <v>1</v>
      </c>
    </row>
    <row r="3201" spans="1:7" x14ac:dyDescent="0.25">
      <c r="A3201">
        <v>17</v>
      </c>
      <c r="B3201" t="s">
        <v>2683</v>
      </c>
      <c r="C3201">
        <v>8776542</v>
      </c>
      <c r="D3201" t="str">
        <f>"2005-615X"</f>
        <v>2005-615X</v>
      </c>
      <c r="E3201" t="s">
        <v>8</v>
      </c>
      <c r="F3201" t="s">
        <v>3211</v>
      </c>
      <c r="G3201">
        <v>1</v>
      </c>
    </row>
    <row r="3202" spans="1:7" x14ac:dyDescent="0.25">
      <c r="A3202">
        <v>17</v>
      </c>
      <c r="B3202" t="s">
        <v>2683</v>
      </c>
      <c r="C3202">
        <v>7715952</v>
      </c>
      <c r="D3202" t="str">
        <f>"2161-2412"</f>
        <v>2161-2412</v>
      </c>
      <c r="E3202" t="s">
        <v>8</v>
      </c>
      <c r="F3202" t="s">
        <v>3212</v>
      </c>
      <c r="G3202">
        <v>1</v>
      </c>
    </row>
    <row r="3203" spans="1:7" x14ac:dyDescent="0.25">
      <c r="A3203">
        <v>17</v>
      </c>
      <c r="B3203" t="s">
        <v>2683</v>
      </c>
      <c r="C3203">
        <v>5350</v>
      </c>
      <c r="D3203" t="str">
        <f>"1521-0960"</f>
        <v>1521-0960</v>
      </c>
      <c r="E3203" t="s">
        <v>8</v>
      </c>
      <c r="F3203" t="s">
        <v>3213</v>
      </c>
      <c r="G3203">
        <v>1</v>
      </c>
    </row>
    <row r="3204" spans="1:7" x14ac:dyDescent="0.25">
      <c r="A3204">
        <v>17</v>
      </c>
      <c r="B3204" t="s">
        <v>2683</v>
      </c>
      <c r="C3204">
        <v>7735502</v>
      </c>
      <c r="D3204" t="str">
        <f>"2014-2862"</f>
        <v>2014-2862</v>
      </c>
      <c r="E3204" t="s">
        <v>8</v>
      </c>
      <c r="F3204" t="s">
        <v>3214</v>
      </c>
      <c r="G3204">
        <v>1</v>
      </c>
    </row>
    <row r="3205" spans="1:7" x14ac:dyDescent="0.25">
      <c r="A3205">
        <v>17</v>
      </c>
      <c r="B3205" t="s">
        <v>2683</v>
      </c>
      <c r="C3205">
        <v>170090</v>
      </c>
      <c r="D3205" t="str">
        <f>"1398-9960"</f>
        <v>1398-9960</v>
      </c>
      <c r="E3205" t="s">
        <v>15</v>
      </c>
      <c r="F3205" t="s">
        <v>3215</v>
      </c>
      <c r="G3205">
        <v>1</v>
      </c>
    </row>
    <row r="3206" spans="1:7" x14ac:dyDescent="0.25">
      <c r="A3206">
        <v>17</v>
      </c>
      <c r="B3206" t="s">
        <v>2683</v>
      </c>
      <c r="C3206">
        <v>22094</v>
      </c>
      <c r="D3206" t="str">
        <f>"1097-6736"</f>
        <v>1097-6736</v>
      </c>
      <c r="E3206" t="s">
        <v>8</v>
      </c>
      <c r="F3206" t="s">
        <v>3216</v>
      </c>
      <c r="G3206">
        <v>1</v>
      </c>
    </row>
    <row r="3207" spans="1:7" x14ac:dyDescent="0.25">
      <c r="A3207">
        <v>17</v>
      </c>
      <c r="B3207" t="s">
        <v>2683</v>
      </c>
      <c r="C3207">
        <v>10461</v>
      </c>
      <c r="D3207" t="str">
        <f>"0271-0560"</f>
        <v>0271-0560</v>
      </c>
      <c r="E3207" t="s">
        <v>8</v>
      </c>
      <c r="F3207" t="s">
        <v>3217</v>
      </c>
      <c r="G3207">
        <v>1</v>
      </c>
    </row>
    <row r="3208" spans="1:7" x14ac:dyDescent="0.25">
      <c r="A3208">
        <v>17</v>
      </c>
      <c r="B3208" t="s">
        <v>2683</v>
      </c>
      <c r="C3208">
        <v>6274</v>
      </c>
      <c r="D3208" t="str">
        <f>"0271-0633"</f>
        <v>0271-0633</v>
      </c>
      <c r="E3208" t="s">
        <v>8</v>
      </c>
      <c r="F3208" t="s">
        <v>3218</v>
      </c>
      <c r="G3208">
        <v>1</v>
      </c>
    </row>
    <row r="3209" spans="1:7" x14ac:dyDescent="0.25">
      <c r="A3209">
        <v>17</v>
      </c>
      <c r="B3209" t="s">
        <v>2683</v>
      </c>
      <c r="C3209">
        <v>25948</v>
      </c>
      <c r="D3209" t="str">
        <f>"1547-688X"</f>
        <v>1547-688X</v>
      </c>
      <c r="E3209" t="s">
        <v>8</v>
      </c>
      <c r="F3209" t="s">
        <v>3219</v>
      </c>
      <c r="G3209">
        <v>1</v>
      </c>
    </row>
    <row r="3210" spans="1:7" x14ac:dyDescent="0.25">
      <c r="A3210">
        <v>17</v>
      </c>
      <c r="B3210" t="s">
        <v>2683</v>
      </c>
      <c r="C3210">
        <v>8782488</v>
      </c>
      <c r="E3210" t="s">
        <v>15</v>
      </c>
      <c r="F3210" t="s">
        <v>3220</v>
      </c>
      <c r="G3210">
        <v>1</v>
      </c>
    </row>
    <row r="3211" spans="1:7" x14ac:dyDescent="0.25">
      <c r="A3211">
        <v>17</v>
      </c>
      <c r="B3211" t="s">
        <v>2683</v>
      </c>
      <c r="C3211">
        <v>14669</v>
      </c>
      <c r="D3211" t="str">
        <f>"0028-8276"</f>
        <v>0028-8276</v>
      </c>
      <c r="E3211" t="s">
        <v>8</v>
      </c>
      <c r="F3211" t="s">
        <v>3221</v>
      </c>
      <c r="G3211">
        <v>1</v>
      </c>
    </row>
    <row r="3212" spans="1:7" x14ac:dyDescent="0.25">
      <c r="A3212">
        <v>17</v>
      </c>
      <c r="B3212" t="s">
        <v>2683</v>
      </c>
      <c r="C3212">
        <v>55251</v>
      </c>
      <c r="D3212" t="str">
        <f>"1331-534X"</f>
        <v>1331-534X</v>
      </c>
      <c r="E3212" t="s">
        <v>8</v>
      </c>
      <c r="F3212" t="s">
        <v>3222</v>
      </c>
      <c r="G3212">
        <v>1</v>
      </c>
    </row>
    <row r="3213" spans="1:7" x14ac:dyDescent="0.25">
      <c r="A3213">
        <v>17</v>
      </c>
      <c r="B3213" t="s">
        <v>2683</v>
      </c>
      <c r="C3213">
        <v>5392</v>
      </c>
      <c r="D3213" t="str">
        <f>"0809-9227"</f>
        <v>0809-9227</v>
      </c>
      <c r="E3213" t="s">
        <v>8</v>
      </c>
      <c r="F3213" t="s">
        <v>3223</v>
      </c>
      <c r="G3213">
        <v>1</v>
      </c>
    </row>
    <row r="3214" spans="1:7" x14ac:dyDescent="0.25">
      <c r="A3214">
        <v>17</v>
      </c>
      <c r="B3214" t="s">
        <v>2683</v>
      </c>
      <c r="C3214">
        <v>8782658</v>
      </c>
      <c r="D3214" t="str">
        <f>"2535-4051"</f>
        <v>2535-4051</v>
      </c>
      <c r="E3214" t="s">
        <v>8</v>
      </c>
      <c r="F3214" t="s">
        <v>3224</v>
      </c>
      <c r="G3214">
        <v>1</v>
      </c>
    </row>
    <row r="3215" spans="1:7" x14ac:dyDescent="0.25">
      <c r="A3215">
        <v>17</v>
      </c>
      <c r="B3215" t="s">
        <v>2683</v>
      </c>
      <c r="C3215">
        <v>7643828</v>
      </c>
      <c r="D3215" t="str">
        <f>"1891-943X"</f>
        <v>1891-943X</v>
      </c>
      <c r="E3215" t="s">
        <v>8</v>
      </c>
      <c r="F3215" t="s">
        <v>3225</v>
      </c>
      <c r="G3215">
        <v>1</v>
      </c>
    </row>
    <row r="3216" spans="1:7" x14ac:dyDescent="0.25">
      <c r="A3216">
        <v>17</v>
      </c>
      <c r="B3216" t="s">
        <v>2683</v>
      </c>
      <c r="C3216">
        <v>180028</v>
      </c>
      <c r="D3216" t="str">
        <f>"2001-7766"</f>
        <v>2001-7766</v>
      </c>
      <c r="E3216" t="s">
        <v>8</v>
      </c>
      <c r="F3216" t="s">
        <v>3226</v>
      </c>
      <c r="G3216">
        <v>1</v>
      </c>
    </row>
    <row r="3217" spans="1:7" x14ac:dyDescent="0.25">
      <c r="A3217">
        <v>17</v>
      </c>
      <c r="B3217" t="s">
        <v>2683</v>
      </c>
      <c r="C3217">
        <v>8782483</v>
      </c>
      <c r="E3217" t="s">
        <v>8</v>
      </c>
      <c r="F3217" t="s">
        <v>3227</v>
      </c>
      <c r="G3217">
        <v>1</v>
      </c>
    </row>
    <row r="3218" spans="1:7" x14ac:dyDescent="0.25">
      <c r="A3218">
        <v>17</v>
      </c>
      <c r="B3218" t="s">
        <v>2683</v>
      </c>
      <c r="C3218">
        <v>8763863</v>
      </c>
      <c r="E3218" t="s">
        <v>8</v>
      </c>
      <c r="F3218" t="s">
        <v>3228</v>
      </c>
      <c r="G3218">
        <v>1</v>
      </c>
    </row>
    <row r="3219" spans="1:7" x14ac:dyDescent="0.25">
      <c r="A3219">
        <v>17</v>
      </c>
      <c r="B3219" t="s">
        <v>2683</v>
      </c>
      <c r="C3219">
        <v>75564</v>
      </c>
      <c r="D3219" t="str">
        <f>"2002-0317"</f>
        <v>2002-0317</v>
      </c>
      <c r="E3219" t="s">
        <v>8</v>
      </c>
      <c r="F3219" t="s">
        <v>3229</v>
      </c>
      <c r="G3219">
        <v>1</v>
      </c>
    </row>
    <row r="3220" spans="1:7" x14ac:dyDescent="0.25">
      <c r="A3220">
        <v>17</v>
      </c>
      <c r="B3220" t="s">
        <v>2683</v>
      </c>
      <c r="C3220">
        <v>7740545</v>
      </c>
      <c r="E3220" t="s">
        <v>8</v>
      </c>
      <c r="F3220" t="s">
        <v>3230</v>
      </c>
      <c r="G3220">
        <v>1</v>
      </c>
    </row>
    <row r="3221" spans="1:7" x14ac:dyDescent="0.25">
      <c r="A3221">
        <v>17</v>
      </c>
      <c r="B3221" t="s">
        <v>2683</v>
      </c>
      <c r="C3221">
        <v>7716937</v>
      </c>
      <c r="E3221" t="s">
        <v>8</v>
      </c>
      <c r="F3221" t="s">
        <v>3231</v>
      </c>
      <c r="G3221">
        <v>1</v>
      </c>
    </row>
    <row r="3222" spans="1:7" x14ac:dyDescent="0.25">
      <c r="A3222">
        <v>17</v>
      </c>
      <c r="B3222" t="s">
        <v>2683</v>
      </c>
      <c r="C3222">
        <v>6222423</v>
      </c>
      <c r="E3222" t="s">
        <v>8</v>
      </c>
      <c r="F3222" t="s">
        <v>3232</v>
      </c>
      <c r="G3222">
        <v>1</v>
      </c>
    </row>
    <row r="3223" spans="1:7" x14ac:dyDescent="0.25">
      <c r="A3223">
        <v>17</v>
      </c>
      <c r="B3223" t="s">
        <v>2683</v>
      </c>
      <c r="C3223">
        <v>9309</v>
      </c>
      <c r="D3223" t="str">
        <f>"1104-2176"</f>
        <v>1104-2176</v>
      </c>
      <c r="E3223" t="s">
        <v>8</v>
      </c>
      <c r="F3223" t="s">
        <v>3233</v>
      </c>
      <c r="G3223">
        <v>1</v>
      </c>
    </row>
    <row r="3224" spans="1:7" x14ac:dyDescent="0.25">
      <c r="A3224">
        <v>17</v>
      </c>
      <c r="B3224" t="s">
        <v>2683</v>
      </c>
      <c r="C3224">
        <v>8782766</v>
      </c>
      <c r="E3224" t="s">
        <v>2100</v>
      </c>
      <c r="F3224" t="s">
        <v>3234</v>
      </c>
      <c r="G3224">
        <v>1</v>
      </c>
    </row>
    <row r="3225" spans="1:7" x14ac:dyDescent="0.25">
      <c r="A3225">
        <v>17</v>
      </c>
      <c r="B3225" t="s">
        <v>2683</v>
      </c>
      <c r="C3225">
        <v>2527</v>
      </c>
      <c r="D3225" t="str">
        <f>"1651-6036"</f>
        <v>1651-6036</v>
      </c>
      <c r="E3225" t="s">
        <v>8</v>
      </c>
      <c r="F3225" t="s">
        <v>3235</v>
      </c>
      <c r="G3225">
        <v>1</v>
      </c>
    </row>
    <row r="3226" spans="1:7" x14ac:dyDescent="0.25">
      <c r="A3226">
        <v>17</v>
      </c>
      <c r="B3226" t="s">
        <v>2683</v>
      </c>
      <c r="C3226">
        <v>8783035</v>
      </c>
      <c r="D3226" t="str">
        <f>"2002-2832"</f>
        <v>2002-2832</v>
      </c>
      <c r="E3226" t="s">
        <v>8</v>
      </c>
      <c r="F3226" t="s">
        <v>3236</v>
      </c>
      <c r="G3226">
        <v>1</v>
      </c>
    </row>
    <row r="3227" spans="1:7" x14ac:dyDescent="0.25">
      <c r="A3227">
        <v>17</v>
      </c>
      <c r="B3227" t="s">
        <v>2683</v>
      </c>
      <c r="C3227">
        <v>8782492</v>
      </c>
      <c r="E3227" t="s">
        <v>8</v>
      </c>
      <c r="F3227" t="s">
        <v>3237</v>
      </c>
      <c r="G3227">
        <v>1</v>
      </c>
    </row>
    <row r="3228" spans="1:7" x14ac:dyDescent="0.25">
      <c r="A3228">
        <v>17</v>
      </c>
      <c r="B3228" t="s">
        <v>2683</v>
      </c>
      <c r="C3228">
        <v>5068</v>
      </c>
      <c r="D3228" t="str">
        <f>"0029-2052"</f>
        <v>0029-2052</v>
      </c>
      <c r="E3228" t="s">
        <v>8</v>
      </c>
      <c r="F3228" t="s">
        <v>3238</v>
      </c>
      <c r="G3228">
        <v>1</v>
      </c>
    </row>
    <row r="3229" spans="1:7" x14ac:dyDescent="0.25">
      <c r="A3229">
        <v>17</v>
      </c>
      <c r="B3229" t="s">
        <v>2683</v>
      </c>
      <c r="C3229">
        <v>14129</v>
      </c>
      <c r="D3229" t="str">
        <f>"0332-7256"</f>
        <v>0332-7256</v>
      </c>
      <c r="E3229" t="s">
        <v>8</v>
      </c>
      <c r="F3229" t="s">
        <v>3239</v>
      </c>
      <c r="G3229">
        <v>1</v>
      </c>
    </row>
    <row r="3230" spans="1:7" x14ac:dyDescent="0.25">
      <c r="A3230">
        <v>17</v>
      </c>
      <c r="B3230" t="s">
        <v>2683</v>
      </c>
      <c r="C3230">
        <v>8407</v>
      </c>
      <c r="D3230" t="str">
        <f>"1074-8121"</f>
        <v>1074-8121</v>
      </c>
      <c r="E3230" t="s">
        <v>8</v>
      </c>
      <c r="F3230" t="s">
        <v>3240</v>
      </c>
      <c r="G3230">
        <v>1</v>
      </c>
    </row>
    <row r="3231" spans="1:7" x14ac:dyDescent="0.25">
      <c r="A3231">
        <v>17</v>
      </c>
      <c r="B3231" t="s">
        <v>2683</v>
      </c>
      <c r="C3231">
        <v>7695870</v>
      </c>
      <c r="D3231" t="str">
        <f>"2044-0294"</f>
        <v>2044-0294</v>
      </c>
      <c r="E3231" t="s">
        <v>8</v>
      </c>
      <c r="F3231" t="s">
        <v>3241</v>
      </c>
      <c r="G3231">
        <v>1</v>
      </c>
    </row>
    <row r="3232" spans="1:7" x14ac:dyDescent="0.25">
      <c r="A3232">
        <v>17</v>
      </c>
      <c r="B3232" t="s">
        <v>2683</v>
      </c>
      <c r="C3232">
        <v>2621</v>
      </c>
      <c r="D3232" t="str">
        <f>"0268-0513"</f>
        <v>0268-0513</v>
      </c>
      <c r="E3232" t="s">
        <v>8</v>
      </c>
      <c r="F3232" t="s">
        <v>3242</v>
      </c>
      <c r="G3232">
        <v>1</v>
      </c>
    </row>
    <row r="3233" spans="1:7" x14ac:dyDescent="0.25">
      <c r="A3233">
        <v>17</v>
      </c>
      <c r="B3233" t="s">
        <v>2683</v>
      </c>
      <c r="C3233">
        <v>8783806</v>
      </c>
      <c r="D3233" t="str">
        <f>"2512-1170"</f>
        <v>2512-1170</v>
      </c>
      <c r="E3233" t="s">
        <v>15</v>
      </c>
      <c r="F3233" t="s">
        <v>3243</v>
      </c>
      <c r="G3233">
        <v>1</v>
      </c>
    </row>
    <row r="3234" spans="1:7" x14ac:dyDescent="0.25">
      <c r="A3234">
        <v>17</v>
      </c>
      <c r="B3234" t="s">
        <v>2683</v>
      </c>
      <c r="C3234">
        <v>7742564</v>
      </c>
      <c r="E3234" t="s">
        <v>8</v>
      </c>
      <c r="F3234" t="s">
        <v>3244</v>
      </c>
      <c r="G3234">
        <v>1</v>
      </c>
    </row>
    <row r="3235" spans="1:7" x14ac:dyDescent="0.25">
      <c r="A3235">
        <v>17</v>
      </c>
      <c r="B3235" t="s">
        <v>2683</v>
      </c>
      <c r="C3235">
        <v>8782485</v>
      </c>
      <c r="D3235" t="str">
        <f>"2446-1814"</f>
        <v>2446-1814</v>
      </c>
      <c r="E3235" t="s">
        <v>15</v>
      </c>
      <c r="F3235" t="s">
        <v>3245</v>
      </c>
      <c r="G3235">
        <v>1</v>
      </c>
    </row>
    <row r="3236" spans="1:7" x14ac:dyDescent="0.25">
      <c r="A3236">
        <v>17</v>
      </c>
      <c r="B3236" t="s">
        <v>2683</v>
      </c>
      <c r="C3236">
        <v>8783036</v>
      </c>
      <c r="E3236" t="s">
        <v>8</v>
      </c>
      <c r="F3236" t="s">
        <v>3246</v>
      </c>
      <c r="G3236">
        <v>1</v>
      </c>
    </row>
    <row r="3237" spans="1:7" x14ac:dyDescent="0.25">
      <c r="A3237">
        <v>17</v>
      </c>
      <c r="B3237" t="s">
        <v>2683</v>
      </c>
      <c r="C3237">
        <v>11851</v>
      </c>
      <c r="D3237" t="str">
        <f>"0961-2149"</f>
        <v>0961-2149</v>
      </c>
      <c r="E3237" t="s">
        <v>15</v>
      </c>
      <c r="F3237" t="s">
        <v>3247</v>
      </c>
      <c r="G3237">
        <v>1</v>
      </c>
    </row>
    <row r="3238" spans="1:7" x14ac:dyDescent="0.25">
      <c r="A3238">
        <v>17</v>
      </c>
      <c r="B3238" t="s">
        <v>2683</v>
      </c>
      <c r="C3238">
        <v>170089</v>
      </c>
      <c r="D3238" t="str">
        <f>"1904-9633"</f>
        <v>1904-9633</v>
      </c>
      <c r="E3238" t="s">
        <v>8</v>
      </c>
      <c r="F3238" t="s">
        <v>3248</v>
      </c>
      <c r="G3238">
        <v>1</v>
      </c>
    </row>
    <row r="3239" spans="1:7" x14ac:dyDescent="0.25">
      <c r="A3239">
        <v>17</v>
      </c>
      <c r="B3239" t="s">
        <v>2683</v>
      </c>
      <c r="C3239">
        <v>102699</v>
      </c>
      <c r="D3239" t="str">
        <f>"1916-0348"</f>
        <v>1916-0348</v>
      </c>
      <c r="E3239" t="s">
        <v>8</v>
      </c>
      <c r="F3239" t="s">
        <v>3249</v>
      </c>
      <c r="G3239">
        <v>1</v>
      </c>
    </row>
    <row r="3240" spans="1:7" x14ac:dyDescent="0.25">
      <c r="A3240">
        <v>17</v>
      </c>
      <c r="B3240" t="s">
        <v>2683</v>
      </c>
      <c r="C3240">
        <v>8758258</v>
      </c>
      <c r="D3240" t="str">
        <f>"1974-6814"</f>
        <v>1974-6814</v>
      </c>
      <c r="E3240" t="s">
        <v>8</v>
      </c>
      <c r="F3240" t="s">
        <v>3250</v>
      </c>
      <c r="G3240">
        <v>1</v>
      </c>
    </row>
    <row r="3241" spans="1:7" x14ac:dyDescent="0.25">
      <c r="A3241">
        <v>17</v>
      </c>
      <c r="B3241" t="s">
        <v>2683</v>
      </c>
      <c r="C3241">
        <v>8783807</v>
      </c>
      <c r="E3241" t="s">
        <v>15</v>
      </c>
      <c r="F3241" t="s">
        <v>3251</v>
      </c>
      <c r="G3241">
        <v>1</v>
      </c>
    </row>
    <row r="3242" spans="1:7" x14ac:dyDescent="0.25">
      <c r="A3242">
        <v>17</v>
      </c>
      <c r="B3242" t="s">
        <v>2683</v>
      </c>
      <c r="C3242">
        <v>180031</v>
      </c>
      <c r="E3242" t="s">
        <v>15</v>
      </c>
      <c r="F3242" t="s">
        <v>3252</v>
      </c>
      <c r="G3242">
        <v>1</v>
      </c>
    </row>
    <row r="3243" spans="1:7" x14ac:dyDescent="0.25">
      <c r="A3243">
        <v>17</v>
      </c>
      <c r="B3243" t="s">
        <v>2683</v>
      </c>
      <c r="C3243">
        <v>6393</v>
      </c>
      <c r="D3243" t="str">
        <f>"0264-3944"</f>
        <v>0264-3944</v>
      </c>
      <c r="E3243" t="s">
        <v>8</v>
      </c>
      <c r="F3243" t="s">
        <v>3253</v>
      </c>
      <c r="G3243">
        <v>1</v>
      </c>
    </row>
    <row r="3244" spans="1:7" x14ac:dyDescent="0.25">
      <c r="A3244">
        <v>17</v>
      </c>
      <c r="B3244" t="s">
        <v>2683</v>
      </c>
      <c r="C3244">
        <v>550</v>
      </c>
      <c r="D3244" t="str">
        <f>"0161-956X"</f>
        <v>0161-956X</v>
      </c>
      <c r="E3244" t="s">
        <v>8</v>
      </c>
      <c r="F3244" t="s">
        <v>3254</v>
      </c>
      <c r="G3244">
        <v>1</v>
      </c>
    </row>
    <row r="3245" spans="1:7" x14ac:dyDescent="0.25">
      <c r="A3245">
        <v>17</v>
      </c>
      <c r="B3245" t="s">
        <v>2683</v>
      </c>
      <c r="C3245">
        <v>6736</v>
      </c>
      <c r="D3245" t="str">
        <f>"1401-6788"</f>
        <v>1401-6788</v>
      </c>
      <c r="E3245" t="s">
        <v>8</v>
      </c>
      <c r="F3245" t="s">
        <v>3255</v>
      </c>
      <c r="G3245">
        <v>1</v>
      </c>
    </row>
    <row r="3246" spans="1:7" x14ac:dyDescent="0.25">
      <c r="A3246">
        <v>17</v>
      </c>
      <c r="B3246" t="s">
        <v>2683</v>
      </c>
      <c r="C3246">
        <v>9256</v>
      </c>
      <c r="D3246" t="str">
        <f>"1468-1366"</f>
        <v>1468-1366</v>
      </c>
      <c r="E3246" t="s">
        <v>8</v>
      </c>
      <c r="F3246" t="s">
        <v>3256</v>
      </c>
      <c r="G3246">
        <v>1</v>
      </c>
    </row>
    <row r="3247" spans="1:7" x14ac:dyDescent="0.25">
      <c r="A3247">
        <v>17</v>
      </c>
      <c r="B3247" t="s">
        <v>2683</v>
      </c>
      <c r="C3247">
        <v>2109</v>
      </c>
      <c r="D3247" t="str">
        <f>"1531-4200"</f>
        <v>1531-4200</v>
      </c>
      <c r="E3247" t="s">
        <v>8</v>
      </c>
      <c r="F3247" t="s">
        <v>3257</v>
      </c>
      <c r="G3247">
        <v>1</v>
      </c>
    </row>
    <row r="3248" spans="1:7" x14ac:dyDescent="0.25">
      <c r="A3248">
        <v>17</v>
      </c>
      <c r="B3248" t="s">
        <v>2683</v>
      </c>
      <c r="C3248">
        <v>13125</v>
      </c>
      <c r="D3248" t="str">
        <f>"0258-2236"</f>
        <v>0258-2236</v>
      </c>
      <c r="E3248" t="s">
        <v>8</v>
      </c>
      <c r="F3248" t="s">
        <v>3258</v>
      </c>
      <c r="G3248">
        <v>1</v>
      </c>
    </row>
    <row r="3249" spans="1:7" x14ac:dyDescent="0.25">
      <c r="A3249">
        <v>17</v>
      </c>
      <c r="B3249" t="s">
        <v>2683</v>
      </c>
      <c r="C3249">
        <v>143022</v>
      </c>
      <c r="D3249" t="str">
        <f>"1542-1422"</f>
        <v>1542-1422</v>
      </c>
      <c r="E3249" t="s">
        <v>8</v>
      </c>
      <c r="F3249" t="s">
        <v>3259</v>
      </c>
      <c r="G3249">
        <v>1</v>
      </c>
    </row>
    <row r="3250" spans="1:7" x14ac:dyDescent="0.25">
      <c r="A3250">
        <v>17</v>
      </c>
      <c r="B3250" t="s">
        <v>2683</v>
      </c>
      <c r="C3250">
        <v>7672444</v>
      </c>
      <c r="D3250" t="str">
        <f>"2212-2761"</f>
        <v>2212-2761</v>
      </c>
      <c r="E3250" t="s">
        <v>8</v>
      </c>
      <c r="F3250" t="s">
        <v>3260</v>
      </c>
      <c r="G3250">
        <v>1</v>
      </c>
    </row>
    <row r="3251" spans="1:7" x14ac:dyDescent="0.25">
      <c r="A3251">
        <v>17</v>
      </c>
      <c r="B3251" t="s">
        <v>2683</v>
      </c>
      <c r="C3251">
        <v>9296</v>
      </c>
      <c r="D3251" t="str">
        <f>"1360-3108"</f>
        <v>1360-3108</v>
      </c>
      <c r="E3251" t="s">
        <v>8</v>
      </c>
      <c r="F3251" t="s">
        <v>3261</v>
      </c>
      <c r="G3251">
        <v>1</v>
      </c>
    </row>
    <row r="3252" spans="1:7" x14ac:dyDescent="0.25">
      <c r="A3252">
        <v>17</v>
      </c>
      <c r="B3252" t="s">
        <v>2683</v>
      </c>
      <c r="C3252">
        <v>12572</v>
      </c>
      <c r="D3252" t="str">
        <f>"1560-2214"</f>
        <v>1560-2214</v>
      </c>
      <c r="E3252" t="s">
        <v>8</v>
      </c>
      <c r="F3252" t="s">
        <v>3262</v>
      </c>
      <c r="G3252">
        <v>1</v>
      </c>
    </row>
    <row r="3253" spans="1:7" x14ac:dyDescent="0.25">
      <c r="A3253">
        <v>17</v>
      </c>
      <c r="B3253" t="s">
        <v>2683</v>
      </c>
      <c r="C3253">
        <v>12669</v>
      </c>
      <c r="D3253" t="str">
        <f>"0031-7217"</f>
        <v>0031-7217</v>
      </c>
      <c r="E3253" t="s">
        <v>8</v>
      </c>
      <c r="F3253" t="s">
        <v>3263</v>
      </c>
      <c r="G3253">
        <v>1</v>
      </c>
    </row>
    <row r="3254" spans="1:7" x14ac:dyDescent="0.25">
      <c r="A3254">
        <v>17</v>
      </c>
      <c r="B3254" t="s">
        <v>2683</v>
      </c>
      <c r="C3254">
        <v>8783854</v>
      </c>
      <c r="D3254" t="str">
        <f>"2578-5753"</f>
        <v>2578-5753</v>
      </c>
      <c r="E3254" t="s">
        <v>15</v>
      </c>
      <c r="F3254" t="s">
        <v>3264</v>
      </c>
      <c r="G3254">
        <v>1</v>
      </c>
    </row>
    <row r="3255" spans="1:7" x14ac:dyDescent="0.25">
      <c r="A3255">
        <v>17</v>
      </c>
      <c r="B3255" t="s">
        <v>2683</v>
      </c>
      <c r="C3255">
        <v>86147</v>
      </c>
      <c r="D3255" t="str">
        <f>"1465-2978"</f>
        <v>1465-2978</v>
      </c>
      <c r="E3255" t="s">
        <v>8</v>
      </c>
      <c r="F3255" t="s">
        <v>3265</v>
      </c>
      <c r="G3255">
        <v>1</v>
      </c>
    </row>
    <row r="3256" spans="1:7" x14ac:dyDescent="0.25">
      <c r="A3256">
        <v>17</v>
      </c>
      <c r="B3256" t="s">
        <v>2683</v>
      </c>
      <c r="C3256">
        <v>130023</v>
      </c>
      <c r="E3256" t="s">
        <v>8</v>
      </c>
      <c r="F3256" t="s">
        <v>3266</v>
      </c>
      <c r="G3256">
        <v>1</v>
      </c>
    </row>
    <row r="3257" spans="1:7" x14ac:dyDescent="0.25">
      <c r="A3257">
        <v>17</v>
      </c>
      <c r="B3257" t="s">
        <v>2683</v>
      </c>
      <c r="C3257">
        <v>3556</v>
      </c>
      <c r="D3257" t="str">
        <f>"0031-9120"</f>
        <v>0031-9120</v>
      </c>
      <c r="E3257" t="s">
        <v>8</v>
      </c>
      <c r="F3257" t="s">
        <v>3267</v>
      </c>
      <c r="G3257">
        <v>1</v>
      </c>
    </row>
    <row r="3258" spans="1:7" x14ac:dyDescent="0.25">
      <c r="A3258">
        <v>17</v>
      </c>
      <c r="B3258" t="s">
        <v>2683</v>
      </c>
      <c r="C3258">
        <v>107</v>
      </c>
      <c r="E3258" t="s">
        <v>8</v>
      </c>
      <c r="F3258" t="s">
        <v>3268</v>
      </c>
      <c r="G3258">
        <v>1</v>
      </c>
    </row>
    <row r="3259" spans="1:7" x14ac:dyDescent="0.25">
      <c r="A3259">
        <v>17</v>
      </c>
      <c r="B3259" t="s">
        <v>2683</v>
      </c>
      <c r="C3259">
        <v>180041</v>
      </c>
      <c r="E3259" t="s">
        <v>15</v>
      </c>
      <c r="F3259" t="s">
        <v>3269</v>
      </c>
      <c r="G3259">
        <v>1</v>
      </c>
    </row>
    <row r="3260" spans="1:7" x14ac:dyDescent="0.25">
      <c r="A3260">
        <v>17</v>
      </c>
      <c r="B3260" t="s">
        <v>2683</v>
      </c>
      <c r="C3260">
        <v>6246347</v>
      </c>
      <c r="D3260" t="str">
        <f>"1757-7438"</f>
        <v>1757-7438</v>
      </c>
      <c r="E3260" t="s">
        <v>8</v>
      </c>
      <c r="F3260" t="s">
        <v>3270</v>
      </c>
      <c r="G3260">
        <v>1</v>
      </c>
    </row>
    <row r="3261" spans="1:7" x14ac:dyDescent="0.25">
      <c r="A3261">
        <v>17</v>
      </c>
      <c r="B3261" t="s">
        <v>2683</v>
      </c>
      <c r="C3261">
        <v>8909</v>
      </c>
      <c r="E3261" t="s">
        <v>8</v>
      </c>
      <c r="F3261" t="s">
        <v>3271</v>
      </c>
      <c r="G3261">
        <v>1</v>
      </c>
    </row>
    <row r="3262" spans="1:7" x14ac:dyDescent="0.25">
      <c r="A3262">
        <v>17</v>
      </c>
      <c r="B3262" t="s">
        <v>2683</v>
      </c>
      <c r="C3262">
        <v>4041</v>
      </c>
      <c r="D3262" t="str">
        <f>"1051-1970"</f>
        <v>1051-1970</v>
      </c>
      <c r="E3262" t="s">
        <v>8</v>
      </c>
      <c r="F3262" t="s">
        <v>3272</v>
      </c>
      <c r="G3262">
        <v>1</v>
      </c>
    </row>
    <row r="3263" spans="1:7" x14ac:dyDescent="0.25">
      <c r="A3263">
        <v>17</v>
      </c>
      <c r="B3263" t="s">
        <v>2683</v>
      </c>
      <c r="C3263">
        <v>11232</v>
      </c>
      <c r="D3263" t="str">
        <f>"1941-5257"</f>
        <v>1941-5257</v>
      </c>
      <c r="E3263" t="s">
        <v>8</v>
      </c>
      <c r="F3263" t="s">
        <v>3273</v>
      </c>
      <c r="G3263">
        <v>1</v>
      </c>
    </row>
    <row r="3264" spans="1:7" x14ac:dyDescent="0.25">
      <c r="A3264">
        <v>17</v>
      </c>
      <c r="B3264" t="s">
        <v>2683</v>
      </c>
      <c r="C3264">
        <v>5775</v>
      </c>
      <c r="D3264" t="str">
        <f>"0033-1538"</f>
        <v>0033-1538</v>
      </c>
      <c r="E3264" t="s">
        <v>8</v>
      </c>
      <c r="F3264" t="s">
        <v>3274</v>
      </c>
      <c r="G3264">
        <v>1</v>
      </c>
    </row>
    <row r="3265" spans="1:7" x14ac:dyDescent="0.25">
      <c r="A3265">
        <v>17</v>
      </c>
      <c r="B3265" t="s">
        <v>2683</v>
      </c>
      <c r="C3265">
        <v>26984</v>
      </c>
      <c r="D3265" t="str">
        <f>"1903-0002"</f>
        <v>1903-0002</v>
      </c>
      <c r="E3265" t="s">
        <v>8</v>
      </c>
      <c r="F3265" t="s">
        <v>3275</v>
      </c>
      <c r="G3265">
        <v>1</v>
      </c>
    </row>
    <row r="3266" spans="1:7" x14ac:dyDescent="0.25">
      <c r="A3266">
        <v>17</v>
      </c>
      <c r="B3266" t="s">
        <v>2683</v>
      </c>
      <c r="C3266">
        <v>7756411</v>
      </c>
      <c r="D3266" t="str">
        <f>"2014-6418"</f>
        <v>2014-6418</v>
      </c>
      <c r="E3266" t="s">
        <v>8</v>
      </c>
      <c r="F3266" t="s">
        <v>3276</v>
      </c>
      <c r="G3266">
        <v>1</v>
      </c>
    </row>
    <row r="3267" spans="1:7" x14ac:dyDescent="0.25">
      <c r="A3267">
        <v>17</v>
      </c>
      <c r="B3267" t="s">
        <v>2683</v>
      </c>
      <c r="C3267">
        <v>4758</v>
      </c>
      <c r="D3267" t="str">
        <f>"0968-4883"</f>
        <v>0968-4883</v>
      </c>
      <c r="E3267" t="s">
        <v>8</v>
      </c>
      <c r="F3267" t="s">
        <v>3277</v>
      </c>
      <c r="G3267">
        <v>1</v>
      </c>
    </row>
    <row r="3268" spans="1:7" x14ac:dyDescent="0.25">
      <c r="A3268">
        <v>17</v>
      </c>
      <c r="B3268" t="s">
        <v>2683</v>
      </c>
      <c r="C3268">
        <v>8177</v>
      </c>
      <c r="D3268" t="str">
        <f>"1353-8322"</f>
        <v>1353-8322</v>
      </c>
      <c r="E3268" t="s">
        <v>8</v>
      </c>
      <c r="F3268" t="s">
        <v>3278</v>
      </c>
      <c r="G3268">
        <v>1</v>
      </c>
    </row>
    <row r="3269" spans="1:7" x14ac:dyDescent="0.25">
      <c r="A3269">
        <v>17</v>
      </c>
      <c r="B3269" t="s">
        <v>2683</v>
      </c>
      <c r="C3269">
        <v>7688302</v>
      </c>
      <c r="D3269" t="str">
        <f>"2110-6460"</f>
        <v>2110-6460</v>
      </c>
      <c r="E3269" t="s">
        <v>8</v>
      </c>
      <c r="F3269" t="s">
        <v>3279</v>
      </c>
      <c r="G3269">
        <v>1</v>
      </c>
    </row>
    <row r="3270" spans="1:7" x14ac:dyDescent="0.25">
      <c r="A3270">
        <v>17</v>
      </c>
      <c r="B3270" t="s">
        <v>2683</v>
      </c>
      <c r="C3270">
        <v>13014</v>
      </c>
      <c r="D3270" t="str">
        <f>"1057-3569"</f>
        <v>1057-3569</v>
      </c>
      <c r="E3270" t="s">
        <v>8</v>
      </c>
      <c r="F3270" t="s">
        <v>3280</v>
      </c>
      <c r="G3270">
        <v>1</v>
      </c>
    </row>
    <row r="3271" spans="1:7" x14ac:dyDescent="0.25">
      <c r="A3271">
        <v>17</v>
      </c>
      <c r="B3271" t="s">
        <v>2683</v>
      </c>
      <c r="C3271">
        <v>12247</v>
      </c>
      <c r="D3271" t="str">
        <f>"0922-4777"</f>
        <v>0922-4777</v>
      </c>
      <c r="E3271" t="s">
        <v>8</v>
      </c>
      <c r="F3271" t="s">
        <v>3281</v>
      </c>
      <c r="G3271">
        <v>1</v>
      </c>
    </row>
    <row r="3272" spans="1:7" x14ac:dyDescent="0.25">
      <c r="A3272">
        <v>17</v>
      </c>
      <c r="B3272" t="s">
        <v>2683</v>
      </c>
      <c r="C3272">
        <v>16608</v>
      </c>
      <c r="D3272" t="str">
        <f>"0958-3440"</f>
        <v>0958-3440</v>
      </c>
      <c r="E3272" t="s">
        <v>8</v>
      </c>
      <c r="F3272" t="s">
        <v>3282</v>
      </c>
      <c r="G3272">
        <v>1</v>
      </c>
    </row>
    <row r="3273" spans="1:7" x14ac:dyDescent="0.25">
      <c r="A3273">
        <v>17</v>
      </c>
      <c r="B3273" t="s">
        <v>2683</v>
      </c>
      <c r="C3273">
        <v>7705930</v>
      </c>
      <c r="E3273" t="s">
        <v>8</v>
      </c>
      <c r="F3273" t="s">
        <v>3283</v>
      </c>
      <c r="G3273">
        <v>1</v>
      </c>
    </row>
    <row r="3274" spans="1:7" x14ac:dyDescent="0.25">
      <c r="A3274">
        <v>17</v>
      </c>
      <c r="B3274" t="s">
        <v>2683</v>
      </c>
      <c r="C3274">
        <v>145386</v>
      </c>
      <c r="D3274" t="str">
        <f>"0325-2221"</f>
        <v>0325-2221</v>
      </c>
      <c r="E3274" t="s">
        <v>8</v>
      </c>
      <c r="F3274" t="s">
        <v>3284</v>
      </c>
      <c r="G3274">
        <v>1</v>
      </c>
    </row>
    <row r="3275" spans="1:7" x14ac:dyDescent="0.25">
      <c r="A3275">
        <v>17</v>
      </c>
      <c r="B3275" t="s">
        <v>2683</v>
      </c>
      <c r="C3275">
        <v>42</v>
      </c>
      <c r="D3275" t="str">
        <f>"1134-4032"</f>
        <v>1134-4032</v>
      </c>
      <c r="E3275" t="s">
        <v>8</v>
      </c>
      <c r="F3275" t="s">
        <v>3285</v>
      </c>
      <c r="G3275">
        <v>1</v>
      </c>
    </row>
    <row r="3276" spans="1:7" x14ac:dyDescent="0.25">
      <c r="A3276">
        <v>17</v>
      </c>
      <c r="B3276" t="s">
        <v>2683</v>
      </c>
      <c r="C3276">
        <v>7629563</v>
      </c>
      <c r="D3276" t="str">
        <f>"1793-2068"</f>
        <v>1793-2068</v>
      </c>
      <c r="E3276" t="s">
        <v>8</v>
      </c>
      <c r="F3276" t="s">
        <v>3286</v>
      </c>
      <c r="G3276">
        <v>1</v>
      </c>
    </row>
    <row r="3277" spans="1:7" x14ac:dyDescent="0.25">
      <c r="A3277">
        <v>17</v>
      </c>
      <c r="B3277" t="s">
        <v>2683</v>
      </c>
      <c r="C3277">
        <v>5739</v>
      </c>
      <c r="E3277" t="s">
        <v>8</v>
      </c>
      <c r="F3277" t="s">
        <v>3287</v>
      </c>
      <c r="G3277">
        <v>1</v>
      </c>
    </row>
    <row r="3278" spans="1:7" x14ac:dyDescent="0.25">
      <c r="A3278">
        <v>17</v>
      </c>
      <c r="B3278" t="s">
        <v>2683</v>
      </c>
      <c r="C3278">
        <v>12070</v>
      </c>
      <c r="D3278" t="str">
        <f>"0034-5237"</f>
        <v>0034-5237</v>
      </c>
      <c r="E3278" t="s">
        <v>8</v>
      </c>
      <c r="F3278" t="s">
        <v>3288</v>
      </c>
      <c r="G3278">
        <v>1</v>
      </c>
    </row>
    <row r="3279" spans="1:7" x14ac:dyDescent="0.25">
      <c r="A3279">
        <v>17</v>
      </c>
      <c r="B3279" t="s">
        <v>2683</v>
      </c>
      <c r="C3279">
        <v>10678</v>
      </c>
      <c r="D3279" t="str">
        <f>"1359-6748"</f>
        <v>1359-6748</v>
      </c>
      <c r="E3279" t="s">
        <v>8</v>
      </c>
      <c r="F3279" t="s">
        <v>3289</v>
      </c>
      <c r="G3279">
        <v>1</v>
      </c>
    </row>
    <row r="3280" spans="1:7" x14ac:dyDescent="0.25">
      <c r="A3280">
        <v>17</v>
      </c>
      <c r="B3280" t="s">
        <v>2683</v>
      </c>
      <c r="C3280">
        <v>9134</v>
      </c>
      <c r="D3280" t="str">
        <f>"0263-5143"</f>
        <v>0263-5143</v>
      </c>
      <c r="E3280" t="s">
        <v>8</v>
      </c>
      <c r="F3280" t="s">
        <v>3290</v>
      </c>
      <c r="G3280">
        <v>1</v>
      </c>
    </row>
    <row r="3281" spans="1:7" x14ac:dyDescent="0.25">
      <c r="A3281">
        <v>17</v>
      </c>
      <c r="B3281" t="s">
        <v>2683</v>
      </c>
      <c r="C3281">
        <v>2816</v>
      </c>
      <c r="D3281" t="str">
        <f>"0267-1522"</f>
        <v>0267-1522</v>
      </c>
      <c r="E3281" t="s">
        <v>8</v>
      </c>
      <c r="F3281" t="s">
        <v>3291</v>
      </c>
      <c r="G3281">
        <v>1</v>
      </c>
    </row>
    <row r="3282" spans="1:7" x14ac:dyDescent="0.25">
      <c r="A3282">
        <v>17</v>
      </c>
      <c r="B3282" t="s">
        <v>2683</v>
      </c>
      <c r="C3282">
        <v>7703859</v>
      </c>
      <c r="D3282" t="str">
        <f>"1759-2879"</f>
        <v>1759-2879</v>
      </c>
      <c r="E3282" t="s">
        <v>8</v>
      </c>
      <c r="F3282" t="s">
        <v>3292</v>
      </c>
      <c r="G3282">
        <v>1</v>
      </c>
    </row>
    <row r="3283" spans="1:7" x14ac:dyDescent="0.25">
      <c r="A3283">
        <v>17</v>
      </c>
      <c r="B3283" t="s">
        <v>2683</v>
      </c>
      <c r="C3283">
        <v>180042</v>
      </c>
      <c r="E3283" t="s">
        <v>8</v>
      </c>
      <c r="F3283" t="s">
        <v>3293</v>
      </c>
      <c r="G3283">
        <v>1</v>
      </c>
    </row>
    <row r="3284" spans="1:7" x14ac:dyDescent="0.25">
      <c r="A3284">
        <v>17</v>
      </c>
      <c r="B3284" t="s">
        <v>2683</v>
      </c>
      <c r="C3284">
        <v>5243</v>
      </c>
      <c r="D3284" t="str">
        <f>"1699-5880"</f>
        <v>1699-5880</v>
      </c>
      <c r="E3284" t="s">
        <v>8</v>
      </c>
      <c r="F3284" t="s">
        <v>3294</v>
      </c>
      <c r="G3284">
        <v>1</v>
      </c>
    </row>
    <row r="3285" spans="1:7" x14ac:dyDescent="0.25">
      <c r="A3285">
        <v>17</v>
      </c>
      <c r="B3285" t="s">
        <v>2683</v>
      </c>
      <c r="C3285">
        <v>75678</v>
      </c>
      <c r="D3285" t="str">
        <f>"1137-8654"</f>
        <v>1137-8654</v>
      </c>
      <c r="E3285" t="s">
        <v>15</v>
      </c>
      <c r="F3285" t="s">
        <v>3295</v>
      </c>
      <c r="G3285">
        <v>1</v>
      </c>
    </row>
    <row r="3286" spans="1:7" x14ac:dyDescent="0.25">
      <c r="A3286">
        <v>17</v>
      </c>
      <c r="B3286" t="s">
        <v>2683</v>
      </c>
      <c r="C3286">
        <v>125777</v>
      </c>
      <c r="E3286" t="s">
        <v>8</v>
      </c>
      <c r="F3286" t="s">
        <v>3296</v>
      </c>
      <c r="G3286">
        <v>1</v>
      </c>
    </row>
    <row r="3287" spans="1:7" x14ac:dyDescent="0.25">
      <c r="A3287">
        <v>17</v>
      </c>
      <c r="B3287" t="s">
        <v>2683</v>
      </c>
      <c r="C3287">
        <v>154349</v>
      </c>
      <c r="D3287" t="str">
        <f>"2011-5474"</f>
        <v>2011-5474</v>
      </c>
      <c r="E3287" t="s">
        <v>8</v>
      </c>
      <c r="F3287" t="s">
        <v>3297</v>
      </c>
      <c r="G3287">
        <v>1</v>
      </c>
    </row>
    <row r="3288" spans="1:7" x14ac:dyDescent="0.25">
      <c r="A3288">
        <v>17</v>
      </c>
      <c r="B3288" t="s">
        <v>2683</v>
      </c>
      <c r="C3288">
        <v>9991</v>
      </c>
      <c r="D3288" t="str">
        <f>"1405-6666"</f>
        <v>1405-6666</v>
      </c>
      <c r="E3288" t="s">
        <v>8</v>
      </c>
      <c r="F3288" t="s">
        <v>3298</v>
      </c>
      <c r="G3288">
        <v>1</v>
      </c>
    </row>
    <row r="3289" spans="1:7" x14ac:dyDescent="0.25">
      <c r="A3289">
        <v>17</v>
      </c>
      <c r="B3289" t="s">
        <v>2683</v>
      </c>
      <c r="C3289">
        <v>9794</v>
      </c>
      <c r="D3289" t="str">
        <f>"1571-4667"</f>
        <v>1571-4667</v>
      </c>
      <c r="E3289" t="s">
        <v>8</v>
      </c>
      <c r="F3289" t="s">
        <v>3299</v>
      </c>
      <c r="G3289">
        <v>1</v>
      </c>
    </row>
    <row r="3290" spans="1:7" x14ac:dyDescent="0.25">
      <c r="A3290">
        <v>17</v>
      </c>
      <c r="B3290" t="s">
        <v>2683</v>
      </c>
      <c r="C3290">
        <v>2010</v>
      </c>
      <c r="D3290" t="str">
        <f>"0556-7807"</f>
        <v>0556-7807</v>
      </c>
      <c r="E3290" t="s">
        <v>8</v>
      </c>
      <c r="F3290" t="s">
        <v>3300</v>
      </c>
      <c r="G3290">
        <v>1</v>
      </c>
    </row>
    <row r="3291" spans="1:7" x14ac:dyDescent="0.25">
      <c r="A3291">
        <v>17</v>
      </c>
      <c r="B3291" t="s">
        <v>2683</v>
      </c>
      <c r="C3291">
        <v>7714845</v>
      </c>
      <c r="D3291" t="str">
        <f>"1891-6511"</f>
        <v>1891-6511</v>
      </c>
      <c r="E3291" t="s">
        <v>8</v>
      </c>
      <c r="F3291" t="s">
        <v>3301</v>
      </c>
      <c r="G3291">
        <v>1</v>
      </c>
    </row>
    <row r="3292" spans="1:7" x14ac:dyDescent="0.25">
      <c r="A3292">
        <v>17</v>
      </c>
      <c r="B3292" t="s">
        <v>2683</v>
      </c>
      <c r="C3292">
        <v>8783808</v>
      </c>
      <c r="E3292" t="s">
        <v>15</v>
      </c>
      <c r="F3292" t="s">
        <v>3302</v>
      </c>
      <c r="G3292">
        <v>1</v>
      </c>
    </row>
    <row r="3293" spans="1:7" x14ac:dyDescent="0.25">
      <c r="A3293">
        <v>17</v>
      </c>
      <c r="B3293" t="s">
        <v>2683</v>
      </c>
      <c r="C3293">
        <v>8783809</v>
      </c>
      <c r="E3293" t="s">
        <v>15</v>
      </c>
      <c r="F3293" t="s">
        <v>3303</v>
      </c>
      <c r="G3293">
        <v>1</v>
      </c>
    </row>
    <row r="3294" spans="1:7" x14ac:dyDescent="0.25">
      <c r="A3294">
        <v>17</v>
      </c>
      <c r="B3294" t="s">
        <v>2683</v>
      </c>
      <c r="C3294">
        <v>8783810</v>
      </c>
      <c r="E3294" t="s">
        <v>15</v>
      </c>
      <c r="F3294" t="s">
        <v>3304</v>
      </c>
      <c r="G3294">
        <v>1</v>
      </c>
    </row>
    <row r="3295" spans="1:7" x14ac:dyDescent="0.25">
      <c r="A3295">
        <v>17</v>
      </c>
      <c r="B3295" t="s">
        <v>2683</v>
      </c>
      <c r="C3295">
        <v>16236</v>
      </c>
      <c r="D3295" t="str">
        <f>"1060-9393"</f>
        <v>1060-9393</v>
      </c>
      <c r="E3295" t="s">
        <v>8</v>
      </c>
      <c r="F3295" t="s">
        <v>3305</v>
      </c>
      <c r="G3295">
        <v>1</v>
      </c>
    </row>
    <row r="3296" spans="1:7" x14ac:dyDescent="0.25">
      <c r="A3296">
        <v>17</v>
      </c>
      <c r="B3296" t="s">
        <v>2683</v>
      </c>
      <c r="C3296">
        <v>8783811</v>
      </c>
      <c r="E3296" t="s">
        <v>15</v>
      </c>
      <c r="F3296" t="s">
        <v>3306</v>
      </c>
      <c r="G3296">
        <v>1</v>
      </c>
    </row>
    <row r="3297" spans="1:7" x14ac:dyDescent="0.25">
      <c r="A3297">
        <v>17</v>
      </c>
      <c r="B3297" t="s">
        <v>2683</v>
      </c>
      <c r="C3297">
        <v>8783853</v>
      </c>
      <c r="E3297" t="s">
        <v>2100</v>
      </c>
      <c r="F3297" t="s">
        <v>3307</v>
      </c>
      <c r="G3297">
        <v>1</v>
      </c>
    </row>
    <row r="3298" spans="1:7" x14ac:dyDescent="0.25">
      <c r="A3298">
        <v>17</v>
      </c>
      <c r="B3298" t="s">
        <v>2683</v>
      </c>
      <c r="C3298">
        <v>6272823</v>
      </c>
      <c r="D3298" t="str">
        <f>"1364-2626"</f>
        <v>1364-2626</v>
      </c>
      <c r="E3298" t="s">
        <v>8</v>
      </c>
      <c r="F3298" t="s">
        <v>3308</v>
      </c>
      <c r="G3298">
        <v>1</v>
      </c>
    </row>
    <row r="3299" spans="1:7" x14ac:dyDescent="0.25">
      <c r="A3299">
        <v>17</v>
      </c>
      <c r="B3299" t="s">
        <v>2683</v>
      </c>
      <c r="C3299">
        <v>9984</v>
      </c>
      <c r="D3299" t="str">
        <f>"0036-6803"</f>
        <v>0036-6803</v>
      </c>
      <c r="E3299" t="s">
        <v>8</v>
      </c>
      <c r="F3299" t="s">
        <v>3309</v>
      </c>
      <c r="G3299">
        <v>1</v>
      </c>
    </row>
    <row r="3300" spans="1:7" x14ac:dyDescent="0.25">
      <c r="A3300">
        <v>17</v>
      </c>
      <c r="B3300" t="s">
        <v>2683</v>
      </c>
      <c r="C3300">
        <v>22664</v>
      </c>
      <c r="D3300" t="str">
        <f>"0036-6811"</f>
        <v>0036-6811</v>
      </c>
      <c r="E3300" t="s">
        <v>8</v>
      </c>
      <c r="F3300" t="s">
        <v>3310</v>
      </c>
      <c r="G3300">
        <v>1</v>
      </c>
    </row>
    <row r="3301" spans="1:7" x14ac:dyDescent="0.25">
      <c r="A3301">
        <v>17</v>
      </c>
      <c r="B3301" t="s">
        <v>2683</v>
      </c>
      <c r="C3301">
        <v>21275</v>
      </c>
      <c r="D3301" t="str">
        <f>"0036-8148"</f>
        <v>0036-8148</v>
      </c>
      <c r="E3301" t="s">
        <v>8</v>
      </c>
      <c r="F3301" t="s">
        <v>3311</v>
      </c>
      <c r="G3301">
        <v>1</v>
      </c>
    </row>
    <row r="3302" spans="1:7" x14ac:dyDescent="0.25">
      <c r="A3302">
        <v>17</v>
      </c>
      <c r="B3302" t="s">
        <v>2683</v>
      </c>
      <c r="C3302">
        <v>136067</v>
      </c>
      <c r="D3302" t="str">
        <f>"1094-3277"</f>
        <v>1094-3277</v>
      </c>
      <c r="E3302" t="s">
        <v>8</v>
      </c>
      <c r="F3302" t="s">
        <v>3312</v>
      </c>
      <c r="G3302">
        <v>1</v>
      </c>
    </row>
    <row r="3303" spans="1:7" x14ac:dyDescent="0.25">
      <c r="A3303">
        <v>17</v>
      </c>
      <c r="B3303" t="s">
        <v>2683</v>
      </c>
      <c r="C3303">
        <v>180029</v>
      </c>
      <c r="D3303" t="str">
        <f>"2245-7569"</f>
        <v>2245-7569</v>
      </c>
      <c r="E3303" t="s">
        <v>15</v>
      </c>
      <c r="F3303" t="s">
        <v>3313</v>
      </c>
      <c r="G3303">
        <v>1</v>
      </c>
    </row>
    <row r="3304" spans="1:7" x14ac:dyDescent="0.25">
      <c r="A3304">
        <v>17</v>
      </c>
      <c r="B3304" t="s">
        <v>2683</v>
      </c>
      <c r="C3304">
        <v>8137</v>
      </c>
      <c r="D3304" t="str">
        <f>"1468-1811"</f>
        <v>1468-1811</v>
      </c>
      <c r="E3304" t="s">
        <v>8</v>
      </c>
      <c r="F3304" t="s">
        <v>3314</v>
      </c>
      <c r="G3304">
        <v>1</v>
      </c>
    </row>
    <row r="3305" spans="1:7" x14ac:dyDescent="0.25">
      <c r="A3305">
        <v>17</v>
      </c>
      <c r="B3305" t="s">
        <v>2683</v>
      </c>
      <c r="C3305">
        <v>7705407</v>
      </c>
      <c r="D3305" t="str">
        <f>"2185-3762"</f>
        <v>2185-3762</v>
      </c>
      <c r="E3305" t="s">
        <v>8</v>
      </c>
      <c r="F3305" t="s">
        <v>3315</v>
      </c>
      <c r="G3305">
        <v>1</v>
      </c>
    </row>
    <row r="3306" spans="1:7" x14ac:dyDescent="0.25">
      <c r="A3306">
        <v>17</v>
      </c>
      <c r="B3306" t="s">
        <v>2683</v>
      </c>
      <c r="C3306">
        <v>8782765</v>
      </c>
      <c r="D3306" t="str">
        <f>"1642-672X "</f>
        <v xml:space="preserve">1642-672X </v>
      </c>
      <c r="E3306" t="s">
        <v>8</v>
      </c>
      <c r="F3306" t="s">
        <v>3316</v>
      </c>
      <c r="G3306">
        <v>1</v>
      </c>
    </row>
    <row r="3307" spans="1:7" x14ac:dyDescent="0.25">
      <c r="A3307">
        <v>17</v>
      </c>
      <c r="B3307" t="s">
        <v>2683</v>
      </c>
      <c r="C3307">
        <v>8553</v>
      </c>
      <c r="D3307" t="str">
        <f>"1381-2890"</f>
        <v>1381-2890</v>
      </c>
      <c r="E3307" t="s">
        <v>8</v>
      </c>
      <c r="F3307" t="s">
        <v>3317</v>
      </c>
      <c r="G3307">
        <v>1</v>
      </c>
    </row>
    <row r="3308" spans="1:7" x14ac:dyDescent="0.25">
      <c r="A3308">
        <v>17</v>
      </c>
      <c r="B3308" t="s">
        <v>2683</v>
      </c>
      <c r="C3308">
        <v>8783338</v>
      </c>
      <c r="E3308" t="s">
        <v>2100</v>
      </c>
      <c r="F3308" t="s">
        <v>3318</v>
      </c>
      <c r="G3308">
        <v>1</v>
      </c>
    </row>
    <row r="3309" spans="1:7" x14ac:dyDescent="0.25">
      <c r="A3309">
        <v>17</v>
      </c>
      <c r="B3309" t="s">
        <v>2683</v>
      </c>
      <c r="C3309">
        <v>8783812</v>
      </c>
      <c r="D3309" t="str">
        <f>"2512-1480"</f>
        <v>2512-1480</v>
      </c>
      <c r="E3309" t="s">
        <v>15</v>
      </c>
      <c r="F3309" t="s">
        <v>3319</v>
      </c>
      <c r="G3309">
        <v>1</v>
      </c>
    </row>
    <row r="3310" spans="1:7" x14ac:dyDescent="0.25">
      <c r="A3310">
        <v>17</v>
      </c>
      <c r="B3310" t="s">
        <v>2683</v>
      </c>
      <c r="C3310">
        <v>3851</v>
      </c>
      <c r="D3310" t="str">
        <f>"0107-0649"</f>
        <v>0107-0649</v>
      </c>
      <c r="E3310" t="s">
        <v>8</v>
      </c>
      <c r="F3310" t="s">
        <v>3320</v>
      </c>
      <c r="G3310">
        <v>1</v>
      </c>
    </row>
    <row r="3311" spans="1:7" x14ac:dyDescent="0.25">
      <c r="A3311">
        <v>17</v>
      </c>
      <c r="B3311" t="s">
        <v>2683</v>
      </c>
      <c r="C3311">
        <v>11314</v>
      </c>
      <c r="D3311" t="str">
        <f>"0342-0477"</f>
        <v>0342-0477</v>
      </c>
      <c r="E3311" t="s">
        <v>8</v>
      </c>
      <c r="F3311" t="s">
        <v>3321</v>
      </c>
      <c r="G3311">
        <v>1</v>
      </c>
    </row>
    <row r="3312" spans="1:7" x14ac:dyDescent="0.25">
      <c r="A3312">
        <v>17</v>
      </c>
      <c r="B3312" t="s">
        <v>2683</v>
      </c>
      <c r="C3312">
        <v>7747564</v>
      </c>
      <c r="D3312" t="str">
        <f>"2195-5158"</f>
        <v>2195-5158</v>
      </c>
      <c r="E3312" t="s">
        <v>15</v>
      </c>
      <c r="F3312" t="s">
        <v>3322</v>
      </c>
      <c r="G3312">
        <v>1</v>
      </c>
    </row>
    <row r="3313" spans="1:7" x14ac:dyDescent="0.25">
      <c r="A3313">
        <v>17</v>
      </c>
      <c r="B3313" t="s">
        <v>2683</v>
      </c>
      <c r="C3313">
        <v>8782752</v>
      </c>
      <c r="E3313" t="s">
        <v>8</v>
      </c>
      <c r="F3313" t="s">
        <v>3323</v>
      </c>
      <c r="G3313">
        <v>1</v>
      </c>
    </row>
    <row r="3314" spans="1:7" x14ac:dyDescent="0.25">
      <c r="A3314">
        <v>17</v>
      </c>
      <c r="B3314" t="s">
        <v>2683</v>
      </c>
      <c r="C3314">
        <v>8782659</v>
      </c>
      <c r="E3314" t="s">
        <v>8</v>
      </c>
      <c r="F3314" t="s">
        <v>3324</v>
      </c>
      <c r="G3314">
        <v>1</v>
      </c>
    </row>
    <row r="3315" spans="1:7" x14ac:dyDescent="0.25">
      <c r="A3315">
        <v>17</v>
      </c>
      <c r="B3315" t="s">
        <v>2683</v>
      </c>
      <c r="C3315">
        <v>8782889</v>
      </c>
      <c r="D3315" t="str">
        <f>"2246-5804"</f>
        <v>2246-5804</v>
      </c>
      <c r="E3315" t="s">
        <v>15</v>
      </c>
      <c r="F3315" t="s">
        <v>3325</v>
      </c>
      <c r="G3315">
        <v>1</v>
      </c>
    </row>
    <row r="3316" spans="1:7" x14ac:dyDescent="0.25">
      <c r="A3316">
        <v>17</v>
      </c>
      <c r="B3316" t="s">
        <v>2683</v>
      </c>
      <c r="C3316">
        <v>170092</v>
      </c>
      <c r="E3316" t="s">
        <v>8</v>
      </c>
      <c r="F3316" t="s">
        <v>3326</v>
      </c>
      <c r="G3316">
        <v>1</v>
      </c>
    </row>
    <row r="3317" spans="1:7" x14ac:dyDescent="0.25">
      <c r="A3317">
        <v>17</v>
      </c>
      <c r="B3317" t="s">
        <v>2683</v>
      </c>
      <c r="C3317">
        <v>11237</v>
      </c>
      <c r="D3317" t="str">
        <f>"0039-3541"</f>
        <v>0039-3541</v>
      </c>
      <c r="E3317" t="s">
        <v>8</v>
      </c>
      <c r="F3317" t="s">
        <v>3327</v>
      </c>
      <c r="G3317">
        <v>1</v>
      </c>
    </row>
    <row r="3318" spans="1:7" x14ac:dyDescent="0.25">
      <c r="A3318">
        <v>17</v>
      </c>
      <c r="B3318" t="s">
        <v>2683</v>
      </c>
      <c r="C3318">
        <v>8783813</v>
      </c>
      <c r="E3318" t="s">
        <v>15</v>
      </c>
      <c r="F3318" t="s">
        <v>3328</v>
      </c>
      <c r="G3318">
        <v>1</v>
      </c>
    </row>
    <row r="3319" spans="1:7" x14ac:dyDescent="0.25">
      <c r="A3319">
        <v>17</v>
      </c>
      <c r="B3319" t="s">
        <v>2683</v>
      </c>
      <c r="C3319">
        <v>15705</v>
      </c>
      <c r="D3319" t="str">
        <f>"0191-491X"</f>
        <v>0191-491X</v>
      </c>
      <c r="E3319" t="s">
        <v>8</v>
      </c>
      <c r="F3319" t="s">
        <v>3329</v>
      </c>
      <c r="G3319">
        <v>1</v>
      </c>
    </row>
    <row r="3320" spans="1:7" x14ac:dyDescent="0.25">
      <c r="A3320">
        <v>17</v>
      </c>
      <c r="B3320" t="s">
        <v>2683</v>
      </c>
      <c r="C3320">
        <v>8782525</v>
      </c>
      <c r="D3320" t="str">
        <f>"2398-4686"</f>
        <v>2398-4686</v>
      </c>
      <c r="E3320" t="s">
        <v>8</v>
      </c>
      <c r="F3320" t="s">
        <v>3330</v>
      </c>
      <c r="G3320">
        <v>1</v>
      </c>
    </row>
    <row r="3321" spans="1:7" x14ac:dyDescent="0.25">
      <c r="A3321">
        <v>17</v>
      </c>
      <c r="B3321" t="s">
        <v>2683</v>
      </c>
      <c r="C3321">
        <v>8864</v>
      </c>
      <c r="D3321" t="str">
        <f>"0266-0830"</f>
        <v>0266-0830</v>
      </c>
      <c r="E3321" t="s">
        <v>8</v>
      </c>
      <c r="F3321" t="s">
        <v>3331</v>
      </c>
      <c r="G3321">
        <v>1</v>
      </c>
    </row>
    <row r="3322" spans="1:7" x14ac:dyDescent="0.25">
      <c r="A3322">
        <v>17</v>
      </c>
      <c r="B3322" t="s">
        <v>2683</v>
      </c>
      <c r="C3322">
        <v>4114</v>
      </c>
      <c r="D3322" t="str">
        <f>"1742-5964"</f>
        <v>1742-5964</v>
      </c>
      <c r="E3322" t="s">
        <v>8</v>
      </c>
      <c r="F3322" t="s">
        <v>3332</v>
      </c>
      <c r="G3322">
        <v>1</v>
      </c>
    </row>
    <row r="3323" spans="1:7" x14ac:dyDescent="0.25">
      <c r="A3323">
        <v>17</v>
      </c>
      <c r="B3323" t="s">
        <v>2683</v>
      </c>
      <c r="C3323">
        <v>12326</v>
      </c>
      <c r="D3323" t="str">
        <f>"0268-2141"</f>
        <v>0268-2141</v>
      </c>
      <c r="E3323" t="s">
        <v>8</v>
      </c>
      <c r="F3323" t="s">
        <v>3333</v>
      </c>
      <c r="G3323">
        <v>1</v>
      </c>
    </row>
    <row r="3324" spans="1:7" x14ac:dyDescent="0.25">
      <c r="A3324">
        <v>17</v>
      </c>
      <c r="B3324" t="s">
        <v>2683</v>
      </c>
      <c r="C3324">
        <v>9534</v>
      </c>
      <c r="D3324" t="str">
        <f>"1080-5400"</f>
        <v>1080-5400</v>
      </c>
      <c r="E3324" t="s">
        <v>8</v>
      </c>
      <c r="F3324" t="s">
        <v>3334</v>
      </c>
      <c r="G3324">
        <v>1</v>
      </c>
    </row>
    <row r="3325" spans="1:7" x14ac:dyDescent="0.25">
      <c r="A3325">
        <v>17</v>
      </c>
      <c r="B3325" t="s">
        <v>2683</v>
      </c>
      <c r="C3325">
        <v>7698730</v>
      </c>
      <c r="D3325" t="str">
        <f>"1869-0459"</f>
        <v>1869-0459</v>
      </c>
      <c r="E3325" t="s">
        <v>8</v>
      </c>
      <c r="F3325" t="s">
        <v>3335</v>
      </c>
      <c r="G3325">
        <v>1</v>
      </c>
    </row>
    <row r="3326" spans="1:7" x14ac:dyDescent="0.25">
      <c r="A3326">
        <v>17</v>
      </c>
      <c r="B3326" t="s">
        <v>2683</v>
      </c>
      <c r="C3326">
        <v>10824</v>
      </c>
      <c r="D3326" t="str">
        <f>"1366-4530"</f>
        <v>1366-4530</v>
      </c>
      <c r="E3326" t="s">
        <v>8</v>
      </c>
      <c r="F3326" t="s">
        <v>3336</v>
      </c>
      <c r="G3326">
        <v>1</v>
      </c>
    </row>
    <row r="3327" spans="1:7" x14ac:dyDescent="0.25">
      <c r="A3327">
        <v>17</v>
      </c>
      <c r="B3327" t="s">
        <v>2683</v>
      </c>
      <c r="C3327">
        <v>16536</v>
      </c>
      <c r="D3327" t="str">
        <f>"0888-4064"</f>
        <v>0888-4064</v>
      </c>
      <c r="E3327" t="s">
        <v>8</v>
      </c>
      <c r="F3327" t="s">
        <v>3337</v>
      </c>
      <c r="G3327">
        <v>1</v>
      </c>
    </row>
    <row r="3328" spans="1:7" x14ac:dyDescent="0.25">
      <c r="A3328">
        <v>17</v>
      </c>
      <c r="B3328" t="s">
        <v>2683</v>
      </c>
      <c r="C3328">
        <v>4100</v>
      </c>
      <c r="D3328" t="str">
        <f>"0161-4681"</f>
        <v>0161-4681</v>
      </c>
      <c r="E3328" t="s">
        <v>8</v>
      </c>
      <c r="F3328" t="s">
        <v>3338</v>
      </c>
      <c r="G3328">
        <v>1</v>
      </c>
    </row>
    <row r="3329" spans="1:7" x14ac:dyDescent="0.25">
      <c r="A3329">
        <v>17</v>
      </c>
      <c r="B3329" t="s">
        <v>2683</v>
      </c>
      <c r="C3329">
        <v>10436</v>
      </c>
      <c r="D3329" t="str">
        <f>"1040-1334"</f>
        <v>1040-1334</v>
      </c>
      <c r="E3329" t="s">
        <v>8</v>
      </c>
      <c r="F3329" t="s">
        <v>3339</v>
      </c>
      <c r="G3329">
        <v>1</v>
      </c>
    </row>
    <row r="3330" spans="1:7" x14ac:dyDescent="0.25">
      <c r="A3330">
        <v>17</v>
      </c>
      <c r="B3330" t="s">
        <v>2683</v>
      </c>
      <c r="C3330">
        <v>16252</v>
      </c>
      <c r="D3330" t="str">
        <f>"1047-6210"</f>
        <v>1047-6210</v>
      </c>
      <c r="E3330" t="s">
        <v>8</v>
      </c>
      <c r="F3330" t="s">
        <v>3340</v>
      </c>
      <c r="G3330">
        <v>1</v>
      </c>
    </row>
    <row r="3331" spans="1:7" x14ac:dyDescent="0.25">
      <c r="A3331">
        <v>17</v>
      </c>
      <c r="B3331" t="s">
        <v>2683</v>
      </c>
      <c r="C3331">
        <v>24711</v>
      </c>
      <c r="D3331" t="str">
        <f>"1449-6313"</f>
        <v>1449-6313</v>
      </c>
      <c r="E3331" t="s">
        <v>8</v>
      </c>
      <c r="F3331" t="s">
        <v>3341</v>
      </c>
      <c r="G3331">
        <v>1</v>
      </c>
    </row>
    <row r="3332" spans="1:7" x14ac:dyDescent="0.25">
      <c r="A3332">
        <v>17</v>
      </c>
      <c r="B3332" t="s">
        <v>2683</v>
      </c>
      <c r="C3332">
        <v>10457</v>
      </c>
      <c r="D3332" t="str">
        <f>"1238-9501"</f>
        <v>1238-9501</v>
      </c>
      <c r="E3332" t="s">
        <v>8</v>
      </c>
      <c r="F3332" t="s">
        <v>3342</v>
      </c>
      <c r="G3332">
        <v>1</v>
      </c>
    </row>
    <row r="3333" spans="1:7" x14ac:dyDescent="0.25">
      <c r="A3333">
        <v>17</v>
      </c>
      <c r="B3333" t="s">
        <v>2683</v>
      </c>
      <c r="C3333">
        <v>27455</v>
      </c>
      <c r="D3333" t="str">
        <f>"1130-3743"</f>
        <v>1130-3743</v>
      </c>
      <c r="E3333" t="s">
        <v>8</v>
      </c>
      <c r="F3333" t="s">
        <v>3343</v>
      </c>
      <c r="G3333">
        <v>1</v>
      </c>
    </row>
    <row r="3334" spans="1:7" x14ac:dyDescent="0.25">
      <c r="A3334">
        <v>17</v>
      </c>
      <c r="B3334" t="s">
        <v>2683</v>
      </c>
      <c r="C3334">
        <v>6531</v>
      </c>
      <c r="D3334" t="str">
        <f>"1358-3883"</f>
        <v>1358-3883</v>
      </c>
      <c r="E3334" t="s">
        <v>8</v>
      </c>
      <c r="F3334" t="s">
        <v>3344</v>
      </c>
      <c r="G3334">
        <v>1</v>
      </c>
    </row>
    <row r="3335" spans="1:7" x14ac:dyDescent="0.25">
      <c r="A3335">
        <v>17</v>
      </c>
      <c r="B3335" t="s">
        <v>2683</v>
      </c>
      <c r="C3335">
        <v>11153</v>
      </c>
      <c r="D3335" t="str">
        <f>"0039-8322"</f>
        <v>0039-8322</v>
      </c>
      <c r="E3335" t="s">
        <v>8</v>
      </c>
      <c r="F3335" t="s">
        <v>3345</v>
      </c>
      <c r="G3335">
        <v>1</v>
      </c>
    </row>
    <row r="3336" spans="1:7" x14ac:dyDescent="0.25">
      <c r="A3336">
        <v>17</v>
      </c>
      <c r="B3336" t="s">
        <v>2683</v>
      </c>
      <c r="C3336">
        <v>8782890</v>
      </c>
      <c r="D3336" t="str">
        <f>"2327-6983"</f>
        <v>2327-6983</v>
      </c>
      <c r="E3336" t="s">
        <v>15</v>
      </c>
      <c r="F3336" t="s">
        <v>3346</v>
      </c>
      <c r="G3336">
        <v>1</v>
      </c>
    </row>
    <row r="3337" spans="1:7" x14ac:dyDescent="0.25">
      <c r="A3337">
        <v>17</v>
      </c>
      <c r="B3337" t="s">
        <v>2683</v>
      </c>
      <c r="C3337">
        <v>11266</v>
      </c>
      <c r="D3337" t="str">
        <f>"0002-7685"</f>
        <v>0002-7685</v>
      </c>
      <c r="E3337" t="s">
        <v>8</v>
      </c>
      <c r="F3337" t="s">
        <v>3347</v>
      </c>
      <c r="G3337">
        <v>1</v>
      </c>
    </row>
    <row r="3338" spans="1:7" x14ac:dyDescent="0.25">
      <c r="A3338">
        <v>17</v>
      </c>
      <c r="B3338" t="s">
        <v>2683</v>
      </c>
      <c r="C3338">
        <v>27304</v>
      </c>
      <c r="D3338" t="str">
        <f>"1430-4171"</f>
        <v>1430-4171</v>
      </c>
      <c r="E3338" t="s">
        <v>8</v>
      </c>
      <c r="F3338" t="s">
        <v>3348</v>
      </c>
      <c r="G3338">
        <v>1</v>
      </c>
    </row>
    <row r="3339" spans="1:7" x14ac:dyDescent="0.25">
      <c r="A3339">
        <v>17</v>
      </c>
      <c r="B3339" t="s">
        <v>2683</v>
      </c>
      <c r="C3339">
        <v>18436</v>
      </c>
      <c r="D3339" t="str">
        <f>"0013-1725"</f>
        <v>0013-1725</v>
      </c>
      <c r="E3339" t="s">
        <v>8</v>
      </c>
      <c r="F3339" t="s">
        <v>3349</v>
      </c>
      <c r="G3339">
        <v>1</v>
      </c>
    </row>
    <row r="3340" spans="1:7" x14ac:dyDescent="0.25">
      <c r="A3340">
        <v>17</v>
      </c>
      <c r="B3340" t="s">
        <v>2683</v>
      </c>
      <c r="C3340">
        <v>8782891</v>
      </c>
      <c r="D3340" t="str">
        <f>"2198-2643"</f>
        <v>2198-2643</v>
      </c>
      <c r="E3340" t="s">
        <v>15</v>
      </c>
      <c r="F3340" t="s">
        <v>3350</v>
      </c>
      <c r="G3340">
        <v>1</v>
      </c>
    </row>
    <row r="3341" spans="1:7" x14ac:dyDescent="0.25">
      <c r="A3341">
        <v>17</v>
      </c>
      <c r="B3341" t="s">
        <v>2683</v>
      </c>
      <c r="C3341">
        <v>6154955</v>
      </c>
      <c r="D3341" t="str">
        <f>"1541-5015"</f>
        <v>1541-5015</v>
      </c>
      <c r="E3341" t="s">
        <v>8</v>
      </c>
      <c r="F3341" t="s">
        <v>3351</v>
      </c>
      <c r="G3341">
        <v>1</v>
      </c>
    </row>
    <row r="3342" spans="1:7" x14ac:dyDescent="0.25">
      <c r="A3342">
        <v>17</v>
      </c>
      <c r="B3342" t="s">
        <v>2683</v>
      </c>
      <c r="C3342">
        <v>2964</v>
      </c>
      <c r="D3342" t="str">
        <f>"1476-8062"</f>
        <v>1476-8062</v>
      </c>
      <c r="E3342" t="s">
        <v>8</v>
      </c>
      <c r="F3342" t="s">
        <v>3352</v>
      </c>
      <c r="G3342">
        <v>1</v>
      </c>
    </row>
    <row r="3343" spans="1:7" x14ac:dyDescent="0.25">
      <c r="A3343">
        <v>17</v>
      </c>
      <c r="B3343" t="s">
        <v>2683</v>
      </c>
      <c r="C3343">
        <v>3257</v>
      </c>
      <c r="D3343" t="str">
        <f>"1447-9494"</f>
        <v>1447-9494</v>
      </c>
      <c r="E3343" t="s">
        <v>8</v>
      </c>
      <c r="F3343" t="s">
        <v>3353</v>
      </c>
      <c r="G3343">
        <v>1</v>
      </c>
    </row>
    <row r="3344" spans="1:7" x14ac:dyDescent="0.25">
      <c r="A3344">
        <v>17</v>
      </c>
      <c r="B3344" t="s">
        <v>2683</v>
      </c>
      <c r="C3344">
        <v>6158081</v>
      </c>
      <c r="D3344" t="str">
        <f>"1472-8117"</f>
        <v>1472-8117</v>
      </c>
      <c r="E3344" t="s">
        <v>8</v>
      </c>
      <c r="F3344" t="s">
        <v>3354</v>
      </c>
      <c r="G3344">
        <v>1</v>
      </c>
    </row>
    <row r="3345" spans="1:7" x14ac:dyDescent="0.25">
      <c r="A3345">
        <v>17</v>
      </c>
      <c r="B3345" t="s">
        <v>2683</v>
      </c>
      <c r="C3345">
        <v>22590</v>
      </c>
      <c r="D3345" t="str">
        <f>"1448-0220"</f>
        <v>1448-0220</v>
      </c>
      <c r="E3345" t="s">
        <v>8</v>
      </c>
      <c r="F3345" t="s">
        <v>3355</v>
      </c>
      <c r="G3345">
        <v>1</v>
      </c>
    </row>
    <row r="3346" spans="1:7" x14ac:dyDescent="0.25">
      <c r="A3346">
        <v>17</v>
      </c>
      <c r="B3346" t="s">
        <v>2683</v>
      </c>
      <c r="C3346">
        <v>19068</v>
      </c>
      <c r="D3346" t="str">
        <f>"1478-8497"</f>
        <v>1478-8497</v>
      </c>
      <c r="E3346" t="s">
        <v>8</v>
      </c>
      <c r="F3346" t="s">
        <v>3356</v>
      </c>
      <c r="G3346">
        <v>1</v>
      </c>
    </row>
    <row r="3347" spans="1:7" x14ac:dyDescent="0.25">
      <c r="A3347">
        <v>17</v>
      </c>
      <c r="B3347" t="s">
        <v>2683</v>
      </c>
      <c r="C3347">
        <v>7365</v>
      </c>
      <c r="D3347" t="str">
        <f>"0021-3667"</f>
        <v>0021-3667</v>
      </c>
      <c r="E3347" t="s">
        <v>8</v>
      </c>
      <c r="F3347" t="s">
        <v>3357</v>
      </c>
      <c r="G3347">
        <v>1</v>
      </c>
    </row>
    <row r="3348" spans="1:7" x14ac:dyDescent="0.25">
      <c r="A3348">
        <v>17</v>
      </c>
      <c r="B3348" t="s">
        <v>2683</v>
      </c>
      <c r="C3348">
        <v>7688750</v>
      </c>
      <c r="D3348" t="str">
        <f>"2151-7452"</f>
        <v>2151-7452</v>
      </c>
      <c r="E3348" t="s">
        <v>8</v>
      </c>
      <c r="F3348" t="s">
        <v>3358</v>
      </c>
      <c r="G3348">
        <v>1</v>
      </c>
    </row>
    <row r="3349" spans="1:7" x14ac:dyDescent="0.25">
      <c r="A3349">
        <v>17</v>
      </c>
      <c r="B3349" t="s">
        <v>2683</v>
      </c>
      <c r="C3349">
        <v>5190</v>
      </c>
      <c r="D3349" t="str">
        <f>"0969-6474"</f>
        <v>0969-6474</v>
      </c>
      <c r="E3349" t="s">
        <v>8</v>
      </c>
      <c r="F3349" t="s">
        <v>3359</v>
      </c>
      <c r="G3349">
        <v>1</v>
      </c>
    </row>
    <row r="3350" spans="1:7" x14ac:dyDescent="0.25">
      <c r="A3350">
        <v>17</v>
      </c>
      <c r="B3350" t="s">
        <v>2683</v>
      </c>
      <c r="C3350">
        <v>10254</v>
      </c>
      <c r="D3350" t="str">
        <f>"1062-9017"</f>
        <v>1062-9017</v>
      </c>
      <c r="E3350" t="s">
        <v>8</v>
      </c>
      <c r="F3350" t="s">
        <v>3360</v>
      </c>
      <c r="G3350">
        <v>1</v>
      </c>
    </row>
    <row r="3351" spans="1:7" x14ac:dyDescent="0.25">
      <c r="A3351">
        <v>17</v>
      </c>
      <c r="B3351" t="s">
        <v>2683</v>
      </c>
      <c r="C3351">
        <v>14293</v>
      </c>
      <c r="D3351" t="str">
        <f>"1732-6729"</f>
        <v>1732-6729</v>
      </c>
      <c r="E3351" t="s">
        <v>8</v>
      </c>
      <c r="F3351" t="s">
        <v>3361</v>
      </c>
      <c r="G3351">
        <v>1</v>
      </c>
    </row>
    <row r="3352" spans="1:7" x14ac:dyDescent="0.25">
      <c r="A3352">
        <v>17</v>
      </c>
      <c r="B3352" t="s">
        <v>2683</v>
      </c>
      <c r="C3352">
        <v>9742</v>
      </c>
      <c r="D3352" t="str">
        <f>"0031-921X"</f>
        <v>0031-921X</v>
      </c>
      <c r="E3352" t="s">
        <v>8</v>
      </c>
      <c r="F3352" t="s">
        <v>3362</v>
      </c>
      <c r="G3352">
        <v>1</v>
      </c>
    </row>
    <row r="3353" spans="1:7" x14ac:dyDescent="0.25">
      <c r="A3353">
        <v>17</v>
      </c>
      <c r="B3353" t="s">
        <v>2683</v>
      </c>
      <c r="C3353">
        <v>14766</v>
      </c>
      <c r="D3353" t="str">
        <f>"1071-4413"</f>
        <v>1071-4413</v>
      </c>
      <c r="E3353" t="s">
        <v>8</v>
      </c>
      <c r="F3353" t="s">
        <v>3363</v>
      </c>
      <c r="G3353">
        <v>1</v>
      </c>
    </row>
    <row r="3354" spans="1:7" x14ac:dyDescent="0.25">
      <c r="A3354">
        <v>17</v>
      </c>
      <c r="B3354" t="s">
        <v>2683</v>
      </c>
      <c r="C3354">
        <v>15903</v>
      </c>
      <c r="E3354" t="s">
        <v>8</v>
      </c>
      <c r="F3354" t="s">
        <v>3364</v>
      </c>
      <c r="G3354">
        <v>1</v>
      </c>
    </row>
    <row r="3355" spans="1:7" x14ac:dyDescent="0.25">
      <c r="A3355">
        <v>17</v>
      </c>
      <c r="B3355" t="s">
        <v>2683</v>
      </c>
      <c r="C3355">
        <v>4861</v>
      </c>
      <c r="D3355" t="str">
        <f>"2146-7242"</f>
        <v>2146-7242</v>
      </c>
      <c r="E3355" t="s">
        <v>8</v>
      </c>
      <c r="F3355" t="s">
        <v>3365</v>
      </c>
      <c r="G3355">
        <v>1</v>
      </c>
    </row>
    <row r="3356" spans="1:7" x14ac:dyDescent="0.25">
      <c r="A3356">
        <v>17</v>
      </c>
      <c r="B3356" t="s">
        <v>2683</v>
      </c>
      <c r="C3356">
        <v>12434</v>
      </c>
      <c r="D3356" t="str">
        <f>"0093-3104"</f>
        <v>0093-3104</v>
      </c>
      <c r="E3356" t="s">
        <v>8</v>
      </c>
      <c r="F3356" t="s">
        <v>3366</v>
      </c>
      <c r="G3356">
        <v>1</v>
      </c>
    </row>
    <row r="3357" spans="1:7" x14ac:dyDescent="0.25">
      <c r="A3357">
        <v>17</v>
      </c>
      <c r="B3357" t="s">
        <v>2683</v>
      </c>
      <c r="C3357">
        <v>6435</v>
      </c>
      <c r="D3357" t="str">
        <f>"1477-8785"</f>
        <v>1477-8785</v>
      </c>
      <c r="E3357" t="s">
        <v>8</v>
      </c>
      <c r="F3357" t="s">
        <v>3367</v>
      </c>
      <c r="G3357">
        <v>1</v>
      </c>
    </row>
    <row r="3358" spans="1:7" x14ac:dyDescent="0.25">
      <c r="A3358">
        <v>17</v>
      </c>
      <c r="B3358" t="s">
        <v>2683</v>
      </c>
      <c r="C3358">
        <v>12716</v>
      </c>
      <c r="D3358" t="str">
        <f>"1871-1871"</f>
        <v>1871-1871</v>
      </c>
      <c r="E3358" t="s">
        <v>8</v>
      </c>
      <c r="F3358" t="s">
        <v>3368</v>
      </c>
      <c r="G3358">
        <v>1</v>
      </c>
    </row>
    <row r="3359" spans="1:7" x14ac:dyDescent="0.25">
      <c r="A3359">
        <v>17</v>
      </c>
      <c r="B3359" t="s">
        <v>2683</v>
      </c>
      <c r="C3359">
        <v>8781940</v>
      </c>
      <c r="D3359" t="str">
        <f>"2446-0273"</f>
        <v>2446-0273</v>
      </c>
      <c r="E3359" t="s">
        <v>8</v>
      </c>
      <c r="F3359" t="s">
        <v>3369</v>
      </c>
      <c r="G3359">
        <v>1</v>
      </c>
    </row>
    <row r="3360" spans="1:7" x14ac:dyDescent="0.25">
      <c r="A3360">
        <v>17</v>
      </c>
      <c r="B3360" t="s">
        <v>2683</v>
      </c>
      <c r="C3360">
        <v>3417</v>
      </c>
      <c r="D3360" t="str">
        <f>"1398-3717"</f>
        <v>1398-3717</v>
      </c>
      <c r="E3360" t="s">
        <v>8</v>
      </c>
      <c r="F3360" t="s">
        <v>3370</v>
      </c>
      <c r="G3360">
        <v>1</v>
      </c>
    </row>
    <row r="3361" spans="1:7" x14ac:dyDescent="0.25">
      <c r="A3361">
        <v>17</v>
      </c>
      <c r="B3361" t="s">
        <v>2683</v>
      </c>
      <c r="C3361">
        <v>7746</v>
      </c>
      <c r="D3361" t="str">
        <f>"1603-5518"</f>
        <v>1603-5518</v>
      </c>
      <c r="E3361" t="s">
        <v>8</v>
      </c>
      <c r="F3361" t="s">
        <v>3371</v>
      </c>
      <c r="G3361">
        <v>1</v>
      </c>
    </row>
    <row r="3362" spans="1:7" x14ac:dyDescent="0.25">
      <c r="A3362">
        <v>17</v>
      </c>
      <c r="B3362" t="s">
        <v>2683</v>
      </c>
      <c r="C3362">
        <v>7692018</v>
      </c>
      <c r="D3362" t="str">
        <f>"0800-1014"</f>
        <v>0800-1014</v>
      </c>
      <c r="E3362" t="s">
        <v>8</v>
      </c>
      <c r="F3362" t="s">
        <v>3372</v>
      </c>
      <c r="G3362">
        <v>1</v>
      </c>
    </row>
    <row r="3363" spans="1:7" x14ac:dyDescent="0.25">
      <c r="A3363">
        <v>17</v>
      </c>
      <c r="B3363" t="s">
        <v>2683</v>
      </c>
      <c r="C3363">
        <v>4312</v>
      </c>
      <c r="E3363" t="s">
        <v>8</v>
      </c>
      <c r="F3363" t="s">
        <v>3373</v>
      </c>
      <c r="G3363">
        <v>1</v>
      </c>
    </row>
    <row r="3364" spans="1:7" x14ac:dyDescent="0.25">
      <c r="A3364">
        <v>17</v>
      </c>
      <c r="B3364" t="s">
        <v>2683</v>
      </c>
      <c r="C3364">
        <v>180037</v>
      </c>
      <c r="D3364" t="str">
        <f>"2246-3615"</f>
        <v>2246-3615</v>
      </c>
      <c r="E3364" t="s">
        <v>15</v>
      </c>
      <c r="F3364" t="s">
        <v>3374</v>
      </c>
      <c r="G3364">
        <v>1</v>
      </c>
    </row>
    <row r="3365" spans="1:7" x14ac:dyDescent="0.25">
      <c r="A3365">
        <v>17</v>
      </c>
      <c r="B3365" t="s">
        <v>2683</v>
      </c>
      <c r="C3365">
        <v>92806</v>
      </c>
      <c r="D3365" t="str">
        <f>"0900-226X"</f>
        <v>0900-226X</v>
      </c>
      <c r="E3365" t="s">
        <v>8</v>
      </c>
      <c r="F3365" t="s">
        <v>3375</v>
      </c>
      <c r="G3365">
        <v>1</v>
      </c>
    </row>
    <row r="3366" spans="1:7" x14ac:dyDescent="0.25">
      <c r="A3366">
        <v>17</v>
      </c>
      <c r="B3366" t="s">
        <v>2683</v>
      </c>
      <c r="C3366">
        <v>8782470</v>
      </c>
      <c r="E3366" t="s">
        <v>15</v>
      </c>
      <c r="F3366" t="s">
        <v>3376</v>
      </c>
      <c r="G3366">
        <v>1</v>
      </c>
    </row>
    <row r="3367" spans="1:7" x14ac:dyDescent="0.25">
      <c r="A3367">
        <v>17</v>
      </c>
      <c r="B3367" t="s">
        <v>2683</v>
      </c>
      <c r="C3367">
        <v>8758249</v>
      </c>
      <c r="D3367" t="str">
        <f>"2445-5075"</f>
        <v>2445-5075</v>
      </c>
      <c r="E3367" t="s">
        <v>15</v>
      </c>
      <c r="F3367" t="s">
        <v>3377</v>
      </c>
      <c r="G3367">
        <v>1</v>
      </c>
    </row>
    <row r="3368" spans="1:7" x14ac:dyDescent="0.25">
      <c r="A3368">
        <v>17</v>
      </c>
      <c r="B3368" t="s">
        <v>2683</v>
      </c>
      <c r="C3368">
        <v>69704</v>
      </c>
      <c r="D3368" t="str">
        <f>"0106-5386"</f>
        <v>0106-5386</v>
      </c>
      <c r="E3368" t="s">
        <v>8</v>
      </c>
      <c r="F3368" t="s">
        <v>3378</v>
      </c>
      <c r="G3368">
        <v>1</v>
      </c>
    </row>
    <row r="3369" spans="1:7" x14ac:dyDescent="0.25">
      <c r="A3369">
        <v>17</v>
      </c>
      <c r="B3369" t="s">
        <v>2683</v>
      </c>
      <c r="C3369">
        <v>8783859</v>
      </c>
      <c r="D3369" t="str">
        <f>"0106-5386"</f>
        <v>0106-5386</v>
      </c>
      <c r="E3369" t="s">
        <v>8</v>
      </c>
      <c r="F3369" t="s">
        <v>3379</v>
      </c>
      <c r="G3369">
        <v>1</v>
      </c>
    </row>
    <row r="3370" spans="1:7" x14ac:dyDescent="0.25">
      <c r="A3370">
        <v>17</v>
      </c>
      <c r="B3370" t="s">
        <v>2683</v>
      </c>
      <c r="C3370">
        <v>13813</v>
      </c>
      <c r="E3370" t="s">
        <v>8</v>
      </c>
      <c r="F3370" t="s">
        <v>3380</v>
      </c>
      <c r="G3370">
        <v>1</v>
      </c>
    </row>
    <row r="3371" spans="1:7" x14ac:dyDescent="0.25">
      <c r="A3371">
        <v>17</v>
      </c>
      <c r="B3371" t="s">
        <v>2683</v>
      </c>
      <c r="C3371">
        <v>8758248</v>
      </c>
      <c r="D3371" t="str">
        <f>"2332-3205"</f>
        <v>2332-3205</v>
      </c>
      <c r="E3371" t="s">
        <v>8</v>
      </c>
      <c r="F3371" t="s">
        <v>3381</v>
      </c>
      <c r="G3371">
        <v>1</v>
      </c>
    </row>
    <row r="3372" spans="1:7" x14ac:dyDescent="0.25">
      <c r="A3372">
        <v>17</v>
      </c>
      <c r="B3372" t="s">
        <v>2683</v>
      </c>
      <c r="C3372">
        <v>23007</v>
      </c>
      <c r="D3372" t="str">
        <f>"0340-4099"</f>
        <v>0340-4099</v>
      </c>
      <c r="E3372" t="s">
        <v>8</v>
      </c>
      <c r="F3372" t="s">
        <v>3382</v>
      </c>
      <c r="G3372">
        <v>1</v>
      </c>
    </row>
    <row r="3373" spans="1:7" x14ac:dyDescent="0.25">
      <c r="A3373">
        <v>17</v>
      </c>
      <c r="B3373" t="s">
        <v>2683</v>
      </c>
      <c r="C3373">
        <v>1428</v>
      </c>
      <c r="D3373" t="str">
        <f>"1102-6472"</f>
        <v>1102-6472</v>
      </c>
      <c r="E3373" t="s">
        <v>8</v>
      </c>
      <c r="F3373" t="s">
        <v>3383</v>
      </c>
      <c r="G3373">
        <v>1</v>
      </c>
    </row>
    <row r="3374" spans="1:7" x14ac:dyDescent="0.25">
      <c r="A3374">
        <v>17</v>
      </c>
      <c r="B3374" t="s">
        <v>2683</v>
      </c>
      <c r="C3374">
        <v>180040</v>
      </c>
      <c r="D3374" t="str">
        <f>"2001-4554"</f>
        <v>2001-4554</v>
      </c>
      <c r="E3374" t="s">
        <v>8</v>
      </c>
      <c r="F3374" t="s">
        <v>3384</v>
      </c>
      <c r="G3374">
        <v>1</v>
      </c>
    </row>
    <row r="3375" spans="1:7" x14ac:dyDescent="0.25">
      <c r="A3375">
        <v>17</v>
      </c>
      <c r="B3375" t="s">
        <v>2683</v>
      </c>
      <c r="C3375">
        <v>180038</v>
      </c>
      <c r="D3375" t="str">
        <f>"2246-3623"</f>
        <v>2246-3623</v>
      </c>
      <c r="E3375" t="s">
        <v>15</v>
      </c>
      <c r="F3375" t="s">
        <v>3385</v>
      </c>
      <c r="G3375">
        <v>1</v>
      </c>
    </row>
    <row r="3376" spans="1:7" x14ac:dyDescent="0.25">
      <c r="A3376">
        <v>17</v>
      </c>
      <c r="B3376" t="s">
        <v>2683</v>
      </c>
      <c r="C3376">
        <v>7720041</v>
      </c>
      <c r="D3376" t="str">
        <f>"2045-5879"</f>
        <v>2045-5879</v>
      </c>
      <c r="E3376" t="s">
        <v>8</v>
      </c>
      <c r="F3376" t="s">
        <v>3386</v>
      </c>
      <c r="G3376">
        <v>1</v>
      </c>
    </row>
    <row r="3377" spans="1:7" x14ac:dyDescent="0.25">
      <c r="A3377">
        <v>17</v>
      </c>
      <c r="B3377" t="s">
        <v>2683</v>
      </c>
      <c r="C3377">
        <v>7752696</v>
      </c>
      <c r="D3377" t="str">
        <f>"2215-8421"</f>
        <v>2215-8421</v>
      </c>
      <c r="E3377" t="s">
        <v>8</v>
      </c>
      <c r="F3377" t="s">
        <v>3387</v>
      </c>
      <c r="G3377">
        <v>1</v>
      </c>
    </row>
    <row r="3378" spans="1:7" x14ac:dyDescent="0.25">
      <c r="A3378">
        <v>17</v>
      </c>
      <c r="B3378" t="s">
        <v>2683</v>
      </c>
      <c r="C3378">
        <v>8783190</v>
      </c>
      <c r="E3378" t="s">
        <v>2100</v>
      </c>
      <c r="F3378" t="s">
        <v>3388</v>
      </c>
      <c r="G3378">
        <v>1</v>
      </c>
    </row>
    <row r="3379" spans="1:7" x14ac:dyDescent="0.25">
      <c r="A3379">
        <v>17</v>
      </c>
      <c r="B3379" t="s">
        <v>2683</v>
      </c>
      <c r="C3379">
        <v>27753</v>
      </c>
      <c r="D3379" t="str">
        <f>"1441-340X"</f>
        <v>1441-340X</v>
      </c>
      <c r="E3379" t="s">
        <v>8</v>
      </c>
      <c r="F3379" t="s">
        <v>3389</v>
      </c>
      <c r="G3379">
        <v>1</v>
      </c>
    </row>
    <row r="3380" spans="1:7" x14ac:dyDescent="0.25">
      <c r="A3380">
        <v>17</v>
      </c>
      <c r="B3380" t="s">
        <v>2683</v>
      </c>
      <c r="C3380">
        <v>27509</v>
      </c>
      <c r="D3380" t="str">
        <f>"1446-2257"</f>
        <v>1446-2257</v>
      </c>
      <c r="E3380" t="s">
        <v>8</v>
      </c>
      <c r="F3380" t="s">
        <v>3390</v>
      </c>
      <c r="G3380">
        <v>1</v>
      </c>
    </row>
    <row r="3381" spans="1:7" x14ac:dyDescent="0.25">
      <c r="A3381">
        <v>17</v>
      </c>
      <c r="B3381" t="s">
        <v>2683</v>
      </c>
      <c r="C3381">
        <v>150661</v>
      </c>
      <c r="D3381" t="str">
        <f>"0084-2508"</f>
        <v>0084-2508</v>
      </c>
      <c r="E3381" t="s">
        <v>8</v>
      </c>
      <c r="F3381" t="s">
        <v>3391</v>
      </c>
      <c r="G3381">
        <v>1</v>
      </c>
    </row>
    <row r="3382" spans="1:7" x14ac:dyDescent="0.25">
      <c r="A3382">
        <v>17</v>
      </c>
      <c r="B3382" t="s">
        <v>2683</v>
      </c>
      <c r="C3382">
        <v>924</v>
      </c>
      <c r="D3382" t="str">
        <f>"1387-6732"</f>
        <v>1387-6732</v>
      </c>
      <c r="E3382" t="s">
        <v>8</v>
      </c>
      <c r="F3382" t="s">
        <v>3392</v>
      </c>
      <c r="G3382">
        <v>1</v>
      </c>
    </row>
    <row r="3383" spans="1:7" x14ac:dyDescent="0.25">
      <c r="A3383">
        <v>17</v>
      </c>
      <c r="B3383" t="s">
        <v>2683</v>
      </c>
      <c r="C3383">
        <v>151971</v>
      </c>
      <c r="D3383" t="str">
        <f>"1025-7861"</f>
        <v>1025-7861</v>
      </c>
      <c r="E3383" t="s">
        <v>8</v>
      </c>
      <c r="F3383" t="s">
        <v>3393</v>
      </c>
      <c r="G3383">
        <v>1</v>
      </c>
    </row>
    <row r="3384" spans="1:7" x14ac:dyDescent="0.25">
      <c r="A3384">
        <v>17</v>
      </c>
      <c r="B3384" t="s">
        <v>2683</v>
      </c>
      <c r="C3384">
        <v>6499</v>
      </c>
      <c r="D3384" t="str">
        <f>"1538-6619"</f>
        <v>1538-6619</v>
      </c>
      <c r="E3384" t="s">
        <v>8</v>
      </c>
      <c r="F3384" t="s">
        <v>3394</v>
      </c>
      <c r="G3384">
        <v>1</v>
      </c>
    </row>
    <row r="3385" spans="1:7" x14ac:dyDescent="0.25">
      <c r="A3385">
        <v>17</v>
      </c>
      <c r="B3385" t="s">
        <v>2683</v>
      </c>
      <c r="C3385">
        <v>45321</v>
      </c>
      <c r="D3385" t="str">
        <f>"0579-6431"</f>
        <v>0579-6431</v>
      </c>
      <c r="E3385" t="s">
        <v>8</v>
      </c>
      <c r="F3385" t="s">
        <v>3395</v>
      </c>
      <c r="G3385">
        <v>1</v>
      </c>
    </row>
    <row r="3386" spans="1:7" x14ac:dyDescent="0.25">
      <c r="A3386">
        <v>17</v>
      </c>
      <c r="B3386" t="s">
        <v>2683</v>
      </c>
      <c r="C3386">
        <v>7701791</v>
      </c>
      <c r="D3386" t="str">
        <f>"2190-6890"</f>
        <v>2190-6890</v>
      </c>
      <c r="E3386" t="s">
        <v>8</v>
      </c>
      <c r="F3386" t="s">
        <v>3396</v>
      </c>
      <c r="G3386">
        <v>1</v>
      </c>
    </row>
    <row r="3387" spans="1:7" x14ac:dyDescent="0.25">
      <c r="A3387">
        <v>17</v>
      </c>
      <c r="B3387" t="s">
        <v>2683</v>
      </c>
      <c r="C3387">
        <v>137911</v>
      </c>
      <c r="D3387" t="str">
        <f>"2219-6994"</f>
        <v>2219-6994</v>
      </c>
      <c r="E3387" t="s">
        <v>8</v>
      </c>
      <c r="F3387" t="s">
        <v>3397</v>
      </c>
      <c r="G3387">
        <v>1</v>
      </c>
    </row>
    <row r="3388" spans="1:7" x14ac:dyDescent="0.25">
      <c r="A3388">
        <v>17</v>
      </c>
      <c r="B3388" t="s">
        <v>2683</v>
      </c>
      <c r="C3388">
        <v>6900</v>
      </c>
      <c r="D3388" t="str">
        <f>"1436-1957"</f>
        <v>1436-1957</v>
      </c>
      <c r="E3388" t="s">
        <v>8</v>
      </c>
      <c r="F3388" t="s">
        <v>3398</v>
      </c>
      <c r="G3388">
        <v>1</v>
      </c>
    </row>
    <row r="3389" spans="1:7" x14ac:dyDescent="0.25">
      <c r="A3389">
        <v>17</v>
      </c>
      <c r="B3389" t="s">
        <v>2683</v>
      </c>
      <c r="C3389">
        <v>151962</v>
      </c>
      <c r="D3389" t="str">
        <f>"2364-0014"</f>
        <v>2364-0014</v>
      </c>
      <c r="E3389" t="s">
        <v>8</v>
      </c>
      <c r="F3389" t="s">
        <v>3399</v>
      </c>
      <c r="G3389">
        <v>1</v>
      </c>
    </row>
    <row r="3390" spans="1:7" x14ac:dyDescent="0.25">
      <c r="A3390">
        <v>18</v>
      </c>
      <c r="B3390" t="s">
        <v>3400</v>
      </c>
      <c r="C3390">
        <v>2973</v>
      </c>
      <c r="D3390" t="str">
        <f>"0002-7294"</f>
        <v>0002-7294</v>
      </c>
      <c r="E3390" t="s">
        <v>8</v>
      </c>
      <c r="F3390" t="s">
        <v>3401</v>
      </c>
      <c r="G3390">
        <v>2</v>
      </c>
    </row>
    <row r="3391" spans="1:7" x14ac:dyDescent="0.25">
      <c r="A3391">
        <v>18</v>
      </c>
      <c r="B3391" t="s">
        <v>3400</v>
      </c>
      <c r="C3391">
        <v>2325</v>
      </c>
      <c r="D3391" t="str">
        <f>"0094-0496"</f>
        <v>0094-0496</v>
      </c>
      <c r="E3391" t="s">
        <v>8</v>
      </c>
      <c r="F3391" t="s">
        <v>3402</v>
      </c>
      <c r="G3391">
        <v>2</v>
      </c>
    </row>
    <row r="3392" spans="1:7" x14ac:dyDescent="0.25">
      <c r="A3392">
        <v>18</v>
      </c>
      <c r="B3392" t="s">
        <v>3400</v>
      </c>
      <c r="C3392">
        <v>6826</v>
      </c>
      <c r="D3392" t="str">
        <f>"0084-6570"</f>
        <v>0084-6570</v>
      </c>
      <c r="E3392" t="s">
        <v>8</v>
      </c>
      <c r="F3392" t="s">
        <v>3403</v>
      </c>
      <c r="G3392">
        <v>2</v>
      </c>
    </row>
    <row r="3393" spans="1:7" x14ac:dyDescent="0.25">
      <c r="A3393">
        <v>18</v>
      </c>
      <c r="B3393" t="s">
        <v>3400</v>
      </c>
      <c r="C3393">
        <v>11671</v>
      </c>
      <c r="D3393" t="str">
        <f>"0003-5459"</f>
        <v>0003-5459</v>
      </c>
      <c r="E3393" t="s">
        <v>8</v>
      </c>
      <c r="F3393" t="s">
        <v>3404</v>
      </c>
      <c r="G3393">
        <v>2</v>
      </c>
    </row>
    <row r="3394" spans="1:7" x14ac:dyDescent="0.25">
      <c r="A3394">
        <v>18</v>
      </c>
      <c r="B3394" t="s">
        <v>3400</v>
      </c>
      <c r="C3394">
        <v>1409</v>
      </c>
      <c r="D3394" t="str">
        <f>"0066-4677"</f>
        <v>0066-4677</v>
      </c>
      <c r="E3394" t="s">
        <v>8</v>
      </c>
      <c r="F3394" t="s">
        <v>3405</v>
      </c>
      <c r="G3394">
        <v>2</v>
      </c>
    </row>
    <row r="3395" spans="1:7" x14ac:dyDescent="0.25">
      <c r="A3395">
        <v>18</v>
      </c>
      <c r="B3395" t="s">
        <v>3400</v>
      </c>
      <c r="C3395">
        <v>13776</v>
      </c>
      <c r="D3395" t="str">
        <f>"0003-5491"</f>
        <v>0003-5491</v>
      </c>
      <c r="E3395" t="s">
        <v>8</v>
      </c>
      <c r="F3395" t="s">
        <v>3406</v>
      </c>
      <c r="G3395">
        <v>2</v>
      </c>
    </row>
    <row r="3396" spans="1:7" x14ac:dyDescent="0.25">
      <c r="A3396">
        <v>18</v>
      </c>
      <c r="B3396" t="s">
        <v>3400</v>
      </c>
      <c r="C3396">
        <v>15811</v>
      </c>
      <c r="D3396" t="str">
        <f>"1463-4996"</f>
        <v>1463-4996</v>
      </c>
      <c r="E3396" t="s">
        <v>8</v>
      </c>
      <c r="F3396" t="s">
        <v>3407</v>
      </c>
      <c r="G3396">
        <v>2</v>
      </c>
    </row>
    <row r="3397" spans="1:7" x14ac:dyDescent="0.25">
      <c r="A3397">
        <v>18</v>
      </c>
      <c r="B3397" t="s">
        <v>3400</v>
      </c>
      <c r="C3397">
        <v>6936</v>
      </c>
      <c r="D3397" t="str">
        <f>"1364-8470"</f>
        <v>1364-8470</v>
      </c>
      <c r="E3397" t="s">
        <v>8</v>
      </c>
      <c r="F3397" t="s">
        <v>3408</v>
      </c>
      <c r="G3397">
        <v>2</v>
      </c>
    </row>
    <row r="3398" spans="1:7" x14ac:dyDescent="0.25">
      <c r="A3398">
        <v>18</v>
      </c>
      <c r="B3398" t="s">
        <v>3400</v>
      </c>
      <c r="C3398">
        <v>572</v>
      </c>
      <c r="D3398" t="str">
        <f>"0967-201X"</f>
        <v>0967-201X</v>
      </c>
      <c r="E3398" t="s">
        <v>8</v>
      </c>
      <c r="F3398" t="s">
        <v>3409</v>
      </c>
      <c r="G3398">
        <v>2</v>
      </c>
    </row>
    <row r="3399" spans="1:7" x14ac:dyDescent="0.25">
      <c r="A3399">
        <v>18</v>
      </c>
      <c r="B3399" t="s">
        <v>3400</v>
      </c>
      <c r="C3399">
        <v>25237</v>
      </c>
      <c r="D3399" t="str">
        <f>"0883-024X"</f>
        <v>0883-024X</v>
      </c>
      <c r="E3399" t="s">
        <v>8</v>
      </c>
      <c r="F3399" t="s">
        <v>3410</v>
      </c>
      <c r="G3399">
        <v>2</v>
      </c>
    </row>
    <row r="3400" spans="1:7" x14ac:dyDescent="0.25">
      <c r="A3400">
        <v>18</v>
      </c>
      <c r="B3400" t="s">
        <v>3400</v>
      </c>
      <c r="C3400">
        <v>6305</v>
      </c>
      <c r="D3400" t="str">
        <f>"0892-7936"</f>
        <v>0892-7936</v>
      </c>
      <c r="E3400" t="s">
        <v>8</v>
      </c>
      <c r="F3400" t="s">
        <v>3411</v>
      </c>
      <c r="G3400">
        <v>2</v>
      </c>
    </row>
    <row r="3401" spans="1:7" x14ac:dyDescent="0.25">
      <c r="A3401">
        <v>18</v>
      </c>
      <c r="B3401" t="s">
        <v>3400</v>
      </c>
      <c r="C3401">
        <v>12357</v>
      </c>
      <c r="D3401" t="str">
        <f>"0893-0465"</f>
        <v>0893-0465</v>
      </c>
      <c r="E3401" t="s">
        <v>8</v>
      </c>
      <c r="F3401" t="s">
        <v>3412</v>
      </c>
      <c r="G3401">
        <v>2</v>
      </c>
    </row>
    <row r="3402" spans="1:7" x14ac:dyDescent="0.25">
      <c r="A3402">
        <v>18</v>
      </c>
      <c r="B3402" t="s">
        <v>3400</v>
      </c>
      <c r="C3402">
        <v>2729</v>
      </c>
      <c r="D3402" t="str">
        <f>"0308-275X"</f>
        <v>0308-275X</v>
      </c>
      <c r="E3402" t="s">
        <v>8</v>
      </c>
      <c r="F3402" t="s">
        <v>3413</v>
      </c>
      <c r="G3402">
        <v>2</v>
      </c>
    </row>
    <row r="3403" spans="1:7" x14ac:dyDescent="0.25">
      <c r="A3403">
        <v>18</v>
      </c>
      <c r="B3403" t="s">
        <v>3400</v>
      </c>
      <c r="C3403">
        <v>10884</v>
      </c>
      <c r="D3403" t="str">
        <f>"0886-7356"</f>
        <v>0886-7356</v>
      </c>
      <c r="E3403" t="s">
        <v>8</v>
      </c>
      <c r="F3403" t="s">
        <v>3414</v>
      </c>
      <c r="G3403">
        <v>2</v>
      </c>
    </row>
    <row r="3404" spans="1:7" x14ac:dyDescent="0.25">
      <c r="A3404">
        <v>18</v>
      </c>
      <c r="B3404" t="s">
        <v>3400</v>
      </c>
      <c r="C3404">
        <v>1456</v>
      </c>
      <c r="D3404" t="str">
        <f>"0921-3740"</f>
        <v>0921-3740</v>
      </c>
      <c r="E3404" t="s">
        <v>8</v>
      </c>
      <c r="F3404" t="s">
        <v>3415</v>
      </c>
      <c r="G3404">
        <v>2</v>
      </c>
    </row>
    <row r="3405" spans="1:7" x14ac:dyDescent="0.25">
      <c r="A3405">
        <v>18</v>
      </c>
      <c r="B3405" t="s">
        <v>3400</v>
      </c>
      <c r="C3405">
        <v>4314</v>
      </c>
      <c r="D3405" t="str">
        <f>"0165-005X"</f>
        <v>0165-005X</v>
      </c>
      <c r="E3405" t="s">
        <v>8</v>
      </c>
      <c r="F3405" t="s">
        <v>3416</v>
      </c>
      <c r="G3405">
        <v>2</v>
      </c>
    </row>
    <row r="3406" spans="1:7" x14ac:dyDescent="0.25">
      <c r="A3406">
        <v>18</v>
      </c>
      <c r="B3406" t="s">
        <v>3400</v>
      </c>
      <c r="C3406">
        <v>9111</v>
      </c>
      <c r="D3406" t="str">
        <f>"0011-3204"</f>
        <v>0011-3204</v>
      </c>
      <c r="E3406" t="s">
        <v>8</v>
      </c>
      <c r="F3406" t="s">
        <v>3417</v>
      </c>
      <c r="G3406">
        <v>2</v>
      </c>
    </row>
    <row r="3407" spans="1:7" x14ac:dyDescent="0.25">
      <c r="A3407">
        <v>18</v>
      </c>
      <c r="B3407" t="s">
        <v>3400</v>
      </c>
      <c r="C3407">
        <v>2901</v>
      </c>
      <c r="D3407" t="str">
        <f>"0304-4092"</f>
        <v>0304-4092</v>
      </c>
      <c r="E3407" t="s">
        <v>8</v>
      </c>
      <c r="F3407" t="s">
        <v>3418</v>
      </c>
      <c r="G3407">
        <v>2</v>
      </c>
    </row>
    <row r="3408" spans="1:7" x14ac:dyDescent="0.25">
      <c r="A3408">
        <v>18</v>
      </c>
      <c r="B3408" t="s">
        <v>3400</v>
      </c>
      <c r="C3408">
        <v>8761123</v>
      </c>
      <c r="E3408" t="s">
        <v>8</v>
      </c>
      <c r="F3408" t="s">
        <v>3419</v>
      </c>
      <c r="G3408">
        <v>2</v>
      </c>
    </row>
    <row r="3409" spans="1:7" x14ac:dyDescent="0.25">
      <c r="A3409">
        <v>18</v>
      </c>
      <c r="B3409" t="s">
        <v>3400</v>
      </c>
      <c r="C3409">
        <v>1839</v>
      </c>
      <c r="D3409" t="str">
        <f>"0141-9870"</f>
        <v>0141-9870</v>
      </c>
      <c r="E3409" t="s">
        <v>8</v>
      </c>
      <c r="F3409" t="s">
        <v>3420</v>
      </c>
      <c r="G3409">
        <v>2</v>
      </c>
    </row>
    <row r="3410" spans="1:7" x14ac:dyDescent="0.25">
      <c r="A3410">
        <v>18</v>
      </c>
      <c r="B3410" t="s">
        <v>3400</v>
      </c>
      <c r="C3410">
        <v>9400</v>
      </c>
      <c r="D3410" t="str">
        <f>"1468-7968"</f>
        <v>1468-7968</v>
      </c>
      <c r="E3410" t="s">
        <v>8</v>
      </c>
      <c r="F3410" t="s">
        <v>3421</v>
      </c>
      <c r="G3410">
        <v>2</v>
      </c>
    </row>
    <row r="3411" spans="1:7" x14ac:dyDescent="0.25">
      <c r="A3411">
        <v>18</v>
      </c>
      <c r="B3411" t="s">
        <v>3400</v>
      </c>
      <c r="C3411">
        <v>12832</v>
      </c>
      <c r="D3411" t="str">
        <f>"1466-1381"</f>
        <v>1466-1381</v>
      </c>
      <c r="E3411" t="s">
        <v>8</v>
      </c>
      <c r="F3411" t="s">
        <v>3422</v>
      </c>
      <c r="G3411">
        <v>2</v>
      </c>
    </row>
    <row r="3412" spans="1:7" x14ac:dyDescent="0.25">
      <c r="A3412">
        <v>18</v>
      </c>
      <c r="B3412" t="s">
        <v>3400</v>
      </c>
      <c r="C3412">
        <v>4602</v>
      </c>
      <c r="D3412" t="str">
        <f>"0014-1801"</f>
        <v>0014-1801</v>
      </c>
      <c r="E3412" t="s">
        <v>8</v>
      </c>
      <c r="F3412" t="s">
        <v>3423</v>
      </c>
      <c r="G3412">
        <v>2</v>
      </c>
    </row>
    <row r="3413" spans="1:7" x14ac:dyDescent="0.25">
      <c r="A3413">
        <v>18</v>
      </c>
      <c r="B3413" t="s">
        <v>3400</v>
      </c>
      <c r="C3413">
        <v>23452</v>
      </c>
      <c r="D3413" t="str">
        <f>"1744-9057"</f>
        <v>1744-9057</v>
      </c>
      <c r="E3413" t="s">
        <v>8</v>
      </c>
      <c r="F3413" t="s">
        <v>3424</v>
      </c>
      <c r="G3413">
        <v>2</v>
      </c>
    </row>
    <row r="3414" spans="1:7" x14ac:dyDescent="0.25">
      <c r="A3414">
        <v>18</v>
      </c>
      <c r="B3414" t="s">
        <v>3400</v>
      </c>
      <c r="C3414">
        <v>12601</v>
      </c>
      <c r="D3414" t="str">
        <f>"0014-1844"</f>
        <v>0014-1844</v>
      </c>
      <c r="E3414" t="s">
        <v>8</v>
      </c>
      <c r="F3414" t="s">
        <v>3425</v>
      </c>
      <c r="G3414">
        <v>2</v>
      </c>
    </row>
    <row r="3415" spans="1:7" x14ac:dyDescent="0.25">
      <c r="A3415">
        <v>18</v>
      </c>
      <c r="B3415" t="s">
        <v>3400</v>
      </c>
      <c r="C3415">
        <v>424</v>
      </c>
      <c r="D3415" t="str">
        <f>"0091-2131"</f>
        <v>0091-2131</v>
      </c>
      <c r="E3415" t="s">
        <v>8</v>
      </c>
      <c r="F3415" t="s">
        <v>3426</v>
      </c>
      <c r="G3415">
        <v>2</v>
      </c>
    </row>
    <row r="3416" spans="1:7" x14ac:dyDescent="0.25">
      <c r="A3416">
        <v>18</v>
      </c>
      <c r="B3416" t="s">
        <v>3400</v>
      </c>
      <c r="C3416">
        <v>3149</v>
      </c>
      <c r="D3416" t="str">
        <f>"0921-5158"</f>
        <v>0921-5158</v>
      </c>
      <c r="E3416" t="s">
        <v>8</v>
      </c>
      <c r="F3416" t="s">
        <v>3427</v>
      </c>
      <c r="G3416">
        <v>2</v>
      </c>
    </row>
    <row r="3417" spans="1:7" x14ac:dyDescent="0.25">
      <c r="A3417">
        <v>18</v>
      </c>
      <c r="B3417" t="s">
        <v>3400</v>
      </c>
      <c r="C3417">
        <v>12034</v>
      </c>
      <c r="D3417" t="str">
        <f>"1060-1538"</f>
        <v>1060-1538</v>
      </c>
      <c r="E3417" t="s">
        <v>8</v>
      </c>
      <c r="F3417" t="s">
        <v>3428</v>
      </c>
      <c r="G3417">
        <v>2</v>
      </c>
    </row>
    <row r="3418" spans="1:7" x14ac:dyDescent="0.25">
      <c r="A3418">
        <v>18</v>
      </c>
      <c r="B3418" t="s">
        <v>3400</v>
      </c>
      <c r="C3418">
        <v>15020</v>
      </c>
      <c r="D3418" t="str">
        <f>"1525-822X"</f>
        <v>1525-822X</v>
      </c>
      <c r="E3418" t="s">
        <v>8</v>
      </c>
      <c r="F3418" t="s">
        <v>3429</v>
      </c>
      <c r="G3418">
        <v>2</v>
      </c>
    </row>
    <row r="3419" spans="1:7" x14ac:dyDescent="0.25">
      <c r="A3419">
        <v>18</v>
      </c>
      <c r="B3419" t="s">
        <v>3400</v>
      </c>
      <c r="C3419">
        <v>3875</v>
      </c>
      <c r="D3419" t="str">
        <f>"0920-1297"</f>
        <v>0920-1297</v>
      </c>
      <c r="E3419" t="s">
        <v>8</v>
      </c>
      <c r="F3419" t="s">
        <v>3430</v>
      </c>
      <c r="G3419">
        <v>2</v>
      </c>
    </row>
    <row r="3420" spans="1:7" x14ac:dyDescent="0.25">
      <c r="A3420">
        <v>18</v>
      </c>
      <c r="B3420" t="s">
        <v>3400</v>
      </c>
      <c r="C3420">
        <v>151999</v>
      </c>
      <c r="D3420" t="str">
        <f>"1474-7731"</f>
        <v>1474-7731</v>
      </c>
      <c r="E3420" t="s">
        <v>8</v>
      </c>
      <c r="F3420" t="s">
        <v>3431</v>
      </c>
      <c r="G3420">
        <v>2</v>
      </c>
    </row>
    <row r="3421" spans="1:7" x14ac:dyDescent="0.25">
      <c r="A3421">
        <v>18</v>
      </c>
      <c r="B3421" t="s">
        <v>3400</v>
      </c>
      <c r="C3421">
        <v>170095</v>
      </c>
      <c r="E3421" t="s">
        <v>8</v>
      </c>
      <c r="F3421" t="s">
        <v>3432</v>
      </c>
      <c r="G3421">
        <v>2</v>
      </c>
    </row>
    <row r="3422" spans="1:7" x14ac:dyDescent="0.25">
      <c r="A3422">
        <v>18</v>
      </c>
      <c r="B3422" t="s">
        <v>3400</v>
      </c>
      <c r="C3422">
        <v>11240</v>
      </c>
      <c r="D3422" t="str">
        <f>"0275-7206"</f>
        <v>0275-7206</v>
      </c>
      <c r="E3422" t="s">
        <v>8</v>
      </c>
      <c r="F3422" t="s">
        <v>3433</v>
      </c>
      <c r="G3422">
        <v>2</v>
      </c>
    </row>
    <row r="3423" spans="1:7" x14ac:dyDescent="0.25">
      <c r="A3423">
        <v>18</v>
      </c>
      <c r="B3423" t="s">
        <v>3400</v>
      </c>
      <c r="C3423">
        <v>7153</v>
      </c>
      <c r="D3423" t="str">
        <f>"0300-7839"</f>
        <v>0300-7839</v>
      </c>
      <c r="E3423" t="s">
        <v>8</v>
      </c>
      <c r="F3423" t="s">
        <v>3434</v>
      </c>
      <c r="G3423">
        <v>2</v>
      </c>
    </row>
    <row r="3424" spans="1:7" x14ac:dyDescent="0.25">
      <c r="A3424">
        <v>18</v>
      </c>
      <c r="B3424" t="s">
        <v>3400</v>
      </c>
      <c r="C3424">
        <v>2364</v>
      </c>
      <c r="D3424" t="str">
        <f>"0018-7259"</f>
        <v>0018-7259</v>
      </c>
      <c r="E3424" t="s">
        <v>8</v>
      </c>
      <c r="F3424" t="s">
        <v>3435</v>
      </c>
      <c r="G3424">
        <v>2</v>
      </c>
    </row>
    <row r="3425" spans="1:7" x14ac:dyDescent="0.25">
      <c r="A3425">
        <v>18</v>
      </c>
      <c r="B3425" t="s">
        <v>3400</v>
      </c>
      <c r="C3425">
        <v>4963</v>
      </c>
      <c r="D3425" t="str">
        <f>"1070-289X"</f>
        <v>1070-289X</v>
      </c>
      <c r="E3425" t="s">
        <v>8</v>
      </c>
      <c r="F3425" t="s">
        <v>3436</v>
      </c>
      <c r="G3425">
        <v>2</v>
      </c>
    </row>
    <row r="3426" spans="1:7" x14ac:dyDescent="0.25">
      <c r="A3426">
        <v>18</v>
      </c>
      <c r="B3426" t="s">
        <v>3400</v>
      </c>
      <c r="C3426">
        <v>5765</v>
      </c>
      <c r="D3426" t="str">
        <f>"0261-9288"</f>
        <v>0261-9288</v>
      </c>
      <c r="E3426" t="s">
        <v>8</v>
      </c>
      <c r="F3426" t="s">
        <v>3437</v>
      </c>
      <c r="G3426">
        <v>2</v>
      </c>
    </row>
    <row r="3427" spans="1:7" x14ac:dyDescent="0.25">
      <c r="A3427">
        <v>18</v>
      </c>
      <c r="B3427" t="s">
        <v>3400</v>
      </c>
      <c r="C3427">
        <v>10144</v>
      </c>
      <c r="D3427" t="str">
        <f>"1385-4879"</f>
        <v>1385-4879</v>
      </c>
      <c r="E3427" t="s">
        <v>8</v>
      </c>
      <c r="F3427" t="s">
        <v>3438</v>
      </c>
      <c r="G3427">
        <v>2</v>
      </c>
    </row>
    <row r="3428" spans="1:7" x14ac:dyDescent="0.25">
      <c r="A3428">
        <v>18</v>
      </c>
      <c r="B3428" t="s">
        <v>3400</v>
      </c>
      <c r="C3428">
        <v>361</v>
      </c>
      <c r="D3428" t="str">
        <f>"0197-9183"</f>
        <v>0197-9183</v>
      </c>
      <c r="E3428" t="s">
        <v>8</v>
      </c>
      <c r="F3428" t="s">
        <v>3439</v>
      </c>
      <c r="G3428">
        <v>2</v>
      </c>
    </row>
    <row r="3429" spans="1:7" x14ac:dyDescent="0.25">
      <c r="A3429">
        <v>18</v>
      </c>
      <c r="B3429" t="s">
        <v>3400</v>
      </c>
      <c r="C3429">
        <v>10211</v>
      </c>
      <c r="D3429" t="str">
        <f>"0091-7710"</f>
        <v>0091-7710</v>
      </c>
      <c r="E3429" t="s">
        <v>8</v>
      </c>
      <c r="F3429" t="s">
        <v>3440</v>
      </c>
      <c r="G3429">
        <v>2</v>
      </c>
    </row>
    <row r="3430" spans="1:7" x14ac:dyDescent="0.25">
      <c r="A3430">
        <v>18</v>
      </c>
      <c r="B3430" t="s">
        <v>3400</v>
      </c>
      <c r="C3430">
        <v>11107</v>
      </c>
      <c r="D3430" t="str">
        <f>"0891-2416"</f>
        <v>0891-2416</v>
      </c>
      <c r="E3430" t="s">
        <v>8</v>
      </c>
      <c r="F3430" t="s">
        <v>3441</v>
      </c>
      <c r="G3430">
        <v>2</v>
      </c>
    </row>
    <row r="3431" spans="1:7" x14ac:dyDescent="0.25">
      <c r="A3431">
        <v>18</v>
      </c>
      <c r="B3431" t="s">
        <v>3400</v>
      </c>
      <c r="C3431">
        <v>8758</v>
      </c>
      <c r="D3431" t="str">
        <f>"1369-183X"</f>
        <v>1369-183X</v>
      </c>
      <c r="E3431" t="s">
        <v>8</v>
      </c>
      <c r="F3431" t="s">
        <v>3442</v>
      </c>
      <c r="G3431">
        <v>2</v>
      </c>
    </row>
    <row r="3432" spans="1:7" x14ac:dyDescent="0.25">
      <c r="A3432">
        <v>18</v>
      </c>
      <c r="B3432" t="s">
        <v>3400</v>
      </c>
      <c r="C3432">
        <v>24366</v>
      </c>
      <c r="D3432" t="str">
        <f>"1488-3473"</f>
        <v>1488-3473</v>
      </c>
      <c r="E3432" t="s">
        <v>8</v>
      </c>
      <c r="F3432" t="s">
        <v>3443</v>
      </c>
      <c r="G3432">
        <v>2</v>
      </c>
    </row>
    <row r="3433" spans="1:7" x14ac:dyDescent="0.25">
      <c r="A3433">
        <v>18</v>
      </c>
      <c r="B3433" t="s">
        <v>3400</v>
      </c>
      <c r="C3433">
        <v>10956</v>
      </c>
      <c r="D3433" t="str">
        <f>"0951-6328"</f>
        <v>0951-6328</v>
      </c>
      <c r="E3433" t="s">
        <v>8</v>
      </c>
      <c r="F3433" t="s">
        <v>3444</v>
      </c>
      <c r="G3433">
        <v>2</v>
      </c>
    </row>
    <row r="3434" spans="1:7" x14ac:dyDescent="0.25">
      <c r="A3434">
        <v>18</v>
      </c>
      <c r="B3434" t="s">
        <v>3400</v>
      </c>
      <c r="C3434">
        <v>3026</v>
      </c>
      <c r="D3434" t="str">
        <f>"1359-0987"</f>
        <v>1359-0987</v>
      </c>
      <c r="E3434" t="s">
        <v>8</v>
      </c>
      <c r="F3434" t="s">
        <v>3445</v>
      </c>
      <c r="G3434">
        <v>2</v>
      </c>
    </row>
    <row r="3435" spans="1:7" x14ac:dyDescent="0.25">
      <c r="A3435">
        <v>18</v>
      </c>
      <c r="B3435" t="s">
        <v>3400</v>
      </c>
      <c r="C3435">
        <v>1087</v>
      </c>
      <c r="D3435" t="str">
        <f>"0790-8318"</f>
        <v>0790-8318</v>
      </c>
      <c r="E3435" t="s">
        <v>8</v>
      </c>
      <c r="F3435" t="s">
        <v>3446</v>
      </c>
      <c r="G3435">
        <v>2</v>
      </c>
    </row>
    <row r="3436" spans="1:7" x14ac:dyDescent="0.25">
      <c r="A3436">
        <v>18</v>
      </c>
      <c r="B3436" t="s">
        <v>3400</v>
      </c>
      <c r="C3436">
        <v>11579</v>
      </c>
      <c r="D3436" t="str">
        <f>"0145-9740"</f>
        <v>0145-9740</v>
      </c>
      <c r="E3436" t="s">
        <v>8</v>
      </c>
      <c r="F3436" t="s">
        <v>3447</v>
      </c>
      <c r="G3436">
        <v>2</v>
      </c>
    </row>
    <row r="3437" spans="1:7" x14ac:dyDescent="0.25">
      <c r="A3437">
        <v>18</v>
      </c>
      <c r="B3437" t="s">
        <v>3400</v>
      </c>
      <c r="C3437">
        <v>3180</v>
      </c>
      <c r="D3437" t="str">
        <f>"0745-5194"</f>
        <v>0745-5194</v>
      </c>
      <c r="E3437" t="s">
        <v>8</v>
      </c>
      <c r="F3437" t="s">
        <v>3448</v>
      </c>
      <c r="G3437">
        <v>2</v>
      </c>
    </row>
    <row r="3438" spans="1:7" x14ac:dyDescent="0.25">
      <c r="A3438">
        <v>18</v>
      </c>
      <c r="B3438" t="s">
        <v>3400</v>
      </c>
      <c r="C3438">
        <v>20400</v>
      </c>
      <c r="D3438" t="str">
        <f>"1873-9857"</f>
        <v>1873-9857</v>
      </c>
      <c r="E3438" t="s">
        <v>8</v>
      </c>
      <c r="F3438" t="s">
        <v>3449</v>
      </c>
      <c r="G3438">
        <v>2</v>
      </c>
    </row>
    <row r="3439" spans="1:7" x14ac:dyDescent="0.25">
      <c r="A3439">
        <v>18</v>
      </c>
      <c r="B3439" t="s">
        <v>3400</v>
      </c>
      <c r="C3439">
        <v>7189</v>
      </c>
      <c r="D3439" t="str">
        <f>"1354-5078"</f>
        <v>1354-5078</v>
      </c>
      <c r="E3439" t="s">
        <v>8</v>
      </c>
      <c r="F3439" t="s">
        <v>3450</v>
      </c>
      <c r="G3439">
        <v>2</v>
      </c>
    </row>
    <row r="3440" spans="1:7" x14ac:dyDescent="0.25">
      <c r="A3440">
        <v>18</v>
      </c>
      <c r="B3440" t="s">
        <v>3400</v>
      </c>
      <c r="C3440">
        <v>7738039</v>
      </c>
      <c r="D3440" t="str">
        <f>"1799-649X"</f>
        <v>1799-649X</v>
      </c>
      <c r="E3440" t="s">
        <v>8</v>
      </c>
      <c r="F3440" t="s">
        <v>3451</v>
      </c>
      <c r="G3440">
        <v>2</v>
      </c>
    </row>
    <row r="3441" spans="1:7" x14ac:dyDescent="0.25">
      <c r="A3441">
        <v>18</v>
      </c>
      <c r="B3441" t="s">
        <v>3400</v>
      </c>
      <c r="C3441">
        <v>1315</v>
      </c>
      <c r="D3441" t="str">
        <f>"0899-2363"</f>
        <v>0899-2363</v>
      </c>
      <c r="E3441" t="s">
        <v>8</v>
      </c>
      <c r="F3441" t="s">
        <v>3452</v>
      </c>
      <c r="G3441">
        <v>2</v>
      </c>
    </row>
    <row r="3442" spans="1:7" x14ac:dyDescent="0.25">
      <c r="A3442">
        <v>18</v>
      </c>
      <c r="B3442" t="s">
        <v>3400</v>
      </c>
      <c r="C3442">
        <v>3183</v>
      </c>
      <c r="D3442" t="str">
        <f>"0306-3968"</f>
        <v>0306-3968</v>
      </c>
      <c r="E3442" t="s">
        <v>8</v>
      </c>
      <c r="F3442" t="s">
        <v>3453</v>
      </c>
      <c r="G3442">
        <v>2</v>
      </c>
    </row>
    <row r="3443" spans="1:7" x14ac:dyDescent="0.25">
      <c r="A3443">
        <v>18</v>
      </c>
      <c r="B3443" t="s">
        <v>3400</v>
      </c>
      <c r="C3443">
        <v>10398</v>
      </c>
      <c r="D3443" t="str">
        <f>"0190-1281"</f>
        <v>0190-1281</v>
      </c>
      <c r="E3443" t="s">
        <v>15</v>
      </c>
      <c r="F3443" t="s">
        <v>3454</v>
      </c>
      <c r="G3443">
        <v>2</v>
      </c>
    </row>
    <row r="3444" spans="1:7" x14ac:dyDescent="0.25">
      <c r="A3444">
        <v>18</v>
      </c>
      <c r="B3444" t="s">
        <v>3400</v>
      </c>
      <c r="C3444">
        <v>7592</v>
      </c>
      <c r="D3444" t="str">
        <f>"0155-977X"</f>
        <v>0155-977X</v>
      </c>
      <c r="E3444" t="s">
        <v>8</v>
      </c>
      <c r="F3444" t="s">
        <v>3455</v>
      </c>
      <c r="G3444">
        <v>2</v>
      </c>
    </row>
    <row r="3445" spans="1:7" x14ac:dyDescent="0.25">
      <c r="A3445">
        <v>18</v>
      </c>
      <c r="B3445" t="s">
        <v>3400</v>
      </c>
      <c r="C3445">
        <v>12625</v>
      </c>
      <c r="D3445" t="str">
        <f>"0964-0282"</f>
        <v>0964-0282</v>
      </c>
      <c r="E3445" t="s">
        <v>8</v>
      </c>
      <c r="F3445" t="s">
        <v>3456</v>
      </c>
      <c r="G3445">
        <v>2</v>
      </c>
    </row>
    <row r="3446" spans="1:7" x14ac:dyDescent="0.25">
      <c r="A3446">
        <v>18</v>
      </c>
      <c r="B3446" t="s">
        <v>3400</v>
      </c>
      <c r="C3446">
        <v>12677</v>
      </c>
      <c r="D3446" t="str">
        <f>"0253-3952"</f>
        <v>0253-3952</v>
      </c>
      <c r="E3446" t="s">
        <v>8</v>
      </c>
      <c r="F3446" t="s">
        <v>3457</v>
      </c>
      <c r="G3446">
        <v>2</v>
      </c>
    </row>
    <row r="3447" spans="1:7" x14ac:dyDescent="0.25">
      <c r="A3447">
        <v>18</v>
      </c>
      <c r="B3447" t="s">
        <v>3400</v>
      </c>
      <c r="C3447">
        <v>151996</v>
      </c>
      <c r="D3447" t="str">
        <f>"1350-4630"</f>
        <v>1350-4630</v>
      </c>
      <c r="E3447" t="s">
        <v>8</v>
      </c>
      <c r="F3447" t="s">
        <v>52</v>
      </c>
      <c r="G3447">
        <v>2</v>
      </c>
    </row>
    <row r="3448" spans="1:7" x14ac:dyDescent="0.25">
      <c r="A3448">
        <v>18</v>
      </c>
      <c r="B3448" t="s">
        <v>3400</v>
      </c>
      <c r="C3448">
        <v>19858</v>
      </c>
      <c r="D3448" t="str">
        <f>"1035-8811"</f>
        <v>1035-8811</v>
      </c>
      <c r="E3448" t="s">
        <v>8</v>
      </c>
      <c r="F3448" t="s">
        <v>3458</v>
      </c>
      <c r="G3448">
        <v>2</v>
      </c>
    </row>
    <row r="3449" spans="1:7" x14ac:dyDescent="0.25">
      <c r="A3449">
        <v>18</v>
      </c>
      <c r="B3449" t="s">
        <v>3400</v>
      </c>
      <c r="C3449">
        <v>1504</v>
      </c>
      <c r="D3449" t="str">
        <f>"0306-6150"</f>
        <v>0306-6150</v>
      </c>
      <c r="E3449" t="s">
        <v>8</v>
      </c>
      <c r="F3449" t="s">
        <v>3459</v>
      </c>
      <c r="G3449">
        <v>2</v>
      </c>
    </row>
    <row r="3450" spans="1:7" x14ac:dyDescent="0.25">
      <c r="A3450">
        <v>18</v>
      </c>
      <c r="B3450" t="s">
        <v>3400</v>
      </c>
      <c r="C3450">
        <v>336</v>
      </c>
      <c r="D3450" t="str">
        <f>"1051-0559"</f>
        <v>1051-0559</v>
      </c>
      <c r="E3450" t="s">
        <v>8</v>
      </c>
      <c r="F3450" t="s">
        <v>3460</v>
      </c>
      <c r="G3450">
        <v>2</v>
      </c>
    </row>
    <row r="3451" spans="1:7" x14ac:dyDescent="0.25">
      <c r="A3451">
        <v>18</v>
      </c>
      <c r="B3451" t="s">
        <v>3400</v>
      </c>
      <c r="C3451">
        <v>4560</v>
      </c>
      <c r="D3451" t="str">
        <f>"0894-9468"</f>
        <v>0894-9468</v>
      </c>
      <c r="E3451" t="s">
        <v>8</v>
      </c>
      <c r="F3451" t="s">
        <v>3461</v>
      </c>
      <c r="G3451">
        <v>2</v>
      </c>
    </row>
    <row r="3452" spans="1:7" x14ac:dyDescent="0.25">
      <c r="A3452">
        <v>18</v>
      </c>
      <c r="B3452" t="s">
        <v>3400</v>
      </c>
      <c r="C3452">
        <v>8690</v>
      </c>
      <c r="D3452" t="str">
        <f>"0065-0897"</f>
        <v>0065-0897</v>
      </c>
      <c r="E3452" t="s">
        <v>15</v>
      </c>
      <c r="F3452" t="s">
        <v>3462</v>
      </c>
      <c r="G3452">
        <v>1</v>
      </c>
    </row>
    <row r="3453" spans="1:7" x14ac:dyDescent="0.25">
      <c r="A3453">
        <v>18</v>
      </c>
      <c r="B3453" t="s">
        <v>3400</v>
      </c>
      <c r="C3453">
        <v>4586</v>
      </c>
      <c r="D3453" t="str">
        <f>"1216-9803"</f>
        <v>1216-9803</v>
      </c>
      <c r="E3453" t="s">
        <v>8</v>
      </c>
      <c r="F3453" t="s">
        <v>3463</v>
      </c>
      <c r="G3453">
        <v>1</v>
      </c>
    </row>
    <row r="3454" spans="1:7" x14ac:dyDescent="0.25">
      <c r="A3454">
        <v>18</v>
      </c>
      <c r="B3454" t="s">
        <v>3400</v>
      </c>
      <c r="C3454">
        <v>7721359</v>
      </c>
      <c r="D3454" t="str">
        <f>"2163-9353"</f>
        <v>2163-9353</v>
      </c>
      <c r="E3454" t="s">
        <v>8</v>
      </c>
      <c r="F3454" t="s">
        <v>3464</v>
      </c>
      <c r="G3454">
        <v>1</v>
      </c>
    </row>
    <row r="3455" spans="1:7" x14ac:dyDescent="0.25">
      <c r="A3455">
        <v>18</v>
      </c>
      <c r="B3455" t="s">
        <v>3400</v>
      </c>
      <c r="C3455">
        <v>23148</v>
      </c>
      <c r="D3455" t="str">
        <f>"1752-8631"</f>
        <v>1752-8631</v>
      </c>
      <c r="E3455" t="s">
        <v>8</v>
      </c>
      <c r="F3455" t="s">
        <v>3465</v>
      </c>
      <c r="G3455">
        <v>1</v>
      </c>
    </row>
    <row r="3456" spans="1:7" x14ac:dyDescent="0.25">
      <c r="A3456">
        <v>18</v>
      </c>
      <c r="B3456" t="s">
        <v>3400</v>
      </c>
      <c r="C3456">
        <v>7714257</v>
      </c>
      <c r="D3456" t="str">
        <f>"2156-695X"</f>
        <v>2156-695X</v>
      </c>
      <c r="E3456" t="s">
        <v>8</v>
      </c>
      <c r="F3456" t="s">
        <v>3466</v>
      </c>
      <c r="G3456">
        <v>1</v>
      </c>
    </row>
    <row r="3457" spans="1:7" x14ac:dyDescent="0.25">
      <c r="A3457">
        <v>18</v>
      </c>
      <c r="B3457" t="s">
        <v>3400</v>
      </c>
      <c r="C3457">
        <v>1016</v>
      </c>
      <c r="D3457" t="str">
        <f>"1568-1777"</f>
        <v>1568-1777</v>
      </c>
      <c r="E3457" t="s">
        <v>15</v>
      </c>
      <c r="F3457" t="s">
        <v>3467</v>
      </c>
      <c r="G3457">
        <v>1</v>
      </c>
    </row>
    <row r="3458" spans="1:7" x14ac:dyDescent="0.25">
      <c r="A3458">
        <v>18</v>
      </c>
      <c r="B3458" t="s">
        <v>3400</v>
      </c>
      <c r="C3458">
        <v>27645</v>
      </c>
      <c r="D3458" t="str">
        <f>"1544-9793"</f>
        <v>1544-9793</v>
      </c>
      <c r="E3458" t="s">
        <v>8</v>
      </c>
      <c r="F3458" t="s">
        <v>3468</v>
      </c>
      <c r="G3458">
        <v>1</v>
      </c>
    </row>
    <row r="3459" spans="1:7" x14ac:dyDescent="0.25">
      <c r="A3459">
        <v>18</v>
      </c>
      <c r="B3459" t="s">
        <v>3400</v>
      </c>
      <c r="C3459">
        <v>15278</v>
      </c>
      <c r="D3459" t="str">
        <f>"1177-1801"</f>
        <v>1177-1801</v>
      </c>
      <c r="E3459" t="s">
        <v>8</v>
      </c>
      <c r="F3459" t="s">
        <v>3469</v>
      </c>
      <c r="G3459">
        <v>1</v>
      </c>
    </row>
    <row r="3460" spans="1:7" x14ac:dyDescent="0.25">
      <c r="A3460">
        <v>18</v>
      </c>
      <c r="B3460" t="s">
        <v>3400</v>
      </c>
      <c r="C3460">
        <v>27570</v>
      </c>
      <c r="D3460" t="str">
        <f>"0121-5914"</f>
        <v>0121-5914</v>
      </c>
      <c r="E3460" t="s">
        <v>8</v>
      </c>
      <c r="F3460" t="s">
        <v>3470</v>
      </c>
      <c r="G3460">
        <v>1</v>
      </c>
    </row>
    <row r="3461" spans="1:7" x14ac:dyDescent="0.25">
      <c r="A3461">
        <v>18</v>
      </c>
      <c r="B3461" t="s">
        <v>3400</v>
      </c>
      <c r="C3461">
        <v>11695</v>
      </c>
      <c r="D3461" t="str">
        <f>"0095-182X"</f>
        <v>0095-182X</v>
      </c>
      <c r="E3461" t="s">
        <v>8</v>
      </c>
      <c r="F3461" t="s">
        <v>3471</v>
      </c>
      <c r="G3461">
        <v>1</v>
      </c>
    </row>
    <row r="3462" spans="1:7" x14ac:dyDescent="0.25">
      <c r="A3462">
        <v>18</v>
      </c>
      <c r="B3462" t="s">
        <v>3400</v>
      </c>
      <c r="C3462">
        <v>27661</v>
      </c>
      <c r="D3462" t="str">
        <f>"0221-8852"</f>
        <v>0221-8852</v>
      </c>
      <c r="E3462" t="s">
        <v>8</v>
      </c>
      <c r="F3462" t="s">
        <v>3472</v>
      </c>
      <c r="G3462">
        <v>1</v>
      </c>
    </row>
    <row r="3463" spans="1:7" x14ac:dyDescent="0.25">
      <c r="A3463">
        <v>18</v>
      </c>
      <c r="B3463" t="s">
        <v>3400</v>
      </c>
      <c r="C3463">
        <v>16310</v>
      </c>
      <c r="D3463" t="str">
        <f>"0185-1225"</f>
        <v>0185-1225</v>
      </c>
      <c r="E3463" t="s">
        <v>8</v>
      </c>
      <c r="F3463" t="s">
        <v>3473</v>
      </c>
      <c r="G3463">
        <v>1</v>
      </c>
    </row>
    <row r="3464" spans="1:7" x14ac:dyDescent="0.25">
      <c r="A3464">
        <v>18</v>
      </c>
      <c r="B3464" t="s">
        <v>3400</v>
      </c>
      <c r="C3464">
        <v>27041</v>
      </c>
      <c r="D3464" t="str">
        <f>"0231-844X"</f>
        <v>0231-844X</v>
      </c>
      <c r="E3464" t="s">
        <v>8</v>
      </c>
      <c r="F3464" t="s">
        <v>3474</v>
      </c>
      <c r="G3464">
        <v>1</v>
      </c>
    </row>
    <row r="3465" spans="1:7" x14ac:dyDescent="0.25">
      <c r="A3465">
        <v>18</v>
      </c>
      <c r="B3465" t="s">
        <v>3400</v>
      </c>
      <c r="C3465">
        <v>27403</v>
      </c>
      <c r="D3465" t="str">
        <f>"0570-2259"</f>
        <v>0570-2259</v>
      </c>
      <c r="E3465" t="s">
        <v>8</v>
      </c>
      <c r="F3465" t="s">
        <v>3475</v>
      </c>
      <c r="G3465">
        <v>1</v>
      </c>
    </row>
    <row r="3466" spans="1:7" x14ac:dyDescent="0.25">
      <c r="A3466">
        <v>18</v>
      </c>
      <c r="B3466" t="s">
        <v>3400</v>
      </c>
      <c r="C3466">
        <v>156050</v>
      </c>
      <c r="E3466" t="s">
        <v>8</v>
      </c>
      <c r="F3466" t="s">
        <v>3476</v>
      </c>
      <c r="G3466">
        <v>1</v>
      </c>
    </row>
    <row r="3467" spans="1:7" x14ac:dyDescent="0.25">
      <c r="A3467">
        <v>18</v>
      </c>
      <c r="B3467" t="s">
        <v>3400</v>
      </c>
      <c r="C3467">
        <v>27799</v>
      </c>
      <c r="D3467" t="str">
        <f>"0254-9212"</f>
        <v>0254-9212</v>
      </c>
      <c r="E3467" t="s">
        <v>8</v>
      </c>
      <c r="F3467" t="s">
        <v>3404</v>
      </c>
      <c r="G3467">
        <v>1</v>
      </c>
    </row>
    <row r="3468" spans="1:7" x14ac:dyDescent="0.25">
      <c r="A3468">
        <v>18</v>
      </c>
      <c r="B3468" t="s">
        <v>3400</v>
      </c>
      <c r="C3468">
        <v>25189</v>
      </c>
      <c r="D3468" t="str">
        <f>"1755-2923"</f>
        <v>1755-2923</v>
      </c>
      <c r="E3468" t="s">
        <v>8</v>
      </c>
      <c r="F3468" t="s">
        <v>3477</v>
      </c>
      <c r="G3468">
        <v>1</v>
      </c>
    </row>
    <row r="3469" spans="1:7" x14ac:dyDescent="0.25">
      <c r="A3469">
        <v>18</v>
      </c>
      <c r="B3469" t="s">
        <v>3400</v>
      </c>
      <c r="C3469">
        <v>27230</v>
      </c>
      <c r="D3469" t="str">
        <f>"1408-032X"</f>
        <v>1408-032X</v>
      </c>
      <c r="E3469" t="s">
        <v>8</v>
      </c>
      <c r="F3469" t="s">
        <v>3478</v>
      </c>
      <c r="G3469">
        <v>1</v>
      </c>
    </row>
    <row r="3470" spans="1:7" x14ac:dyDescent="0.25">
      <c r="A3470">
        <v>18</v>
      </c>
      <c r="B3470" t="s">
        <v>3400</v>
      </c>
      <c r="C3470">
        <v>113642</v>
      </c>
      <c r="D3470" t="str">
        <f>"1898-6773"</f>
        <v>1898-6773</v>
      </c>
      <c r="E3470" t="s">
        <v>8</v>
      </c>
      <c r="F3470" t="s">
        <v>3479</v>
      </c>
      <c r="G3470">
        <v>1</v>
      </c>
    </row>
    <row r="3471" spans="1:7" x14ac:dyDescent="0.25">
      <c r="A3471">
        <v>18</v>
      </c>
      <c r="B3471" t="s">
        <v>3400</v>
      </c>
      <c r="C3471">
        <v>7272</v>
      </c>
      <c r="D3471" t="str">
        <f>"0918-7960"</f>
        <v>0918-7960</v>
      </c>
      <c r="E3471" t="s">
        <v>8</v>
      </c>
      <c r="F3471" t="s">
        <v>3480</v>
      </c>
      <c r="G3471">
        <v>1</v>
      </c>
    </row>
    <row r="3472" spans="1:7" x14ac:dyDescent="0.25">
      <c r="A3472">
        <v>18</v>
      </c>
      <c r="B3472" t="s">
        <v>3400</v>
      </c>
      <c r="C3472">
        <v>8783761</v>
      </c>
      <c r="E3472" t="s">
        <v>15</v>
      </c>
      <c r="F3472" t="s">
        <v>3481</v>
      </c>
      <c r="G3472">
        <v>1</v>
      </c>
    </row>
    <row r="3473" spans="1:7" x14ac:dyDescent="0.25">
      <c r="A3473">
        <v>18</v>
      </c>
      <c r="B3473" t="s">
        <v>3400</v>
      </c>
      <c r="C3473">
        <v>20137</v>
      </c>
      <c r="D3473" t="str">
        <f>"0702-8997"</f>
        <v>0702-8997</v>
      </c>
      <c r="E3473" t="s">
        <v>8</v>
      </c>
      <c r="F3473" t="s">
        <v>3482</v>
      </c>
      <c r="G3473">
        <v>1</v>
      </c>
    </row>
    <row r="3474" spans="1:7" x14ac:dyDescent="0.25">
      <c r="A3474">
        <v>18</v>
      </c>
      <c r="B3474" t="s">
        <v>3400</v>
      </c>
      <c r="C3474">
        <v>12639</v>
      </c>
      <c r="D3474" t="str">
        <f>"0003-5548"</f>
        <v>0003-5548</v>
      </c>
      <c r="E3474" t="s">
        <v>8</v>
      </c>
      <c r="F3474" t="s">
        <v>3483</v>
      </c>
      <c r="G3474">
        <v>1</v>
      </c>
    </row>
    <row r="3475" spans="1:7" x14ac:dyDescent="0.25">
      <c r="A3475">
        <v>18</v>
      </c>
      <c r="B3475" t="s">
        <v>3400</v>
      </c>
      <c r="C3475">
        <v>8781941</v>
      </c>
      <c r="E3475" t="s">
        <v>15</v>
      </c>
      <c r="F3475" t="s">
        <v>3484</v>
      </c>
      <c r="G3475">
        <v>1</v>
      </c>
    </row>
    <row r="3476" spans="1:7" x14ac:dyDescent="0.25">
      <c r="A3476">
        <v>18</v>
      </c>
      <c r="B3476" t="s">
        <v>3400</v>
      </c>
      <c r="C3476">
        <v>8782505</v>
      </c>
      <c r="E3476" t="s">
        <v>8</v>
      </c>
      <c r="F3476" t="s">
        <v>3485</v>
      </c>
      <c r="G3476">
        <v>1</v>
      </c>
    </row>
    <row r="3477" spans="1:7" x14ac:dyDescent="0.25">
      <c r="A3477">
        <v>18</v>
      </c>
      <c r="B3477" t="s">
        <v>3400</v>
      </c>
      <c r="C3477">
        <v>8375</v>
      </c>
      <c r="D3477" t="str">
        <f>"1061-1959"</f>
        <v>1061-1959</v>
      </c>
      <c r="E3477" t="s">
        <v>8</v>
      </c>
      <c r="F3477" t="s">
        <v>3486</v>
      </c>
      <c r="G3477">
        <v>1</v>
      </c>
    </row>
    <row r="3478" spans="1:7" x14ac:dyDescent="0.25">
      <c r="A3478">
        <v>18</v>
      </c>
      <c r="B3478" t="s">
        <v>3400</v>
      </c>
      <c r="C3478">
        <v>8783762</v>
      </c>
      <c r="E3478" t="s">
        <v>15</v>
      </c>
      <c r="F3478" t="s">
        <v>3487</v>
      </c>
      <c r="G3478">
        <v>1</v>
      </c>
    </row>
    <row r="3479" spans="1:7" x14ac:dyDescent="0.25">
      <c r="A3479">
        <v>18</v>
      </c>
      <c r="B3479" t="s">
        <v>3400</v>
      </c>
      <c r="C3479">
        <v>16866</v>
      </c>
      <c r="D3479" t="str">
        <f>"1559-9167"</f>
        <v>1559-9167</v>
      </c>
      <c r="E3479" t="s">
        <v>8</v>
      </c>
      <c r="F3479" t="s">
        <v>3488</v>
      </c>
      <c r="G3479">
        <v>1</v>
      </c>
    </row>
    <row r="3480" spans="1:7" x14ac:dyDescent="0.25">
      <c r="A3480">
        <v>18</v>
      </c>
      <c r="B3480" t="s">
        <v>3400</v>
      </c>
      <c r="C3480">
        <v>6018670</v>
      </c>
      <c r="D3480" t="str">
        <f>"1758-6453"</f>
        <v>1758-6453</v>
      </c>
      <c r="E3480" t="s">
        <v>8</v>
      </c>
      <c r="F3480" t="s">
        <v>3489</v>
      </c>
      <c r="G3480">
        <v>1</v>
      </c>
    </row>
    <row r="3481" spans="1:7" x14ac:dyDescent="0.25">
      <c r="A3481">
        <v>18</v>
      </c>
      <c r="B3481" t="s">
        <v>3400</v>
      </c>
      <c r="C3481">
        <v>4417</v>
      </c>
      <c r="D3481" t="str">
        <f>"1541-6151"</f>
        <v>1541-6151</v>
      </c>
      <c r="E3481" t="s">
        <v>8</v>
      </c>
      <c r="F3481" t="s">
        <v>3490</v>
      </c>
      <c r="G3481">
        <v>1</v>
      </c>
    </row>
    <row r="3482" spans="1:7" x14ac:dyDescent="0.25">
      <c r="A3482">
        <v>18</v>
      </c>
      <c r="B3482" t="s">
        <v>3400</v>
      </c>
      <c r="C3482">
        <v>6018672</v>
      </c>
      <c r="D3482" t="str">
        <f>"1942-8200"</f>
        <v>1942-8200</v>
      </c>
      <c r="E3482" t="s">
        <v>8</v>
      </c>
      <c r="F3482" t="s">
        <v>3491</v>
      </c>
      <c r="G3482">
        <v>1</v>
      </c>
    </row>
    <row r="3483" spans="1:7" x14ac:dyDescent="0.25">
      <c r="A3483">
        <v>18</v>
      </c>
      <c r="B3483" t="s">
        <v>3400</v>
      </c>
      <c r="C3483">
        <v>26145</v>
      </c>
      <c r="D3483" t="str">
        <f>"1053-4202"</f>
        <v>1053-4202</v>
      </c>
      <c r="E3483" t="s">
        <v>8</v>
      </c>
      <c r="F3483" t="s">
        <v>3492</v>
      </c>
      <c r="G3483">
        <v>1</v>
      </c>
    </row>
    <row r="3484" spans="1:7" x14ac:dyDescent="0.25">
      <c r="A3484">
        <v>18</v>
      </c>
      <c r="B3484" t="s">
        <v>3400</v>
      </c>
      <c r="C3484">
        <v>13662</v>
      </c>
      <c r="E3484" t="s">
        <v>8</v>
      </c>
      <c r="F3484" t="s">
        <v>3493</v>
      </c>
      <c r="G3484">
        <v>1</v>
      </c>
    </row>
    <row r="3485" spans="1:7" x14ac:dyDescent="0.25">
      <c r="A3485">
        <v>18</v>
      </c>
      <c r="B3485" t="s">
        <v>3400</v>
      </c>
      <c r="C3485">
        <v>41761</v>
      </c>
      <c r="D3485" t="str">
        <f>"1746-0719"</f>
        <v>1746-0719</v>
      </c>
      <c r="E3485" t="s">
        <v>8</v>
      </c>
      <c r="F3485" t="s">
        <v>3494</v>
      </c>
      <c r="G3485">
        <v>1</v>
      </c>
    </row>
    <row r="3486" spans="1:7" x14ac:dyDescent="0.25">
      <c r="A3486">
        <v>18</v>
      </c>
      <c r="B3486" t="s">
        <v>3400</v>
      </c>
      <c r="C3486">
        <v>6101</v>
      </c>
      <c r="D3486" t="str">
        <f>"0268-540X"</f>
        <v>0268-540X</v>
      </c>
      <c r="E3486" t="s">
        <v>8</v>
      </c>
      <c r="F3486" t="s">
        <v>3495</v>
      </c>
      <c r="G3486">
        <v>1</v>
      </c>
    </row>
    <row r="3487" spans="1:7" x14ac:dyDescent="0.25">
      <c r="A3487">
        <v>18</v>
      </c>
      <c r="B3487" t="s">
        <v>3400</v>
      </c>
      <c r="C3487">
        <v>8783763</v>
      </c>
      <c r="E3487" t="s">
        <v>15</v>
      </c>
      <c r="F3487" t="s">
        <v>3496</v>
      </c>
      <c r="G3487">
        <v>1</v>
      </c>
    </row>
    <row r="3488" spans="1:7" x14ac:dyDescent="0.25">
      <c r="A3488">
        <v>18</v>
      </c>
      <c r="B3488" t="s">
        <v>3400</v>
      </c>
      <c r="C3488">
        <v>8782570</v>
      </c>
      <c r="D3488" t="str">
        <f>"1351-5403"</f>
        <v>1351-5403</v>
      </c>
      <c r="E3488" t="s">
        <v>15</v>
      </c>
      <c r="F3488" t="s">
        <v>3497</v>
      </c>
      <c r="G3488">
        <v>1</v>
      </c>
    </row>
    <row r="3489" spans="1:7" x14ac:dyDescent="0.25">
      <c r="A3489">
        <v>18</v>
      </c>
      <c r="B3489" t="s">
        <v>3400</v>
      </c>
      <c r="C3489">
        <v>12136</v>
      </c>
      <c r="D3489" t="str">
        <f>"0257-9774"</f>
        <v>0257-9774</v>
      </c>
      <c r="E3489" t="s">
        <v>8</v>
      </c>
      <c r="F3489" t="s">
        <v>3498</v>
      </c>
      <c r="G3489">
        <v>1</v>
      </c>
    </row>
    <row r="3490" spans="1:7" x14ac:dyDescent="0.25">
      <c r="A3490">
        <v>18</v>
      </c>
      <c r="B3490" t="s">
        <v>3400</v>
      </c>
      <c r="C3490">
        <v>56064</v>
      </c>
      <c r="D3490" t="str">
        <f>"1105-2155"</f>
        <v>1105-2155</v>
      </c>
      <c r="E3490" t="s">
        <v>15</v>
      </c>
      <c r="F3490" t="s">
        <v>3499</v>
      </c>
      <c r="G3490">
        <v>1</v>
      </c>
    </row>
    <row r="3491" spans="1:7" x14ac:dyDescent="0.25">
      <c r="A3491">
        <v>18</v>
      </c>
      <c r="B3491" t="s">
        <v>3400</v>
      </c>
      <c r="C3491">
        <v>8781945</v>
      </c>
      <c r="D3491" t="str">
        <f>"2198-6754"</f>
        <v>2198-6754</v>
      </c>
      <c r="E3491" t="s">
        <v>8</v>
      </c>
      <c r="F3491" t="s">
        <v>3500</v>
      </c>
      <c r="G3491">
        <v>1</v>
      </c>
    </row>
    <row r="3492" spans="1:7" x14ac:dyDescent="0.25">
      <c r="A3492">
        <v>18</v>
      </c>
      <c r="B3492" t="s">
        <v>3400</v>
      </c>
      <c r="C3492">
        <v>152980</v>
      </c>
      <c r="D3492" t="str">
        <f>"1900-5407"</f>
        <v>1900-5407</v>
      </c>
      <c r="E3492" t="s">
        <v>8</v>
      </c>
      <c r="F3492" t="s">
        <v>3501</v>
      </c>
      <c r="G3492">
        <v>1</v>
      </c>
    </row>
    <row r="3493" spans="1:7" x14ac:dyDescent="0.25">
      <c r="A3493">
        <v>18</v>
      </c>
      <c r="B3493" t="s">
        <v>3400</v>
      </c>
      <c r="C3493">
        <v>27390</v>
      </c>
      <c r="D3493" t="str">
        <f>"0870-0990"</f>
        <v>0870-0990</v>
      </c>
      <c r="E3493" t="s">
        <v>8</v>
      </c>
      <c r="F3493" t="s">
        <v>3502</v>
      </c>
      <c r="G3493">
        <v>1</v>
      </c>
    </row>
    <row r="3494" spans="1:7" x14ac:dyDescent="0.25">
      <c r="A3494">
        <v>18</v>
      </c>
      <c r="B3494" t="s">
        <v>3400</v>
      </c>
      <c r="C3494">
        <v>132362</v>
      </c>
      <c r="D3494" t="str">
        <f>"0873-819X"</f>
        <v>0873-819X</v>
      </c>
      <c r="E3494" t="s">
        <v>8</v>
      </c>
      <c r="F3494" t="s">
        <v>3503</v>
      </c>
      <c r="G3494">
        <v>1</v>
      </c>
    </row>
    <row r="3495" spans="1:7" x14ac:dyDescent="0.25">
      <c r="A3495">
        <v>18</v>
      </c>
      <c r="B3495" t="s">
        <v>3400</v>
      </c>
      <c r="C3495">
        <v>170094</v>
      </c>
      <c r="D3495" t="str">
        <f>"2245-2737"</f>
        <v>2245-2737</v>
      </c>
      <c r="E3495" t="s">
        <v>15</v>
      </c>
      <c r="F3495" t="s">
        <v>3504</v>
      </c>
      <c r="G3495">
        <v>1</v>
      </c>
    </row>
    <row r="3496" spans="1:7" x14ac:dyDescent="0.25">
      <c r="A3496">
        <v>18</v>
      </c>
      <c r="B3496" t="s">
        <v>3400</v>
      </c>
      <c r="C3496">
        <v>54632</v>
      </c>
      <c r="D3496" t="str">
        <f>"0066-6513"</f>
        <v>0066-6513</v>
      </c>
      <c r="E3496" t="s">
        <v>8</v>
      </c>
      <c r="F3496" t="s">
        <v>3505</v>
      </c>
      <c r="G3496">
        <v>1</v>
      </c>
    </row>
    <row r="3497" spans="1:7" x14ac:dyDescent="0.25">
      <c r="A3497">
        <v>18</v>
      </c>
      <c r="B3497" t="s">
        <v>3400</v>
      </c>
      <c r="C3497">
        <v>152675</v>
      </c>
      <c r="D3497" t="str">
        <f>"0066-9679"</f>
        <v>0066-9679</v>
      </c>
      <c r="E3497" t="s">
        <v>15</v>
      </c>
      <c r="F3497" t="s">
        <v>3506</v>
      </c>
      <c r="G3497">
        <v>1</v>
      </c>
    </row>
    <row r="3498" spans="1:7" x14ac:dyDescent="0.25">
      <c r="A3498">
        <v>18</v>
      </c>
      <c r="B3498" t="s">
        <v>3400</v>
      </c>
      <c r="C3498">
        <v>146931</v>
      </c>
      <c r="D3498" t="str">
        <f>"1683-478X"</f>
        <v>1683-478X</v>
      </c>
      <c r="E3498" t="s">
        <v>8</v>
      </c>
      <c r="F3498" t="s">
        <v>3507</v>
      </c>
      <c r="G3498">
        <v>1</v>
      </c>
    </row>
    <row r="3499" spans="1:7" x14ac:dyDescent="0.25">
      <c r="A3499">
        <v>18</v>
      </c>
      <c r="B3499" t="s">
        <v>3400</v>
      </c>
      <c r="C3499">
        <v>11050</v>
      </c>
      <c r="D3499" t="str">
        <f>"1463-1369"</f>
        <v>1463-1369</v>
      </c>
      <c r="E3499" t="s">
        <v>8</v>
      </c>
      <c r="F3499" t="s">
        <v>3508</v>
      </c>
      <c r="G3499">
        <v>1</v>
      </c>
    </row>
    <row r="3500" spans="1:7" x14ac:dyDescent="0.25">
      <c r="A3500">
        <v>18</v>
      </c>
      <c r="B3500" t="s">
        <v>3400</v>
      </c>
      <c r="C3500">
        <v>13676</v>
      </c>
      <c r="D3500" t="str">
        <f>"1882-6865"</f>
        <v>1882-6865</v>
      </c>
      <c r="E3500" t="s">
        <v>8</v>
      </c>
      <c r="F3500" t="s">
        <v>3509</v>
      </c>
      <c r="G3500">
        <v>1</v>
      </c>
    </row>
    <row r="3501" spans="1:7" x14ac:dyDescent="0.25">
      <c r="A3501">
        <v>18</v>
      </c>
      <c r="B3501" t="s">
        <v>3400</v>
      </c>
      <c r="C3501">
        <v>23928</v>
      </c>
      <c r="D3501" t="str">
        <f>"1744-1730"</f>
        <v>1744-1730</v>
      </c>
      <c r="E3501" t="s">
        <v>8</v>
      </c>
      <c r="F3501" t="s">
        <v>3510</v>
      </c>
      <c r="G3501">
        <v>1</v>
      </c>
    </row>
    <row r="3502" spans="1:7" x14ac:dyDescent="0.25">
      <c r="A3502">
        <v>18</v>
      </c>
      <c r="B3502" t="s">
        <v>3400</v>
      </c>
      <c r="C3502">
        <v>52603</v>
      </c>
      <c r="D3502" t="str">
        <f>"1815-3704"</f>
        <v>1815-3704</v>
      </c>
      <c r="E3502" t="s">
        <v>8</v>
      </c>
      <c r="F3502" t="s">
        <v>3511</v>
      </c>
      <c r="G3502">
        <v>1</v>
      </c>
    </row>
    <row r="3503" spans="1:7" x14ac:dyDescent="0.25">
      <c r="A3503">
        <v>18</v>
      </c>
      <c r="B3503" t="s">
        <v>3400</v>
      </c>
      <c r="C3503">
        <v>27101</v>
      </c>
      <c r="D3503" t="str">
        <f>"0332-270X"</f>
        <v>0332-270X</v>
      </c>
      <c r="E3503" t="s">
        <v>8</v>
      </c>
      <c r="F3503" t="s">
        <v>3512</v>
      </c>
      <c r="G3503">
        <v>1</v>
      </c>
    </row>
    <row r="3504" spans="1:7" x14ac:dyDescent="0.25">
      <c r="A3504">
        <v>18</v>
      </c>
      <c r="B3504" t="s">
        <v>3400</v>
      </c>
      <c r="C3504">
        <v>6041074</v>
      </c>
      <c r="E3504" t="s">
        <v>15</v>
      </c>
      <c r="F3504" t="s">
        <v>3513</v>
      </c>
      <c r="G3504">
        <v>1</v>
      </c>
    </row>
    <row r="3505" spans="1:7" x14ac:dyDescent="0.25">
      <c r="A3505">
        <v>18</v>
      </c>
      <c r="B3505" t="s">
        <v>3400</v>
      </c>
      <c r="C3505">
        <v>112736</v>
      </c>
      <c r="D3505" t="str">
        <f>"1362-7651"</f>
        <v>1362-7651</v>
      </c>
      <c r="E3505" t="s">
        <v>15</v>
      </c>
      <c r="F3505" t="s">
        <v>3514</v>
      </c>
      <c r="G3505">
        <v>1</v>
      </c>
    </row>
    <row r="3506" spans="1:7" x14ac:dyDescent="0.25">
      <c r="A3506">
        <v>18</v>
      </c>
      <c r="B3506" t="s">
        <v>3400</v>
      </c>
      <c r="C3506">
        <v>4234</v>
      </c>
      <c r="D3506" t="str">
        <f>"0715-3244"</f>
        <v>0715-3244</v>
      </c>
      <c r="E3506" t="s">
        <v>8</v>
      </c>
      <c r="F3506" t="s">
        <v>3515</v>
      </c>
      <c r="G3506">
        <v>1</v>
      </c>
    </row>
    <row r="3507" spans="1:7" x14ac:dyDescent="0.25">
      <c r="A3507">
        <v>18</v>
      </c>
      <c r="B3507" t="s">
        <v>3400</v>
      </c>
      <c r="C3507">
        <v>2711</v>
      </c>
      <c r="D3507" t="str">
        <f>"0251-2920"</f>
        <v>0251-2920</v>
      </c>
      <c r="E3507" t="s">
        <v>8</v>
      </c>
      <c r="F3507" t="s">
        <v>3516</v>
      </c>
      <c r="G3507">
        <v>1</v>
      </c>
    </row>
    <row r="3508" spans="1:7" x14ac:dyDescent="0.25">
      <c r="A3508">
        <v>18</v>
      </c>
      <c r="B3508" t="s">
        <v>3400</v>
      </c>
      <c r="C3508">
        <v>27871</v>
      </c>
      <c r="D3508" t="str">
        <f>"0716-1182"</f>
        <v>0716-1182</v>
      </c>
      <c r="E3508" t="s">
        <v>8</v>
      </c>
      <c r="F3508" t="s">
        <v>3517</v>
      </c>
      <c r="G3508">
        <v>1</v>
      </c>
    </row>
    <row r="3509" spans="1:7" x14ac:dyDescent="0.25">
      <c r="A3509">
        <v>18</v>
      </c>
      <c r="B3509" t="s">
        <v>3400</v>
      </c>
      <c r="C3509">
        <v>121766</v>
      </c>
      <c r="D3509" t="str">
        <f>"1943-2550"</f>
        <v>1943-2550</v>
      </c>
      <c r="E3509" t="s">
        <v>8</v>
      </c>
      <c r="F3509" t="s">
        <v>3518</v>
      </c>
      <c r="G3509">
        <v>1</v>
      </c>
    </row>
    <row r="3510" spans="1:7" x14ac:dyDescent="0.25">
      <c r="A3510">
        <v>18</v>
      </c>
      <c r="B3510" t="s">
        <v>3400</v>
      </c>
      <c r="C3510">
        <v>7676</v>
      </c>
      <c r="D3510" t="str">
        <f>"0350-6134"</f>
        <v>0350-6134</v>
      </c>
      <c r="E3510" t="s">
        <v>8</v>
      </c>
      <c r="F3510" t="s">
        <v>3519</v>
      </c>
      <c r="G3510">
        <v>1</v>
      </c>
    </row>
    <row r="3511" spans="1:7" x14ac:dyDescent="0.25">
      <c r="A3511">
        <v>18</v>
      </c>
      <c r="B3511" t="s">
        <v>3400</v>
      </c>
      <c r="C3511">
        <v>138566</v>
      </c>
      <c r="D3511" t="str">
        <f>"0121-5612"</f>
        <v>0121-5612</v>
      </c>
      <c r="E3511" t="s">
        <v>8</v>
      </c>
      <c r="F3511" t="s">
        <v>3520</v>
      </c>
      <c r="G3511">
        <v>1</v>
      </c>
    </row>
    <row r="3512" spans="1:7" x14ac:dyDescent="0.25">
      <c r="A3512">
        <v>18</v>
      </c>
      <c r="B3512" t="s">
        <v>3400</v>
      </c>
      <c r="C3512">
        <v>12130</v>
      </c>
      <c r="D3512" t="str">
        <f>"0733-4540"</f>
        <v>0733-4540</v>
      </c>
      <c r="E3512" t="s">
        <v>8</v>
      </c>
      <c r="F3512" t="s">
        <v>3521</v>
      </c>
      <c r="G3512">
        <v>1</v>
      </c>
    </row>
    <row r="3513" spans="1:7" x14ac:dyDescent="0.25">
      <c r="A3513">
        <v>18</v>
      </c>
      <c r="B3513" t="s">
        <v>3400</v>
      </c>
      <c r="C3513">
        <v>141604</v>
      </c>
      <c r="D3513" t="str">
        <f>"1752-1505"</f>
        <v>1752-1505</v>
      </c>
      <c r="E3513" t="s">
        <v>8</v>
      </c>
      <c r="F3513" t="s">
        <v>3522</v>
      </c>
      <c r="G3513">
        <v>1</v>
      </c>
    </row>
    <row r="3514" spans="1:7" x14ac:dyDescent="0.25">
      <c r="A3514">
        <v>18</v>
      </c>
      <c r="B3514" t="s">
        <v>3400</v>
      </c>
      <c r="C3514">
        <v>7742013</v>
      </c>
      <c r="D3514" t="str">
        <f>"2164-4543"</f>
        <v>2164-4543</v>
      </c>
      <c r="E3514" t="s">
        <v>8</v>
      </c>
      <c r="F3514" t="s">
        <v>3523</v>
      </c>
      <c r="G3514">
        <v>1</v>
      </c>
    </row>
    <row r="3515" spans="1:7" x14ac:dyDescent="0.25">
      <c r="A3515">
        <v>18</v>
      </c>
      <c r="B3515" t="s">
        <v>3400</v>
      </c>
      <c r="C3515">
        <v>137695</v>
      </c>
      <c r="D3515" t="str">
        <f>"0217-2992"</f>
        <v>0217-2992</v>
      </c>
      <c r="E3515" t="s">
        <v>8</v>
      </c>
      <c r="F3515" t="s">
        <v>3524</v>
      </c>
      <c r="G3515">
        <v>1</v>
      </c>
    </row>
    <row r="3516" spans="1:7" x14ac:dyDescent="0.25">
      <c r="A3516">
        <v>18</v>
      </c>
      <c r="B3516" t="s">
        <v>3400</v>
      </c>
      <c r="C3516">
        <v>1580</v>
      </c>
      <c r="D3516" t="str">
        <f>"1811-0665"</f>
        <v>1811-0665</v>
      </c>
      <c r="E3516" t="s">
        <v>8</v>
      </c>
      <c r="F3516" t="s">
        <v>3525</v>
      </c>
      <c r="G3516">
        <v>1</v>
      </c>
    </row>
    <row r="3517" spans="1:7" x14ac:dyDescent="0.25">
      <c r="A3517">
        <v>18</v>
      </c>
      <c r="B3517" t="s">
        <v>3400</v>
      </c>
      <c r="C3517">
        <v>3394</v>
      </c>
      <c r="D3517" t="str">
        <f>"0256-0046"</f>
        <v>0256-0046</v>
      </c>
      <c r="E3517" t="s">
        <v>8</v>
      </c>
      <c r="F3517" t="s">
        <v>3526</v>
      </c>
      <c r="G3517">
        <v>1</v>
      </c>
    </row>
    <row r="3518" spans="1:7" x14ac:dyDescent="0.25">
      <c r="A3518">
        <v>18</v>
      </c>
      <c r="B3518" t="s">
        <v>3400</v>
      </c>
      <c r="C3518">
        <v>87463</v>
      </c>
      <c r="D3518" t="str">
        <f>"1068-8536"</f>
        <v>1068-8536</v>
      </c>
      <c r="E3518" t="s">
        <v>15</v>
      </c>
      <c r="F3518" t="s">
        <v>3527</v>
      </c>
      <c r="G3518">
        <v>1</v>
      </c>
    </row>
    <row r="3519" spans="1:7" x14ac:dyDescent="0.25">
      <c r="A3519">
        <v>18</v>
      </c>
      <c r="B3519" t="s">
        <v>3400</v>
      </c>
      <c r="C3519">
        <v>6078735</v>
      </c>
      <c r="D3519" t="str">
        <f>"2040-4344"</f>
        <v>2040-4344</v>
      </c>
      <c r="E3519" t="s">
        <v>8</v>
      </c>
      <c r="F3519" t="s">
        <v>3528</v>
      </c>
      <c r="G3519">
        <v>1</v>
      </c>
    </row>
    <row r="3520" spans="1:7" x14ac:dyDescent="0.25">
      <c r="A3520">
        <v>18</v>
      </c>
      <c r="B3520" t="s">
        <v>3400</v>
      </c>
      <c r="C3520">
        <v>5028</v>
      </c>
      <c r="D3520" t="str">
        <f>"2153-9553"</f>
        <v>2153-9553</v>
      </c>
      <c r="E3520" t="s">
        <v>8</v>
      </c>
      <c r="F3520" t="s">
        <v>3529</v>
      </c>
      <c r="G3520">
        <v>1</v>
      </c>
    </row>
    <row r="3521" spans="1:7" x14ac:dyDescent="0.25">
      <c r="A3521">
        <v>18</v>
      </c>
      <c r="B3521" t="s">
        <v>3400</v>
      </c>
      <c r="C3521">
        <v>8783764</v>
      </c>
      <c r="E3521" t="s">
        <v>15</v>
      </c>
      <c r="F3521" t="s">
        <v>3530</v>
      </c>
      <c r="G3521">
        <v>1</v>
      </c>
    </row>
    <row r="3522" spans="1:7" x14ac:dyDescent="0.25">
      <c r="A3522">
        <v>18</v>
      </c>
      <c r="B3522" t="s">
        <v>3400</v>
      </c>
      <c r="C3522">
        <v>156416</v>
      </c>
      <c r="D3522" t="str">
        <f>"2035-2948"</f>
        <v>2035-2948</v>
      </c>
      <c r="E3522" t="s">
        <v>8</v>
      </c>
      <c r="F3522" t="s">
        <v>3531</v>
      </c>
      <c r="G3522">
        <v>1</v>
      </c>
    </row>
    <row r="3523" spans="1:7" x14ac:dyDescent="0.25">
      <c r="A3523">
        <v>18</v>
      </c>
      <c r="B3523" t="s">
        <v>3400</v>
      </c>
      <c r="C3523">
        <v>8781946</v>
      </c>
      <c r="E3523" t="s">
        <v>8</v>
      </c>
      <c r="F3523" t="s">
        <v>3532</v>
      </c>
      <c r="G3523">
        <v>1</v>
      </c>
    </row>
    <row r="3524" spans="1:7" x14ac:dyDescent="0.25">
      <c r="A3524">
        <v>18</v>
      </c>
      <c r="B3524" t="s">
        <v>3400</v>
      </c>
      <c r="C3524">
        <v>9617</v>
      </c>
      <c r="E3524" t="s">
        <v>8</v>
      </c>
      <c r="F3524" t="s">
        <v>3533</v>
      </c>
      <c r="G3524">
        <v>1</v>
      </c>
    </row>
    <row r="3525" spans="1:7" x14ac:dyDescent="0.25">
      <c r="A3525">
        <v>18</v>
      </c>
      <c r="B3525" t="s">
        <v>3400</v>
      </c>
      <c r="C3525">
        <v>94104</v>
      </c>
      <c r="D3525" t="str">
        <f>"1742-2930"</f>
        <v>1742-2930</v>
      </c>
      <c r="E3525" t="s">
        <v>8</v>
      </c>
      <c r="F3525" t="s">
        <v>3534</v>
      </c>
      <c r="G3525">
        <v>1</v>
      </c>
    </row>
    <row r="3526" spans="1:7" x14ac:dyDescent="0.25">
      <c r="A3526">
        <v>18</v>
      </c>
      <c r="B3526" t="s">
        <v>3400</v>
      </c>
      <c r="C3526">
        <v>7754231</v>
      </c>
      <c r="E3526" t="s">
        <v>8</v>
      </c>
      <c r="F3526" t="s">
        <v>3535</v>
      </c>
      <c r="G3526">
        <v>1</v>
      </c>
    </row>
    <row r="3527" spans="1:7" x14ac:dyDescent="0.25">
      <c r="A3527">
        <v>18</v>
      </c>
      <c r="B3527" t="s">
        <v>3400</v>
      </c>
      <c r="C3527">
        <v>8783765</v>
      </c>
      <c r="E3527" t="s">
        <v>15</v>
      </c>
      <c r="F3527" t="s">
        <v>3536</v>
      </c>
      <c r="G3527">
        <v>1</v>
      </c>
    </row>
    <row r="3528" spans="1:7" x14ac:dyDescent="0.25">
      <c r="A3528">
        <v>18</v>
      </c>
      <c r="B3528" t="s">
        <v>3400</v>
      </c>
      <c r="C3528">
        <v>18276</v>
      </c>
      <c r="D3528" t="str">
        <f>"0012-8686"</f>
        <v>0012-8686</v>
      </c>
      <c r="E3528" t="s">
        <v>8</v>
      </c>
      <c r="F3528" t="s">
        <v>3537</v>
      </c>
      <c r="G3528">
        <v>1</v>
      </c>
    </row>
    <row r="3529" spans="1:7" x14ac:dyDescent="0.25">
      <c r="A3529">
        <v>18</v>
      </c>
      <c r="B3529" t="s">
        <v>3400</v>
      </c>
      <c r="C3529">
        <v>8761360</v>
      </c>
      <c r="E3529" t="s">
        <v>8</v>
      </c>
      <c r="F3529" t="s">
        <v>3538</v>
      </c>
      <c r="G3529">
        <v>1</v>
      </c>
    </row>
    <row r="3530" spans="1:7" x14ac:dyDescent="0.25">
      <c r="A3530">
        <v>18</v>
      </c>
      <c r="B3530" t="s">
        <v>3400</v>
      </c>
      <c r="C3530">
        <v>7710223</v>
      </c>
      <c r="D3530" t="str">
        <f>"2150-6779"</f>
        <v>2150-6779</v>
      </c>
      <c r="E3530" t="s">
        <v>8</v>
      </c>
      <c r="F3530" t="s">
        <v>3539</v>
      </c>
      <c r="G3530">
        <v>1</v>
      </c>
    </row>
    <row r="3531" spans="1:7" x14ac:dyDescent="0.25">
      <c r="A3531">
        <v>18</v>
      </c>
      <c r="B3531" t="s">
        <v>3400</v>
      </c>
      <c r="C3531">
        <v>7748931</v>
      </c>
      <c r="E3531" t="s">
        <v>8</v>
      </c>
      <c r="F3531" t="s">
        <v>3540</v>
      </c>
      <c r="G3531">
        <v>1</v>
      </c>
    </row>
    <row r="3532" spans="1:7" x14ac:dyDescent="0.25">
      <c r="A3532">
        <v>18</v>
      </c>
      <c r="B3532" t="s">
        <v>3400</v>
      </c>
      <c r="C3532">
        <v>7696546</v>
      </c>
      <c r="D3532" t="str">
        <f>"2365-7235"</f>
        <v>2365-7235</v>
      </c>
      <c r="E3532" t="s">
        <v>15</v>
      </c>
      <c r="F3532" t="s">
        <v>3541</v>
      </c>
      <c r="G3532">
        <v>1</v>
      </c>
    </row>
    <row r="3533" spans="1:7" x14ac:dyDescent="0.25">
      <c r="A3533">
        <v>18</v>
      </c>
      <c r="B3533" t="s">
        <v>3400</v>
      </c>
      <c r="C3533">
        <v>59047</v>
      </c>
      <c r="D3533" t="str">
        <f>"0104-026X"</f>
        <v>0104-026X</v>
      </c>
      <c r="E3533" t="s">
        <v>8</v>
      </c>
      <c r="F3533" t="s">
        <v>3542</v>
      </c>
      <c r="G3533">
        <v>1</v>
      </c>
    </row>
    <row r="3534" spans="1:7" x14ac:dyDescent="0.25">
      <c r="A3534">
        <v>18</v>
      </c>
      <c r="B3534" t="s">
        <v>3400</v>
      </c>
      <c r="C3534">
        <v>141986</v>
      </c>
      <c r="D3534" t="str">
        <f>"0014-1798"</f>
        <v>0014-1798</v>
      </c>
      <c r="E3534" t="s">
        <v>8</v>
      </c>
      <c r="F3534" t="s">
        <v>3543</v>
      </c>
      <c r="G3534">
        <v>1</v>
      </c>
    </row>
    <row r="3535" spans="1:7" x14ac:dyDescent="0.25">
      <c r="A3535">
        <v>18</v>
      </c>
      <c r="B3535" t="s">
        <v>3400</v>
      </c>
      <c r="C3535">
        <v>7753677</v>
      </c>
      <c r="D3535" t="str">
        <f>"1366-4964"</f>
        <v>1366-4964</v>
      </c>
      <c r="E3535" t="s">
        <v>8</v>
      </c>
      <c r="F3535" t="s">
        <v>3544</v>
      </c>
      <c r="G3535">
        <v>1</v>
      </c>
    </row>
    <row r="3536" spans="1:7" x14ac:dyDescent="0.25">
      <c r="A3536">
        <v>18</v>
      </c>
      <c r="B3536" t="s">
        <v>3400</v>
      </c>
      <c r="C3536">
        <v>8783766</v>
      </c>
      <c r="E3536" t="s">
        <v>15</v>
      </c>
      <c r="F3536" t="s">
        <v>3545</v>
      </c>
      <c r="G3536">
        <v>1</v>
      </c>
    </row>
    <row r="3537" spans="1:7" x14ac:dyDescent="0.25">
      <c r="A3537">
        <v>18</v>
      </c>
      <c r="B3537" t="s">
        <v>3400</v>
      </c>
      <c r="C3537">
        <v>79349</v>
      </c>
      <c r="D3537" t="str">
        <f>"0111-0411"</f>
        <v>0111-0411</v>
      </c>
      <c r="E3537" t="s">
        <v>8</v>
      </c>
      <c r="F3537" t="s">
        <v>3546</v>
      </c>
      <c r="G3537">
        <v>1</v>
      </c>
    </row>
    <row r="3538" spans="1:7" x14ac:dyDescent="0.25">
      <c r="A3538">
        <v>18</v>
      </c>
      <c r="B3538" t="s">
        <v>3400</v>
      </c>
      <c r="C3538">
        <v>151959</v>
      </c>
      <c r="D3538" t="str">
        <f>"1210-1109"</f>
        <v>1210-1109</v>
      </c>
      <c r="E3538" t="s">
        <v>8</v>
      </c>
      <c r="F3538" t="s">
        <v>3547</v>
      </c>
      <c r="G3538">
        <v>1</v>
      </c>
    </row>
    <row r="3539" spans="1:7" x14ac:dyDescent="0.25">
      <c r="A3539">
        <v>18</v>
      </c>
      <c r="B3539" t="s">
        <v>3400</v>
      </c>
      <c r="C3539">
        <v>15786</v>
      </c>
      <c r="D3539" t="str">
        <f>"0355-1776"</f>
        <v>0355-1776</v>
      </c>
      <c r="E3539" t="s">
        <v>15</v>
      </c>
      <c r="F3539" t="s">
        <v>3548</v>
      </c>
      <c r="G3539">
        <v>1</v>
      </c>
    </row>
    <row r="3540" spans="1:7" x14ac:dyDescent="0.25">
      <c r="A3540">
        <v>18</v>
      </c>
      <c r="B3540" t="s">
        <v>3400</v>
      </c>
      <c r="C3540">
        <v>119555</v>
      </c>
      <c r="D3540" t="str">
        <f>"1335-4116"</f>
        <v>1335-4116</v>
      </c>
      <c r="E3540" t="s">
        <v>8</v>
      </c>
      <c r="F3540" t="s">
        <v>3549</v>
      </c>
      <c r="G3540">
        <v>1</v>
      </c>
    </row>
    <row r="3541" spans="1:7" x14ac:dyDescent="0.25">
      <c r="A3541">
        <v>18</v>
      </c>
      <c r="B3541" t="s">
        <v>3400</v>
      </c>
      <c r="C3541">
        <v>37735</v>
      </c>
      <c r="D3541" t="str">
        <f>"1106-0972"</f>
        <v>1106-0972</v>
      </c>
      <c r="E3541" t="s">
        <v>8</v>
      </c>
      <c r="F3541" t="s">
        <v>3550</v>
      </c>
      <c r="G3541">
        <v>1</v>
      </c>
    </row>
    <row r="3542" spans="1:7" x14ac:dyDescent="0.25">
      <c r="A3542">
        <v>18</v>
      </c>
      <c r="B3542" t="s">
        <v>3400</v>
      </c>
      <c r="C3542">
        <v>3369</v>
      </c>
      <c r="D3542" t="str">
        <f>"0046-2616"</f>
        <v>0046-2616</v>
      </c>
      <c r="E3542" t="s">
        <v>8</v>
      </c>
      <c r="F3542" t="s">
        <v>3551</v>
      </c>
      <c r="G3542">
        <v>1</v>
      </c>
    </row>
    <row r="3543" spans="1:7" x14ac:dyDescent="0.25">
      <c r="A3543">
        <v>18</v>
      </c>
      <c r="B3543" t="s">
        <v>3400</v>
      </c>
      <c r="C3543">
        <v>59944</v>
      </c>
      <c r="D3543" t="str">
        <f>"0071-1861"</f>
        <v>0071-1861</v>
      </c>
      <c r="E3543" t="s">
        <v>8</v>
      </c>
      <c r="F3543" t="s">
        <v>3552</v>
      </c>
      <c r="G3543">
        <v>1</v>
      </c>
    </row>
    <row r="3544" spans="1:7" x14ac:dyDescent="0.25">
      <c r="A3544">
        <v>18</v>
      </c>
      <c r="B3544" t="s">
        <v>3400</v>
      </c>
      <c r="C3544">
        <v>27763</v>
      </c>
      <c r="D3544" t="str">
        <f>"0873-6561"</f>
        <v>0873-6561</v>
      </c>
      <c r="E3544" t="s">
        <v>8</v>
      </c>
      <c r="F3544" t="s">
        <v>3553</v>
      </c>
      <c r="G3544">
        <v>1</v>
      </c>
    </row>
    <row r="3545" spans="1:7" x14ac:dyDescent="0.25">
      <c r="A3545">
        <v>18</v>
      </c>
      <c r="B3545" t="s">
        <v>3400</v>
      </c>
      <c r="C3545">
        <v>105508</v>
      </c>
      <c r="D3545" t="str">
        <f>"0869-5415"</f>
        <v>0869-5415</v>
      </c>
      <c r="E3545" t="s">
        <v>8</v>
      </c>
      <c r="F3545" t="s">
        <v>3554</v>
      </c>
      <c r="G3545">
        <v>1</v>
      </c>
    </row>
    <row r="3546" spans="1:7" x14ac:dyDescent="0.25">
      <c r="A3546">
        <v>18</v>
      </c>
      <c r="B3546" t="s">
        <v>3400</v>
      </c>
      <c r="C3546">
        <v>31656</v>
      </c>
      <c r="D3546" t="str">
        <f>"1398-8980"</f>
        <v>1398-8980</v>
      </c>
      <c r="E3546" t="s">
        <v>15</v>
      </c>
      <c r="F3546" t="s">
        <v>3555</v>
      </c>
      <c r="G3546">
        <v>1</v>
      </c>
    </row>
    <row r="3547" spans="1:7" x14ac:dyDescent="0.25">
      <c r="A3547">
        <v>18</v>
      </c>
      <c r="B3547" t="s">
        <v>3400</v>
      </c>
      <c r="C3547">
        <v>27493</v>
      </c>
      <c r="D3547" t="str">
        <f>"0351-1944"</f>
        <v>0351-1944</v>
      </c>
      <c r="E3547" t="s">
        <v>8</v>
      </c>
      <c r="F3547" t="s">
        <v>3556</v>
      </c>
      <c r="G3547">
        <v>1</v>
      </c>
    </row>
    <row r="3548" spans="1:7" x14ac:dyDescent="0.25">
      <c r="A3548">
        <v>18</v>
      </c>
      <c r="B3548" t="s">
        <v>3400</v>
      </c>
      <c r="C3548">
        <v>27510</v>
      </c>
      <c r="D3548" t="str">
        <f>"1827-8361"</f>
        <v>1827-8361</v>
      </c>
      <c r="E3548" t="s">
        <v>8</v>
      </c>
      <c r="F3548" t="s">
        <v>3557</v>
      </c>
      <c r="G3548">
        <v>1</v>
      </c>
    </row>
    <row r="3549" spans="1:7" x14ac:dyDescent="0.25">
      <c r="A3549">
        <v>18</v>
      </c>
      <c r="B3549" t="s">
        <v>3400</v>
      </c>
      <c r="C3549">
        <v>4724</v>
      </c>
      <c r="D3549" t="str">
        <f>"1570-7865"</f>
        <v>1570-7865</v>
      </c>
      <c r="E3549" t="s">
        <v>8</v>
      </c>
      <c r="F3549" t="s">
        <v>3558</v>
      </c>
      <c r="G3549">
        <v>1</v>
      </c>
    </row>
    <row r="3550" spans="1:7" x14ac:dyDescent="0.25">
      <c r="A3550">
        <v>18</v>
      </c>
      <c r="B3550" t="s">
        <v>3400</v>
      </c>
      <c r="C3550">
        <v>6107695</v>
      </c>
      <c r="D3550" t="str">
        <f>"1352-8068"</f>
        <v>1352-8068</v>
      </c>
      <c r="E3550" t="s">
        <v>15</v>
      </c>
      <c r="F3550" t="s">
        <v>3559</v>
      </c>
      <c r="G3550">
        <v>1</v>
      </c>
    </row>
    <row r="3551" spans="1:7" x14ac:dyDescent="0.25">
      <c r="A3551">
        <v>18</v>
      </c>
      <c r="B3551" t="s">
        <v>3400</v>
      </c>
      <c r="C3551">
        <v>11913</v>
      </c>
      <c r="D3551" t="str">
        <f>"0014-5815"</f>
        <v>0014-5815</v>
      </c>
      <c r="E3551" t="s">
        <v>15</v>
      </c>
      <c r="F3551" t="s">
        <v>3560</v>
      </c>
      <c r="G3551">
        <v>1</v>
      </c>
    </row>
    <row r="3552" spans="1:7" x14ac:dyDescent="0.25">
      <c r="A3552">
        <v>18</v>
      </c>
      <c r="B3552" t="s">
        <v>3400</v>
      </c>
      <c r="C3552">
        <v>27573</v>
      </c>
      <c r="D3552" t="str">
        <f>"0862-1209"</f>
        <v>0862-1209</v>
      </c>
      <c r="E3552" t="s">
        <v>8</v>
      </c>
      <c r="F3552" t="s">
        <v>3561</v>
      </c>
      <c r="G3552">
        <v>1</v>
      </c>
    </row>
    <row r="3553" spans="1:7" x14ac:dyDescent="0.25">
      <c r="A3553">
        <v>18</v>
      </c>
      <c r="B3553" t="s">
        <v>3400</v>
      </c>
      <c r="C3553">
        <v>1201</v>
      </c>
      <c r="D3553" t="str">
        <f>"0430-8778"</f>
        <v>0430-8778</v>
      </c>
      <c r="E3553" t="s">
        <v>8</v>
      </c>
      <c r="F3553" t="s">
        <v>3562</v>
      </c>
      <c r="G3553">
        <v>1</v>
      </c>
    </row>
    <row r="3554" spans="1:7" x14ac:dyDescent="0.25">
      <c r="A3554">
        <v>18</v>
      </c>
      <c r="B3554" t="s">
        <v>3400</v>
      </c>
      <c r="C3554">
        <v>27865</v>
      </c>
      <c r="D3554" t="str">
        <f>"1406-0949"</f>
        <v>1406-0949</v>
      </c>
      <c r="E3554" t="s">
        <v>8</v>
      </c>
      <c r="F3554" t="s">
        <v>3563</v>
      </c>
      <c r="G3554">
        <v>1</v>
      </c>
    </row>
    <row r="3555" spans="1:7" x14ac:dyDescent="0.25">
      <c r="A3555">
        <v>18</v>
      </c>
      <c r="B3555" t="s">
        <v>3400</v>
      </c>
      <c r="C3555">
        <v>27489</v>
      </c>
      <c r="D3555" t="str">
        <f>"1552-8014"</f>
        <v>1552-8014</v>
      </c>
      <c r="E3555" t="s">
        <v>8</v>
      </c>
      <c r="F3555" t="s">
        <v>3564</v>
      </c>
      <c r="G3555">
        <v>1</v>
      </c>
    </row>
    <row r="3556" spans="1:7" x14ac:dyDescent="0.25">
      <c r="A3556">
        <v>18</v>
      </c>
      <c r="B3556" t="s">
        <v>3400</v>
      </c>
      <c r="C3556">
        <v>152009</v>
      </c>
      <c r="D3556" t="str">
        <f>"1741-8283"</f>
        <v>1741-8283</v>
      </c>
      <c r="E3556" t="s">
        <v>8</v>
      </c>
      <c r="F3556" t="s">
        <v>3565</v>
      </c>
      <c r="G3556">
        <v>1</v>
      </c>
    </row>
    <row r="3557" spans="1:7" x14ac:dyDescent="0.25">
      <c r="A3557">
        <v>18</v>
      </c>
      <c r="B3557" t="s">
        <v>3400</v>
      </c>
      <c r="C3557">
        <v>6120274</v>
      </c>
      <c r="E3557" t="s">
        <v>8</v>
      </c>
      <c r="F3557" t="s">
        <v>3566</v>
      </c>
      <c r="G3557">
        <v>1</v>
      </c>
    </row>
    <row r="3558" spans="1:7" x14ac:dyDescent="0.25">
      <c r="A3558">
        <v>18</v>
      </c>
      <c r="B3558" t="s">
        <v>3400</v>
      </c>
      <c r="C3558">
        <v>7877</v>
      </c>
      <c r="D3558" t="str">
        <f>"0942-8704"</f>
        <v>0942-8704</v>
      </c>
      <c r="E3558" t="s">
        <v>8</v>
      </c>
      <c r="F3558" t="s">
        <v>3567</v>
      </c>
      <c r="G3558">
        <v>1</v>
      </c>
    </row>
    <row r="3559" spans="1:7" x14ac:dyDescent="0.25">
      <c r="A3559">
        <v>18</v>
      </c>
      <c r="B3559" t="s">
        <v>3400</v>
      </c>
      <c r="C3559">
        <v>75048</v>
      </c>
      <c r="D3559" t="str">
        <f>"0104-7183"</f>
        <v>0104-7183</v>
      </c>
      <c r="E3559" t="s">
        <v>8</v>
      </c>
      <c r="F3559" t="s">
        <v>3568</v>
      </c>
      <c r="G3559">
        <v>1</v>
      </c>
    </row>
    <row r="3560" spans="1:7" x14ac:dyDescent="0.25">
      <c r="A3560">
        <v>18</v>
      </c>
      <c r="B3560" t="s">
        <v>3400</v>
      </c>
      <c r="C3560">
        <v>128082</v>
      </c>
      <c r="D3560" t="str">
        <f>"0851-2914"</f>
        <v>0851-2914</v>
      </c>
      <c r="E3560" t="s">
        <v>8</v>
      </c>
      <c r="F3560" t="s">
        <v>3569</v>
      </c>
      <c r="G3560">
        <v>1</v>
      </c>
    </row>
    <row r="3561" spans="1:7" x14ac:dyDescent="0.25">
      <c r="A3561">
        <v>18</v>
      </c>
      <c r="B3561" t="s">
        <v>3400</v>
      </c>
      <c r="C3561">
        <v>101067</v>
      </c>
      <c r="D3561" t="str">
        <f>"0949-4723"</f>
        <v>0949-4723</v>
      </c>
      <c r="E3561" t="s">
        <v>15</v>
      </c>
      <c r="F3561" t="s">
        <v>3570</v>
      </c>
      <c r="G3561">
        <v>1</v>
      </c>
    </row>
    <row r="3562" spans="1:7" x14ac:dyDescent="0.25">
      <c r="A3562">
        <v>18</v>
      </c>
      <c r="B3562" t="s">
        <v>3400</v>
      </c>
      <c r="C3562">
        <v>8782943</v>
      </c>
      <c r="D3562" t="str">
        <f>"2364-4087"</f>
        <v>2364-4087</v>
      </c>
      <c r="E3562" t="s">
        <v>15</v>
      </c>
      <c r="F3562" t="s">
        <v>3571</v>
      </c>
      <c r="G3562">
        <v>1</v>
      </c>
    </row>
    <row r="3563" spans="1:7" x14ac:dyDescent="0.25">
      <c r="A3563">
        <v>18</v>
      </c>
      <c r="B3563" t="s">
        <v>3400</v>
      </c>
      <c r="C3563">
        <v>4012</v>
      </c>
      <c r="D3563" t="str">
        <f>"1683-0296"</f>
        <v>1683-0296</v>
      </c>
      <c r="E3563" t="s">
        <v>8</v>
      </c>
      <c r="F3563" t="s">
        <v>3572</v>
      </c>
      <c r="G3563">
        <v>1</v>
      </c>
    </row>
    <row r="3564" spans="1:7" x14ac:dyDescent="0.25">
      <c r="A3564">
        <v>18</v>
      </c>
      <c r="B3564" t="s">
        <v>3400</v>
      </c>
      <c r="C3564">
        <v>133114</v>
      </c>
      <c r="D3564" t="str">
        <f>"1555-1296"</f>
        <v>1555-1296</v>
      </c>
      <c r="E3564" t="s">
        <v>8</v>
      </c>
      <c r="F3564" t="s">
        <v>3573</v>
      </c>
      <c r="G3564">
        <v>1</v>
      </c>
    </row>
    <row r="3565" spans="1:7" x14ac:dyDescent="0.25">
      <c r="A3565">
        <v>18</v>
      </c>
      <c r="B3565" t="s">
        <v>3400</v>
      </c>
      <c r="C3565">
        <v>144982</v>
      </c>
      <c r="D3565" t="str">
        <f>"1754-2863"</f>
        <v>1754-2863</v>
      </c>
      <c r="E3565" t="s">
        <v>8</v>
      </c>
      <c r="F3565" t="s">
        <v>3574</v>
      </c>
      <c r="G3565">
        <v>1</v>
      </c>
    </row>
    <row r="3566" spans="1:7" x14ac:dyDescent="0.25">
      <c r="A3566">
        <v>18</v>
      </c>
      <c r="B3566" t="s">
        <v>3400</v>
      </c>
      <c r="C3566">
        <v>19289</v>
      </c>
      <c r="D3566" t="str">
        <f>"1750-0028"</f>
        <v>1750-0028</v>
      </c>
      <c r="E3566" t="s">
        <v>8</v>
      </c>
      <c r="F3566" t="s">
        <v>3575</v>
      </c>
      <c r="G3566">
        <v>1</v>
      </c>
    </row>
    <row r="3567" spans="1:7" x14ac:dyDescent="0.25">
      <c r="A3567">
        <v>18</v>
      </c>
      <c r="B3567" t="s">
        <v>3400</v>
      </c>
      <c r="C3567">
        <v>27110</v>
      </c>
      <c r="D3567" t="str">
        <f>"1747-9894"</f>
        <v>1747-9894</v>
      </c>
      <c r="E3567" t="s">
        <v>8</v>
      </c>
      <c r="F3567" t="s">
        <v>3576</v>
      </c>
      <c r="G3567">
        <v>1</v>
      </c>
    </row>
    <row r="3568" spans="1:7" x14ac:dyDescent="0.25">
      <c r="A3568">
        <v>18</v>
      </c>
      <c r="B3568" t="s">
        <v>3400</v>
      </c>
      <c r="C3568">
        <v>6158747</v>
      </c>
      <c r="D3568" t="str">
        <f>"1759-0442"</f>
        <v>1759-0442</v>
      </c>
      <c r="E3568" t="s">
        <v>8</v>
      </c>
      <c r="F3568" t="s">
        <v>3577</v>
      </c>
      <c r="G3568">
        <v>1</v>
      </c>
    </row>
    <row r="3569" spans="1:7" x14ac:dyDescent="0.25">
      <c r="A3569">
        <v>18</v>
      </c>
      <c r="B3569" t="s">
        <v>3400</v>
      </c>
      <c r="C3569">
        <v>27649</v>
      </c>
      <c r="D3569" t="str">
        <f>"1393-8592"</f>
        <v>1393-8592</v>
      </c>
      <c r="E3569" t="s">
        <v>8</v>
      </c>
      <c r="F3569" t="s">
        <v>3578</v>
      </c>
      <c r="G3569">
        <v>1</v>
      </c>
    </row>
    <row r="3570" spans="1:7" x14ac:dyDescent="0.25">
      <c r="A3570">
        <v>18</v>
      </c>
      <c r="B3570" t="s">
        <v>3400</v>
      </c>
      <c r="C3570">
        <v>8341</v>
      </c>
      <c r="D3570" t="str">
        <f>"0941-8563"</f>
        <v>0941-8563</v>
      </c>
      <c r="E3570" t="s">
        <v>8</v>
      </c>
      <c r="F3570" t="s">
        <v>3579</v>
      </c>
      <c r="G3570">
        <v>1</v>
      </c>
    </row>
    <row r="3571" spans="1:7" x14ac:dyDescent="0.25">
      <c r="A3571">
        <v>18</v>
      </c>
      <c r="B3571" t="s">
        <v>3400</v>
      </c>
      <c r="C3571">
        <v>126625</v>
      </c>
      <c r="D3571" t="str">
        <f>"0171-9904"</f>
        <v>0171-9904</v>
      </c>
      <c r="E3571" t="s">
        <v>8</v>
      </c>
      <c r="F3571" t="s">
        <v>3580</v>
      </c>
      <c r="G3571">
        <v>1</v>
      </c>
    </row>
    <row r="3572" spans="1:7" x14ac:dyDescent="0.25">
      <c r="A3572">
        <v>18</v>
      </c>
      <c r="B3572" t="s">
        <v>3400</v>
      </c>
      <c r="C3572">
        <v>156415</v>
      </c>
      <c r="D3572" t="str">
        <f>"1349-0648"</f>
        <v>1349-0648</v>
      </c>
      <c r="E3572" t="s">
        <v>8</v>
      </c>
      <c r="F3572" t="s">
        <v>3581</v>
      </c>
      <c r="G3572">
        <v>1</v>
      </c>
    </row>
    <row r="3573" spans="1:7" x14ac:dyDescent="0.25">
      <c r="A3573">
        <v>18</v>
      </c>
      <c r="B3573" t="s">
        <v>3400</v>
      </c>
      <c r="C3573">
        <v>549</v>
      </c>
      <c r="D3573" t="str">
        <f>"1570-7997"</f>
        <v>1570-7997</v>
      </c>
      <c r="E3573" t="s">
        <v>15</v>
      </c>
      <c r="F3573" t="s">
        <v>3582</v>
      </c>
      <c r="G3573">
        <v>1</v>
      </c>
    </row>
    <row r="3574" spans="1:7" x14ac:dyDescent="0.25">
      <c r="A3574">
        <v>18</v>
      </c>
      <c r="B3574" t="s">
        <v>3400</v>
      </c>
      <c r="C3574">
        <v>75760</v>
      </c>
      <c r="D3574" t="str">
        <f>"0021-7484"</f>
        <v>0021-7484</v>
      </c>
      <c r="E3574" t="s">
        <v>8</v>
      </c>
      <c r="F3574" t="s">
        <v>3583</v>
      </c>
      <c r="G3574">
        <v>1</v>
      </c>
    </row>
    <row r="3575" spans="1:7" x14ac:dyDescent="0.25">
      <c r="A3575">
        <v>18</v>
      </c>
      <c r="B3575" t="s">
        <v>3400</v>
      </c>
      <c r="C3575">
        <v>27648</v>
      </c>
      <c r="D3575" t="str">
        <f>"0300-953X"</f>
        <v>0300-953X</v>
      </c>
      <c r="E3575" t="s">
        <v>8</v>
      </c>
      <c r="F3575" t="s">
        <v>3584</v>
      </c>
      <c r="G3575">
        <v>1</v>
      </c>
    </row>
    <row r="3576" spans="1:7" x14ac:dyDescent="0.25">
      <c r="A3576">
        <v>18</v>
      </c>
      <c r="B3576" t="s">
        <v>3400</v>
      </c>
      <c r="C3576">
        <v>27116</v>
      </c>
      <c r="D3576" t="str">
        <f>"1156-0428"</f>
        <v>1156-0428</v>
      </c>
      <c r="E3576" t="s">
        <v>8</v>
      </c>
      <c r="F3576" t="s">
        <v>3585</v>
      </c>
      <c r="G3576">
        <v>1</v>
      </c>
    </row>
    <row r="3577" spans="1:7" x14ac:dyDescent="0.25">
      <c r="A3577">
        <v>18</v>
      </c>
      <c r="B3577" t="s">
        <v>3400</v>
      </c>
      <c r="C3577">
        <v>9814</v>
      </c>
      <c r="D3577" t="str">
        <f>"0891-7124"</f>
        <v>0891-7124</v>
      </c>
      <c r="E3577" t="s">
        <v>8</v>
      </c>
      <c r="F3577" t="s">
        <v>3586</v>
      </c>
      <c r="G3577">
        <v>1</v>
      </c>
    </row>
    <row r="3578" spans="1:7" x14ac:dyDescent="0.25">
      <c r="A3578">
        <v>18</v>
      </c>
      <c r="B3578" t="s">
        <v>3400</v>
      </c>
      <c r="C3578">
        <v>7749618</v>
      </c>
      <c r="D3578" t="str">
        <f>"2245-4217"</f>
        <v>2245-4217</v>
      </c>
      <c r="E3578" t="s">
        <v>8</v>
      </c>
      <c r="F3578" t="s">
        <v>3587</v>
      </c>
      <c r="G3578">
        <v>1</v>
      </c>
    </row>
    <row r="3579" spans="1:7" x14ac:dyDescent="0.25">
      <c r="A3579">
        <v>18</v>
      </c>
      <c r="B3579" t="s">
        <v>3400</v>
      </c>
      <c r="C3579">
        <v>8782712</v>
      </c>
      <c r="E3579" t="s">
        <v>8</v>
      </c>
      <c r="F3579" t="s">
        <v>3588</v>
      </c>
      <c r="G3579">
        <v>1</v>
      </c>
    </row>
    <row r="3580" spans="1:7" x14ac:dyDescent="0.25">
      <c r="A3580">
        <v>18</v>
      </c>
      <c r="B3580" t="s">
        <v>3400</v>
      </c>
      <c r="C3580">
        <v>105448</v>
      </c>
      <c r="D3580" t="str">
        <f>"1528-6509"</f>
        <v>1528-6509</v>
      </c>
      <c r="E3580" t="s">
        <v>8</v>
      </c>
      <c r="F3580" t="s">
        <v>3589</v>
      </c>
      <c r="G3580">
        <v>1</v>
      </c>
    </row>
    <row r="3581" spans="1:7" x14ac:dyDescent="0.25">
      <c r="A3581">
        <v>18</v>
      </c>
      <c r="B3581" t="s">
        <v>3400</v>
      </c>
      <c r="C3581">
        <v>1188</v>
      </c>
      <c r="D3581" t="str">
        <f>"1537-7938"</f>
        <v>1537-7938</v>
      </c>
      <c r="E3581" t="s">
        <v>8</v>
      </c>
      <c r="F3581" t="s">
        <v>3590</v>
      </c>
      <c r="G3581">
        <v>1</v>
      </c>
    </row>
    <row r="3582" spans="1:7" x14ac:dyDescent="0.25">
      <c r="A3582">
        <v>18</v>
      </c>
      <c r="B3582" t="s">
        <v>3400</v>
      </c>
      <c r="C3582">
        <v>15277</v>
      </c>
      <c r="D3582" t="str">
        <f>"1533-2640"</f>
        <v>1533-2640</v>
      </c>
      <c r="E3582" t="s">
        <v>8</v>
      </c>
      <c r="F3582" t="s">
        <v>3591</v>
      </c>
      <c r="G3582">
        <v>1</v>
      </c>
    </row>
    <row r="3583" spans="1:7" x14ac:dyDescent="0.25">
      <c r="A3583">
        <v>18</v>
      </c>
      <c r="B3583" t="s">
        <v>3400</v>
      </c>
      <c r="C3583">
        <v>3656</v>
      </c>
      <c r="D3583" t="str">
        <f>"0278-0771"</f>
        <v>0278-0771</v>
      </c>
      <c r="E3583" t="s">
        <v>8</v>
      </c>
      <c r="F3583" t="s">
        <v>3592</v>
      </c>
      <c r="G3583">
        <v>1</v>
      </c>
    </row>
    <row r="3584" spans="1:7" x14ac:dyDescent="0.25">
      <c r="A3584">
        <v>18</v>
      </c>
      <c r="B3584" t="s">
        <v>3400</v>
      </c>
      <c r="C3584">
        <v>12674</v>
      </c>
      <c r="E3584" t="s">
        <v>8</v>
      </c>
      <c r="F3584" t="s">
        <v>3593</v>
      </c>
      <c r="G3584">
        <v>1</v>
      </c>
    </row>
    <row r="3585" spans="1:7" x14ac:dyDescent="0.25">
      <c r="A3585">
        <v>18</v>
      </c>
      <c r="B3585" t="s">
        <v>3400</v>
      </c>
      <c r="C3585">
        <v>64739</v>
      </c>
      <c r="D3585" t="str">
        <f>"1935-3308"</f>
        <v>1935-3308</v>
      </c>
      <c r="E3585" t="s">
        <v>8</v>
      </c>
      <c r="F3585" t="s">
        <v>3594</v>
      </c>
      <c r="G3585">
        <v>1</v>
      </c>
    </row>
    <row r="3586" spans="1:7" x14ac:dyDescent="0.25">
      <c r="A3586">
        <v>18</v>
      </c>
      <c r="B3586" t="s">
        <v>3400</v>
      </c>
      <c r="C3586">
        <v>155940</v>
      </c>
      <c r="D3586" t="str">
        <f>"1736-6518"</f>
        <v>1736-6518</v>
      </c>
      <c r="E3586" t="s">
        <v>8</v>
      </c>
      <c r="F3586" t="s">
        <v>3595</v>
      </c>
      <c r="G3586">
        <v>1</v>
      </c>
    </row>
    <row r="3587" spans="1:7" x14ac:dyDescent="0.25">
      <c r="A3587">
        <v>18</v>
      </c>
      <c r="B3587" t="s">
        <v>3400</v>
      </c>
      <c r="C3587">
        <v>8783335</v>
      </c>
      <c r="E3587" t="s">
        <v>8</v>
      </c>
      <c r="F3587" t="s">
        <v>3596</v>
      </c>
      <c r="G3587">
        <v>1</v>
      </c>
    </row>
    <row r="3588" spans="1:7" x14ac:dyDescent="0.25">
      <c r="A3588">
        <v>18</v>
      </c>
      <c r="B3588" t="s">
        <v>3400</v>
      </c>
      <c r="C3588">
        <v>8781944</v>
      </c>
      <c r="D3588" t="str">
        <f>"2169-2971"</f>
        <v>2169-2971</v>
      </c>
      <c r="E3588" t="s">
        <v>8</v>
      </c>
      <c r="F3588" t="s">
        <v>3597</v>
      </c>
      <c r="G3588">
        <v>1</v>
      </c>
    </row>
    <row r="3589" spans="1:7" x14ac:dyDescent="0.25">
      <c r="A3589">
        <v>18</v>
      </c>
      <c r="B3589" t="s">
        <v>3400</v>
      </c>
      <c r="C3589">
        <v>6169759</v>
      </c>
      <c r="E3589" t="s">
        <v>8</v>
      </c>
      <c r="F3589" t="s">
        <v>3598</v>
      </c>
      <c r="G3589">
        <v>1</v>
      </c>
    </row>
    <row r="3590" spans="1:7" x14ac:dyDescent="0.25">
      <c r="A3590">
        <v>18</v>
      </c>
      <c r="B3590" t="s">
        <v>3400</v>
      </c>
      <c r="C3590">
        <v>39575</v>
      </c>
      <c r="E3590" t="s">
        <v>8</v>
      </c>
      <c r="F3590" t="s">
        <v>3599</v>
      </c>
      <c r="G3590">
        <v>1</v>
      </c>
    </row>
    <row r="3591" spans="1:7" x14ac:dyDescent="0.25">
      <c r="A3591">
        <v>18</v>
      </c>
      <c r="B3591" t="s">
        <v>3400</v>
      </c>
      <c r="C3591">
        <v>6170015</v>
      </c>
      <c r="E3591" t="s">
        <v>8</v>
      </c>
      <c r="F3591" t="s">
        <v>3600</v>
      </c>
      <c r="G3591">
        <v>1</v>
      </c>
    </row>
    <row r="3592" spans="1:7" x14ac:dyDescent="0.25">
      <c r="A3592">
        <v>18</v>
      </c>
      <c r="B3592" t="s">
        <v>3400</v>
      </c>
      <c r="C3592">
        <v>12570</v>
      </c>
      <c r="D3592" t="str">
        <f>"1472-5886"</f>
        <v>1472-5886</v>
      </c>
      <c r="E3592" t="s">
        <v>8</v>
      </c>
      <c r="F3592" t="s">
        <v>3601</v>
      </c>
      <c r="G3592">
        <v>1</v>
      </c>
    </row>
    <row r="3593" spans="1:7" x14ac:dyDescent="0.25">
      <c r="A3593">
        <v>18</v>
      </c>
      <c r="B3593" t="s">
        <v>3400</v>
      </c>
      <c r="C3593">
        <v>7718779</v>
      </c>
      <c r="D3593" t="str">
        <f>"2046-6749"</f>
        <v>2046-6749</v>
      </c>
      <c r="E3593" t="s">
        <v>8</v>
      </c>
      <c r="F3593" t="s">
        <v>3602</v>
      </c>
      <c r="G3593">
        <v>1</v>
      </c>
    </row>
    <row r="3594" spans="1:7" x14ac:dyDescent="0.25">
      <c r="A3594">
        <v>18</v>
      </c>
      <c r="B3594" t="s">
        <v>3400</v>
      </c>
      <c r="C3594">
        <v>14257</v>
      </c>
      <c r="D3594" t="str">
        <f>"1880-6791"</f>
        <v>1880-6791</v>
      </c>
      <c r="E3594" t="s">
        <v>8</v>
      </c>
      <c r="F3594" t="s">
        <v>3603</v>
      </c>
      <c r="G3594">
        <v>1</v>
      </c>
    </row>
    <row r="3595" spans="1:7" x14ac:dyDescent="0.25">
      <c r="A3595">
        <v>18</v>
      </c>
      <c r="B3595" t="s">
        <v>3400</v>
      </c>
      <c r="C3595">
        <v>8782571</v>
      </c>
      <c r="D3595" t="str">
        <f>"2055-6225"</f>
        <v>2055-6225</v>
      </c>
      <c r="E3595" t="s">
        <v>8</v>
      </c>
      <c r="F3595" t="s">
        <v>3604</v>
      </c>
      <c r="G3595">
        <v>1</v>
      </c>
    </row>
    <row r="3596" spans="1:7" x14ac:dyDescent="0.25">
      <c r="A3596">
        <v>18</v>
      </c>
      <c r="B3596" t="s">
        <v>3400</v>
      </c>
      <c r="C3596">
        <v>6018645</v>
      </c>
      <c r="E3596" t="s">
        <v>8</v>
      </c>
      <c r="F3596" t="s">
        <v>3605</v>
      </c>
      <c r="G3596">
        <v>1</v>
      </c>
    </row>
    <row r="3597" spans="1:7" x14ac:dyDescent="0.25">
      <c r="A3597">
        <v>18</v>
      </c>
      <c r="B3597" t="s">
        <v>3400</v>
      </c>
      <c r="C3597">
        <v>8775050</v>
      </c>
      <c r="D3597" t="str">
        <f>"2332-1261"</f>
        <v>2332-1261</v>
      </c>
      <c r="E3597" t="s">
        <v>8</v>
      </c>
      <c r="F3597" t="s">
        <v>3606</v>
      </c>
      <c r="G3597">
        <v>1</v>
      </c>
    </row>
    <row r="3598" spans="1:7" x14ac:dyDescent="0.25">
      <c r="A3598">
        <v>18</v>
      </c>
      <c r="B3598" t="s">
        <v>3400</v>
      </c>
      <c r="C3598">
        <v>7951</v>
      </c>
      <c r="D3598" t="str">
        <f>"0032-4000"</f>
        <v>0032-4000</v>
      </c>
      <c r="E3598" t="s">
        <v>8</v>
      </c>
      <c r="F3598" t="s">
        <v>3607</v>
      </c>
      <c r="G3598">
        <v>1</v>
      </c>
    </row>
    <row r="3599" spans="1:7" x14ac:dyDescent="0.25">
      <c r="A3599">
        <v>18</v>
      </c>
      <c r="B3599" t="s">
        <v>3400</v>
      </c>
      <c r="C3599">
        <v>152003</v>
      </c>
      <c r="D3599" t="str">
        <f>"1356-1863"</f>
        <v>1356-1863</v>
      </c>
      <c r="E3599" t="s">
        <v>8</v>
      </c>
      <c r="F3599" t="s">
        <v>3608</v>
      </c>
      <c r="G3599">
        <v>1</v>
      </c>
    </row>
    <row r="3600" spans="1:7" x14ac:dyDescent="0.25">
      <c r="A3600">
        <v>18</v>
      </c>
      <c r="B3600" t="s">
        <v>3400</v>
      </c>
      <c r="C3600">
        <v>54298</v>
      </c>
      <c r="D3600" t="str">
        <f>"1429-0618"</f>
        <v>1429-0618</v>
      </c>
      <c r="E3600" t="s">
        <v>8</v>
      </c>
      <c r="F3600" t="s">
        <v>3609</v>
      </c>
      <c r="G3600">
        <v>1</v>
      </c>
    </row>
    <row r="3601" spans="1:7" x14ac:dyDescent="0.25">
      <c r="A3601">
        <v>18</v>
      </c>
      <c r="B3601" t="s">
        <v>3400</v>
      </c>
      <c r="C3601">
        <v>11427</v>
      </c>
      <c r="E3601" t="s">
        <v>8</v>
      </c>
      <c r="F3601" t="s">
        <v>3610</v>
      </c>
      <c r="G3601">
        <v>1</v>
      </c>
    </row>
    <row r="3602" spans="1:7" x14ac:dyDescent="0.25">
      <c r="A3602">
        <v>18</v>
      </c>
      <c r="B3602" t="s">
        <v>3400</v>
      </c>
      <c r="C3602">
        <v>27791</v>
      </c>
      <c r="D3602" t="str">
        <f>"1693-167X"</f>
        <v>1693-167X</v>
      </c>
      <c r="E3602" t="s">
        <v>8</v>
      </c>
      <c r="F3602" t="s">
        <v>3611</v>
      </c>
      <c r="G3602">
        <v>1</v>
      </c>
    </row>
    <row r="3603" spans="1:7" x14ac:dyDescent="0.25">
      <c r="A3603">
        <v>18</v>
      </c>
      <c r="B3603" t="s">
        <v>3400</v>
      </c>
      <c r="C3603">
        <v>8782682</v>
      </c>
      <c r="D3603" t="str">
        <f>"2327-5731"</f>
        <v>2327-5731</v>
      </c>
      <c r="E3603" t="s">
        <v>8</v>
      </c>
      <c r="F3603" t="s">
        <v>3612</v>
      </c>
      <c r="G3603">
        <v>1</v>
      </c>
    </row>
    <row r="3604" spans="1:7" x14ac:dyDescent="0.25">
      <c r="A3604">
        <v>18</v>
      </c>
      <c r="B3604" t="s">
        <v>3400</v>
      </c>
      <c r="C3604">
        <v>170096</v>
      </c>
      <c r="D3604" t="str">
        <f>"1904-1594"</f>
        <v>1904-1594</v>
      </c>
      <c r="E3604" t="s">
        <v>8</v>
      </c>
      <c r="F3604" t="s">
        <v>3613</v>
      </c>
      <c r="G3604">
        <v>1</v>
      </c>
    </row>
    <row r="3605" spans="1:7" x14ac:dyDescent="0.25">
      <c r="A3605">
        <v>18</v>
      </c>
      <c r="B3605" t="s">
        <v>3400</v>
      </c>
      <c r="C3605">
        <v>8771749</v>
      </c>
      <c r="E3605" t="s">
        <v>8</v>
      </c>
      <c r="F3605" t="s">
        <v>3614</v>
      </c>
      <c r="G3605">
        <v>1</v>
      </c>
    </row>
    <row r="3606" spans="1:7" x14ac:dyDescent="0.25">
      <c r="A3606">
        <v>18</v>
      </c>
      <c r="B3606" t="s">
        <v>3400</v>
      </c>
      <c r="C3606">
        <v>27670</v>
      </c>
      <c r="D3606" t="str">
        <f>"0023-5172"</f>
        <v>0023-5172</v>
      </c>
      <c r="E3606" t="s">
        <v>8</v>
      </c>
      <c r="F3606" t="s">
        <v>3615</v>
      </c>
      <c r="G3606">
        <v>1</v>
      </c>
    </row>
    <row r="3607" spans="1:7" x14ac:dyDescent="0.25">
      <c r="A3607">
        <v>18</v>
      </c>
      <c r="B3607" t="s">
        <v>3400</v>
      </c>
      <c r="C3607">
        <v>91266</v>
      </c>
      <c r="D3607" t="str">
        <f>"0391-9099"</f>
        <v>0391-9099</v>
      </c>
      <c r="E3607" t="s">
        <v>8</v>
      </c>
      <c r="F3607" t="s">
        <v>3616</v>
      </c>
      <c r="G3607">
        <v>1</v>
      </c>
    </row>
    <row r="3608" spans="1:7" x14ac:dyDescent="0.25">
      <c r="A3608">
        <v>18</v>
      </c>
      <c r="B3608" t="s">
        <v>3400</v>
      </c>
      <c r="C3608">
        <v>8782572</v>
      </c>
      <c r="D3608" t="str">
        <f>"2364-4109"</f>
        <v>2364-4109</v>
      </c>
      <c r="E3608" t="s">
        <v>15</v>
      </c>
      <c r="F3608" t="s">
        <v>3617</v>
      </c>
      <c r="G3608">
        <v>1</v>
      </c>
    </row>
    <row r="3609" spans="1:7" x14ac:dyDescent="0.25">
      <c r="A3609">
        <v>18</v>
      </c>
      <c r="B3609" t="s">
        <v>3400</v>
      </c>
      <c r="C3609">
        <v>8377</v>
      </c>
      <c r="D3609" t="str">
        <f>"0003-5521"</f>
        <v>0003-5521</v>
      </c>
      <c r="E3609" t="s">
        <v>8</v>
      </c>
      <c r="F3609" t="s">
        <v>3618</v>
      </c>
      <c r="G3609">
        <v>1</v>
      </c>
    </row>
    <row r="3610" spans="1:7" x14ac:dyDescent="0.25">
      <c r="A3610">
        <v>18</v>
      </c>
      <c r="B3610" t="s">
        <v>3400</v>
      </c>
      <c r="C3610">
        <v>27584</v>
      </c>
      <c r="D3610" t="str">
        <f>"0336-1438"</f>
        <v>0336-1438</v>
      </c>
      <c r="E3610" t="s">
        <v>15</v>
      </c>
      <c r="F3610" t="s">
        <v>3619</v>
      </c>
      <c r="G3610">
        <v>1</v>
      </c>
    </row>
    <row r="3611" spans="1:7" x14ac:dyDescent="0.25">
      <c r="A3611">
        <v>18</v>
      </c>
      <c r="B3611" t="s">
        <v>3400</v>
      </c>
      <c r="C3611">
        <v>2878</v>
      </c>
      <c r="D3611" t="str">
        <f>"0439-4216"</f>
        <v>0439-4216</v>
      </c>
      <c r="E3611" t="s">
        <v>8</v>
      </c>
      <c r="F3611" t="s">
        <v>3620</v>
      </c>
      <c r="G3611">
        <v>1</v>
      </c>
    </row>
    <row r="3612" spans="1:7" x14ac:dyDescent="0.25">
      <c r="A3612">
        <v>18</v>
      </c>
      <c r="B3612" t="s">
        <v>3400</v>
      </c>
      <c r="C3612">
        <v>27085</v>
      </c>
      <c r="D3612" t="str">
        <f>"0076-1435"</f>
        <v>0076-1435</v>
      </c>
      <c r="E3612" t="s">
        <v>8</v>
      </c>
      <c r="F3612" t="s">
        <v>3621</v>
      </c>
      <c r="G3612">
        <v>1</v>
      </c>
    </row>
    <row r="3613" spans="1:7" x14ac:dyDescent="0.25">
      <c r="A3613">
        <v>18</v>
      </c>
      <c r="B3613" t="s">
        <v>3400</v>
      </c>
      <c r="C3613">
        <v>10840</v>
      </c>
      <c r="D3613" t="str">
        <f>"1556-8547"</f>
        <v>1556-8547</v>
      </c>
      <c r="E3613" t="s">
        <v>8</v>
      </c>
      <c r="F3613" t="s">
        <v>3622</v>
      </c>
      <c r="G3613">
        <v>1</v>
      </c>
    </row>
    <row r="3614" spans="1:7" x14ac:dyDescent="0.25">
      <c r="A3614">
        <v>18</v>
      </c>
      <c r="B3614" t="s">
        <v>3400</v>
      </c>
      <c r="C3614">
        <v>27440</v>
      </c>
      <c r="D3614" t="str">
        <f>"0104-9313"</f>
        <v>0104-9313</v>
      </c>
      <c r="E3614" t="s">
        <v>8</v>
      </c>
      <c r="F3614" t="s">
        <v>3623</v>
      </c>
      <c r="G3614">
        <v>1</v>
      </c>
    </row>
    <row r="3615" spans="1:7" x14ac:dyDescent="0.25">
      <c r="A3615">
        <v>18</v>
      </c>
      <c r="B3615" t="s">
        <v>3400</v>
      </c>
      <c r="C3615">
        <v>13254</v>
      </c>
      <c r="D3615" t="str">
        <f>"0025-2344"</f>
        <v>0025-2344</v>
      </c>
      <c r="E3615" t="s">
        <v>8</v>
      </c>
      <c r="F3615" t="s">
        <v>3624</v>
      </c>
      <c r="G3615">
        <v>1</v>
      </c>
    </row>
    <row r="3616" spans="1:7" x14ac:dyDescent="0.25">
      <c r="A3616">
        <v>18</v>
      </c>
      <c r="B3616" t="s">
        <v>3400</v>
      </c>
      <c r="C3616">
        <v>8781943</v>
      </c>
      <c r="D3616" t="str">
        <f>"2405-691X"</f>
        <v>2405-691X</v>
      </c>
      <c r="E3616" t="s">
        <v>8</v>
      </c>
      <c r="F3616" t="s">
        <v>3625</v>
      </c>
      <c r="G3616">
        <v>1</v>
      </c>
    </row>
    <row r="3617" spans="1:7" x14ac:dyDescent="0.25">
      <c r="A3617">
        <v>18</v>
      </c>
      <c r="B3617" t="s">
        <v>3400</v>
      </c>
      <c r="C3617">
        <v>76903</v>
      </c>
      <c r="D3617" t="str">
        <f>"1460-3349"</f>
        <v>1460-3349</v>
      </c>
      <c r="E3617" t="s">
        <v>15</v>
      </c>
      <c r="F3617" t="s">
        <v>3626</v>
      </c>
      <c r="G3617">
        <v>1</v>
      </c>
    </row>
    <row r="3618" spans="1:7" x14ac:dyDescent="0.25">
      <c r="A3618">
        <v>18</v>
      </c>
      <c r="B3618" t="s">
        <v>3400</v>
      </c>
      <c r="C3618">
        <v>8781942</v>
      </c>
      <c r="E3618" t="s">
        <v>8</v>
      </c>
      <c r="F3618" t="s">
        <v>3627</v>
      </c>
      <c r="G3618">
        <v>1</v>
      </c>
    </row>
    <row r="3619" spans="1:7" x14ac:dyDescent="0.25">
      <c r="A3619">
        <v>18</v>
      </c>
      <c r="B3619" t="s">
        <v>3400</v>
      </c>
      <c r="C3619">
        <v>3387</v>
      </c>
      <c r="D3619" t="str">
        <f>"1367-4676"</f>
        <v>1367-4676</v>
      </c>
      <c r="E3619" t="s">
        <v>8</v>
      </c>
      <c r="F3619" t="s">
        <v>3628</v>
      </c>
      <c r="G3619">
        <v>1</v>
      </c>
    </row>
    <row r="3620" spans="1:7" x14ac:dyDescent="0.25">
      <c r="A3620">
        <v>18</v>
      </c>
      <c r="B3620" t="s">
        <v>3400</v>
      </c>
      <c r="C3620">
        <v>27214</v>
      </c>
      <c r="D3620" t="str">
        <f>"1741-8984"</f>
        <v>1741-8984</v>
      </c>
      <c r="E3620" t="s">
        <v>8</v>
      </c>
      <c r="F3620" t="s">
        <v>3629</v>
      </c>
      <c r="G3620">
        <v>1</v>
      </c>
    </row>
    <row r="3621" spans="1:7" x14ac:dyDescent="0.25">
      <c r="A3621">
        <v>18</v>
      </c>
      <c r="B3621" t="s">
        <v>3400</v>
      </c>
      <c r="C3621">
        <v>8783767</v>
      </c>
      <c r="E3621" t="s">
        <v>15</v>
      </c>
      <c r="F3621" t="s">
        <v>3630</v>
      </c>
      <c r="G3621">
        <v>1</v>
      </c>
    </row>
    <row r="3622" spans="1:7" x14ac:dyDescent="0.25">
      <c r="A3622">
        <v>18</v>
      </c>
      <c r="B3622" t="s">
        <v>3400</v>
      </c>
      <c r="C3622">
        <v>26224</v>
      </c>
      <c r="D3622" t="str">
        <f>"0892-8339"</f>
        <v>0892-8339</v>
      </c>
      <c r="E3622" t="s">
        <v>8</v>
      </c>
      <c r="F3622" t="s">
        <v>3631</v>
      </c>
      <c r="G3622">
        <v>1</v>
      </c>
    </row>
    <row r="3623" spans="1:7" x14ac:dyDescent="0.25">
      <c r="A3623">
        <v>18</v>
      </c>
      <c r="B3623" t="s">
        <v>3400</v>
      </c>
      <c r="C3623">
        <v>7742015</v>
      </c>
      <c r="D3623" t="str">
        <f>"2049-6729"</f>
        <v>2049-6729</v>
      </c>
      <c r="E3623" t="s">
        <v>8</v>
      </c>
      <c r="F3623" t="s">
        <v>3632</v>
      </c>
      <c r="G3623">
        <v>1</v>
      </c>
    </row>
    <row r="3624" spans="1:7" x14ac:dyDescent="0.25">
      <c r="A3624">
        <v>18</v>
      </c>
      <c r="B3624" t="s">
        <v>3400</v>
      </c>
      <c r="C3624">
        <v>9245</v>
      </c>
      <c r="D3624" t="str">
        <f>"0090-5992"</f>
        <v>0090-5992</v>
      </c>
      <c r="E3624" t="s">
        <v>8</v>
      </c>
      <c r="F3624" t="s">
        <v>3633</v>
      </c>
      <c r="G3624">
        <v>1</v>
      </c>
    </row>
    <row r="3625" spans="1:7" x14ac:dyDescent="0.25">
      <c r="A3625">
        <v>18</v>
      </c>
      <c r="B3625" t="s">
        <v>3400</v>
      </c>
      <c r="C3625">
        <v>8782573</v>
      </c>
      <c r="D3625" t="str">
        <f>"2397-3374"</f>
        <v>2397-3374</v>
      </c>
      <c r="E3625" t="s">
        <v>8</v>
      </c>
      <c r="F3625" t="s">
        <v>3634</v>
      </c>
      <c r="G3625">
        <v>1</v>
      </c>
    </row>
    <row r="3626" spans="1:7" x14ac:dyDescent="0.25">
      <c r="A3626">
        <v>18</v>
      </c>
      <c r="B3626" t="s">
        <v>3400</v>
      </c>
      <c r="C3626">
        <v>12618</v>
      </c>
      <c r="D3626" t="str">
        <f>"0950-2378"</f>
        <v>0950-2378</v>
      </c>
      <c r="E3626" t="s">
        <v>8</v>
      </c>
      <c r="F3626" t="s">
        <v>3635</v>
      </c>
      <c r="G3626">
        <v>1</v>
      </c>
    </row>
    <row r="3627" spans="1:7" x14ac:dyDescent="0.25">
      <c r="A3627">
        <v>18</v>
      </c>
      <c r="B3627" t="s">
        <v>3400</v>
      </c>
      <c r="C3627">
        <v>25842</v>
      </c>
      <c r="D3627" t="str">
        <f>"0896-6346"</f>
        <v>0896-6346</v>
      </c>
      <c r="E3627" t="s">
        <v>8</v>
      </c>
      <c r="F3627" t="s">
        <v>3636</v>
      </c>
      <c r="G3627">
        <v>1</v>
      </c>
    </row>
    <row r="3628" spans="1:7" x14ac:dyDescent="0.25">
      <c r="A3628">
        <v>18</v>
      </c>
      <c r="B3628" t="s">
        <v>3400</v>
      </c>
      <c r="C3628">
        <v>27043</v>
      </c>
      <c r="D3628" t="str">
        <f>"0121-7550"</f>
        <v>0121-7550</v>
      </c>
      <c r="E3628" t="s">
        <v>8</v>
      </c>
      <c r="F3628" t="s">
        <v>3637</v>
      </c>
      <c r="G3628">
        <v>1</v>
      </c>
    </row>
    <row r="3629" spans="1:7" x14ac:dyDescent="0.25">
      <c r="A3629">
        <v>18</v>
      </c>
      <c r="B3629" t="s">
        <v>3400</v>
      </c>
      <c r="C3629">
        <v>13112</v>
      </c>
      <c r="D3629" t="str">
        <f>"0822-7942"</f>
        <v>0822-7942</v>
      </c>
      <c r="E3629" t="s">
        <v>8</v>
      </c>
      <c r="F3629" t="s">
        <v>3638</v>
      </c>
      <c r="G3629">
        <v>1</v>
      </c>
    </row>
    <row r="3630" spans="1:7" x14ac:dyDescent="0.25">
      <c r="A3630">
        <v>18</v>
      </c>
      <c r="B3630" t="s">
        <v>3400</v>
      </c>
      <c r="C3630">
        <v>846</v>
      </c>
      <c r="D3630" t="str">
        <f>"0802-7285"</f>
        <v>0802-7285</v>
      </c>
      <c r="E3630" t="s">
        <v>8</v>
      </c>
      <c r="F3630" t="s">
        <v>3639</v>
      </c>
      <c r="G3630">
        <v>1</v>
      </c>
    </row>
    <row r="3631" spans="1:7" x14ac:dyDescent="0.25">
      <c r="A3631">
        <v>18</v>
      </c>
      <c r="B3631" t="s">
        <v>3400</v>
      </c>
      <c r="C3631">
        <v>13946</v>
      </c>
      <c r="D3631" t="str">
        <f>"0078-7809"</f>
        <v>0078-7809</v>
      </c>
      <c r="E3631" t="s">
        <v>8</v>
      </c>
      <c r="F3631" t="s">
        <v>3640</v>
      </c>
      <c r="G3631">
        <v>1</v>
      </c>
    </row>
    <row r="3632" spans="1:7" x14ac:dyDescent="0.25">
      <c r="A3632">
        <v>18</v>
      </c>
      <c r="B3632" t="s">
        <v>3400</v>
      </c>
      <c r="C3632">
        <v>6344</v>
      </c>
      <c r="D3632" t="str">
        <f>"0362-1596"</f>
        <v>0362-1596</v>
      </c>
      <c r="E3632" t="s">
        <v>8</v>
      </c>
      <c r="F3632" t="s">
        <v>3641</v>
      </c>
      <c r="G3632">
        <v>1</v>
      </c>
    </row>
    <row r="3633" spans="1:7" x14ac:dyDescent="0.25">
      <c r="A3633">
        <v>18</v>
      </c>
      <c r="B3633" t="s">
        <v>3400</v>
      </c>
      <c r="C3633">
        <v>6236967</v>
      </c>
      <c r="E3633" t="s">
        <v>8</v>
      </c>
      <c r="F3633" t="s">
        <v>3642</v>
      </c>
      <c r="G3633">
        <v>1</v>
      </c>
    </row>
    <row r="3634" spans="1:7" x14ac:dyDescent="0.25">
      <c r="A3634">
        <v>18</v>
      </c>
      <c r="B3634" t="s">
        <v>3400</v>
      </c>
      <c r="C3634">
        <v>7551</v>
      </c>
      <c r="D3634" t="str">
        <f>"0032-0447"</f>
        <v>0032-0447</v>
      </c>
      <c r="E3634" t="s">
        <v>8</v>
      </c>
      <c r="F3634" t="s">
        <v>3643</v>
      </c>
      <c r="G3634">
        <v>1</v>
      </c>
    </row>
    <row r="3635" spans="1:7" x14ac:dyDescent="0.25">
      <c r="A3635">
        <v>18</v>
      </c>
      <c r="B3635" t="s">
        <v>3400</v>
      </c>
      <c r="C3635">
        <v>27178</v>
      </c>
      <c r="D3635" t="str">
        <f>"1081-6976"</f>
        <v>1081-6976</v>
      </c>
      <c r="E3635" t="s">
        <v>8</v>
      </c>
      <c r="F3635" t="s">
        <v>3644</v>
      </c>
      <c r="G3635">
        <v>1</v>
      </c>
    </row>
    <row r="3636" spans="1:7" x14ac:dyDescent="0.25">
      <c r="A3636">
        <v>18</v>
      </c>
      <c r="B3636" t="s">
        <v>3400</v>
      </c>
      <c r="C3636">
        <v>41838</v>
      </c>
      <c r="D3636" t="str">
        <f>"0104-8015"</f>
        <v>0104-8015</v>
      </c>
      <c r="E3636" t="s">
        <v>8</v>
      </c>
      <c r="F3636" t="s">
        <v>3645</v>
      </c>
      <c r="G3636">
        <v>1</v>
      </c>
    </row>
    <row r="3637" spans="1:7" x14ac:dyDescent="0.25">
      <c r="A3637">
        <v>18</v>
      </c>
      <c r="B3637" t="s">
        <v>3400</v>
      </c>
      <c r="C3637">
        <v>8783768</v>
      </c>
      <c r="E3637" t="s">
        <v>15</v>
      </c>
      <c r="F3637" t="s">
        <v>3646</v>
      </c>
      <c r="G3637">
        <v>1</v>
      </c>
    </row>
    <row r="3638" spans="1:7" x14ac:dyDescent="0.25">
      <c r="A3638">
        <v>18</v>
      </c>
      <c r="B3638" t="s">
        <v>3400</v>
      </c>
      <c r="C3638">
        <v>27228</v>
      </c>
      <c r="D3638" t="str">
        <f>"0211-5557"</f>
        <v>0211-5557</v>
      </c>
      <c r="E3638" t="s">
        <v>8</v>
      </c>
      <c r="F3638" t="s">
        <v>3647</v>
      </c>
      <c r="G3638">
        <v>1</v>
      </c>
    </row>
    <row r="3639" spans="1:7" x14ac:dyDescent="0.25">
      <c r="A3639">
        <v>18</v>
      </c>
      <c r="B3639" t="s">
        <v>3400</v>
      </c>
      <c r="C3639">
        <v>90554</v>
      </c>
      <c r="D3639" t="str">
        <f>"1138-9761"</f>
        <v>1138-9761</v>
      </c>
      <c r="E3639" t="s">
        <v>8</v>
      </c>
      <c r="F3639" t="s">
        <v>3648</v>
      </c>
      <c r="G3639">
        <v>1</v>
      </c>
    </row>
    <row r="3640" spans="1:7" x14ac:dyDescent="0.25">
      <c r="A3640">
        <v>18</v>
      </c>
      <c r="B3640" t="s">
        <v>3400</v>
      </c>
      <c r="C3640">
        <v>7699627</v>
      </c>
      <c r="E3640" t="s">
        <v>8</v>
      </c>
      <c r="F3640" t="s">
        <v>3649</v>
      </c>
      <c r="G3640">
        <v>1</v>
      </c>
    </row>
    <row r="3641" spans="1:7" x14ac:dyDescent="0.25">
      <c r="A3641">
        <v>18</v>
      </c>
      <c r="B3641" t="s">
        <v>3400</v>
      </c>
      <c r="C3641">
        <v>8775702</v>
      </c>
      <c r="E3641" t="s">
        <v>8</v>
      </c>
      <c r="F3641" t="s">
        <v>3650</v>
      </c>
      <c r="G3641">
        <v>1</v>
      </c>
    </row>
    <row r="3642" spans="1:7" x14ac:dyDescent="0.25">
      <c r="A3642">
        <v>18</v>
      </c>
      <c r="B3642" t="s">
        <v>3400</v>
      </c>
      <c r="C3642">
        <v>22277</v>
      </c>
      <c r="D3642" t="str">
        <f>"0277-1322"</f>
        <v>0277-1322</v>
      </c>
      <c r="E3642" t="s">
        <v>8</v>
      </c>
      <c r="F3642" t="s">
        <v>3651</v>
      </c>
      <c r="G3642">
        <v>1</v>
      </c>
    </row>
    <row r="3643" spans="1:7" x14ac:dyDescent="0.25">
      <c r="A3643">
        <v>18</v>
      </c>
      <c r="B3643" t="s">
        <v>3400</v>
      </c>
      <c r="C3643">
        <v>9032</v>
      </c>
      <c r="D3643" t="str">
        <f>"0093-8157"</f>
        <v>0093-8157</v>
      </c>
      <c r="E3643" t="s">
        <v>8</v>
      </c>
      <c r="F3643" t="s">
        <v>3652</v>
      </c>
      <c r="G3643">
        <v>1</v>
      </c>
    </row>
    <row r="3644" spans="1:7" x14ac:dyDescent="0.25">
      <c r="A3644">
        <v>18</v>
      </c>
      <c r="B3644" t="s">
        <v>3400</v>
      </c>
      <c r="C3644">
        <v>27755</v>
      </c>
      <c r="D3644" t="str">
        <f>"0486-6525"</f>
        <v>0486-6525</v>
      </c>
      <c r="E3644" t="s">
        <v>8</v>
      </c>
      <c r="F3644" t="s">
        <v>3653</v>
      </c>
      <c r="G3644">
        <v>1</v>
      </c>
    </row>
    <row r="3645" spans="1:7" x14ac:dyDescent="0.25">
      <c r="A3645">
        <v>18</v>
      </c>
      <c r="B3645" t="s">
        <v>3400</v>
      </c>
      <c r="C3645">
        <v>52718</v>
      </c>
      <c r="D3645" t="str">
        <f>"1131-558X"</f>
        <v>1131-558X</v>
      </c>
      <c r="E3645" t="s">
        <v>8</v>
      </c>
      <c r="F3645" t="s">
        <v>3654</v>
      </c>
      <c r="G3645">
        <v>1</v>
      </c>
    </row>
    <row r="3646" spans="1:7" x14ac:dyDescent="0.25">
      <c r="A3646">
        <v>18</v>
      </c>
      <c r="B3646" t="s">
        <v>3400</v>
      </c>
      <c r="C3646">
        <v>71946</v>
      </c>
      <c r="D3646" t="str">
        <f>"0556-6533"</f>
        <v>0556-6533</v>
      </c>
      <c r="E3646" t="s">
        <v>8</v>
      </c>
      <c r="F3646" t="s">
        <v>3655</v>
      </c>
      <c r="G3646">
        <v>1</v>
      </c>
    </row>
    <row r="3647" spans="1:7" x14ac:dyDescent="0.25">
      <c r="A3647">
        <v>18</v>
      </c>
      <c r="B3647" t="s">
        <v>3400</v>
      </c>
      <c r="C3647">
        <v>8783124</v>
      </c>
      <c r="E3647" t="s">
        <v>8</v>
      </c>
      <c r="F3647" t="s">
        <v>3656</v>
      </c>
      <c r="G3647">
        <v>1</v>
      </c>
    </row>
    <row r="3648" spans="1:7" x14ac:dyDescent="0.25">
      <c r="A3648">
        <v>18</v>
      </c>
      <c r="B3648" t="s">
        <v>3400</v>
      </c>
      <c r="C3648">
        <v>120011</v>
      </c>
      <c r="D3648" t="str">
        <f>"0765-0752"</f>
        <v>0765-0752</v>
      </c>
      <c r="E3648" t="s">
        <v>8</v>
      </c>
      <c r="F3648" t="s">
        <v>3657</v>
      </c>
      <c r="G3648">
        <v>1</v>
      </c>
    </row>
    <row r="3649" spans="1:7" x14ac:dyDescent="0.25">
      <c r="A3649">
        <v>18</v>
      </c>
      <c r="B3649" t="s">
        <v>3400</v>
      </c>
      <c r="C3649">
        <v>8783769</v>
      </c>
      <c r="E3649" t="s">
        <v>15</v>
      </c>
      <c r="F3649" t="s">
        <v>3658</v>
      </c>
      <c r="G3649">
        <v>1</v>
      </c>
    </row>
    <row r="3650" spans="1:7" x14ac:dyDescent="0.25">
      <c r="A3650">
        <v>18</v>
      </c>
      <c r="B3650" t="s">
        <v>3400</v>
      </c>
      <c r="C3650">
        <v>8783770</v>
      </c>
      <c r="E3650" t="s">
        <v>15</v>
      </c>
      <c r="F3650" t="s">
        <v>3659</v>
      </c>
      <c r="G3650">
        <v>1</v>
      </c>
    </row>
    <row r="3651" spans="1:7" x14ac:dyDescent="0.25">
      <c r="A3651">
        <v>18</v>
      </c>
      <c r="B3651" t="s">
        <v>3400</v>
      </c>
      <c r="C3651">
        <v>8783771</v>
      </c>
      <c r="E3651" t="s">
        <v>15</v>
      </c>
      <c r="F3651" t="s">
        <v>3660</v>
      </c>
      <c r="G3651">
        <v>1</v>
      </c>
    </row>
    <row r="3652" spans="1:7" x14ac:dyDescent="0.25">
      <c r="A3652">
        <v>18</v>
      </c>
      <c r="B3652" t="s">
        <v>3400</v>
      </c>
      <c r="C3652">
        <v>8779172</v>
      </c>
      <c r="E3652" t="s">
        <v>8</v>
      </c>
      <c r="F3652" t="s">
        <v>3661</v>
      </c>
      <c r="G3652">
        <v>1</v>
      </c>
    </row>
    <row r="3653" spans="1:7" x14ac:dyDescent="0.25">
      <c r="A3653">
        <v>18</v>
      </c>
      <c r="B3653" t="s">
        <v>3400</v>
      </c>
      <c r="C3653">
        <v>3970</v>
      </c>
      <c r="D3653" t="str">
        <f>"1753-3171"</f>
        <v>1753-3171</v>
      </c>
      <c r="E3653" t="s">
        <v>8</v>
      </c>
      <c r="F3653" t="s">
        <v>3662</v>
      </c>
      <c r="G3653">
        <v>1</v>
      </c>
    </row>
    <row r="3654" spans="1:7" x14ac:dyDescent="0.25">
      <c r="A3654">
        <v>18</v>
      </c>
      <c r="B3654" t="s">
        <v>3400</v>
      </c>
      <c r="C3654">
        <v>5383</v>
      </c>
      <c r="D3654" t="str">
        <f>"1729-0376"</f>
        <v>1729-0376</v>
      </c>
      <c r="E3654" t="s">
        <v>8</v>
      </c>
      <c r="F3654" t="s">
        <v>3663</v>
      </c>
      <c r="G3654">
        <v>1</v>
      </c>
    </row>
    <row r="3655" spans="1:7" x14ac:dyDescent="0.25">
      <c r="A3655">
        <v>18</v>
      </c>
      <c r="B3655" t="s">
        <v>3400</v>
      </c>
      <c r="C3655">
        <v>27411</v>
      </c>
      <c r="D3655" t="str">
        <f>"0325-6669"</f>
        <v>0325-6669</v>
      </c>
      <c r="E3655" t="s">
        <v>8</v>
      </c>
      <c r="F3655" t="s">
        <v>3664</v>
      </c>
      <c r="G3655">
        <v>1</v>
      </c>
    </row>
    <row r="3656" spans="1:7" x14ac:dyDescent="0.25">
      <c r="A3656">
        <v>18</v>
      </c>
      <c r="B3656" t="s">
        <v>3400</v>
      </c>
      <c r="C3656">
        <v>7635</v>
      </c>
      <c r="D3656" t="str">
        <f>"0387-6004"</f>
        <v>0387-6004</v>
      </c>
      <c r="E3656" t="s">
        <v>15</v>
      </c>
      <c r="F3656" t="s">
        <v>3665</v>
      </c>
      <c r="G3656">
        <v>1</v>
      </c>
    </row>
    <row r="3657" spans="1:7" x14ac:dyDescent="0.25">
      <c r="A3657">
        <v>18</v>
      </c>
      <c r="B3657" t="s">
        <v>3400</v>
      </c>
      <c r="C3657">
        <v>117682</v>
      </c>
      <c r="E3657" t="s">
        <v>8</v>
      </c>
      <c r="F3657" t="s">
        <v>3666</v>
      </c>
      <c r="G3657">
        <v>1</v>
      </c>
    </row>
    <row r="3658" spans="1:7" x14ac:dyDescent="0.25">
      <c r="A3658">
        <v>18</v>
      </c>
      <c r="B3658" t="s">
        <v>3400</v>
      </c>
      <c r="C3658">
        <v>27172</v>
      </c>
      <c r="D3658" t="str">
        <f>"1335-1303"</f>
        <v>1335-1303</v>
      </c>
      <c r="E3658" t="s">
        <v>8</v>
      </c>
      <c r="F3658" t="s">
        <v>3667</v>
      </c>
      <c r="G3658">
        <v>1</v>
      </c>
    </row>
    <row r="3659" spans="1:7" x14ac:dyDescent="0.25">
      <c r="A3659">
        <v>18</v>
      </c>
      <c r="B3659" t="s">
        <v>3400</v>
      </c>
      <c r="C3659">
        <v>17510</v>
      </c>
      <c r="D3659" t="str">
        <f>"0037-7651"</f>
        <v>0037-7651</v>
      </c>
      <c r="E3659" t="s">
        <v>8</v>
      </c>
      <c r="F3659" t="s">
        <v>3668</v>
      </c>
      <c r="G3659">
        <v>1</v>
      </c>
    </row>
    <row r="3660" spans="1:7" x14ac:dyDescent="0.25">
      <c r="A3660">
        <v>18</v>
      </c>
      <c r="B3660" t="s">
        <v>3400</v>
      </c>
      <c r="C3660">
        <v>27238</v>
      </c>
      <c r="D3660" t="str">
        <f>"1681-4363"</f>
        <v>1681-4363</v>
      </c>
      <c r="E3660" t="s">
        <v>8</v>
      </c>
      <c r="F3660" t="s">
        <v>3669</v>
      </c>
      <c r="G3660">
        <v>1</v>
      </c>
    </row>
    <row r="3661" spans="1:7" x14ac:dyDescent="0.25">
      <c r="A3661">
        <v>18</v>
      </c>
      <c r="B3661" t="s">
        <v>3400</v>
      </c>
      <c r="C3661">
        <v>15928</v>
      </c>
      <c r="D3661" t="str">
        <f>"1474-2837"</f>
        <v>1474-2837</v>
      </c>
      <c r="E3661" t="s">
        <v>8</v>
      </c>
      <c r="F3661" t="s">
        <v>3670</v>
      </c>
      <c r="G3661">
        <v>1</v>
      </c>
    </row>
    <row r="3662" spans="1:7" x14ac:dyDescent="0.25">
      <c r="A3662">
        <v>18</v>
      </c>
      <c r="B3662" t="s">
        <v>3400</v>
      </c>
      <c r="C3662">
        <v>83554</v>
      </c>
      <c r="D3662" t="str">
        <f>"2152-8586"</f>
        <v>2152-8586</v>
      </c>
      <c r="E3662" t="s">
        <v>8</v>
      </c>
      <c r="F3662" t="s">
        <v>3671</v>
      </c>
      <c r="G3662">
        <v>1</v>
      </c>
    </row>
    <row r="3663" spans="1:7" x14ac:dyDescent="0.25">
      <c r="A3663">
        <v>18</v>
      </c>
      <c r="B3663" t="s">
        <v>3400</v>
      </c>
      <c r="C3663">
        <v>5832</v>
      </c>
      <c r="D3663" t="str">
        <f>"1235-1954"</f>
        <v>1235-1954</v>
      </c>
      <c r="E3663" t="s">
        <v>15</v>
      </c>
      <c r="F3663" t="s">
        <v>3672</v>
      </c>
      <c r="G3663">
        <v>1</v>
      </c>
    </row>
    <row r="3664" spans="1:7" x14ac:dyDescent="0.25">
      <c r="A3664">
        <v>18</v>
      </c>
      <c r="B3664" t="s">
        <v>3400</v>
      </c>
      <c r="C3664">
        <v>3887</v>
      </c>
      <c r="D3664" t="str">
        <f>"1473-8481"</f>
        <v>1473-8481</v>
      </c>
      <c r="E3664" t="s">
        <v>8</v>
      </c>
      <c r="F3664" t="s">
        <v>3673</v>
      </c>
      <c r="G3664">
        <v>1</v>
      </c>
    </row>
    <row r="3665" spans="1:7" x14ac:dyDescent="0.25">
      <c r="A3665">
        <v>18</v>
      </c>
      <c r="B3665" t="s">
        <v>3400</v>
      </c>
      <c r="C3665">
        <v>8783772</v>
      </c>
      <c r="E3665" t="s">
        <v>15</v>
      </c>
      <c r="F3665" t="s">
        <v>3674</v>
      </c>
      <c r="G3665">
        <v>1</v>
      </c>
    </row>
    <row r="3666" spans="1:7" x14ac:dyDescent="0.25">
      <c r="A3666">
        <v>18</v>
      </c>
      <c r="B3666" t="s">
        <v>3400</v>
      </c>
      <c r="C3666">
        <v>5591</v>
      </c>
      <c r="D3666" t="str">
        <f>"0355-3930"</f>
        <v>0355-3930</v>
      </c>
      <c r="E3666" t="s">
        <v>8</v>
      </c>
      <c r="F3666" t="s">
        <v>3675</v>
      </c>
      <c r="G3666">
        <v>1</v>
      </c>
    </row>
    <row r="3667" spans="1:7" x14ac:dyDescent="0.25">
      <c r="A3667">
        <v>18</v>
      </c>
      <c r="B3667" t="s">
        <v>3400</v>
      </c>
      <c r="C3667">
        <v>27696</v>
      </c>
      <c r="D3667" t="str">
        <f>"1794-2489"</f>
        <v>1794-2489</v>
      </c>
      <c r="E3667" t="s">
        <v>8</v>
      </c>
      <c r="F3667" t="s">
        <v>3676</v>
      </c>
      <c r="G3667">
        <v>1</v>
      </c>
    </row>
    <row r="3668" spans="1:7" x14ac:dyDescent="0.25">
      <c r="A3668">
        <v>18</v>
      </c>
      <c r="B3668" t="s">
        <v>3400</v>
      </c>
      <c r="C3668">
        <v>27364</v>
      </c>
      <c r="D3668" t="str">
        <f>"0248-6016"</f>
        <v>0248-6016</v>
      </c>
      <c r="E3668" t="s">
        <v>8</v>
      </c>
      <c r="F3668" t="s">
        <v>3677</v>
      </c>
      <c r="G3668">
        <v>1</v>
      </c>
    </row>
    <row r="3669" spans="1:7" x14ac:dyDescent="0.25">
      <c r="A3669">
        <v>18</v>
      </c>
      <c r="B3669" t="s">
        <v>3400</v>
      </c>
      <c r="C3669">
        <v>27514</v>
      </c>
      <c r="D3669" t="str">
        <f>"0760-5668"</f>
        <v>0760-5668</v>
      </c>
      <c r="E3669" t="s">
        <v>8</v>
      </c>
      <c r="F3669" t="s">
        <v>3678</v>
      </c>
      <c r="G3669">
        <v>1</v>
      </c>
    </row>
    <row r="3670" spans="1:7" x14ac:dyDescent="0.25">
      <c r="A3670">
        <v>18</v>
      </c>
      <c r="B3670" t="s">
        <v>3400</v>
      </c>
      <c r="C3670">
        <v>156440</v>
      </c>
      <c r="D3670" t="str">
        <f>"1985-8639"</f>
        <v>1985-8639</v>
      </c>
      <c r="E3670" t="s">
        <v>8</v>
      </c>
      <c r="F3670" t="s">
        <v>3679</v>
      </c>
      <c r="G3670">
        <v>1</v>
      </c>
    </row>
    <row r="3671" spans="1:7" x14ac:dyDescent="0.25">
      <c r="A3671">
        <v>18</v>
      </c>
      <c r="B3671" t="s">
        <v>3400</v>
      </c>
      <c r="C3671">
        <v>146122</v>
      </c>
      <c r="D3671" t="str">
        <f>"1024-0969"</f>
        <v>1024-0969</v>
      </c>
      <c r="E3671" t="s">
        <v>8</v>
      </c>
      <c r="F3671" t="s">
        <v>3680</v>
      </c>
      <c r="G3671">
        <v>1</v>
      </c>
    </row>
    <row r="3672" spans="1:7" x14ac:dyDescent="0.25">
      <c r="A3672">
        <v>18</v>
      </c>
      <c r="B3672" t="s">
        <v>3400</v>
      </c>
      <c r="C3672">
        <v>8764478</v>
      </c>
      <c r="D3672" t="str">
        <f>"2053-0196"</f>
        <v>2053-0196</v>
      </c>
      <c r="E3672" t="s">
        <v>8</v>
      </c>
      <c r="F3672" t="s">
        <v>3681</v>
      </c>
      <c r="G3672">
        <v>1</v>
      </c>
    </row>
    <row r="3673" spans="1:7" x14ac:dyDescent="0.25">
      <c r="A3673">
        <v>18</v>
      </c>
      <c r="B3673" t="s">
        <v>3400</v>
      </c>
      <c r="C3673">
        <v>14130</v>
      </c>
      <c r="D3673" t="str">
        <f>"1444-2213"</f>
        <v>1444-2213</v>
      </c>
      <c r="E3673" t="s">
        <v>8</v>
      </c>
      <c r="F3673" t="s">
        <v>3682</v>
      </c>
      <c r="G3673">
        <v>1</v>
      </c>
    </row>
    <row r="3674" spans="1:7" x14ac:dyDescent="0.25">
      <c r="A3674">
        <v>18</v>
      </c>
      <c r="B3674" t="s">
        <v>3400</v>
      </c>
      <c r="C3674">
        <v>12468</v>
      </c>
      <c r="D3674" t="str">
        <f>"0006-4246"</f>
        <v>0006-4246</v>
      </c>
      <c r="E3674" t="s">
        <v>8</v>
      </c>
      <c r="F3674" t="s">
        <v>3683</v>
      </c>
      <c r="G3674">
        <v>1</v>
      </c>
    </row>
    <row r="3675" spans="1:7" x14ac:dyDescent="0.25">
      <c r="A3675">
        <v>18</v>
      </c>
      <c r="B3675" t="s">
        <v>3400</v>
      </c>
      <c r="C3675">
        <v>8782639</v>
      </c>
      <c r="D3675" t="str">
        <f>"0305-7674"</f>
        <v>0305-7674</v>
      </c>
      <c r="E3675" t="s">
        <v>8</v>
      </c>
      <c r="F3675" t="s">
        <v>3684</v>
      </c>
      <c r="G3675">
        <v>1</v>
      </c>
    </row>
    <row r="3676" spans="1:7" x14ac:dyDescent="0.25">
      <c r="A3676">
        <v>18</v>
      </c>
      <c r="B3676" t="s">
        <v>3400</v>
      </c>
      <c r="C3676">
        <v>14101</v>
      </c>
      <c r="D3676" t="str">
        <f>"1447-9532"</f>
        <v>1447-9532</v>
      </c>
      <c r="E3676" t="s">
        <v>8</v>
      </c>
      <c r="F3676" t="s">
        <v>3685</v>
      </c>
      <c r="G3676">
        <v>1</v>
      </c>
    </row>
    <row r="3677" spans="1:7" x14ac:dyDescent="0.25">
      <c r="A3677">
        <v>18</v>
      </c>
      <c r="B3677" t="s">
        <v>3400</v>
      </c>
      <c r="C3677">
        <v>8783773</v>
      </c>
      <c r="E3677" t="s">
        <v>15</v>
      </c>
      <c r="F3677" t="s">
        <v>3686</v>
      </c>
      <c r="G3677">
        <v>1</v>
      </c>
    </row>
    <row r="3678" spans="1:7" x14ac:dyDescent="0.25">
      <c r="A3678">
        <v>18</v>
      </c>
      <c r="B3678" t="s">
        <v>3400</v>
      </c>
      <c r="C3678">
        <v>71580</v>
      </c>
      <c r="D3678" t="str">
        <f>"1874-9127"</f>
        <v>1874-9127</v>
      </c>
      <c r="E3678" t="s">
        <v>8</v>
      </c>
      <c r="F3678" t="s">
        <v>3687</v>
      </c>
      <c r="G3678">
        <v>1</v>
      </c>
    </row>
    <row r="3679" spans="1:7" x14ac:dyDescent="0.25">
      <c r="A3679">
        <v>18</v>
      </c>
      <c r="B3679" t="s">
        <v>3400</v>
      </c>
      <c r="C3679">
        <v>27548</v>
      </c>
      <c r="D3679" t="str">
        <f>"0906-3021"</f>
        <v>0906-3021</v>
      </c>
      <c r="E3679" t="s">
        <v>8</v>
      </c>
      <c r="F3679" t="s">
        <v>3688</v>
      </c>
      <c r="G3679">
        <v>1</v>
      </c>
    </row>
    <row r="3680" spans="1:7" x14ac:dyDescent="0.25">
      <c r="A3680">
        <v>18</v>
      </c>
      <c r="B3680" t="s">
        <v>3400</v>
      </c>
      <c r="C3680">
        <v>27156</v>
      </c>
      <c r="D3680" t="str">
        <f>"1018-8185"</f>
        <v>1018-8185</v>
      </c>
      <c r="E3680" t="s">
        <v>8</v>
      </c>
      <c r="F3680" t="s">
        <v>3689</v>
      </c>
      <c r="G3680">
        <v>1</v>
      </c>
    </row>
    <row r="3681" spans="1:7" x14ac:dyDescent="0.25">
      <c r="A3681">
        <v>18</v>
      </c>
      <c r="B3681" t="s">
        <v>3400</v>
      </c>
      <c r="C3681">
        <v>11622</v>
      </c>
      <c r="D3681" t="str">
        <f>"0352-0447"</f>
        <v>0352-0447</v>
      </c>
      <c r="E3681" t="s">
        <v>8</v>
      </c>
      <c r="F3681" t="s">
        <v>3690</v>
      </c>
      <c r="G3681">
        <v>1</v>
      </c>
    </row>
    <row r="3682" spans="1:7" x14ac:dyDescent="0.25">
      <c r="A3682">
        <v>18</v>
      </c>
      <c r="B3682" t="s">
        <v>3400</v>
      </c>
      <c r="C3682">
        <v>27665</v>
      </c>
      <c r="D3682" t="str">
        <f>"1420-7834"</f>
        <v>1420-7834</v>
      </c>
      <c r="E3682" t="s">
        <v>8</v>
      </c>
      <c r="F3682" t="s">
        <v>3691</v>
      </c>
      <c r="G3682">
        <v>1</v>
      </c>
    </row>
    <row r="3683" spans="1:7" x14ac:dyDescent="0.25">
      <c r="A3683">
        <v>18</v>
      </c>
      <c r="B3683" t="s">
        <v>3400</v>
      </c>
      <c r="C3683">
        <v>18914</v>
      </c>
      <c r="D3683" t="str">
        <f>"0894-6019"</f>
        <v>0894-6019</v>
      </c>
      <c r="E3683" t="s">
        <v>8</v>
      </c>
      <c r="F3683" t="s">
        <v>3692</v>
      </c>
      <c r="G3683">
        <v>1</v>
      </c>
    </row>
    <row r="3684" spans="1:7" x14ac:dyDescent="0.25">
      <c r="A3684">
        <v>18</v>
      </c>
      <c r="B3684" t="s">
        <v>3400</v>
      </c>
      <c r="C3684">
        <v>8778725</v>
      </c>
      <c r="D3684" t="str">
        <f>"2364-4583"</f>
        <v>2364-4583</v>
      </c>
      <c r="E3684" t="s">
        <v>8</v>
      </c>
      <c r="F3684" t="s">
        <v>3693</v>
      </c>
      <c r="G3684">
        <v>1</v>
      </c>
    </row>
    <row r="3685" spans="1:7" x14ac:dyDescent="0.25">
      <c r="A3685">
        <v>18</v>
      </c>
      <c r="B3685" t="s">
        <v>3400</v>
      </c>
      <c r="C3685">
        <v>7884</v>
      </c>
      <c r="D3685" t="str">
        <f>"1058-7187"</f>
        <v>1058-7187</v>
      </c>
      <c r="E3685" t="s">
        <v>8</v>
      </c>
      <c r="F3685" t="s">
        <v>3694</v>
      </c>
      <c r="G3685">
        <v>1</v>
      </c>
    </row>
    <row r="3686" spans="1:7" x14ac:dyDescent="0.25">
      <c r="A3686">
        <v>18</v>
      </c>
      <c r="B3686" t="s">
        <v>3400</v>
      </c>
      <c r="C3686">
        <v>123963</v>
      </c>
      <c r="E3686" t="s">
        <v>8</v>
      </c>
      <c r="F3686" t="s">
        <v>3695</v>
      </c>
      <c r="G3686">
        <v>1</v>
      </c>
    </row>
    <row r="3687" spans="1:7" x14ac:dyDescent="0.25">
      <c r="A3687">
        <v>18</v>
      </c>
      <c r="B3687" t="s">
        <v>3400</v>
      </c>
      <c r="C3687">
        <v>5108</v>
      </c>
      <c r="D3687" t="str">
        <f>"1551-7268"</f>
        <v>1551-7268</v>
      </c>
      <c r="E3687" t="s">
        <v>8</v>
      </c>
      <c r="F3687" t="s">
        <v>3696</v>
      </c>
      <c r="G3687">
        <v>1</v>
      </c>
    </row>
    <row r="3688" spans="1:7" x14ac:dyDescent="0.25">
      <c r="A3688">
        <v>18</v>
      </c>
      <c r="B3688" t="s">
        <v>3400</v>
      </c>
      <c r="C3688">
        <v>8783774</v>
      </c>
      <c r="E3688" t="s">
        <v>15</v>
      </c>
      <c r="F3688" t="s">
        <v>3697</v>
      </c>
      <c r="G3688">
        <v>1</v>
      </c>
    </row>
    <row r="3689" spans="1:7" x14ac:dyDescent="0.25">
      <c r="A3689">
        <v>19</v>
      </c>
      <c r="B3689" t="s">
        <v>3698</v>
      </c>
      <c r="C3689">
        <v>12425</v>
      </c>
      <c r="D3689" t="str">
        <f>"1073-0516"</f>
        <v>1073-0516</v>
      </c>
      <c r="E3689" t="s">
        <v>8</v>
      </c>
      <c r="F3689" t="s">
        <v>3699</v>
      </c>
      <c r="G3689">
        <v>2</v>
      </c>
    </row>
    <row r="3690" spans="1:7" x14ac:dyDescent="0.25">
      <c r="A3690">
        <v>19</v>
      </c>
      <c r="B3690" t="s">
        <v>3698</v>
      </c>
      <c r="C3690">
        <v>8678</v>
      </c>
      <c r="D3690" t="str">
        <f>"1476-7503"</f>
        <v>1476-7503</v>
      </c>
      <c r="E3690" t="s">
        <v>8</v>
      </c>
      <c r="F3690" t="s">
        <v>3700</v>
      </c>
      <c r="G3690">
        <v>2</v>
      </c>
    </row>
    <row r="3691" spans="1:7" x14ac:dyDescent="0.25">
      <c r="A3691">
        <v>19</v>
      </c>
      <c r="B3691" t="s">
        <v>3698</v>
      </c>
      <c r="C3691">
        <v>325</v>
      </c>
      <c r="D3691" t="str">
        <f>"0007-1013"</f>
        <v>0007-1013</v>
      </c>
      <c r="E3691" t="s">
        <v>8</v>
      </c>
      <c r="F3691" t="s">
        <v>3701</v>
      </c>
      <c r="G3691">
        <v>2</v>
      </c>
    </row>
    <row r="3692" spans="1:7" x14ac:dyDescent="0.25">
      <c r="A3692">
        <v>19</v>
      </c>
      <c r="B3692" t="s">
        <v>3698</v>
      </c>
      <c r="C3692">
        <v>4275</v>
      </c>
      <c r="D3692" t="str">
        <f>"1435-5558"</f>
        <v>1435-5558</v>
      </c>
      <c r="E3692" t="s">
        <v>8</v>
      </c>
      <c r="F3692" t="s">
        <v>3702</v>
      </c>
      <c r="G3692">
        <v>2</v>
      </c>
    </row>
    <row r="3693" spans="1:7" x14ac:dyDescent="0.25">
      <c r="A3693">
        <v>19</v>
      </c>
      <c r="B3693" t="s">
        <v>3698</v>
      </c>
      <c r="C3693">
        <v>11209</v>
      </c>
      <c r="D3693" t="str">
        <f>"0925-9724"</f>
        <v>0925-9724</v>
      </c>
      <c r="E3693" t="s">
        <v>8</v>
      </c>
      <c r="F3693" t="s">
        <v>3703</v>
      </c>
      <c r="G3693">
        <v>2</v>
      </c>
    </row>
    <row r="3694" spans="1:7" x14ac:dyDescent="0.25">
      <c r="A3694">
        <v>19</v>
      </c>
      <c r="B3694" t="s">
        <v>3698</v>
      </c>
      <c r="C3694">
        <v>8746</v>
      </c>
      <c r="D3694" t="str">
        <f>"0360-1315"</f>
        <v>0360-1315</v>
      </c>
      <c r="E3694" t="s">
        <v>8</v>
      </c>
      <c r="F3694" t="s">
        <v>3704</v>
      </c>
      <c r="G3694">
        <v>2</v>
      </c>
    </row>
    <row r="3695" spans="1:7" x14ac:dyDescent="0.25">
      <c r="A3695">
        <v>19</v>
      </c>
      <c r="B3695" t="s">
        <v>3698</v>
      </c>
      <c r="C3695">
        <v>13185</v>
      </c>
      <c r="D3695" t="str">
        <f>"1176-3647"</f>
        <v>1176-3647</v>
      </c>
      <c r="E3695" t="s">
        <v>8</v>
      </c>
      <c r="F3695" t="s">
        <v>3705</v>
      </c>
      <c r="G3695">
        <v>2</v>
      </c>
    </row>
    <row r="3696" spans="1:7" x14ac:dyDescent="0.25">
      <c r="A3696">
        <v>19</v>
      </c>
      <c r="B3696" t="s">
        <v>3698</v>
      </c>
      <c r="C3696">
        <v>2570</v>
      </c>
      <c r="D3696" t="str">
        <f>"1042-1629"</f>
        <v>1042-1629</v>
      </c>
      <c r="E3696" t="s">
        <v>8</v>
      </c>
      <c r="F3696" t="s">
        <v>3706</v>
      </c>
      <c r="G3696">
        <v>2</v>
      </c>
    </row>
    <row r="3697" spans="1:7" x14ac:dyDescent="0.25">
      <c r="A3697">
        <v>19</v>
      </c>
      <c r="B3697" t="s">
        <v>3698</v>
      </c>
      <c r="C3697">
        <v>14140</v>
      </c>
      <c r="D3697" t="str">
        <f>"0737-0024"</f>
        <v>0737-0024</v>
      </c>
      <c r="E3697" t="s">
        <v>8</v>
      </c>
      <c r="F3697" t="s">
        <v>3707</v>
      </c>
      <c r="G3697">
        <v>2</v>
      </c>
    </row>
    <row r="3698" spans="1:7" x14ac:dyDescent="0.25">
      <c r="A3698">
        <v>19</v>
      </c>
      <c r="B3698" t="s">
        <v>3698</v>
      </c>
      <c r="C3698">
        <v>9973</v>
      </c>
      <c r="D3698" t="str">
        <f>"0953-5438"</f>
        <v>0953-5438</v>
      </c>
      <c r="E3698" t="s">
        <v>8</v>
      </c>
      <c r="F3698" t="s">
        <v>3708</v>
      </c>
      <c r="G3698">
        <v>2</v>
      </c>
    </row>
    <row r="3699" spans="1:7" x14ac:dyDescent="0.25">
      <c r="A3699">
        <v>19</v>
      </c>
      <c r="B3699" t="s">
        <v>3698</v>
      </c>
      <c r="C3699">
        <v>6447</v>
      </c>
      <c r="D3699" t="str">
        <f>"1556-1607"</f>
        <v>1556-1607</v>
      </c>
      <c r="E3699" t="s">
        <v>8</v>
      </c>
      <c r="F3699" t="s">
        <v>3709</v>
      </c>
      <c r="G3699">
        <v>2</v>
      </c>
    </row>
    <row r="3700" spans="1:7" x14ac:dyDescent="0.25">
      <c r="A3700">
        <v>19</v>
      </c>
      <c r="B3700" t="s">
        <v>3698</v>
      </c>
      <c r="C3700">
        <v>11170</v>
      </c>
      <c r="D3700" t="str">
        <f>"0266-4909"</f>
        <v>0266-4909</v>
      </c>
      <c r="E3700" t="s">
        <v>8</v>
      </c>
      <c r="F3700" t="s">
        <v>3710</v>
      </c>
      <c r="G3700">
        <v>2</v>
      </c>
    </row>
    <row r="3701" spans="1:7" x14ac:dyDescent="0.25">
      <c r="A3701">
        <v>19</v>
      </c>
      <c r="B3701" t="s">
        <v>3698</v>
      </c>
      <c r="C3701">
        <v>10551</v>
      </c>
      <c r="D3701" t="str">
        <f>"1050-8406"</f>
        <v>1050-8406</v>
      </c>
      <c r="E3701" t="s">
        <v>8</v>
      </c>
      <c r="F3701" t="s">
        <v>3711</v>
      </c>
      <c r="G3701">
        <v>2</v>
      </c>
    </row>
    <row r="3702" spans="1:7" x14ac:dyDescent="0.25">
      <c r="A3702">
        <v>19</v>
      </c>
      <c r="B3702" t="s">
        <v>3698</v>
      </c>
      <c r="C3702">
        <v>6233828</v>
      </c>
      <c r="D3702" t="str">
        <f>"2150-5896"</f>
        <v>2150-5896</v>
      </c>
      <c r="E3702" t="s">
        <v>15</v>
      </c>
      <c r="F3702" t="s">
        <v>3712</v>
      </c>
      <c r="G3702">
        <v>2</v>
      </c>
    </row>
    <row r="3703" spans="1:7" x14ac:dyDescent="0.25">
      <c r="A3703">
        <v>19</v>
      </c>
      <c r="B3703" t="s">
        <v>3698</v>
      </c>
      <c r="C3703">
        <v>8091</v>
      </c>
      <c r="E3703" t="s">
        <v>8</v>
      </c>
      <c r="F3703" t="s">
        <v>3713</v>
      </c>
      <c r="G3703">
        <v>2</v>
      </c>
    </row>
    <row r="3704" spans="1:7" x14ac:dyDescent="0.25">
      <c r="A3704">
        <v>19</v>
      </c>
      <c r="B3704" t="s">
        <v>3698</v>
      </c>
      <c r="C3704">
        <v>12731</v>
      </c>
      <c r="D3704" t="str">
        <f>"1475-939X"</f>
        <v>1475-939X</v>
      </c>
      <c r="E3704" t="s">
        <v>8</v>
      </c>
      <c r="F3704" t="s">
        <v>3714</v>
      </c>
      <c r="G3704">
        <v>2</v>
      </c>
    </row>
    <row r="3705" spans="1:7" x14ac:dyDescent="0.25">
      <c r="A3705">
        <v>19</v>
      </c>
      <c r="B3705" t="s">
        <v>3698</v>
      </c>
      <c r="C3705">
        <v>26376</v>
      </c>
      <c r="D3705" t="str">
        <f>"1449-5554"</f>
        <v>1449-5554</v>
      </c>
      <c r="E3705" t="s">
        <v>8</v>
      </c>
      <c r="F3705" t="s">
        <v>3715</v>
      </c>
      <c r="G3705">
        <v>1</v>
      </c>
    </row>
    <row r="3706" spans="1:7" x14ac:dyDescent="0.25">
      <c r="A3706">
        <v>19</v>
      </c>
      <c r="B3706" t="s">
        <v>3698</v>
      </c>
      <c r="C3706">
        <v>23357</v>
      </c>
      <c r="D3706" t="str">
        <f>"0816-9020"</f>
        <v>0816-9020</v>
      </c>
      <c r="E3706" t="s">
        <v>8</v>
      </c>
      <c r="F3706" t="s">
        <v>3716</v>
      </c>
      <c r="G3706">
        <v>1</v>
      </c>
    </row>
    <row r="3707" spans="1:7" x14ac:dyDescent="0.25">
      <c r="A3707">
        <v>19</v>
      </c>
      <c r="B3707" t="s">
        <v>3698</v>
      </c>
      <c r="C3707">
        <v>27310</v>
      </c>
      <c r="D3707" t="str">
        <f>"1205-5743"</f>
        <v>1205-5743</v>
      </c>
      <c r="E3707" t="s">
        <v>15</v>
      </c>
      <c r="F3707" t="s">
        <v>3717</v>
      </c>
      <c r="G3707">
        <v>1</v>
      </c>
    </row>
    <row r="3708" spans="1:7" x14ac:dyDescent="0.25">
      <c r="A3708">
        <v>19</v>
      </c>
      <c r="B3708" t="s">
        <v>3698</v>
      </c>
      <c r="C3708">
        <v>15579</v>
      </c>
      <c r="D3708" t="str">
        <f>"0958-8221"</f>
        <v>0958-8221</v>
      </c>
      <c r="E3708" t="s">
        <v>8</v>
      </c>
      <c r="F3708" t="s">
        <v>3718</v>
      </c>
      <c r="G3708">
        <v>1</v>
      </c>
    </row>
    <row r="3709" spans="1:7" x14ac:dyDescent="0.25">
      <c r="A3709">
        <v>19</v>
      </c>
      <c r="B3709" t="s">
        <v>3698</v>
      </c>
      <c r="C3709">
        <v>11397</v>
      </c>
      <c r="D3709" t="str">
        <f>"0747-5632"</f>
        <v>0747-5632</v>
      </c>
      <c r="E3709" t="s">
        <v>8</v>
      </c>
      <c r="F3709" t="s">
        <v>3719</v>
      </c>
      <c r="G3709">
        <v>1</v>
      </c>
    </row>
    <row r="3710" spans="1:7" x14ac:dyDescent="0.25">
      <c r="A3710">
        <v>19</v>
      </c>
      <c r="B3710" t="s">
        <v>3698</v>
      </c>
      <c r="C3710">
        <v>156345</v>
      </c>
      <c r="D3710" t="str">
        <f>"1654-7608"</f>
        <v>1654-7608</v>
      </c>
      <c r="E3710" t="s">
        <v>8</v>
      </c>
      <c r="F3710" t="s">
        <v>3720</v>
      </c>
      <c r="G3710">
        <v>1</v>
      </c>
    </row>
    <row r="3711" spans="1:7" x14ac:dyDescent="0.25">
      <c r="A3711">
        <v>19</v>
      </c>
      <c r="B3711" t="s">
        <v>3698</v>
      </c>
      <c r="C3711">
        <v>27562</v>
      </c>
      <c r="D3711" t="str">
        <f>"2013-9144"</f>
        <v>2013-9144</v>
      </c>
      <c r="E3711" t="s">
        <v>8</v>
      </c>
      <c r="F3711" t="s">
        <v>3721</v>
      </c>
      <c r="G3711">
        <v>1</v>
      </c>
    </row>
    <row r="3712" spans="1:7" x14ac:dyDescent="0.25">
      <c r="A3712">
        <v>19</v>
      </c>
      <c r="B3712" t="s">
        <v>3698</v>
      </c>
      <c r="C3712">
        <v>42600</v>
      </c>
      <c r="E3712" t="s">
        <v>8</v>
      </c>
      <c r="F3712" t="s">
        <v>3722</v>
      </c>
      <c r="G3712">
        <v>1</v>
      </c>
    </row>
    <row r="3713" spans="1:7" x14ac:dyDescent="0.25">
      <c r="A3713">
        <v>19</v>
      </c>
      <c r="B3713" t="s">
        <v>3698</v>
      </c>
      <c r="C3713">
        <v>5379</v>
      </c>
      <c r="D3713" t="str">
        <f>"2055-7671"</f>
        <v>2055-7671</v>
      </c>
      <c r="E3713" t="s">
        <v>8</v>
      </c>
      <c r="F3713" t="s">
        <v>3723</v>
      </c>
      <c r="G3713">
        <v>1</v>
      </c>
    </row>
    <row r="3714" spans="1:7" x14ac:dyDescent="0.25">
      <c r="A3714">
        <v>19</v>
      </c>
      <c r="B3714" t="s">
        <v>3698</v>
      </c>
      <c r="C3714">
        <v>10082</v>
      </c>
      <c r="D3714" t="str">
        <f>"1360-2357"</f>
        <v>1360-2357</v>
      </c>
      <c r="E3714" t="s">
        <v>8</v>
      </c>
      <c r="F3714" t="s">
        <v>3724</v>
      </c>
      <c r="G3714">
        <v>1</v>
      </c>
    </row>
    <row r="3715" spans="1:7" x14ac:dyDescent="0.25">
      <c r="A3715">
        <v>19</v>
      </c>
      <c r="B3715" t="s">
        <v>3698</v>
      </c>
      <c r="C3715">
        <v>27060</v>
      </c>
      <c r="E3715" t="s">
        <v>8</v>
      </c>
      <c r="F3715" t="s">
        <v>3725</v>
      </c>
      <c r="G3715">
        <v>1</v>
      </c>
    </row>
    <row r="3716" spans="1:7" x14ac:dyDescent="0.25">
      <c r="A3716">
        <v>19</v>
      </c>
      <c r="B3716" t="s">
        <v>3698</v>
      </c>
      <c r="C3716">
        <v>1778</v>
      </c>
      <c r="E3716" t="s">
        <v>8</v>
      </c>
      <c r="F3716" t="s">
        <v>3726</v>
      </c>
      <c r="G3716">
        <v>1</v>
      </c>
    </row>
    <row r="3717" spans="1:7" x14ac:dyDescent="0.25">
      <c r="A3717">
        <v>19</v>
      </c>
      <c r="B3717" t="s">
        <v>3698</v>
      </c>
      <c r="C3717">
        <v>156344</v>
      </c>
      <c r="D3717" t="str">
        <f>"1743-3010"</f>
        <v>1743-3010</v>
      </c>
      <c r="E3717" t="s">
        <v>8</v>
      </c>
      <c r="F3717" t="s">
        <v>3727</v>
      </c>
      <c r="G3717">
        <v>1</v>
      </c>
    </row>
    <row r="3718" spans="1:7" x14ac:dyDescent="0.25">
      <c r="A3718">
        <v>19</v>
      </c>
      <c r="B3718" t="s">
        <v>3698</v>
      </c>
      <c r="C3718">
        <v>2060</v>
      </c>
      <c r="D3718" t="str">
        <f>"1388-1957"</f>
        <v>1388-1957</v>
      </c>
      <c r="E3718" t="s">
        <v>8</v>
      </c>
      <c r="F3718" t="s">
        <v>3728</v>
      </c>
      <c r="G3718">
        <v>1</v>
      </c>
    </row>
    <row r="3719" spans="1:7" x14ac:dyDescent="0.25">
      <c r="A3719">
        <v>19</v>
      </c>
      <c r="B3719" t="s">
        <v>3698</v>
      </c>
      <c r="C3719">
        <v>8770885</v>
      </c>
      <c r="E3719" t="s">
        <v>8</v>
      </c>
      <c r="F3719" t="s">
        <v>3729</v>
      </c>
      <c r="G3719">
        <v>1</v>
      </c>
    </row>
    <row r="3720" spans="1:7" x14ac:dyDescent="0.25">
      <c r="A3720">
        <v>19</v>
      </c>
      <c r="B3720" t="s">
        <v>3698</v>
      </c>
      <c r="C3720">
        <v>23600</v>
      </c>
      <c r="D3720" t="str">
        <f>"0337-307X"</f>
        <v>0337-307X</v>
      </c>
      <c r="E3720" t="s">
        <v>8</v>
      </c>
      <c r="F3720" t="s">
        <v>3730</v>
      </c>
      <c r="G3720">
        <v>1</v>
      </c>
    </row>
    <row r="3721" spans="1:7" x14ac:dyDescent="0.25">
      <c r="A3721">
        <v>19</v>
      </c>
      <c r="B3721" t="s">
        <v>3698</v>
      </c>
      <c r="C3721">
        <v>32</v>
      </c>
      <c r="D3721" t="str">
        <f>"0971-8524"</f>
        <v>0971-8524</v>
      </c>
      <c r="E3721" t="s">
        <v>8</v>
      </c>
      <c r="F3721" t="s">
        <v>3731</v>
      </c>
      <c r="G3721">
        <v>1</v>
      </c>
    </row>
    <row r="3722" spans="1:7" x14ac:dyDescent="0.25">
      <c r="A3722">
        <v>19</v>
      </c>
      <c r="B3722" t="s">
        <v>3698</v>
      </c>
      <c r="C3722">
        <v>8783756</v>
      </c>
      <c r="D3722" t="str">
        <f>"1571-5035"</f>
        <v>1571-5035</v>
      </c>
      <c r="E3722" t="s">
        <v>15</v>
      </c>
      <c r="F3722" t="s">
        <v>3732</v>
      </c>
      <c r="G3722">
        <v>1</v>
      </c>
    </row>
    <row r="3723" spans="1:7" x14ac:dyDescent="0.25">
      <c r="A3723">
        <v>19</v>
      </c>
      <c r="B3723" t="s">
        <v>3698</v>
      </c>
      <c r="C3723">
        <v>8782619</v>
      </c>
      <c r="E3723" t="s">
        <v>2100</v>
      </c>
      <c r="F3723" t="s">
        <v>3733</v>
      </c>
      <c r="G3723">
        <v>1</v>
      </c>
    </row>
    <row r="3724" spans="1:7" x14ac:dyDescent="0.25">
      <c r="A3724">
        <v>19</v>
      </c>
      <c r="B3724" t="s">
        <v>3698</v>
      </c>
      <c r="C3724">
        <v>7744245</v>
      </c>
      <c r="E3724" t="s">
        <v>8</v>
      </c>
      <c r="F3724" t="s">
        <v>3734</v>
      </c>
      <c r="G3724">
        <v>1</v>
      </c>
    </row>
    <row r="3725" spans="1:7" x14ac:dyDescent="0.25">
      <c r="A3725">
        <v>19</v>
      </c>
      <c r="B3725" t="s">
        <v>3698</v>
      </c>
      <c r="C3725">
        <v>5040</v>
      </c>
      <c r="D3725" t="str">
        <f>"1137-3601"</f>
        <v>1137-3601</v>
      </c>
      <c r="E3725" t="s">
        <v>8</v>
      </c>
      <c r="F3725" t="s">
        <v>3735</v>
      </c>
      <c r="G3725">
        <v>1</v>
      </c>
    </row>
    <row r="3726" spans="1:7" x14ac:dyDescent="0.25">
      <c r="A3726">
        <v>19</v>
      </c>
      <c r="B3726" t="s">
        <v>3698</v>
      </c>
      <c r="C3726">
        <v>637</v>
      </c>
      <c r="D3726" t="str">
        <f>"1049-4820"</f>
        <v>1049-4820</v>
      </c>
      <c r="E3726" t="s">
        <v>8</v>
      </c>
      <c r="F3726" t="s">
        <v>3736</v>
      </c>
      <c r="G3726">
        <v>1</v>
      </c>
    </row>
    <row r="3727" spans="1:7" x14ac:dyDescent="0.25">
      <c r="A3727">
        <v>19</v>
      </c>
      <c r="B3727" t="s">
        <v>3698</v>
      </c>
      <c r="C3727">
        <v>27370</v>
      </c>
      <c r="D3727" t="str">
        <f>"1741-5659"</f>
        <v>1741-5659</v>
      </c>
      <c r="E3727" t="s">
        <v>8</v>
      </c>
      <c r="F3727" t="s">
        <v>3737</v>
      </c>
      <c r="G3727">
        <v>1</v>
      </c>
    </row>
    <row r="3728" spans="1:7" x14ac:dyDescent="0.25">
      <c r="A3728">
        <v>19</v>
      </c>
      <c r="B3728" t="s">
        <v>3698</v>
      </c>
      <c r="C3728">
        <v>5010486</v>
      </c>
      <c r="E3728" t="s">
        <v>2100</v>
      </c>
      <c r="F3728" t="s">
        <v>3738</v>
      </c>
      <c r="G3728">
        <v>1</v>
      </c>
    </row>
    <row r="3729" spans="1:7" x14ac:dyDescent="0.25">
      <c r="A3729">
        <v>19</v>
      </c>
      <c r="B3729" t="s">
        <v>3698</v>
      </c>
      <c r="C3729">
        <v>5020033</v>
      </c>
      <c r="E3729" t="s">
        <v>2100</v>
      </c>
      <c r="F3729" t="s">
        <v>3739</v>
      </c>
      <c r="G3729">
        <v>1</v>
      </c>
    </row>
    <row r="3730" spans="1:7" x14ac:dyDescent="0.25">
      <c r="A3730">
        <v>19</v>
      </c>
      <c r="B3730" t="s">
        <v>3698</v>
      </c>
      <c r="C3730">
        <v>8782620</v>
      </c>
      <c r="E3730" t="s">
        <v>2100</v>
      </c>
      <c r="F3730" t="s">
        <v>3740</v>
      </c>
      <c r="G3730">
        <v>1</v>
      </c>
    </row>
    <row r="3731" spans="1:7" x14ac:dyDescent="0.25">
      <c r="A3731">
        <v>19</v>
      </c>
      <c r="B3731" t="s">
        <v>3698</v>
      </c>
      <c r="C3731">
        <v>27106</v>
      </c>
      <c r="D3731" t="str">
        <f>"1754-8853"</f>
        <v>1754-8853</v>
      </c>
      <c r="E3731" t="s">
        <v>8</v>
      </c>
      <c r="F3731" t="s">
        <v>3741</v>
      </c>
      <c r="G3731">
        <v>1</v>
      </c>
    </row>
    <row r="3732" spans="1:7" x14ac:dyDescent="0.25">
      <c r="A3732">
        <v>19</v>
      </c>
      <c r="B3732" t="s">
        <v>3698</v>
      </c>
      <c r="C3732">
        <v>6157543</v>
      </c>
      <c r="D3732" t="str">
        <f>"1947-3494"</f>
        <v>1947-3494</v>
      </c>
      <c r="E3732" t="s">
        <v>8</v>
      </c>
      <c r="F3732" t="s">
        <v>3742</v>
      </c>
      <c r="G3732">
        <v>1</v>
      </c>
    </row>
    <row r="3733" spans="1:7" x14ac:dyDescent="0.25">
      <c r="A3733">
        <v>19</v>
      </c>
      <c r="B3733" t="s">
        <v>3698</v>
      </c>
      <c r="C3733">
        <v>2515</v>
      </c>
      <c r="E3733" t="s">
        <v>8</v>
      </c>
      <c r="F3733" t="s">
        <v>3743</v>
      </c>
      <c r="G3733">
        <v>1</v>
      </c>
    </row>
    <row r="3734" spans="1:7" x14ac:dyDescent="0.25">
      <c r="A3734">
        <v>19</v>
      </c>
      <c r="B3734" t="s">
        <v>3698</v>
      </c>
      <c r="C3734">
        <v>7696021</v>
      </c>
      <c r="D3734" t="str">
        <f>"2155-6849"</f>
        <v>2155-6849</v>
      </c>
      <c r="E3734" t="s">
        <v>8</v>
      </c>
      <c r="F3734" t="s">
        <v>3744</v>
      </c>
      <c r="G3734">
        <v>1</v>
      </c>
    </row>
    <row r="3735" spans="1:7" x14ac:dyDescent="0.25">
      <c r="A3735">
        <v>19</v>
      </c>
      <c r="B3735" t="s">
        <v>3698</v>
      </c>
      <c r="C3735">
        <v>6157774</v>
      </c>
      <c r="D3735" t="str">
        <f>"1942-3888"</f>
        <v>1942-3888</v>
      </c>
      <c r="E3735" t="s">
        <v>8</v>
      </c>
      <c r="F3735" t="s">
        <v>3745</v>
      </c>
      <c r="G3735">
        <v>1</v>
      </c>
    </row>
    <row r="3736" spans="1:7" x14ac:dyDescent="0.25">
      <c r="A3736">
        <v>19</v>
      </c>
      <c r="B3736" t="s">
        <v>3698</v>
      </c>
      <c r="C3736">
        <v>22897</v>
      </c>
      <c r="D3736" t="str">
        <f>"1753-8548"</f>
        <v>1753-8548</v>
      </c>
      <c r="E3736" t="s">
        <v>8</v>
      </c>
      <c r="F3736" t="s">
        <v>3746</v>
      </c>
      <c r="G3736">
        <v>1</v>
      </c>
    </row>
    <row r="3737" spans="1:7" x14ac:dyDescent="0.25">
      <c r="A3737">
        <v>19</v>
      </c>
      <c r="B3737" t="s">
        <v>3698</v>
      </c>
      <c r="C3737">
        <v>27741</v>
      </c>
      <c r="D3737" t="str">
        <f>"1550-6908"</f>
        <v>1550-6908</v>
      </c>
      <c r="E3737" t="s">
        <v>8</v>
      </c>
      <c r="F3737" t="s">
        <v>3747</v>
      </c>
      <c r="G3737">
        <v>1</v>
      </c>
    </row>
    <row r="3738" spans="1:7" x14ac:dyDescent="0.25">
      <c r="A3738">
        <v>19</v>
      </c>
      <c r="B3738" t="s">
        <v>3698</v>
      </c>
      <c r="C3738">
        <v>2839</v>
      </c>
      <c r="D3738" t="str">
        <f>"1477-8386"</f>
        <v>1477-8386</v>
      </c>
      <c r="E3738" t="s">
        <v>8</v>
      </c>
      <c r="F3738" t="s">
        <v>3748</v>
      </c>
      <c r="G3738">
        <v>1</v>
      </c>
    </row>
    <row r="3739" spans="1:7" x14ac:dyDescent="0.25">
      <c r="A3739">
        <v>19</v>
      </c>
      <c r="B3739" t="s">
        <v>3698</v>
      </c>
      <c r="C3739">
        <v>149179</v>
      </c>
      <c r="D3739" t="str">
        <f>"1653-4360"</f>
        <v>1653-4360</v>
      </c>
      <c r="E3739" t="s">
        <v>8</v>
      </c>
      <c r="F3739" t="s">
        <v>3749</v>
      </c>
      <c r="G3739">
        <v>1</v>
      </c>
    </row>
    <row r="3740" spans="1:7" x14ac:dyDescent="0.25">
      <c r="A3740">
        <v>19</v>
      </c>
      <c r="B3740" t="s">
        <v>3698</v>
      </c>
      <c r="C3740">
        <v>6158797</v>
      </c>
      <c r="D3740" t="str">
        <f>"1947-8518"</f>
        <v>1947-8518</v>
      </c>
      <c r="E3740" t="s">
        <v>8</v>
      </c>
      <c r="F3740" t="s">
        <v>3750</v>
      </c>
      <c r="G3740">
        <v>1</v>
      </c>
    </row>
    <row r="3741" spans="1:7" x14ac:dyDescent="0.25">
      <c r="A3741">
        <v>19</v>
      </c>
      <c r="B3741" t="s">
        <v>3698</v>
      </c>
      <c r="C3741">
        <v>23086</v>
      </c>
      <c r="D3741" t="str">
        <f>"2191-1231"</f>
        <v>2191-1231</v>
      </c>
      <c r="E3741" t="s">
        <v>8</v>
      </c>
      <c r="F3741" t="s">
        <v>3751</v>
      </c>
      <c r="G3741">
        <v>1</v>
      </c>
    </row>
    <row r="3742" spans="1:7" x14ac:dyDescent="0.25">
      <c r="A3742">
        <v>19</v>
      </c>
      <c r="B3742" t="s">
        <v>3698</v>
      </c>
      <c r="C3742">
        <v>15505</v>
      </c>
      <c r="D3742" t="str">
        <f>"1537-2456"</f>
        <v>1537-2456</v>
      </c>
      <c r="E3742" t="s">
        <v>8</v>
      </c>
      <c r="F3742" t="s">
        <v>3752</v>
      </c>
      <c r="G3742">
        <v>1</v>
      </c>
    </row>
    <row r="3743" spans="1:7" x14ac:dyDescent="0.25">
      <c r="A3743">
        <v>19</v>
      </c>
      <c r="B3743" t="s">
        <v>3698</v>
      </c>
      <c r="C3743">
        <v>839</v>
      </c>
      <c r="E3743" t="s">
        <v>8</v>
      </c>
      <c r="F3743" t="s">
        <v>3090</v>
      </c>
      <c r="G3743">
        <v>1</v>
      </c>
    </row>
    <row r="3744" spans="1:7" x14ac:dyDescent="0.25">
      <c r="A3744">
        <v>19</v>
      </c>
      <c r="B3744" t="s">
        <v>3698</v>
      </c>
      <c r="C3744">
        <v>8782694</v>
      </c>
      <c r="D3744" t="str">
        <f>"2532-4632"</f>
        <v>2532-4632</v>
      </c>
      <c r="E3744" t="s">
        <v>8</v>
      </c>
      <c r="F3744" t="s">
        <v>3753</v>
      </c>
      <c r="G3744">
        <v>1</v>
      </c>
    </row>
    <row r="3745" spans="1:7" x14ac:dyDescent="0.25">
      <c r="A3745">
        <v>19</v>
      </c>
      <c r="B3745" t="s">
        <v>3698</v>
      </c>
      <c r="C3745">
        <v>8782622</v>
      </c>
      <c r="D3745" t="str">
        <f>"2148-1881"</f>
        <v>2148-1881</v>
      </c>
      <c r="E3745" t="s">
        <v>8</v>
      </c>
      <c r="F3745" t="s">
        <v>3754</v>
      </c>
      <c r="G3745">
        <v>1</v>
      </c>
    </row>
    <row r="3746" spans="1:7" x14ac:dyDescent="0.25">
      <c r="A3746">
        <v>19</v>
      </c>
      <c r="B3746" t="s">
        <v>3698</v>
      </c>
      <c r="C3746">
        <v>8782624</v>
      </c>
      <c r="D3746" t="str">
        <f>"2165-7564"</f>
        <v>2165-7564</v>
      </c>
      <c r="E3746" t="s">
        <v>8</v>
      </c>
      <c r="F3746" t="s">
        <v>3755</v>
      </c>
      <c r="G3746">
        <v>1</v>
      </c>
    </row>
    <row r="3747" spans="1:7" x14ac:dyDescent="0.25">
      <c r="A3747">
        <v>19</v>
      </c>
      <c r="B3747" t="s">
        <v>3698</v>
      </c>
      <c r="C3747">
        <v>3467</v>
      </c>
      <c r="D3747" t="str">
        <f>"1093-023X"</f>
        <v>1093-023X</v>
      </c>
      <c r="E3747" t="s">
        <v>8</v>
      </c>
      <c r="F3747" t="s">
        <v>3756</v>
      </c>
      <c r="G3747">
        <v>1</v>
      </c>
    </row>
    <row r="3748" spans="1:7" x14ac:dyDescent="0.25">
      <c r="A3748">
        <v>19</v>
      </c>
      <c r="B3748" t="s">
        <v>3698</v>
      </c>
      <c r="C3748">
        <v>27898</v>
      </c>
      <c r="D3748" t="str">
        <f>"1539-1523"</f>
        <v>1539-1523</v>
      </c>
      <c r="E3748" t="s">
        <v>8</v>
      </c>
      <c r="F3748" t="s">
        <v>3757</v>
      </c>
      <c r="G3748">
        <v>1</v>
      </c>
    </row>
    <row r="3749" spans="1:7" x14ac:dyDescent="0.25">
      <c r="A3749">
        <v>19</v>
      </c>
      <c r="B3749" t="s">
        <v>3698</v>
      </c>
      <c r="C3749">
        <v>7723126</v>
      </c>
      <c r="E3749" t="s">
        <v>8</v>
      </c>
      <c r="F3749" t="s">
        <v>3758</v>
      </c>
      <c r="G3749">
        <v>1</v>
      </c>
    </row>
    <row r="3750" spans="1:7" x14ac:dyDescent="0.25">
      <c r="A3750">
        <v>19</v>
      </c>
      <c r="B3750" t="s">
        <v>3698</v>
      </c>
      <c r="C3750">
        <v>13519</v>
      </c>
      <c r="D3750" t="str">
        <f>"1059-7069"</f>
        <v>1059-7069</v>
      </c>
      <c r="E3750" t="s">
        <v>8</v>
      </c>
      <c r="F3750" t="s">
        <v>3759</v>
      </c>
      <c r="G3750">
        <v>1</v>
      </c>
    </row>
    <row r="3751" spans="1:7" x14ac:dyDescent="0.25">
      <c r="A3751">
        <v>19</v>
      </c>
      <c r="B3751" t="s">
        <v>3698</v>
      </c>
      <c r="C3751">
        <v>16698</v>
      </c>
      <c r="D3751" t="str">
        <f>"1522-8835"</f>
        <v>1522-8835</v>
      </c>
      <c r="E3751" t="s">
        <v>8</v>
      </c>
      <c r="F3751" t="s">
        <v>3760</v>
      </c>
      <c r="G3751">
        <v>1</v>
      </c>
    </row>
    <row r="3752" spans="1:7" x14ac:dyDescent="0.25">
      <c r="A3752">
        <v>19</v>
      </c>
      <c r="B3752" t="s">
        <v>3698</v>
      </c>
      <c r="C3752">
        <v>24722</v>
      </c>
      <c r="D3752" t="str">
        <f>"1783-7677"</f>
        <v>1783-7677</v>
      </c>
      <c r="E3752" t="s">
        <v>8</v>
      </c>
      <c r="F3752" t="s">
        <v>3761</v>
      </c>
      <c r="G3752">
        <v>1</v>
      </c>
    </row>
    <row r="3753" spans="1:7" x14ac:dyDescent="0.25">
      <c r="A3753">
        <v>19</v>
      </c>
      <c r="B3753" t="s">
        <v>3698</v>
      </c>
      <c r="C3753">
        <v>4033</v>
      </c>
      <c r="E3753" t="s">
        <v>8</v>
      </c>
      <c r="F3753" t="s">
        <v>3762</v>
      </c>
      <c r="G3753">
        <v>1</v>
      </c>
    </row>
    <row r="3754" spans="1:7" x14ac:dyDescent="0.25">
      <c r="A3754">
        <v>19</v>
      </c>
      <c r="B3754" t="s">
        <v>3698</v>
      </c>
      <c r="C3754">
        <v>8758273</v>
      </c>
      <c r="D3754" t="str">
        <f>"2445-6810"</f>
        <v>2445-6810</v>
      </c>
      <c r="E3754" t="s">
        <v>8</v>
      </c>
      <c r="F3754" t="s">
        <v>3763</v>
      </c>
      <c r="G3754">
        <v>1</v>
      </c>
    </row>
    <row r="3755" spans="1:7" x14ac:dyDescent="0.25">
      <c r="A3755">
        <v>19</v>
      </c>
      <c r="B3755" t="s">
        <v>3698</v>
      </c>
      <c r="C3755">
        <v>1314</v>
      </c>
      <c r="D3755" t="str">
        <f>"1743-9884"</f>
        <v>1743-9884</v>
      </c>
      <c r="E3755" t="s">
        <v>8</v>
      </c>
      <c r="F3755" t="s">
        <v>3764</v>
      </c>
      <c r="G3755">
        <v>1</v>
      </c>
    </row>
    <row r="3756" spans="1:7" x14ac:dyDescent="0.25">
      <c r="A3756">
        <v>19</v>
      </c>
      <c r="B3756" t="s">
        <v>3698</v>
      </c>
      <c r="C3756">
        <v>8783076</v>
      </c>
      <c r="D3756" t="str">
        <f>"2190-5428"</f>
        <v>2190-5428</v>
      </c>
      <c r="E3756" t="s">
        <v>15</v>
      </c>
      <c r="F3756" t="s">
        <v>3765</v>
      </c>
      <c r="G3756">
        <v>1</v>
      </c>
    </row>
    <row r="3757" spans="1:7" x14ac:dyDescent="0.25">
      <c r="A3757">
        <v>19</v>
      </c>
      <c r="B3757" t="s">
        <v>3698</v>
      </c>
      <c r="C3757">
        <v>1062</v>
      </c>
      <c r="D3757" t="str">
        <f>"0924-6495"</f>
        <v>0924-6495</v>
      </c>
      <c r="E3757" t="s">
        <v>8</v>
      </c>
      <c r="F3757" t="s">
        <v>3766</v>
      </c>
      <c r="G3757">
        <v>1</v>
      </c>
    </row>
    <row r="3758" spans="1:7" x14ac:dyDescent="0.25">
      <c r="A3758">
        <v>19</v>
      </c>
      <c r="B3758" t="s">
        <v>3698</v>
      </c>
      <c r="C3758">
        <v>5010019</v>
      </c>
      <c r="E3758" t="s">
        <v>2100</v>
      </c>
      <c r="F3758" t="s">
        <v>3767</v>
      </c>
      <c r="G3758">
        <v>1</v>
      </c>
    </row>
    <row r="3759" spans="1:7" x14ac:dyDescent="0.25">
      <c r="A3759">
        <v>19</v>
      </c>
      <c r="B3759" t="s">
        <v>3698</v>
      </c>
      <c r="C3759">
        <v>8783074</v>
      </c>
      <c r="D3759" t="str">
        <f>"2524-485X"</f>
        <v>2524-485X</v>
      </c>
      <c r="E3759" t="s">
        <v>8</v>
      </c>
      <c r="F3759" t="s">
        <v>3768</v>
      </c>
      <c r="G3759">
        <v>1</v>
      </c>
    </row>
    <row r="3760" spans="1:7" x14ac:dyDescent="0.25">
      <c r="A3760">
        <v>19</v>
      </c>
      <c r="B3760" t="s">
        <v>3698</v>
      </c>
      <c r="C3760">
        <v>21277</v>
      </c>
      <c r="D3760" t="str">
        <f>"2195-2957"</f>
        <v>2195-2957</v>
      </c>
      <c r="E3760" t="s">
        <v>8</v>
      </c>
      <c r="F3760" t="s">
        <v>3769</v>
      </c>
      <c r="G3760">
        <v>1</v>
      </c>
    </row>
    <row r="3761" spans="1:7" x14ac:dyDescent="0.25">
      <c r="A3761">
        <v>19</v>
      </c>
      <c r="B3761" t="s">
        <v>3698</v>
      </c>
      <c r="C3761">
        <v>16550</v>
      </c>
      <c r="D3761" t="str">
        <f>"1093-0175"</f>
        <v>1093-0175</v>
      </c>
      <c r="E3761" t="s">
        <v>8</v>
      </c>
      <c r="F3761" t="s">
        <v>3770</v>
      </c>
      <c r="G3761">
        <v>1</v>
      </c>
    </row>
    <row r="3762" spans="1:7" x14ac:dyDescent="0.25">
      <c r="A3762">
        <v>19</v>
      </c>
      <c r="B3762" t="s">
        <v>3698</v>
      </c>
      <c r="C3762">
        <v>8783075</v>
      </c>
      <c r="E3762" t="s">
        <v>8</v>
      </c>
      <c r="F3762" t="s">
        <v>3771</v>
      </c>
      <c r="G3762">
        <v>1</v>
      </c>
    </row>
    <row r="3763" spans="1:7" x14ac:dyDescent="0.25">
      <c r="A3763">
        <v>19</v>
      </c>
      <c r="B3763" t="s">
        <v>3698</v>
      </c>
      <c r="C3763">
        <v>8782623</v>
      </c>
      <c r="D3763" t="str">
        <f>"1814-9316"</f>
        <v>1814-9316</v>
      </c>
      <c r="E3763" t="s">
        <v>8</v>
      </c>
      <c r="F3763" t="s">
        <v>3772</v>
      </c>
      <c r="G3763">
        <v>1</v>
      </c>
    </row>
    <row r="3764" spans="1:7" x14ac:dyDescent="0.25">
      <c r="A3764">
        <v>19</v>
      </c>
      <c r="B3764" t="s">
        <v>3698</v>
      </c>
      <c r="C3764">
        <v>8782621</v>
      </c>
      <c r="D3764" t="str">
        <f>"2240-2950"</f>
        <v>2240-2950</v>
      </c>
      <c r="E3764" t="s">
        <v>8</v>
      </c>
      <c r="F3764" t="s">
        <v>3773</v>
      </c>
      <c r="G3764">
        <v>1</v>
      </c>
    </row>
    <row r="3765" spans="1:7" x14ac:dyDescent="0.25">
      <c r="A3765">
        <v>19</v>
      </c>
      <c r="B3765" t="s">
        <v>3698</v>
      </c>
      <c r="C3765">
        <v>27300</v>
      </c>
      <c r="D3765" t="str">
        <f>"1696-4713"</f>
        <v>1696-4713</v>
      </c>
      <c r="E3765" t="s">
        <v>8</v>
      </c>
      <c r="F3765" t="s">
        <v>3774</v>
      </c>
      <c r="G3765">
        <v>1</v>
      </c>
    </row>
    <row r="3766" spans="1:7" x14ac:dyDescent="0.25">
      <c r="A3766">
        <v>19</v>
      </c>
      <c r="B3766" t="s">
        <v>3698</v>
      </c>
      <c r="C3766">
        <v>8638</v>
      </c>
      <c r="D3766" t="str">
        <f>"1793-2068"</f>
        <v>1793-2068</v>
      </c>
      <c r="E3766" t="s">
        <v>8</v>
      </c>
      <c r="F3766" t="s">
        <v>3286</v>
      </c>
      <c r="G3766">
        <v>1</v>
      </c>
    </row>
    <row r="3767" spans="1:7" x14ac:dyDescent="0.25">
      <c r="A3767">
        <v>19</v>
      </c>
      <c r="B3767" t="s">
        <v>3698</v>
      </c>
      <c r="C3767">
        <v>8085</v>
      </c>
      <c r="D3767" t="str">
        <f>"2156-7069"</f>
        <v>2156-7069</v>
      </c>
      <c r="E3767" t="s">
        <v>8</v>
      </c>
      <c r="F3767" t="s">
        <v>3775</v>
      </c>
      <c r="G3767">
        <v>1</v>
      </c>
    </row>
    <row r="3768" spans="1:7" x14ac:dyDescent="0.25">
      <c r="A3768">
        <v>19</v>
      </c>
      <c r="B3768" t="s">
        <v>3698</v>
      </c>
      <c r="C3768">
        <v>180043</v>
      </c>
      <c r="E3768" t="s">
        <v>15</v>
      </c>
      <c r="F3768" t="s">
        <v>3776</v>
      </c>
      <c r="G3768">
        <v>1</v>
      </c>
    </row>
    <row r="3769" spans="1:7" x14ac:dyDescent="0.25">
      <c r="A3769">
        <v>19</v>
      </c>
      <c r="B3769" t="s">
        <v>3698</v>
      </c>
      <c r="C3769">
        <v>8783757</v>
      </c>
      <c r="E3769" t="s">
        <v>15</v>
      </c>
      <c r="F3769" t="s">
        <v>3777</v>
      </c>
      <c r="G3769">
        <v>1</v>
      </c>
    </row>
    <row r="3770" spans="1:7" x14ac:dyDescent="0.25">
      <c r="A3770">
        <v>19</v>
      </c>
      <c r="B3770" t="s">
        <v>3698</v>
      </c>
      <c r="C3770">
        <v>5010020</v>
      </c>
      <c r="E3770" t="s">
        <v>2100</v>
      </c>
      <c r="F3770" t="s">
        <v>3778</v>
      </c>
      <c r="G3770">
        <v>1</v>
      </c>
    </row>
    <row r="3771" spans="1:7" x14ac:dyDescent="0.25">
      <c r="A3771">
        <v>19</v>
      </c>
      <c r="B3771" t="s">
        <v>3698</v>
      </c>
      <c r="C3771">
        <v>3617</v>
      </c>
      <c r="D3771" t="str">
        <f>"0971-7218"</f>
        <v>0971-7218</v>
      </c>
      <c r="E3771" t="s">
        <v>8</v>
      </c>
      <c r="F3771" t="s">
        <v>3779</v>
      </c>
      <c r="G3771">
        <v>1</v>
      </c>
    </row>
    <row r="3772" spans="1:7" x14ac:dyDescent="0.25">
      <c r="A3772">
        <v>19</v>
      </c>
      <c r="B3772" t="s">
        <v>3698</v>
      </c>
      <c r="C3772">
        <v>15784</v>
      </c>
      <c r="D3772" t="str">
        <f>"1046-8781"</f>
        <v>1046-8781</v>
      </c>
      <c r="E3772" t="s">
        <v>8</v>
      </c>
      <c r="F3772" t="s">
        <v>3780</v>
      </c>
      <c r="G3772">
        <v>1</v>
      </c>
    </row>
    <row r="3773" spans="1:7" x14ac:dyDescent="0.25">
      <c r="A3773">
        <v>19</v>
      </c>
      <c r="B3773" t="s">
        <v>3698</v>
      </c>
      <c r="C3773">
        <v>170097</v>
      </c>
      <c r="E3773" t="s">
        <v>15</v>
      </c>
      <c r="F3773" t="s">
        <v>3781</v>
      </c>
      <c r="G3773">
        <v>1</v>
      </c>
    </row>
    <row r="3774" spans="1:7" x14ac:dyDescent="0.25">
      <c r="A3774">
        <v>19</v>
      </c>
      <c r="B3774" t="s">
        <v>3698</v>
      </c>
      <c r="C3774">
        <v>16534</v>
      </c>
      <c r="D3774" t="str">
        <f>"0160-791X"</f>
        <v>0160-791X</v>
      </c>
      <c r="E3774" t="s">
        <v>8</v>
      </c>
      <c r="F3774" t="s">
        <v>3782</v>
      </c>
      <c r="G3774">
        <v>1</v>
      </c>
    </row>
    <row r="3775" spans="1:7" x14ac:dyDescent="0.25">
      <c r="A3775">
        <v>19</v>
      </c>
      <c r="B3775" t="s">
        <v>3698</v>
      </c>
      <c r="C3775">
        <v>23287</v>
      </c>
      <c r="D3775" t="str">
        <f>"8756-3894"</f>
        <v>8756-3894</v>
      </c>
      <c r="E3775" t="s">
        <v>8</v>
      </c>
      <c r="F3775" t="s">
        <v>3783</v>
      </c>
      <c r="G3775">
        <v>1</v>
      </c>
    </row>
    <row r="3776" spans="1:7" x14ac:dyDescent="0.25">
      <c r="A3776">
        <v>19</v>
      </c>
      <c r="B3776" t="s">
        <v>3698</v>
      </c>
      <c r="C3776">
        <v>7728898</v>
      </c>
      <c r="D3776" t="str">
        <f>"2038-3460"</f>
        <v>2038-3460</v>
      </c>
      <c r="E3776" t="s">
        <v>8</v>
      </c>
      <c r="F3776" t="s">
        <v>3784</v>
      </c>
      <c r="G3776">
        <v>1</v>
      </c>
    </row>
    <row r="3777" spans="1:7" x14ac:dyDescent="0.25">
      <c r="A3777">
        <v>19</v>
      </c>
      <c r="B3777" t="s">
        <v>3698</v>
      </c>
      <c r="C3777">
        <v>8766496</v>
      </c>
      <c r="E3777" t="s">
        <v>8</v>
      </c>
      <c r="F3777" t="s">
        <v>3785</v>
      </c>
      <c r="G3777">
        <v>1</v>
      </c>
    </row>
    <row r="3778" spans="1:7" x14ac:dyDescent="0.25">
      <c r="A3778">
        <v>19</v>
      </c>
      <c r="B3778" t="s">
        <v>3698</v>
      </c>
      <c r="C3778">
        <v>5020073</v>
      </c>
      <c r="E3778" t="s">
        <v>2100</v>
      </c>
      <c r="F3778" t="s">
        <v>3786</v>
      </c>
      <c r="G3778">
        <v>1</v>
      </c>
    </row>
    <row r="3779" spans="1:7" x14ac:dyDescent="0.25">
      <c r="A3779">
        <v>19</v>
      </c>
      <c r="B3779" t="s">
        <v>3698</v>
      </c>
      <c r="C3779">
        <v>5020074</v>
      </c>
      <c r="E3779" t="s">
        <v>2100</v>
      </c>
      <c r="F3779" t="s">
        <v>3787</v>
      </c>
      <c r="G3779">
        <v>1</v>
      </c>
    </row>
    <row r="3780" spans="1:7" x14ac:dyDescent="0.25">
      <c r="A3780">
        <v>2</v>
      </c>
      <c r="B3780" t="s">
        <v>3788</v>
      </c>
      <c r="C3780">
        <v>16756</v>
      </c>
      <c r="D3780" t="str">
        <f>"0001-9720"</f>
        <v>0001-9720</v>
      </c>
      <c r="E3780" t="s">
        <v>8</v>
      </c>
      <c r="F3780" t="s">
        <v>3789</v>
      </c>
      <c r="G3780">
        <v>2</v>
      </c>
    </row>
    <row r="3781" spans="1:7" x14ac:dyDescent="0.25">
      <c r="A3781">
        <v>2</v>
      </c>
      <c r="B3781" t="s">
        <v>3788</v>
      </c>
      <c r="C3781">
        <v>4877</v>
      </c>
      <c r="D3781" t="str">
        <f>"0002-0206"</f>
        <v>0002-0206</v>
      </c>
      <c r="E3781" t="s">
        <v>8</v>
      </c>
      <c r="F3781" t="s">
        <v>3790</v>
      </c>
      <c r="G3781">
        <v>2</v>
      </c>
    </row>
    <row r="3782" spans="1:7" x14ac:dyDescent="0.25">
      <c r="A3782">
        <v>2</v>
      </c>
      <c r="B3782" t="s">
        <v>3788</v>
      </c>
      <c r="C3782">
        <v>170021</v>
      </c>
      <c r="E3782" t="s">
        <v>15</v>
      </c>
      <c r="F3782" t="s">
        <v>3791</v>
      </c>
      <c r="G3782">
        <v>2</v>
      </c>
    </row>
    <row r="3783" spans="1:7" x14ac:dyDescent="0.25">
      <c r="A3783">
        <v>2</v>
      </c>
      <c r="B3783" t="s">
        <v>3788</v>
      </c>
      <c r="C3783">
        <v>13260</v>
      </c>
      <c r="D3783" t="str">
        <f>"0570-5398"</f>
        <v>0570-5398</v>
      </c>
      <c r="E3783" t="s">
        <v>8</v>
      </c>
      <c r="F3783" t="s">
        <v>3792</v>
      </c>
      <c r="G3783">
        <v>2</v>
      </c>
    </row>
    <row r="3784" spans="1:7" x14ac:dyDescent="0.25">
      <c r="A3784">
        <v>2</v>
      </c>
      <c r="B3784" t="s">
        <v>3788</v>
      </c>
      <c r="C3784">
        <v>9221</v>
      </c>
      <c r="D3784" t="str">
        <f>"0004-0843"</f>
        <v>0004-0843</v>
      </c>
      <c r="E3784" t="s">
        <v>8</v>
      </c>
      <c r="F3784" t="s">
        <v>3793</v>
      </c>
      <c r="G3784">
        <v>2</v>
      </c>
    </row>
    <row r="3785" spans="1:7" x14ac:dyDescent="0.25">
      <c r="A3785">
        <v>2</v>
      </c>
      <c r="B3785" t="s">
        <v>3788</v>
      </c>
      <c r="C3785">
        <v>12865</v>
      </c>
      <c r="D3785" t="str">
        <f>"1343-9006"</f>
        <v>1343-9006</v>
      </c>
      <c r="E3785" t="s">
        <v>8</v>
      </c>
      <c r="F3785" t="s">
        <v>3794</v>
      </c>
      <c r="G3785">
        <v>2</v>
      </c>
    </row>
    <row r="3786" spans="1:7" x14ac:dyDescent="0.25">
      <c r="A3786">
        <v>2</v>
      </c>
      <c r="B3786" t="s">
        <v>3788</v>
      </c>
      <c r="C3786">
        <v>7762</v>
      </c>
      <c r="D3786" t="str">
        <f>"1568-4849"</f>
        <v>1568-4849</v>
      </c>
      <c r="E3786" t="s">
        <v>8</v>
      </c>
      <c r="F3786" t="s">
        <v>3795</v>
      </c>
      <c r="G3786">
        <v>2</v>
      </c>
    </row>
    <row r="3787" spans="1:7" x14ac:dyDescent="0.25">
      <c r="A3787">
        <v>2</v>
      </c>
      <c r="B3787" t="s">
        <v>3788</v>
      </c>
      <c r="C3787">
        <v>14818</v>
      </c>
      <c r="D3787" t="str">
        <f>"0004-4687"</f>
        <v>0004-4687</v>
      </c>
      <c r="E3787" t="s">
        <v>8</v>
      </c>
      <c r="F3787" t="s">
        <v>3796</v>
      </c>
      <c r="G3787">
        <v>2</v>
      </c>
    </row>
    <row r="3788" spans="1:7" x14ac:dyDescent="0.25">
      <c r="A3788">
        <v>2</v>
      </c>
      <c r="B3788" t="s">
        <v>3788</v>
      </c>
      <c r="C3788">
        <v>5693</v>
      </c>
      <c r="D3788" t="str">
        <f>"1353-0194"</f>
        <v>1353-0194</v>
      </c>
      <c r="E3788" t="s">
        <v>8</v>
      </c>
      <c r="F3788" t="s">
        <v>3797</v>
      </c>
      <c r="G3788">
        <v>2</v>
      </c>
    </row>
    <row r="3789" spans="1:7" x14ac:dyDescent="0.25">
      <c r="A3789">
        <v>2</v>
      </c>
      <c r="B3789" t="s">
        <v>3788</v>
      </c>
      <c r="C3789">
        <v>6343</v>
      </c>
      <c r="D3789" t="str">
        <f>"0008-3968"</f>
        <v>0008-3968</v>
      </c>
      <c r="E3789" t="s">
        <v>8</v>
      </c>
      <c r="F3789" t="s">
        <v>3798</v>
      </c>
      <c r="G3789">
        <v>2</v>
      </c>
    </row>
    <row r="3790" spans="1:7" x14ac:dyDescent="0.25">
      <c r="A3790">
        <v>2</v>
      </c>
      <c r="B3790" t="s">
        <v>3788</v>
      </c>
      <c r="C3790">
        <v>8732</v>
      </c>
      <c r="D3790" t="str">
        <f>"0305-7410"</f>
        <v>0305-7410</v>
      </c>
      <c r="E3790" t="s">
        <v>8</v>
      </c>
      <c r="F3790" t="s">
        <v>3799</v>
      </c>
      <c r="G3790">
        <v>2</v>
      </c>
    </row>
    <row r="3791" spans="1:7" x14ac:dyDescent="0.25">
      <c r="A3791">
        <v>2</v>
      </c>
      <c r="B3791" t="s">
        <v>3788</v>
      </c>
      <c r="C3791">
        <v>23633</v>
      </c>
      <c r="D3791" t="str">
        <f>"0219-7472"</f>
        <v>0219-7472</v>
      </c>
      <c r="E3791" t="s">
        <v>8</v>
      </c>
      <c r="F3791" t="s">
        <v>3800</v>
      </c>
      <c r="G3791">
        <v>2</v>
      </c>
    </row>
    <row r="3792" spans="1:7" x14ac:dyDescent="0.25">
      <c r="A3792">
        <v>2</v>
      </c>
      <c r="B3792" t="s">
        <v>3788</v>
      </c>
      <c r="C3792">
        <v>17927</v>
      </c>
      <c r="D3792" t="str">
        <f>"0887-8099"</f>
        <v>0887-8099</v>
      </c>
      <c r="E3792" t="s">
        <v>8</v>
      </c>
      <c r="F3792" t="s">
        <v>3801</v>
      </c>
      <c r="G3792">
        <v>2</v>
      </c>
    </row>
    <row r="3793" spans="1:7" x14ac:dyDescent="0.25">
      <c r="A3793">
        <v>2</v>
      </c>
      <c r="B3793" t="s">
        <v>3788</v>
      </c>
      <c r="C3793">
        <v>12932</v>
      </c>
      <c r="D3793" t="str">
        <f>"0958-4935"</f>
        <v>0958-4935</v>
      </c>
      <c r="E3793" t="s">
        <v>8</v>
      </c>
      <c r="F3793" t="s">
        <v>3802</v>
      </c>
      <c r="G3793">
        <v>2</v>
      </c>
    </row>
    <row r="3794" spans="1:7" x14ac:dyDescent="0.25">
      <c r="A3794">
        <v>2</v>
      </c>
      <c r="B3794" t="s">
        <v>3788</v>
      </c>
      <c r="C3794">
        <v>15633</v>
      </c>
      <c r="D3794" t="str">
        <f>"0129-797X"</f>
        <v>0129-797X</v>
      </c>
      <c r="E3794" t="s">
        <v>8</v>
      </c>
      <c r="F3794" t="s">
        <v>3803</v>
      </c>
      <c r="G3794">
        <v>2</v>
      </c>
    </row>
    <row r="3795" spans="1:7" x14ac:dyDescent="0.25">
      <c r="A3795">
        <v>2</v>
      </c>
      <c r="B3795" t="s">
        <v>3788</v>
      </c>
      <c r="C3795">
        <v>12145</v>
      </c>
      <c r="D3795" t="str">
        <f>"0069-9667"</f>
        <v>0069-9667</v>
      </c>
      <c r="E3795" t="s">
        <v>8</v>
      </c>
      <c r="F3795" t="s">
        <v>3804</v>
      </c>
      <c r="G3795">
        <v>2</v>
      </c>
    </row>
    <row r="3796" spans="1:7" x14ac:dyDescent="0.25">
      <c r="A3796">
        <v>2</v>
      </c>
      <c r="B3796" t="s">
        <v>3788</v>
      </c>
      <c r="C3796">
        <v>4664</v>
      </c>
      <c r="D3796" t="str">
        <f>"1467-2715"</f>
        <v>1467-2715</v>
      </c>
      <c r="E3796" t="s">
        <v>8</v>
      </c>
      <c r="F3796" t="s">
        <v>3805</v>
      </c>
      <c r="G3796">
        <v>2</v>
      </c>
    </row>
    <row r="3797" spans="1:7" x14ac:dyDescent="0.25">
      <c r="A3797">
        <v>2</v>
      </c>
      <c r="B3797" t="s">
        <v>3788</v>
      </c>
      <c r="C3797">
        <v>9413</v>
      </c>
      <c r="D3797" t="str">
        <f>"1363-9811"</f>
        <v>1363-9811</v>
      </c>
      <c r="E3797" t="s">
        <v>8</v>
      </c>
      <c r="F3797" t="s">
        <v>3806</v>
      </c>
      <c r="G3797">
        <v>2</v>
      </c>
    </row>
    <row r="3798" spans="1:7" x14ac:dyDescent="0.25">
      <c r="A3798">
        <v>2</v>
      </c>
      <c r="B3798" t="s">
        <v>3788</v>
      </c>
      <c r="C3798">
        <v>2342</v>
      </c>
      <c r="D3798" t="str">
        <f>"0020-7438"</f>
        <v>0020-7438</v>
      </c>
      <c r="E3798" t="s">
        <v>8</v>
      </c>
      <c r="F3798" t="s">
        <v>3807</v>
      </c>
      <c r="G3798">
        <v>2</v>
      </c>
    </row>
    <row r="3799" spans="1:7" x14ac:dyDescent="0.25">
      <c r="A3799">
        <v>2</v>
      </c>
      <c r="B3799" t="s">
        <v>3788</v>
      </c>
      <c r="C3799">
        <v>8206</v>
      </c>
      <c r="D3799" t="str">
        <f>"0955-5803"</f>
        <v>0955-5803</v>
      </c>
      <c r="E3799" t="s">
        <v>8</v>
      </c>
      <c r="F3799" t="s">
        <v>3808</v>
      </c>
      <c r="G3799">
        <v>2</v>
      </c>
    </row>
    <row r="3800" spans="1:7" x14ac:dyDescent="0.25">
      <c r="A3800">
        <v>2</v>
      </c>
      <c r="B3800" t="s">
        <v>3788</v>
      </c>
      <c r="C3800">
        <v>13861</v>
      </c>
      <c r="D3800" t="str">
        <f>"0085-2376"</f>
        <v>0085-2376</v>
      </c>
      <c r="E3800" t="s">
        <v>8</v>
      </c>
      <c r="F3800" t="s">
        <v>3809</v>
      </c>
      <c r="G3800">
        <v>2</v>
      </c>
    </row>
    <row r="3801" spans="1:7" x14ac:dyDescent="0.25">
      <c r="A3801">
        <v>2</v>
      </c>
      <c r="B3801" t="s">
        <v>3788</v>
      </c>
      <c r="C3801">
        <v>13213</v>
      </c>
      <c r="D3801" t="str">
        <f>"0021-9118"</f>
        <v>0021-9118</v>
      </c>
      <c r="E3801" t="s">
        <v>8</v>
      </c>
      <c r="F3801" t="s">
        <v>3810</v>
      </c>
      <c r="G3801">
        <v>2</v>
      </c>
    </row>
    <row r="3802" spans="1:7" x14ac:dyDescent="0.25">
      <c r="A3802">
        <v>2</v>
      </c>
      <c r="B3802" t="s">
        <v>3788</v>
      </c>
      <c r="C3802">
        <v>11489</v>
      </c>
      <c r="D3802" t="str">
        <f>"0047-2336"</f>
        <v>0047-2336</v>
      </c>
      <c r="E3802" t="s">
        <v>8</v>
      </c>
      <c r="F3802" t="s">
        <v>3811</v>
      </c>
      <c r="G3802">
        <v>2</v>
      </c>
    </row>
    <row r="3803" spans="1:7" x14ac:dyDescent="0.25">
      <c r="A3803">
        <v>2</v>
      </c>
      <c r="B3803" t="s">
        <v>3788</v>
      </c>
      <c r="C3803">
        <v>583</v>
      </c>
      <c r="D3803" t="str">
        <f>"1067-0564"</f>
        <v>1067-0564</v>
      </c>
      <c r="E3803" t="s">
        <v>8</v>
      </c>
      <c r="F3803" t="s">
        <v>3812</v>
      </c>
      <c r="G3803">
        <v>2</v>
      </c>
    </row>
    <row r="3804" spans="1:7" x14ac:dyDescent="0.25">
      <c r="A3804">
        <v>2</v>
      </c>
      <c r="B3804" t="s">
        <v>3788</v>
      </c>
      <c r="C3804">
        <v>20965</v>
      </c>
      <c r="D3804" t="str">
        <f>"1868-1026"</f>
        <v>1868-1026</v>
      </c>
      <c r="E3804" t="s">
        <v>8</v>
      </c>
      <c r="F3804" t="s">
        <v>3813</v>
      </c>
      <c r="G3804">
        <v>2</v>
      </c>
    </row>
    <row r="3805" spans="1:7" x14ac:dyDescent="0.25">
      <c r="A3805">
        <v>2</v>
      </c>
      <c r="B3805" t="s">
        <v>3788</v>
      </c>
      <c r="C3805">
        <v>13337</v>
      </c>
      <c r="D3805" t="str">
        <f>"1753-1055"</f>
        <v>1753-1055</v>
      </c>
      <c r="E3805" t="s">
        <v>8</v>
      </c>
      <c r="F3805" t="s">
        <v>3814</v>
      </c>
      <c r="G3805">
        <v>2</v>
      </c>
    </row>
    <row r="3806" spans="1:7" x14ac:dyDescent="0.25">
      <c r="A3806">
        <v>2</v>
      </c>
      <c r="B3806" t="s">
        <v>3788</v>
      </c>
      <c r="C3806">
        <v>4347</v>
      </c>
      <c r="D3806" t="str">
        <f>"0095-6848"</f>
        <v>0095-6848</v>
      </c>
      <c r="E3806" t="s">
        <v>8</v>
      </c>
      <c r="F3806" t="s">
        <v>3815</v>
      </c>
      <c r="G3806">
        <v>2</v>
      </c>
    </row>
    <row r="3807" spans="1:7" x14ac:dyDescent="0.25">
      <c r="A3807">
        <v>2</v>
      </c>
      <c r="B3807" t="s">
        <v>3788</v>
      </c>
      <c r="C3807">
        <v>8728</v>
      </c>
      <c r="D3807" t="str">
        <f>"0022-278X"</f>
        <v>0022-278X</v>
      </c>
      <c r="E3807" t="s">
        <v>8</v>
      </c>
      <c r="F3807" t="s">
        <v>3816</v>
      </c>
      <c r="G3807">
        <v>2</v>
      </c>
    </row>
    <row r="3808" spans="1:7" x14ac:dyDescent="0.25">
      <c r="A3808">
        <v>2</v>
      </c>
      <c r="B3808" t="s">
        <v>3788</v>
      </c>
      <c r="C3808">
        <v>7319</v>
      </c>
      <c r="D3808" t="str">
        <f>"0022-4634"</f>
        <v>0022-4634</v>
      </c>
      <c r="E3808" t="s">
        <v>8</v>
      </c>
      <c r="F3808" t="s">
        <v>3817</v>
      </c>
      <c r="G3808">
        <v>2</v>
      </c>
    </row>
    <row r="3809" spans="1:7" x14ac:dyDescent="0.25">
      <c r="A3809">
        <v>2</v>
      </c>
      <c r="B3809" t="s">
        <v>3788</v>
      </c>
      <c r="C3809">
        <v>12820</v>
      </c>
      <c r="D3809" t="str">
        <f>"0305-7070"</f>
        <v>0305-7070</v>
      </c>
      <c r="E3809" t="s">
        <v>8</v>
      </c>
      <c r="F3809" t="s">
        <v>3818</v>
      </c>
      <c r="G3809">
        <v>2</v>
      </c>
    </row>
    <row r="3810" spans="1:7" x14ac:dyDescent="0.25">
      <c r="A3810">
        <v>2</v>
      </c>
      <c r="B3810" t="s">
        <v>3788</v>
      </c>
      <c r="C3810">
        <v>15239</v>
      </c>
      <c r="D3810" t="str">
        <f>"1943-6149"</f>
        <v>1943-6149</v>
      </c>
      <c r="E3810" t="s">
        <v>8</v>
      </c>
      <c r="F3810" t="s">
        <v>3819</v>
      </c>
      <c r="G3810">
        <v>2</v>
      </c>
    </row>
    <row r="3811" spans="1:7" x14ac:dyDescent="0.25">
      <c r="A3811">
        <v>2</v>
      </c>
      <c r="B3811" t="s">
        <v>3788</v>
      </c>
      <c r="C3811">
        <v>10779</v>
      </c>
      <c r="D3811" t="str">
        <f>"0026-3141"</f>
        <v>0026-3141</v>
      </c>
      <c r="E3811" t="s">
        <v>8</v>
      </c>
      <c r="F3811" t="s">
        <v>3820</v>
      </c>
      <c r="G3811">
        <v>2</v>
      </c>
    </row>
    <row r="3812" spans="1:7" x14ac:dyDescent="0.25">
      <c r="A3812">
        <v>2</v>
      </c>
      <c r="B3812" t="s">
        <v>3788</v>
      </c>
      <c r="C3812">
        <v>1638</v>
      </c>
      <c r="D3812" t="str">
        <f>"0026-749X"</f>
        <v>0026-749X</v>
      </c>
      <c r="E3812" t="s">
        <v>8</v>
      </c>
      <c r="F3812" t="s">
        <v>3821</v>
      </c>
      <c r="G3812">
        <v>2</v>
      </c>
    </row>
    <row r="3813" spans="1:7" x14ac:dyDescent="0.25">
      <c r="A3813">
        <v>2</v>
      </c>
      <c r="B3813" t="s">
        <v>3788</v>
      </c>
      <c r="C3813">
        <v>13963</v>
      </c>
      <c r="D3813" t="str">
        <f>"0097-7004"</f>
        <v>0097-7004</v>
      </c>
      <c r="E3813" t="s">
        <v>8</v>
      </c>
      <c r="F3813" t="s">
        <v>3822</v>
      </c>
      <c r="G3813">
        <v>2</v>
      </c>
    </row>
    <row r="3814" spans="1:7" x14ac:dyDescent="0.25">
      <c r="A3814">
        <v>2</v>
      </c>
      <c r="B3814" t="s">
        <v>3788</v>
      </c>
      <c r="C3814">
        <v>139685</v>
      </c>
      <c r="D3814" t="str">
        <f>"1520-9857"</f>
        <v>1520-9857</v>
      </c>
      <c r="E3814" t="s">
        <v>8</v>
      </c>
      <c r="F3814" t="s">
        <v>3823</v>
      </c>
      <c r="G3814">
        <v>2</v>
      </c>
    </row>
    <row r="3815" spans="1:7" x14ac:dyDescent="0.25">
      <c r="A3815">
        <v>2</v>
      </c>
      <c r="B3815" t="s">
        <v>3788</v>
      </c>
      <c r="C3815">
        <v>13968</v>
      </c>
      <c r="D3815" t="str">
        <f>"1067-9847"</f>
        <v>1067-9847</v>
      </c>
      <c r="E3815" t="s">
        <v>8</v>
      </c>
      <c r="F3815" t="s">
        <v>3824</v>
      </c>
      <c r="G3815">
        <v>2</v>
      </c>
    </row>
    <row r="3816" spans="1:7" x14ac:dyDescent="0.25">
      <c r="A3816">
        <v>2</v>
      </c>
      <c r="B3816" t="s">
        <v>3788</v>
      </c>
      <c r="C3816">
        <v>10712</v>
      </c>
      <c r="D3816" t="str">
        <f>"1043-898X"</f>
        <v>1043-898X</v>
      </c>
      <c r="E3816" t="s">
        <v>8</v>
      </c>
      <c r="F3816" t="s">
        <v>3825</v>
      </c>
      <c r="G3816">
        <v>2</v>
      </c>
    </row>
    <row r="3817" spans="1:7" x14ac:dyDescent="0.25">
      <c r="A3817">
        <v>2</v>
      </c>
      <c r="B3817" t="s">
        <v>3788</v>
      </c>
      <c r="C3817">
        <v>5503</v>
      </c>
      <c r="D3817" t="str">
        <f>"0951-2748"</f>
        <v>0951-2748</v>
      </c>
      <c r="E3817" t="s">
        <v>8</v>
      </c>
      <c r="F3817" t="s">
        <v>3826</v>
      </c>
      <c r="G3817">
        <v>2</v>
      </c>
    </row>
    <row r="3818" spans="1:7" x14ac:dyDescent="0.25">
      <c r="A3818">
        <v>2</v>
      </c>
      <c r="B3818" t="s">
        <v>3788</v>
      </c>
      <c r="C3818">
        <v>27322</v>
      </c>
      <c r="D3818" t="str">
        <f>"0378-4215"</f>
        <v>0378-4215</v>
      </c>
      <c r="E3818" t="s">
        <v>15</v>
      </c>
      <c r="F3818" t="s">
        <v>3827</v>
      </c>
      <c r="G3818">
        <v>1</v>
      </c>
    </row>
    <row r="3819" spans="1:7" x14ac:dyDescent="0.25">
      <c r="A3819">
        <v>2</v>
      </c>
      <c r="B3819" t="s">
        <v>3788</v>
      </c>
      <c r="C3819">
        <v>16561</v>
      </c>
      <c r="D3819" t="str">
        <f>"0001-6438"</f>
        <v>0001-6438</v>
      </c>
      <c r="E3819" t="s">
        <v>8</v>
      </c>
      <c r="F3819" t="s">
        <v>3828</v>
      </c>
      <c r="G3819">
        <v>1</v>
      </c>
    </row>
    <row r="3820" spans="1:7" x14ac:dyDescent="0.25">
      <c r="A3820">
        <v>2</v>
      </c>
      <c r="B3820" t="s">
        <v>3788</v>
      </c>
      <c r="C3820">
        <v>13004</v>
      </c>
      <c r="D3820" t="str">
        <f>"1430-1938"</f>
        <v>1430-1938</v>
      </c>
      <c r="E3820" t="s">
        <v>8</v>
      </c>
      <c r="F3820" t="s">
        <v>3829</v>
      </c>
      <c r="G3820">
        <v>1</v>
      </c>
    </row>
    <row r="3821" spans="1:7" x14ac:dyDescent="0.25">
      <c r="A3821">
        <v>2</v>
      </c>
      <c r="B3821" t="s">
        <v>3788</v>
      </c>
      <c r="C3821">
        <v>47542</v>
      </c>
      <c r="D3821" t="str">
        <f>"0170-3196"</f>
        <v>0170-3196</v>
      </c>
      <c r="E3821" t="s">
        <v>15</v>
      </c>
      <c r="F3821" t="s">
        <v>3830</v>
      </c>
      <c r="G3821">
        <v>1</v>
      </c>
    </row>
    <row r="3822" spans="1:7" x14ac:dyDescent="0.25">
      <c r="A3822">
        <v>2</v>
      </c>
      <c r="B3822" t="s">
        <v>3788</v>
      </c>
      <c r="C3822">
        <v>18118</v>
      </c>
      <c r="D3822" t="str">
        <f>"0002-0397"</f>
        <v>0002-0397</v>
      </c>
      <c r="E3822" t="s">
        <v>8</v>
      </c>
      <c r="F3822" t="s">
        <v>3831</v>
      </c>
      <c r="G3822">
        <v>1</v>
      </c>
    </row>
    <row r="3823" spans="1:7" x14ac:dyDescent="0.25">
      <c r="A3823">
        <v>2</v>
      </c>
      <c r="B3823" t="s">
        <v>3788</v>
      </c>
      <c r="C3823">
        <v>18962</v>
      </c>
      <c r="D3823" t="str">
        <f>"1569-2094"</f>
        <v>1569-2094</v>
      </c>
      <c r="E3823" t="s">
        <v>8</v>
      </c>
      <c r="F3823" t="s">
        <v>3832</v>
      </c>
      <c r="G3823">
        <v>1</v>
      </c>
    </row>
    <row r="3824" spans="1:7" x14ac:dyDescent="0.25">
      <c r="A3824">
        <v>2</v>
      </c>
      <c r="B3824" t="s">
        <v>3788</v>
      </c>
      <c r="C3824">
        <v>119961</v>
      </c>
      <c r="D3824" t="str">
        <f>"1872-5457"</f>
        <v>1872-5457</v>
      </c>
      <c r="E3824" t="s">
        <v>8</v>
      </c>
      <c r="F3824" t="s">
        <v>3833</v>
      </c>
      <c r="G3824">
        <v>1</v>
      </c>
    </row>
    <row r="3825" spans="1:7" x14ac:dyDescent="0.25">
      <c r="A3825">
        <v>2</v>
      </c>
      <c r="B3825" t="s">
        <v>3788</v>
      </c>
      <c r="C3825">
        <v>26599</v>
      </c>
      <c r="D3825" t="str">
        <f>"1753-2523"</f>
        <v>1753-2523</v>
      </c>
      <c r="E3825" t="s">
        <v>8</v>
      </c>
      <c r="F3825" t="s">
        <v>3834</v>
      </c>
      <c r="G3825">
        <v>1</v>
      </c>
    </row>
    <row r="3826" spans="1:7" x14ac:dyDescent="0.25">
      <c r="A3826">
        <v>2</v>
      </c>
      <c r="B3826" t="s">
        <v>3788</v>
      </c>
      <c r="C3826">
        <v>1096</v>
      </c>
      <c r="D3826" t="str">
        <f>"1472-5843"</f>
        <v>1472-5843</v>
      </c>
      <c r="E3826" t="s">
        <v>8</v>
      </c>
      <c r="F3826" t="s">
        <v>3835</v>
      </c>
      <c r="G3826">
        <v>1</v>
      </c>
    </row>
    <row r="3827" spans="1:7" x14ac:dyDescent="0.25">
      <c r="A3827">
        <v>2</v>
      </c>
      <c r="B3827" t="s">
        <v>3788</v>
      </c>
      <c r="C3827">
        <v>6008772</v>
      </c>
      <c r="D3827" t="str">
        <f>"2040-0705"</f>
        <v>2040-0705</v>
      </c>
      <c r="E3827" t="s">
        <v>8</v>
      </c>
      <c r="F3827" t="s">
        <v>3836</v>
      </c>
      <c r="G3827">
        <v>1</v>
      </c>
    </row>
    <row r="3828" spans="1:7" x14ac:dyDescent="0.25">
      <c r="A3828">
        <v>2</v>
      </c>
      <c r="B3828" t="s">
        <v>3788</v>
      </c>
      <c r="C3828">
        <v>6008885</v>
      </c>
      <c r="D3828" t="str">
        <f>"1939-2206"</f>
        <v>1939-2206</v>
      </c>
      <c r="E3828" t="s">
        <v>8</v>
      </c>
      <c r="F3828" t="s">
        <v>3837</v>
      </c>
      <c r="G3828">
        <v>1</v>
      </c>
    </row>
    <row r="3829" spans="1:7" x14ac:dyDescent="0.25">
      <c r="A3829">
        <v>2</v>
      </c>
      <c r="B3829" t="s">
        <v>3788</v>
      </c>
      <c r="C3829">
        <v>5896</v>
      </c>
      <c r="D3829" t="str">
        <f>"0002-0184"</f>
        <v>0002-0184</v>
      </c>
      <c r="E3829" t="s">
        <v>8</v>
      </c>
      <c r="F3829" t="s">
        <v>3838</v>
      </c>
      <c r="G3829">
        <v>1</v>
      </c>
    </row>
    <row r="3830" spans="1:7" x14ac:dyDescent="0.25">
      <c r="A3830">
        <v>2</v>
      </c>
      <c r="B3830" t="s">
        <v>3788</v>
      </c>
      <c r="C3830">
        <v>11951</v>
      </c>
      <c r="D3830" t="str">
        <f>"2152-2448"</f>
        <v>2152-2448</v>
      </c>
      <c r="E3830" t="s">
        <v>8</v>
      </c>
      <c r="F3830" t="s">
        <v>3839</v>
      </c>
      <c r="G3830">
        <v>1</v>
      </c>
    </row>
    <row r="3831" spans="1:7" x14ac:dyDescent="0.25">
      <c r="A3831">
        <v>2</v>
      </c>
      <c r="B3831" t="s">
        <v>3788</v>
      </c>
      <c r="C3831">
        <v>1777</v>
      </c>
      <c r="D3831" t="str">
        <f>"1574-6925"</f>
        <v>1574-6925</v>
      </c>
      <c r="E3831" t="s">
        <v>15</v>
      </c>
      <c r="F3831" t="s">
        <v>3840</v>
      </c>
      <c r="G3831">
        <v>1</v>
      </c>
    </row>
    <row r="3832" spans="1:7" x14ac:dyDescent="0.25">
      <c r="A3832">
        <v>2</v>
      </c>
      <c r="B3832" t="s">
        <v>3788</v>
      </c>
      <c r="C3832">
        <v>13111</v>
      </c>
      <c r="D3832" t="str">
        <f>"0002-0478"</f>
        <v>0002-0478</v>
      </c>
      <c r="E3832" t="s">
        <v>8</v>
      </c>
      <c r="F3832" t="s">
        <v>3841</v>
      </c>
      <c r="G3832">
        <v>1</v>
      </c>
    </row>
    <row r="3833" spans="1:7" x14ac:dyDescent="0.25">
      <c r="A3833">
        <v>2</v>
      </c>
      <c r="B3833" t="s">
        <v>3788</v>
      </c>
      <c r="C3833">
        <v>5080</v>
      </c>
      <c r="D3833" t="str">
        <f>"0211-3589"</f>
        <v>0211-3589</v>
      </c>
      <c r="E3833" t="s">
        <v>8</v>
      </c>
      <c r="F3833" t="s">
        <v>3842</v>
      </c>
      <c r="G3833">
        <v>1</v>
      </c>
    </row>
    <row r="3834" spans="1:7" x14ac:dyDescent="0.25">
      <c r="A3834">
        <v>2</v>
      </c>
      <c r="B3834" t="s">
        <v>3788</v>
      </c>
      <c r="C3834">
        <v>90988</v>
      </c>
      <c r="D3834" t="str">
        <f>"0065-9541"</f>
        <v>0065-9541</v>
      </c>
      <c r="E3834" t="s">
        <v>15</v>
      </c>
      <c r="F3834" t="s">
        <v>3843</v>
      </c>
      <c r="G3834">
        <v>1</v>
      </c>
    </row>
    <row r="3835" spans="1:7" x14ac:dyDescent="0.25">
      <c r="A3835">
        <v>2</v>
      </c>
      <c r="B3835" t="s">
        <v>3788</v>
      </c>
      <c r="C3835">
        <v>27905</v>
      </c>
      <c r="D3835" t="str">
        <f>"1378-4641"</f>
        <v>1378-4641</v>
      </c>
      <c r="E3835" t="s">
        <v>8</v>
      </c>
      <c r="F3835" t="s">
        <v>3844</v>
      </c>
      <c r="G3835">
        <v>1</v>
      </c>
    </row>
    <row r="3836" spans="1:7" x14ac:dyDescent="0.25">
      <c r="A3836">
        <v>2</v>
      </c>
      <c r="B3836" t="s">
        <v>3788</v>
      </c>
      <c r="C3836">
        <v>24953</v>
      </c>
      <c r="D3836" t="str">
        <f>"0271-3519"</f>
        <v>0271-3519</v>
      </c>
      <c r="E3836" t="s">
        <v>8</v>
      </c>
      <c r="F3836" t="s">
        <v>3845</v>
      </c>
      <c r="G3836">
        <v>1</v>
      </c>
    </row>
    <row r="3837" spans="1:7" x14ac:dyDescent="0.25">
      <c r="A3837">
        <v>2</v>
      </c>
      <c r="B3837" t="s">
        <v>3788</v>
      </c>
      <c r="C3837">
        <v>26206</v>
      </c>
      <c r="D3837" t="str">
        <f>"0044-8613"</f>
        <v>0044-8613</v>
      </c>
      <c r="E3837" t="s">
        <v>8</v>
      </c>
      <c r="F3837" t="s">
        <v>3846</v>
      </c>
      <c r="G3837">
        <v>1</v>
      </c>
    </row>
    <row r="3838" spans="1:7" x14ac:dyDescent="0.25">
      <c r="A3838">
        <v>2</v>
      </c>
      <c r="B3838" t="s">
        <v>3788</v>
      </c>
      <c r="C3838">
        <v>26549</v>
      </c>
      <c r="D3838" t="str">
        <f>"0044-8699"</f>
        <v>0044-8699</v>
      </c>
      <c r="E3838" t="s">
        <v>8</v>
      </c>
      <c r="F3838" t="s">
        <v>3847</v>
      </c>
      <c r="G3838">
        <v>1</v>
      </c>
    </row>
    <row r="3839" spans="1:7" x14ac:dyDescent="0.25">
      <c r="A3839">
        <v>2</v>
      </c>
      <c r="B3839" t="s">
        <v>3788</v>
      </c>
      <c r="C3839">
        <v>7743594</v>
      </c>
      <c r="D3839" t="str">
        <f>"2298-2418"</f>
        <v>2298-2418</v>
      </c>
      <c r="E3839" t="s">
        <v>8</v>
      </c>
      <c r="F3839" t="s">
        <v>3848</v>
      </c>
      <c r="G3839">
        <v>1</v>
      </c>
    </row>
    <row r="3840" spans="1:7" x14ac:dyDescent="0.25">
      <c r="A3840">
        <v>2</v>
      </c>
      <c r="B3840" t="s">
        <v>3788</v>
      </c>
      <c r="C3840">
        <v>26306</v>
      </c>
      <c r="D3840" t="str">
        <f>"0306-8374"</f>
        <v>0306-8374</v>
      </c>
      <c r="E3840" t="s">
        <v>8</v>
      </c>
      <c r="F3840" t="s">
        <v>3849</v>
      </c>
      <c r="G3840">
        <v>1</v>
      </c>
    </row>
    <row r="3841" spans="1:7" x14ac:dyDescent="0.25">
      <c r="A3841">
        <v>2</v>
      </c>
      <c r="B3841" t="s">
        <v>3788</v>
      </c>
      <c r="C3841">
        <v>24704</v>
      </c>
      <c r="D3841" t="str">
        <f>"0117-1968"</f>
        <v>0117-1968</v>
      </c>
      <c r="E3841" t="s">
        <v>8</v>
      </c>
      <c r="F3841" t="s">
        <v>3850</v>
      </c>
      <c r="G3841">
        <v>1</v>
      </c>
    </row>
    <row r="3842" spans="1:7" x14ac:dyDescent="0.25">
      <c r="A3842">
        <v>2</v>
      </c>
      <c r="B3842" t="s">
        <v>3788</v>
      </c>
      <c r="C3842">
        <v>8332</v>
      </c>
      <c r="D3842" t="str">
        <f>"1035-7823"</f>
        <v>1035-7823</v>
      </c>
      <c r="E3842" t="s">
        <v>8</v>
      </c>
      <c r="F3842" t="s">
        <v>3851</v>
      </c>
      <c r="G3842">
        <v>1</v>
      </c>
    </row>
    <row r="3843" spans="1:7" x14ac:dyDescent="0.25">
      <c r="A3843">
        <v>2</v>
      </c>
      <c r="B3843" t="s">
        <v>3788</v>
      </c>
      <c r="C3843">
        <v>15958</v>
      </c>
      <c r="D3843" t="str">
        <f>"0004-4717"</f>
        <v>0004-4717</v>
      </c>
      <c r="E3843" t="s">
        <v>8</v>
      </c>
      <c r="F3843" t="s">
        <v>3852</v>
      </c>
      <c r="G3843">
        <v>1</v>
      </c>
    </row>
    <row r="3844" spans="1:7" x14ac:dyDescent="0.25">
      <c r="A3844">
        <v>2</v>
      </c>
      <c r="B3844" t="s">
        <v>3788</v>
      </c>
      <c r="C3844">
        <v>34157</v>
      </c>
      <c r="D3844" t="str">
        <f>"0721-5231"</f>
        <v>0721-5231</v>
      </c>
      <c r="E3844" t="s">
        <v>8</v>
      </c>
      <c r="F3844" t="s">
        <v>3853</v>
      </c>
      <c r="G3844">
        <v>1</v>
      </c>
    </row>
    <row r="3845" spans="1:7" x14ac:dyDescent="0.25">
      <c r="A3845">
        <v>2</v>
      </c>
      <c r="B3845" t="s">
        <v>3788</v>
      </c>
      <c r="C3845">
        <v>8782697</v>
      </c>
      <c r="D3845" t="str">
        <f>"1447-8420 "</f>
        <v xml:space="preserve">1447-8420 </v>
      </c>
      <c r="E3845" t="s">
        <v>8</v>
      </c>
      <c r="F3845" t="s">
        <v>3854</v>
      </c>
      <c r="G3845">
        <v>1</v>
      </c>
    </row>
    <row r="3846" spans="1:7" x14ac:dyDescent="0.25">
      <c r="A3846">
        <v>2</v>
      </c>
      <c r="B3846" t="s">
        <v>3788</v>
      </c>
      <c r="C3846">
        <v>50736</v>
      </c>
      <c r="D3846" t="str">
        <f>"1999-2521"</f>
        <v>1999-2521</v>
      </c>
      <c r="E3846" t="s">
        <v>8</v>
      </c>
      <c r="F3846" t="s">
        <v>3855</v>
      </c>
      <c r="G3846">
        <v>1</v>
      </c>
    </row>
    <row r="3847" spans="1:7" x14ac:dyDescent="0.25">
      <c r="A3847">
        <v>2</v>
      </c>
      <c r="B3847" t="s">
        <v>3788</v>
      </c>
      <c r="C3847">
        <v>16054</v>
      </c>
      <c r="D3847" t="str">
        <f>"0067-270X"</f>
        <v>0067-270X</v>
      </c>
      <c r="E3847" t="s">
        <v>8</v>
      </c>
      <c r="F3847" t="s">
        <v>3856</v>
      </c>
      <c r="G3847">
        <v>1</v>
      </c>
    </row>
    <row r="3848" spans="1:7" x14ac:dyDescent="0.25">
      <c r="A3848">
        <v>2</v>
      </c>
      <c r="B3848" t="s">
        <v>3788</v>
      </c>
      <c r="C3848">
        <v>15660</v>
      </c>
      <c r="D3848" t="str">
        <f>"1503-5727"</f>
        <v>1503-5727</v>
      </c>
      <c r="E3848" t="s">
        <v>8</v>
      </c>
      <c r="F3848" t="s">
        <v>3857</v>
      </c>
      <c r="G3848">
        <v>1</v>
      </c>
    </row>
    <row r="3849" spans="1:7" x14ac:dyDescent="0.25">
      <c r="A3849">
        <v>2</v>
      </c>
      <c r="B3849" t="s">
        <v>3788</v>
      </c>
      <c r="C3849">
        <v>5538</v>
      </c>
      <c r="D3849" t="str">
        <f>"0006-2294"</f>
        <v>0006-2294</v>
      </c>
      <c r="E3849" t="s">
        <v>8</v>
      </c>
      <c r="F3849" t="s">
        <v>3858</v>
      </c>
      <c r="G3849">
        <v>1</v>
      </c>
    </row>
    <row r="3850" spans="1:7" x14ac:dyDescent="0.25">
      <c r="A3850">
        <v>2</v>
      </c>
      <c r="B3850" t="s">
        <v>3788</v>
      </c>
      <c r="C3850">
        <v>6040198</v>
      </c>
      <c r="D3850" t="str">
        <f>"0974-9276"</f>
        <v>0974-9276</v>
      </c>
      <c r="E3850" t="s">
        <v>8</v>
      </c>
      <c r="F3850" t="s">
        <v>3859</v>
      </c>
      <c r="G3850">
        <v>1</v>
      </c>
    </row>
    <row r="3851" spans="1:7" x14ac:dyDescent="0.25">
      <c r="A3851">
        <v>2</v>
      </c>
      <c r="B3851" t="s">
        <v>3788</v>
      </c>
      <c r="C3851">
        <v>8147</v>
      </c>
      <c r="D3851" t="str">
        <f>"1568-6183"</f>
        <v>1568-6183</v>
      </c>
      <c r="E3851" t="s">
        <v>15</v>
      </c>
      <c r="F3851" t="s">
        <v>3860</v>
      </c>
      <c r="G3851">
        <v>1</v>
      </c>
    </row>
    <row r="3852" spans="1:7" x14ac:dyDescent="0.25">
      <c r="A3852">
        <v>2</v>
      </c>
      <c r="B3852" t="s">
        <v>3788</v>
      </c>
      <c r="C3852">
        <v>24748</v>
      </c>
      <c r="D3852" t="str">
        <f>"0265-2897"</f>
        <v>0265-2897</v>
      </c>
      <c r="E3852" t="s">
        <v>8</v>
      </c>
      <c r="F3852" t="s">
        <v>3861</v>
      </c>
      <c r="G3852">
        <v>1</v>
      </c>
    </row>
    <row r="3853" spans="1:7" x14ac:dyDescent="0.25">
      <c r="A3853">
        <v>2</v>
      </c>
      <c r="B3853" t="s">
        <v>3788</v>
      </c>
      <c r="C3853">
        <v>399</v>
      </c>
      <c r="D3853" t="str">
        <f>"0253-1623"</f>
        <v>0253-1623</v>
      </c>
      <c r="E3853" t="s">
        <v>15</v>
      </c>
      <c r="F3853" t="s">
        <v>3862</v>
      </c>
      <c r="G3853">
        <v>1</v>
      </c>
    </row>
    <row r="3854" spans="1:7" x14ac:dyDescent="0.25">
      <c r="A3854">
        <v>2</v>
      </c>
      <c r="B3854" t="s">
        <v>3788</v>
      </c>
      <c r="C3854">
        <v>16516</v>
      </c>
      <c r="D3854" t="str">
        <f>"0008-0055"</f>
        <v>0008-0055</v>
      </c>
      <c r="E3854" t="s">
        <v>8</v>
      </c>
      <c r="F3854" t="s">
        <v>3863</v>
      </c>
      <c r="G3854">
        <v>1</v>
      </c>
    </row>
    <row r="3855" spans="1:7" x14ac:dyDescent="0.25">
      <c r="A3855">
        <v>2</v>
      </c>
      <c r="B3855" t="s">
        <v>3788</v>
      </c>
      <c r="C3855">
        <v>14394</v>
      </c>
      <c r="D3855" t="str">
        <f>"0153-3320"</f>
        <v>0153-3320</v>
      </c>
      <c r="E3855" t="s">
        <v>8</v>
      </c>
      <c r="F3855" t="s">
        <v>3864</v>
      </c>
      <c r="G3855">
        <v>1</v>
      </c>
    </row>
    <row r="3856" spans="1:7" x14ac:dyDescent="0.25">
      <c r="A3856">
        <v>2</v>
      </c>
      <c r="B3856" t="s">
        <v>3788</v>
      </c>
      <c r="C3856">
        <v>6153</v>
      </c>
      <c r="D3856" t="str">
        <f>"0263-4937"</f>
        <v>0263-4937</v>
      </c>
      <c r="E3856" t="s">
        <v>8</v>
      </c>
      <c r="F3856" t="s">
        <v>3865</v>
      </c>
      <c r="G3856">
        <v>1</v>
      </c>
    </row>
    <row r="3857" spans="1:7" x14ac:dyDescent="0.25">
      <c r="A3857">
        <v>2</v>
      </c>
      <c r="B3857" t="s">
        <v>3788</v>
      </c>
      <c r="C3857">
        <v>14643</v>
      </c>
      <c r="D3857" t="str">
        <f>"0008-9192"</f>
        <v>0008-9192</v>
      </c>
      <c r="E3857" t="s">
        <v>8</v>
      </c>
      <c r="F3857" t="s">
        <v>3866</v>
      </c>
      <c r="G3857">
        <v>1</v>
      </c>
    </row>
    <row r="3858" spans="1:7" x14ac:dyDescent="0.25">
      <c r="A3858">
        <v>2</v>
      </c>
      <c r="B3858" t="s">
        <v>3788</v>
      </c>
      <c r="C3858">
        <v>24085</v>
      </c>
      <c r="D3858" t="str">
        <f>"1753-8963"</f>
        <v>1753-8963</v>
      </c>
      <c r="E3858" t="s">
        <v>8</v>
      </c>
      <c r="F3858" t="s">
        <v>3867</v>
      </c>
      <c r="G3858">
        <v>1</v>
      </c>
    </row>
    <row r="3859" spans="1:7" x14ac:dyDescent="0.25">
      <c r="A3859">
        <v>2</v>
      </c>
      <c r="B3859" t="s">
        <v>3788</v>
      </c>
      <c r="C3859">
        <v>25473</v>
      </c>
      <c r="D3859" t="str">
        <f>"0920-203X"</f>
        <v>0920-203X</v>
      </c>
      <c r="E3859" t="s">
        <v>8</v>
      </c>
      <c r="F3859" t="s">
        <v>3868</v>
      </c>
      <c r="G3859">
        <v>1</v>
      </c>
    </row>
    <row r="3860" spans="1:7" x14ac:dyDescent="0.25">
      <c r="A3860">
        <v>2</v>
      </c>
      <c r="B3860" t="s">
        <v>3788</v>
      </c>
      <c r="C3860">
        <v>180045</v>
      </c>
      <c r="E3860" t="s">
        <v>15</v>
      </c>
      <c r="F3860" t="s">
        <v>3869</v>
      </c>
      <c r="G3860">
        <v>1</v>
      </c>
    </row>
    <row r="3861" spans="1:7" x14ac:dyDescent="0.25">
      <c r="A3861">
        <v>2</v>
      </c>
      <c r="B3861" t="s">
        <v>3788</v>
      </c>
      <c r="C3861">
        <v>23174</v>
      </c>
      <c r="D3861" t="str">
        <f>"0009-4455"</f>
        <v>0009-4455</v>
      </c>
      <c r="E3861" t="s">
        <v>8</v>
      </c>
      <c r="F3861" t="s">
        <v>3870</v>
      </c>
      <c r="G3861">
        <v>1</v>
      </c>
    </row>
    <row r="3862" spans="1:7" x14ac:dyDescent="0.25">
      <c r="A3862">
        <v>2</v>
      </c>
      <c r="B3862" t="s">
        <v>3788</v>
      </c>
      <c r="C3862">
        <v>7666</v>
      </c>
      <c r="D3862" t="str">
        <f>"1570-1344"</f>
        <v>1570-1344</v>
      </c>
      <c r="E3862" t="s">
        <v>15</v>
      </c>
      <c r="F3862" t="s">
        <v>3871</v>
      </c>
      <c r="G3862">
        <v>1</v>
      </c>
    </row>
    <row r="3863" spans="1:7" x14ac:dyDescent="0.25">
      <c r="A3863">
        <v>2</v>
      </c>
      <c r="B3863" t="s">
        <v>3788</v>
      </c>
      <c r="C3863">
        <v>27693</v>
      </c>
      <c r="D3863" t="str">
        <f>"1750-614X"</f>
        <v>1750-614X</v>
      </c>
      <c r="E3863" t="s">
        <v>8</v>
      </c>
      <c r="F3863" t="s">
        <v>3872</v>
      </c>
      <c r="G3863">
        <v>1</v>
      </c>
    </row>
    <row r="3864" spans="1:7" x14ac:dyDescent="0.25">
      <c r="A3864">
        <v>2</v>
      </c>
      <c r="B3864" t="s">
        <v>3788</v>
      </c>
      <c r="C3864">
        <v>96145</v>
      </c>
      <c r="D3864" t="str">
        <f>"0193-7774"</f>
        <v>0193-7774</v>
      </c>
      <c r="E3864" t="s">
        <v>15</v>
      </c>
      <c r="F3864" t="s">
        <v>3873</v>
      </c>
      <c r="G3864">
        <v>1</v>
      </c>
    </row>
    <row r="3865" spans="1:7" x14ac:dyDescent="0.25">
      <c r="A3865">
        <v>2</v>
      </c>
      <c r="B3865" t="s">
        <v>3788</v>
      </c>
      <c r="C3865">
        <v>23526</v>
      </c>
      <c r="D3865" t="str">
        <f>"1740-7125"</f>
        <v>1740-7125</v>
      </c>
      <c r="E3865" t="s">
        <v>8</v>
      </c>
      <c r="F3865" t="s">
        <v>3874</v>
      </c>
      <c r="G3865">
        <v>1</v>
      </c>
    </row>
    <row r="3866" spans="1:7" x14ac:dyDescent="0.25">
      <c r="A3866">
        <v>2</v>
      </c>
      <c r="B3866" t="s">
        <v>3788</v>
      </c>
      <c r="C3866">
        <v>8782791</v>
      </c>
      <c r="D3866" t="str">
        <f>"2410-0951"</f>
        <v>2410-0951</v>
      </c>
      <c r="E3866" t="s">
        <v>8</v>
      </c>
      <c r="F3866" t="s">
        <v>3875</v>
      </c>
      <c r="G3866">
        <v>1</v>
      </c>
    </row>
    <row r="3867" spans="1:7" x14ac:dyDescent="0.25">
      <c r="A3867">
        <v>2</v>
      </c>
      <c r="B3867" t="s">
        <v>3788</v>
      </c>
      <c r="C3867">
        <v>23222</v>
      </c>
      <c r="D3867" t="str">
        <f>"1089-201X"</f>
        <v>1089-201X</v>
      </c>
      <c r="E3867" t="s">
        <v>8</v>
      </c>
      <c r="F3867" t="s">
        <v>3876</v>
      </c>
      <c r="G3867">
        <v>1</v>
      </c>
    </row>
    <row r="3868" spans="1:7" x14ac:dyDescent="0.25">
      <c r="A3868">
        <v>2</v>
      </c>
      <c r="B3868" t="s">
        <v>3788</v>
      </c>
      <c r="C3868">
        <v>26518</v>
      </c>
      <c r="D3868" t="str">
        <f>"1755-0912"</f>
        <v>1755-0912</v>
      </c>
      <c r="E3868" t="s">
        <v>8</v>
      </c>
      <c r="F3868" t="s">
        <v>3877</v>
      </c>
      <c r="G3868">
        <v>1</v>
      </c>
    </row>
    <row r="3869" spans="1:7" x14ac:dyDescent="0.25">
      <c r="A3869">
        <v>2</v>
      </c>
      <c r="B3869" t="s">
        <v>3788</v>
      </c>
      <c r="C3869">
        <v>8783830</v>
      </c>
      <c r="E3869" t="s">
        <v>15</v>
      </c>
      <c r="F3869" t="s">
        <v>3878</v>
      </c>
      <c r="G3869">
        <v>1</v>
      </c>
    </row>
    <row r="3870" spans="1:7" x14ac:dyDescent="0.25">
      <c r="A3870">
        <v>2</v>
      </c>
      <c r="B3870" t="s">
        <v>3788</v>
      </c>
      <c r="C3870">
        <v>4391</v>
      </c>
      <c r="D3870" t="str">
        <f>"1097-1467"</f>
        <v>1097-1467</v>
      </c>
      <c r="E3870" t="s">
        <v>8</v>
      </c>
      <c r="F3870" t="s">
        <v>3879</v>
      </c>
      <c r="G3870">
        <v>1</v>
      </c>
    </row>
    <row r="3871" spans="1:7" x14ac:dyDescent="0.25">
      <c r="A3871">
        <v>2</v>
      </c>
      <c r="B3871" t="s">
        <v>3788</v>
      </c>
      <c r="C3871">
        <v>26113</v>
      </c>
      <c r="D3871" t="str">
        <f>"1872-0218"</f>
        <v>1872-0218</v>
      </c>
      <c r="E3871" t="s">
        <v>8</v>
      </c>
      <c r="F3871" t="s">
        <v>3880</v>
      </c>
      <c r="G3871">
        <v>1</v>
      </c>
    </row>
    <row r="3872" spans="1:7" x14ac:dyDescent="0.25">
      <c r="A3872">
        <v>2</v>
      </c>
      <c r="B3872" t="s">
        <v>3788</v>
      </c>
      <c r="C3872">
        <v>5721</v>
      </c>
      <c r="D3872" t="str">
        <f>"1395-4199"</f>
        <v>1395-4199</v>
      </c>
      <c r="E3872" t="s">
        <v>8</v>
      </c>
      <c r="F3872" t="s">
        <v>3881</v>
      </c>
      <c r="G3872">
        <v>1</v>
      </c>
    </row>
    <row r="3873" spans="1:7" x14ac:dyDescent="0.25">
      <c r="A3873">
        <v>2</v>
      </c>
      <c r="B3873" t="s">
        <v>3788</v>
      </c>
      <c r="C3873">
        <v>8327</v>
      </c>
      <c r="D3873" t="str">
        <f>"1566-2055"</f>
        <v>1566-2055</v>
      </c>
      <c r="E3873" t="s">
        <v>15</v>
      </c>
      <c r="F3873" t="s">
        <v>3882</v>
      </c>
      <c r="G3873">
        <v>1</v>
      </c>
    </row>
    <row r="3874" spans="1:7" x14ac:dyDescent="0.25">
      <c r="A3874">
        <v>2</v>
      </c>
      <c r="B3874" t="s">
        <v>3788</v>
      </c>
      <c r="C3874">
        <v>12920</v>
      </c>
      <c r="D3874" t="str">
        <f>"1013-929X"</f>
        <v>1013-929X</v>
      </c>
      <c r="E3874" t="s">
        <v>8</v>
      </c>
      <c r="F3874" t="s">
        <v>3883</v>
      </c>
      <c r="G3874">
        <v>1</v>
      </c>
    </row>
    <row r="3875" spans="1:7" x14ac:dyDescent="0.25">
      <c r="A3875">
        <v>2</v>
      </c>
      <c r="B3875" t="s">
        <v>3788</v>
      </c>
      <c r="C3875">
        <v>8758271</v>
      </c>
      <c r="E3875" t="s">
        <v>8</v>
      </c>
      <c r="F3875" t="s">
        <v>3884</v>
      </c>
      <c r="G3875">
        <v>1</v>
      </c>
    </row>
    <row r="3876" spans="1:7" x14ac:dyDescent="0.25">
      <c r="A3876">
        <v>2</v>
      </c>
      <c r="B3876" t="s">
        <v>3788</v>
      </c>
      <c r="C3876">
        <v>3415</v>
      </c>
      <c r="D3876" t="str">
        <f>"1096-6838"</f>
        <v>1096-6838</v>
      </c>
      <c r="E3876" t="s">
        <v>8</v>
      </c>
      <c r="F3876" t="s">
        <v>3885</v>
      </c>
      <c r="G3876">
        <v>1</v>
      </c>
    </row>
    <row r="3877" spans="1:7" x14ac:dyDescent="0.25">
      <c r="A3877">
        <v>2</v>
      </c>
      <c r="B3877" t="s">
        <v>3788</v>
      </c>
      <c r="C3877">
        <v>152413</v>
      </c>
      <c r="D3877" t="str">
        <f>"1942-9533"</f>
        <v>1942-9533</v>
      </c>
      <c r="E3877" t="s">
        <v>8</v>
      </c>
      <c r="F3877" t="s">
        <v>3886</v>
      </c>
      <c r="G3877">
        <v>1</v>
      </c>
    </row>
    <row r="3878" spans="1:7" x14ac:dyDescent="0.25">
      <c r="A3878">
        <v>2</v>
      </c>
      <c r="B3878" t="s">
        <v>3788</v>
      </c>
      <c r="C3878">
        <v>152701</v>
      </c>
      <c r="D3878" t="str">
        <f>"0766-5075"</f>
        <v>0766-5075</v>
      </c>
      <c r="E3878" t="s">
        <v>8</v>
      </c>
      <c r="F3878" t="s">
        <v>3887</v>
      </c>
      <c r="G3878">
        <v>1</v>
      </c>
    </row>
    <row r="3879" spans="1:7" x14ac:dyDescent="0.25">
      <c r="A3879">
        <v>2</v>
      </c>
      <c r="B3879" t="s">
        <v>3788</v>
      </c>
      <c r="C3879">
        <v>1566</v>
      </c>
      <c r="D3879" t="str">
        <f>"0943-8254"</f>
        <v>0943-8254</v>
      </c>
      <c r="E3879" t="s">
        <v>8</v>
      </c>
      <c r="F3879" t="s">
        <v>3888</v>
      </c>
      <c r="G3879">
        <v>1</v>
      </c>
    </row>
    <row r="3880" spans="1:7" x14ac:dyDescent="0.25">
      <c r="A3880">
        <v>2</v>
      </c>
      <c r="B3880" t="s">
        <v>3788</v>
      </c>
      <c r="C3880">
        <v>4020</v>
      </c>
      <c r="D3880" t="str">
        <f>"1568-0584"</f>
        <v>1568-0584</v>
      </c>
      <c r="E3880" t="s">
        <v>8</v>
      </c>
      <c r="F3880" t="s">
        <v>3889</v>
      </c>
      <c r="G3880">
        <v>1</v>
      </c>
    </row>
    <row r="3881" spans="1:7" x14ac:dyDescent="0.25">
      <c r="A3881">
        <v>2</v>
      </c>
      <c r="B3881" t="s">
        <v>3788</v>
      </c>
      <c r="C3881">
        <v>6120478</v>
      </c>
      <c r="D3881" t="str">
        <f>"1674-0750"</f>
        <v>1674-0750</v>
      </c>
      <c r="E3881" t="s">
        <v>8</v>
      </c>
      <c r="F3881" t="s">
        <v>3890</v>
      </c>
      <c r="G3881">
        <v>1</v>
      </c>
    </row>
    <row r="3882" spans="1:7" x14ac:dyDescent="0.25">
      <c r="A3882">
        <v>2</v>
      </c>
      <c r="B3882" t="s">
        <v>3788</v>
      </c>
      <c r="C3882">
        <v>170005</v>
      </c>
      <c r="E3882" t="s">
        <v>15</v>
      </c>
      <c r="F3882" t="s">
        <v>3891</v>
      </c>
      <c r="G3882">
        <v>1</v>
      </c>
    </row>
    <row r="3883" spans="1:7" x14ac:dyDescent="0.25">
      <c r="A3883">
        <v>2</v>
      </c>
      <c r="B3883" t="s">
        <v>3788</v>
      </c>
      <c r="C3883">
        <v>8783831</v>
      </c>
      <c r="E3883" t="s">
        <v>15</v>
      </c>
      <c r="F3883" t="s">
        <v>3892</v>
      </c>
      <c r="G3883">
        <v>1</v>
      </c>
    </row>
    <row r="3884" spans="1:7" x14ac:dyDescent="0.25">
      <c r="A3884">
        <v>2</v>
      </c>
      <c r="B3884" t="s">
        <v>3788</v>
      </c>
      <c r="C3884">
        <v>8234</v>
      </c>
      <c r="D3884" t="str">
        <f>"0169-9423"</f>
        <v>0169-9423</v>
      </c>
      <c r="E3884" t="s">
        <v>15</v>
      </c>
      <c r="F3884" t="s">
        <v>3893</v>
      </c>
      <c r="G3884">
        <v>1</v>
      </c>
    </row>
    <row r="3885" spans="1:7" x14ac:dyDescent="0.25">
      <c r="A3885">
        <v>2</v>
      </c>
      <c r="B3885" t="s">
        <v>3788</v>
      </c>
      <c r="C3885">
        <v>8783832</v>
      </c>
      <c r="E3885" t="s">
        <v>15</v>
      </c>
      <c r="F3885" t="s">
        <v>3894</v>
      </c>
      <c r="G3885">
        <v>1</v>
      </c>
    </row>
    <row r="3886" spans="1:7" x14ac:dyDescent="0.25">
      <c r="A3886">
        <v>2</v>
      </c>
      <c r="B3886" t="s">
        <v>3788</v>
      </c>
      <c r="C3886">
        <v>9427</v>
      </c>
      <c r="D3886" t="str">
        <f>"0169-9520"</f>
        <v>0169-9520</v>
      </c>
      <c r="E3886" t="s">
        <v>15</v>
      </c>
      <c r="F3886" t="s">
        <v>3895</v>
      </c>
      <c r="G3886">
        <v>1</v>
      </c>
    </row>
    <row r="3887" spans="1:7" x14ac:dyDescent="0.25">
      <c r="A3887">
        <v>2</v>
      </c>
      <c r="B3887" t="s">
        <v>3788</v>
      </c>
      <c r="C3887">
        <v>153417</v>
      </c>
      <c r="D3887" t="str">
        <f>"1935-2212"</f>
        <v>1935-2212</v>
      </c>
      <c r="E3887" t="s">
        <v>8</v>
      </c>
      <c r="F3887" t="s">
        <v>3896</v>
      </c>
      <c r="G3887">
        <v>1</v>
      </c>
    </row>
    <row r="3888" spans="1:7" x14ac:dyDescent="0.25">
      <c r="A3888">
        <v>2</v>
      </c>
      <c r="B3888" t="s">
        <v>3788</v>
      </c>
      <c r="C3888">
        <v>15245</v>
      </c>
      <c r="D3888" t="str">
        <f>"0019-7246"</f>
        <v>0019-7246</v>
      </c>
      <c r="E3888" t="s">
        <v>8</v>
      </c>
      <c r="F3888" t="s">
        <v>3897</v>
      </c>
      <c r="G3888">
        <v>1</v>
      </c>
    </row>
    <row r="3889" spans="1:7" x14ac:dyDescent="0.25">
      <c r="A3889">
        <v>2</v>
      </c>
      <c r="B3889" t="s">
        <v>3788</v>
      </c>
      <c r="C3889">
        <v>18650</v>
      </c>
      <c r="D3889" t="str">
        <f>"1464-8172"</f>
        <v>1464-8172</v>
      </c>
      <c r="E3889" t="s">
        <v>8</v>
      </c>
      <c r="F3889" t="s">
        <v>3898</v>
      </c>
      <c r="G3889">
        <v>1</v>
      </c>
    </row>
    <row r="3890" spans="1:7" x14ac:dyDescent="0.25">
      <c r="A3890">
        <v>2</v>
      </c>
      <c r="B3890" t="s">
        <v>3788</v>
      </c>
      <c r="C3890">
        <v>7737100</v>
      </c>
      <c r="D3890" t="str">
        <f>"2212-9421"</f>
        <v>2212-9421</v>
      </c>
      <c r="E3890" t="s">
        <v>8</v>
      </c>
      <c r="F3890" t="s">
        <v>3899</v>
      </c>
      <c r="G3890">
        <v>1</v>
      </c>
    </row>
    <row r="3891" spans="1:7" x14ac:dyDescent="0.25">
      <c r="A3891">
        <v>2</v>
      </c>
      <c r="B3891" t="s">
        <v>3788</v>
      </c>
      <c r="C3891">
        <v>6384</v>
      </c>
      <c r="D3891" t="str">
        <f>"1464-9373"</f>
        <v>1464-9373</v>
      </c>
      <c r="E3891" t="s">
        <v>8</v>
      </c>
      <c r="F3891" t="s">
        <v>3900</v>
      </c>
      <c r="G3891">
        <v>1</v>
      </c>
    </row>
    <row r="3892" spans="1:7" x14ac:dyDescent="0.25">
      <c r="A3892">
        <v>2</v>
      </c>
      <c r="B3892" t="s">
        <v>3788</v>
      </c>
      <c r="C3892">
        <v>20363</v>
      </c>
      <c r="D3892" t="str">
        <f>"1818-6874"</f>
        <v>1818-6874</v>
      </c>
      <c r="E3892" t="s">
        <v>8</v>
      </c>
      <c r="F3892" t="s">
        <v>3901</v>
      </c>
      <c r="G3892">
        <v>1</v>
      </c>
    </row>
    <row r="3893" spans="1:7" x14ac:dyDescent="0.25">
      <c r="A3893">
        <v>2</v>
      </c>
      <c r="B3893" t="s">
        <v>3788</v>
      </c>
      <c r="C3893">
        <v>5623</v>
      </c>
      <c r="D3893" t="str">
        <f>"1479-5914"</f>
        <v>1479-5914</v>
      </c>
      <c r="E3893" t="s">
        <v>8</v>
      </c>
      <c r="F3893" t="s">
        <v>3902</v>
      </c>
      <c r="G3893">
        <v>1</v>
      </c>
    </row>
    <row r="3894" spans="1:7" x14ac:dyDescent="0.25">
      <c r="A3894">
        <v>2</v>
      </c>
      <c r="B3894" t="s">
        <v>3788</v>
      </c>
      <c r="C3894">
        <v>18680</v>
      </c>
      <c r="D3894" t="str">
        <f>"0020-9449"</f>
        <v>0020-9449</v>
      </c>
      <c r="E3894" t="s">
        <v>8</v>
      </c>
      <c r="F3894" t="s">
        <v>3903</v>
      </c>
      <c r="G3894">
        <v>1</v>
      </c>
    </row>
    <row r="3895" spans="1:7" x14ac:dyDescent="0.25">
      <c r="A3895">
        <v>2</v>
      </c>
      <c r="B3895" t="s">
        <v>3788</v>
      </c>
      <c r="C3895">
        <v>6557</v>
      </c>
      <c r="D3895" t="str">
        <f>"0021-0862"</f>
        <v>0021-0862</v>
      </c>
      <c r="E3895" t="s">
        <v>8</v>
      </c>
      <c r="F3895" t="s">
        <v>3904</v>
      </c>
      <c r="G3895">
        <v>1</v>
      </c>
    </row>
    <row r="3896" spans="1:7" x14ac:dyDescent="0.25">
      <c r="A3896">
        <v>2</v>
      </c>
      <c r="B3896" t="s">
        <v>3788</v>
      </c>
      <c r="C3896">
        <v>1292</v>
      </c>
      <c r="D3896" t="str">
        <f>"1570-3754"</f>
        <v>1570-3754</v>
      </c>
      <c r="E3896" t="s">
        <v>15</v>
      </c>
      <c r="F3896" t="s">
        <v>3905</v>
      </c>
      <c r="G3896">
        <v>1</v>
      </c>
    </row>
    <row r="3897" spans="1:7" x14ac:dyDescent="0.25">
      <c r="A3897">
        <v>2</v>
      </c>
      <c r="B3897" t="s">
        <v>3788</v>
      </c>
      <c r="C3897">
        <v>10432</v>
      </c>
      <c r="D3897" t="str">
        <f>"0928-9380"</f>
        <v>0928-9380</v>
      </c>
      <c r="E3897" t="s">
        <v>8</v>
      </c>
      <c r="F3897" t="s">
        <v>3906</v>
      </c>
      <c r="G3897">
        <v>1</v>
      </c>
    </row>
    <row r="3898" spans="1:7" x14ac:dyDescent="0.25">
      <c r="A3898">
        <v>2</v>
      </c>
      <c r="B3898" t="s">
        <v>3788</v>
      </c>
      <c r="C3898">
        <v>70039</v>
      </c>
      <c r="D3898" t="str">
        <f>"2159-0370"</f>
        <v>2159-0370</v>
      </c>
      <c r="E3898" t="s">
        <v>8</v>
      </c>
      <c r="F3898" t="s">
        <v>3907</v>
      </c>
      <c r="G3898">
        <v>1</v>
      </c>
    </row>
    <row r="3899" spans="1:7" x14ac:dyDescent="0.25">
      <c r="A3899">
        <v>2</v>
      </c>
      <c r="B3899" t="s">
        <v>3788</v>
      </c>
      <c r="C3899">
        <v>16410</v>
      </c>
      <c r="D3899" t="str">
        <f>"1037-1397"</f>
        <v>1037-1397</v>
      </c>
      <c r="E3899" t="s">
        <v>8</v>
      </c>
      <c r="F3899" t="s">
        <v>3908</v>
      </c>
      <c r="G3899">
        <v>1</v>
      </c>
    </row>
    <row r="3900" spans="1:7" x14ac:dyDescent="0.25">
      <c r="A3900">
        <v>2</v>
      </c>
      <c r="B3900" t="s">
        <v>3788</v>
      </c>
      <c r="C3900">
        <v>9110</v>
      </c>
      <c r="D3900" t="str">
        <f>"0021-762X"</f>
        <v>0021-762X</v>
      </c>
      <c r="E3900" t="s">
        <v>8</v>
      </c>
      <c r="F3900" t="s">
        <v>3909</v>
      </c>
      <c r="G3900">
        <v>1</v>
      </c>
    </row>
    <row r="3901" spans="1:7" x14ac:dyDescent="0.25">
      <c r="A3901">
        <v>2</v>
      </c>
      <c r="B3901" t="s">
        <v>3788</v>
      </c>
      <c r="C3901">
        <v>554</v>
      </c>
      <c r="D3901" t="str">
        <f>"1369-6815"</f>
        <v>1369-6815</v>
      </c>
      <c r="E3901" t="s">
        <v>8</v>
      </c>
      <c r="F3901" t="s">
        <v>3910</v>
      </c>
      <c r="G3901">
        <v>1</v>
      </c>
    </row>
    <row r="3902" spans="1:7" x14ac:dyDescent="0.25">
      <c r="A3902">
        <v>2</v>
      </c>
      <c r="B3902" t="s">
        <v>3788</v>
      </c>
      <c r="C3902">
        <v>7751925</v>
      </c>
      <c r="D3902" t="str">
        <f>"2328-9554"</f>
        <v>2328-9554</v>
      </c>
      <c r="E3902" t="s">
        <v>8</v>
      </c>
      <c r="F3902" t="s">
        <v>3911</v>
      </c>
      <c r="G3902">
        <v>1</v>
      </c>
    </row>
    <row r="3903" spans="1:7" x14ac:dyDescent="0.25">
      <c r="A3903">
        <v>2</v>
      </c>
      <c r="B3903" t="s">
        <v>3788</v>
      </c>
      <c r="C3903">
        <v>160001</v>
      </c>
      <c r="D3903" t="str">
        <f>"2153-4764"</f>
        <v>2153-4764</v>
      </c>
      <c r="E3903" t="s">
        <v>8</v>
      </c>
      <c r="F3903" t="s">
        <v>3912</v>
      </c>
      <c r="G3903">
        <v>1</v>
      </c>
    </row>
    <row r="3904" spans="1:7" x14ac:dyDescent="0.25">
      <c r="A3904">
        <v>2</v>
      </c>
      <c r="B3904" t="s">
        <v>3788</v>
      </c>
      <c r="C3904">
        <v>3929</v>
      </c>
      <c r="D3904" t="str">
        <f>"0806-198X"</f>
        <v>0806-198X</v>
      </c>
      <c r="E3904" t="s">
        <v>8</v>
      </c>
      <c r="F3904" t="s">
        <v>3913</v>
      </c>
      <c r="G3904">
        <v>1</v>
      </c>
    </row>
    <row r="3905" spans="1:7" x14ac:dyDescent="0.25">
      <c r="A3905">
        <v>2</v>
      </c>
      <c r="B3905" t="s">
        <v>3788</v>
      </c>
      <c r="C3905">
        <v>27602</v>
      </c>
      <c r="D3905" t="str">
        <f>"1558-7894"</f>
        <v>1558-7894</v>
      </c>
      <c r="E3905" t="s">
        <v>8</v>
      </c>
      <c r="F3905" t="s">
        <v>3914</v>
      </c>
      <c r="G3905">
        <v>1</v>
      </c>
    </row>
    <row r="3906" spans="1:7" x14ac:dyDescent="0.25">
      <c r="A3906">
        <v>2</v>
      </c>
      <c r="B3906" t="s">
        <v>3788</v>
      </c>
      <c r="C3906">
        <v>14107</v>
      </c>
      <c r="D3906" t="str">
        <f>"0021-9096"</f>
        <v>0021-9096</v>
      </c>
      <c r="E3906" t="s">
        <v>8</v>
      </c>
      <c r="F3906" t="s">
        <v>3915</v>
      </c>
      <c r="G3906">
        <v>1</v>
      </c>
    </row>
    <row r="3907" spans="1:7" x14ac:dyDescent="0.25">
      <c r="A3907">
        <v>2</v>
      </c>
      <c r="B3907" t="s">
        <v>3788</v>
      </c>
      <c r="C3907">
        <v>26953</v>
      </c>
      <c r="D3907" t="str">
        <f>"1751-6234"</f>
        <v>1751-6234</v>
      </c>
      <c r="E3907" t="s">
        <v>8</v>
      </c>
      <c r="F3907" t="s">
        <v>3916</v>
      </c>
      <c r="G3907">
        <v>1</v>
      </c>
    </row>
    <row r="3908" spans="1:7" x14ac:dyDescent="0.25">
      <c r="A3908">
        <v>2</v>
      </c>
      <c r="B3908" t="s">
        <v>3788</v>
      </c>
      <c r="C3908">
        <v>112310</v>
      </c>
      <c r="D3908" t="str">
        <f>"1094-799X"</f>
        <v>1094-799X</v>
      </c>
      <c r="E3908" t="s">
        <v>8</v>
      </c>
      <c r="F3908" t="s">
        <v>3917</v>
      </c>
      <c r="G3908">
        <v>1</v>
      </c>
    </row>
    <row r="3909" spans="1:7" x14ac:dyDescent="0.25">
      <c r="A3909">
        <v>2</v>
      </c>
      <c r="B3909" t="s">
        <v>3788</v>
      </c>
      <c r="C3909">
        <v>180047</v>
      </c>
      <c r="E3909" t="s">
        <v>8</v>
      </c>
      <c r="F3909" t="s">
        <v>3918</v>
      </c>
      <c r="G3909">
        <v>1</v>
      </c>
    </row>
    <row r="3910" spans="1:7" x14ac:dyDescent="0.25">
      <c r="A3910">
        <v>2</v>
      </c>
      <c r="B3910" t="s">
        <v>3788</v>
      </c>
      <c r="C3910">
        <v>14598</v>
      </c>
      <c r="D3910" t="str">
        <f>"0091-3723"</f>
        <v>0091-3723</v>
      </c>
      <c r="E3910" t="s">
        <v>8</v>
      </c>
      <c r="F3910" t="s">
        <v>3919</v>
      </c>
      <c r="G3910">
        <v>1</v>
      </c>
    </row>
    <row r="3911" spans="1:7" x14ac:dyDescent="0.25">
      <c r="A3911">
        <v>2</v>
      </c>
      <c r="B3911" t="s">
        <v>3788</v>
      </c>
      <c r="C3911">
        <v>21059</v>
      </c>
      <c r="D3911" t="str">
        <f>"1793-0391"</f>
        <v>1793-0391</v>
      </c>
      <c r="E3911" t="s">
        <v>8</v>
      </c>
      <c r="F3911" t="s">
        <v>3920</v>
      </c>
      <c r="G3911">
        <v>1</v>
      </c>
    </row>
    <row r="3912" spans="1:7" x14ac:dyDescent="0.25">
      <c r="A3912">
        <v>2</v>
      </c>
      <c r="B3912" t="s">
        <v>3788</v>
      </c>
      <c r="C3912">
        <v>14286</v>
      </c>
      <c r="D3912" t="str">
        <f>"0301-8121"</f>
        <v>0301-8121</v>
      </c>
      <c r="E3912" t="s">
        <v>8</v>
      </c>
      <c r="F3912" t="s">
        <v>3921</v>
      </c>
      <c r="G3912">
        <v>1</v>
      </c>
    </row>
    <row r="3913" spans="1:7" x14ac:dyDescent="0.25">
      <c r="A3913">
        <v>2</v>
      </c>
      <c r="B3913" t="s">
        <v>3788</v>
      </c>
      <c r="C3913">
        <v>5820</v>
      </c>
      <c r="D3913" t="str">
        <f>"0258-9001"</f>
        <v>0258-9001</v>
      </c>
      <c r="E3913" t="s">
        <v>8</v>
      </c>
      <c r="F3913" t="s">
        <v>3922</v>
      </c>
      <c r="G3913">
        <v>1</v>
      </c>
    </row>
    <row r="3914" spans="1:7" x14ac:dyDescent="0.25">
      <c r="A3914">
        <v>2</v>
      </c>
      <c r="B3914" t="s">
        <v>3788</v>
      </c>
      <c r="C3914">
        <v>11304</v>
      </c>
      <c r="D3914" t="str">
        <f>"0925-8558"</f>
        <v>0925-8558</v>
      </c>
      <c r="E3914" t="s">
        <v>8</v>
      </c>
      <c r="F3914" t="s">
        <v>3923</v>
      </c>
      <c r="G3914">
        <v>1</v>
      </c>
    </row>
    <row r="3915" spans="1:7" x14ac:dyDescent="0.25">
      <c r="A3915">
        <v>2</v>
      </c>
      <c r="B3915" t="s">
        <v>3788</v>
      </c>
      <c r="C3915">
        <v>11405</v>
      </c>
      <c r="D3915" t="str">
        <f>"0022-1791"</f>
        <v>0022-1791</v>
      </c>
      <c r="E3915" t="s">
        <v>8</v>
      </c>
      <c r="F3915" t="s">
        <v>3924</v>
      </c>
      <c r="G3915">
        <v>1</v>
      </c>
    </row>
    <row r="3916" spans="1:7" x14ac:dyDescent="0.25">
      <c r="A3916">
        <v>2</v>
      </c>
      <c r="B3916" t="s">
        <v>3788</v>
      </c>
      <c r="C3916">
        <v>2560</v>
      </c>
      <c r="D3916" t="str">
        <f>"0731-1613"</f>
        <v>0731-1613</v>
      </c>
      <c r="E3916" t="s">
        <v>8</v>
      </c>
      <c r="F3916" t="s">
        <v>3925</v>
      </c>
      <c r="G3916">
        <v>1</v>
      </c>
    </row>
    <row r="3917" spans="1:7" x14ac:dyDescent="0.25">
      <c r="A3917">
        <v>2</v>
      </c>
      <c r="B3917" t="s">
        <v>3788</v>
      </c>
      <c r="C3917">
        <v>3240</v>
      </c>
      <c r="D3917" t="str">
        <f>"0377-919X"</f>
        <v>0377-919X</v>
      </c>
      <c r="E3917" t="s">
        <v>8</v>
      </c>
      <c r="F3917" t="s">
        <v>3926</v>
      </c>
      <c r="G3917">
        <v>1</v>
      </c>
    </row>
    <row r="3918" spans="1:7" x14ac:dyDescent="0.25">
      <c r="A3918">
        <v>2</v>
      </c>
      <c r="B3918" t="s">
        <v>3788</v>
      </c>
      <c r="C3918">
        <v>7623333</v>
      </c>
      <c r="D3918" t="str">
        <f>"0888-6601"</f>
        <v>0888-6601</v>
      </c>
      <c r="E3918" t="s">
        <v>8</v>
      </c>
      <c r="F3918" t="s">
        <v>3927</v>
      </c>
      <c r="G3918">
        <v>1</v>
      </c>
    </row>
    <row r="3919" spans="1:7" x14ac:dyDescent="0.25">
      <c r="A3919">
        <v>2</v>
      </c>
      <c r="B3919" t="s">
        <v>3788</v>
      </c>
      <c r="C3919">
        <v>14132</v>
      </c>
      <c r="D3919" t="str">
        <f>"0022-4480"</f>
        <v>0022-4480</v>
      </c>
      <c r="E3919" t="s">
        <v>8</v>
      </c>
      <c r="F3919" t="s">
        <v>3928</v>
      </c>
      <c r="G3919">
        <v>1</v>
      </c>
    </row>
    <row r="3920" spans="1:7" x14ac:dyDescent="0.25">
      <c r="A3920">
        <v>2</v>
      </c>
      <c r="B3920" t="s">
        <v>3788</v>
      </c>
      <c r="C3920">
        <v>7653</v>
      </c>
      <c r="D3920" t="str">
        <f>"2339-5095"</f>
        <v>2339-5095</v>
      </c>
      <c r="E3920" t="s">
        <v>8</v>
      </c>
      <c r="F3920" t="s">
        <v>3929</v>
      </c>
      <c r="G3920">
        <v>1</v>
      </c>
    </row>
    <row r="3921" spans="1:7" x14ac:dyDescent="0.25">
      <c r="A3921">
        <v>2</v>
      </c>
      <c r="B3921" t="s">
        <v>3788</v>
      </c>
      <c r="C3921">
        <v>7704022</v>
      </c>
      <c r="D3921" t="str">
        <f>"2210-5948"</f>
        <v>2210-5948</v>
      </c>
      <c r="E3921" t="s">
        <v>8</v>
      </c>
      <c r="F3921" t="s">
        <v>3930</v>
      </c>
      <c r="G3921">
        <v>1</v>
      </c>
    </row>
    <row r="3922" spans="1:7" x14ac:dyDescent="0.25">
      <c r="A3922">
        <v>2</v>
      </c>
      <c r="B3922" t="s">
        <v>3788</v>
      </c>
      <c r="C3922">
        <v>13715</v>
      </c>
      <c r="E3922" t="s">
        <v>8</v>
      </c>
      <c r="F3922" t="s">
        <v>3931</v>
      </c>
      <c r="G3922">
        <v>1</v>
      </c>
    </row>
    <row r="3923" spans="1:7" x14ac:dyDescent="0.25">
      <c r="A3923">
        <v>2</v>
      </c>
      <c r="B3923" t="s">
        <v>3788</v>
      </c>
      <c r="C3923">
        <v>9424</v>
      </c>
      <c r="D3923" t="str">
        <f>"1354-7860"</f>
        <v>1354-7860</v>
      </c>
      <c r="E3923" t="s">
        <v>8</v>
      </c>
      <c r="F3923" t="s">
        <v>3932</v>
      </c>
      <c r="G3923">
        <v>1</v>
      </c>
    </row>
    <row r="3924" spans="1:7" x14ac:dyDescent="0.25">
      <c r="A3924">
        <v>2</v>
      </c>
      <c r="B3924" t="s">
        <v>3788</v>
      </c>
      <c r="C3924">
        <v>3481</v>
      </c>
      <c r="D3924" t="str">
        <f>"0022-4995"</f>
        <v>0022-4995</v>
      </c>
      <c r="E3924" t="s">
        <v>8</v>
      </c>
      <c r="F3924" t="s">
        <v>3933</v>
      </c>
      <c r="G3924">
        <v>1</v>
      </c>
    </row>
    <row r="3925" spans="1:7" x14ac:dyDescent="0.25">
      <c r="A3925">
        <v>2</v>
      </c>
      <c r="B3925" t="s">
        <v>3788</v>
      </c>
      <c r="C3925">
        <v>18200</v>
      </c>
      <c r="D3925" t="str">
        <f>"1356-1863"</f>
        <v>1356-1863</v>
      </c>
      <c r="E3925" t="s">
        <v>8</v>
      </c>
      <c r="F3925" t="s">
        <v>3608</v>
      </c>
      <c r="G3925">
        <v>1</v>
      </c>
    </row>
    <row r="3926" spans="1:7" x14ac:dyDescent="0.25">
      <c r="A3926">
        <v>2</v>
      </c>
      <c r="B3926" t="s">
        <v>3788</v>
      </c>
      <c r="C3926">
        <v>20589</v>
      </c>
      <c r="D3926" t="str">
        <f>"1559-372X"</f>
        <v>1559-372X</v>
      </c>
      <c r="E3926" t="s">
        <v>8</v>
      </c>
      <c r="F3926" t="s">
        <v>3934</v>
      </c>
      <c r="G3926">
        <v>1</v>
      </c>
    </row>
    <row r="3927" spans="1:7" x14ac:dyDescent="0.25">
      <c r="A3927">
        <v>2</v>
      </c>
      <c r="B3927" t="s">
        <v>3788</v>
      </c>
      <c r="C3927">
        <v>180051</v>
      </c>
      <c r="D3927" t="str">
        <f>"1971-8608"</f>
        <v>1971-8608</v>
      </c>
      <c r="E3927" t="s">
        <v>8</v>
      </c>
      <c r="F3927" t="s">
        <v>3935</v>
      </c>
      <c r="G3927">
        <v>1</v>
      </c>
    </row>
    <row r="3928" spans="1:7" x14ac:dyDescent="0.25">
      <c r="A3928">
        <v>2</v>
      </c>
      <c r="B3928" t="s">
        <v>3788</v>
      </c>
      <c r="C3928">
        <v>14865</v>
      </c>
      <c r="D3928" t="str">
        <f>"0023-3900"</f>
        <v>0023-3900</v>
      </c>
      <c r="E3928" t="s">
        <v>8</v>
      </c>
      <c r="F3928" t="s">
        <v>3936</v>
      </c>
      <c r="G3928">
        <v>1</v>
      </c>
    </row>
    <row r="3929" spans="1:7" x14ac:dyDescent="0.25">
      <c r="A3929">
        <v>2</v>
      </c>
      <c r="B3929" t="s">
        <v>3788</v>
      </c>
      <c r="C3929">
        <v>800</v>
      </c>
      <c r="D3929" t="str">
        <f>"0145-840X"</f>
        <v>0145-840X</v>
      </c>
      <c r="E3929" t="s">
        <v>8</v>
      </c>
      <c r="F3929" t="s">
        <v>3937</v>
      </c>
      <c r="G3929">
        <v>1</v>
      </c>
    </row>
    <row r="3930" spans="1:7" x14ac:dyDescent="0.25">
      <c r="A3930">
        <v>2</v>
      </c>
      <c r="B3930" t="s">
        <v>3788</v>
      </c>
      <c r="C3930">
        <v>156021</v>
      </c>
      <c r="D3930" t="str">
        <f>"1356-3491"</f>
        <v>1356-3491</v>
      </c>
      <c r="E3930" t="s">
        <v>8</v>
      </c>
      <c r="F3930" t="s">
        <v>3938</v>
      </c>
      <c r="G3930">
        <v>1</v>
      </c>
    </row>
    <row r="3931" spans="1:7" x14ac:dyDescent="0.25">
      <c r="A3931">
        <v>2</v>
      </c>
      <c r="B3931" t="s">
        <v>3788</v>
      </c>
      <c r="C3931">
        <v>11817</v>
      </c>
      <c r="D3931" t="str">
        <f>"0884-3236"</f>
        <v>0884-3236</v>
      </c>
      <c r="E3931" t="s">
        <v>8</v>
      </c>
      <c r="F3931" t="s">
        <v>3939</v>
      </c>
      <c r="G3931">
        <v>1</v>
      </c>
    </row>
    <row r="3932" spans="1:7" x14ac:dyDescent="0.25">
      <c r="A3932">
        <v>2</v>
      </c>
      <c r="B3932" t="s">
        <v>3788</v>
      </c>
      <c r="C3932">
        <v>5515</v>
      </c>
      <c r="D3932" t="str">
        <f>"0263-7189"</f>
        <v>0263-7189</v>
      </c>
      <c r="E3932" t="s">
        <v>8</v>
      </c>
      <c r="F3932" t="s">
        <v>3940</v>
      </c>
      <c r="G3932">
        <v>1</v>
      </c>
    </row>
    <row r="3933" spans="1:7" x14ac:dyDescent="0.25">
      <c r="A3933">
        <v>2</v>
      </c>
      <c r="B3933" t="s">
        <v>3788</v>
      </c>
      <c r="C3933">
        <v>21125</v>
      </c>
      <c r="D3933" t="str">
        <f>"0731-3500"</f>
        <v>0731-3500</v>
      </c>
      <c r="E3933" t="s">
        <v>8</v>
      </c>
      <c r="F3933" t="s">
        <v>3941</v>
      </c>
      <c r="G3933">
        <v>1</v>
      </c>
    </row>
    <row r="3934" spans="1:7" x14ac:dyDescent="0.25">
      <c r="A3934">
        <v>2</v>
      </c>
      <c r="B3934" t="s">
        <v>3788</v>
      </c>
      <c r="C3934">
        <v>7622</v>
      </c>
      <c r="D3934" t="str">
        <f>"1238-5018"</f>
        <v>1238-5018</v>
      </c>
      <c r="E3934" t="s">
        <v>8</v>
      </c>
      <c r="F3934" t="s">
        <v>3942</v>
      </c>
      <c r="G3934">
        <v>1</v>
      </c>
    </row>
    <row r="3935" spans="1:7" x14ac:dyDescent="0.25">
      <c r="A3935">
        <v>2</v>
      </c>
      <c r="B3935" t="s">
        <v>3788</v>
      </c>
      <c r="C3935">
        <v>8783839</v>
      </c>
      <c r="D3935" t="str">
        <f>"2169-4435"</f>
        <v>2169-4435</v>
      </c>
      <c r="E3935" t="s">
        <v>8</v>
      </c>
      <c r="F3935" t="s">
        <v>3943</v>
      </c>
      <c r="G3935">
        <v>1</v>
      </c>
    </row>
    <row r="3936" spans="1:7" x14ac:dyDescent="0.25">
      <c r="A3936">
        <v>2</v>
      </c>
      <c r="B3936" t="s">
        <v>3788</v>
      </c>
      <c r="C3936">
        <v>13170</v>
      </c>
      <c r="D3936" t="str">
        <f>"1875-7421"</f>
        <v>1875-7421</v>
      </c>
      <c r="E3936" t="s">
        <v>8</v>
      </c>
      <c r="F3936" t="s">
        <v>3944</v>
      </c>
      <c r="G3936">
        <v>1</v>
      </c>
    </row>
    <row r="3937" spans="1:7" x14ac:dyDescent="0.25">
      <c r="A3937">
        <v>2</v>
      </c>
      <c r="B3937" t="s">
        <v>3788</v>
      </c>
      <c r="C3937">
        <v>18365</v>
      </c>
      <c r="D3937" t="str">
        <f>"0575-1330"</f>
        <v>0575-1330</v>
      </c>
      <c r="E3937" t="s">
        <v>15</v>
      </c>
      <c r="F3937" t="s">
        <v>3945</v>
      </c>
      <c r="G3937">
        <v>1</v>
      </c>
    </row>
    <row r="3938" spans="1:7" x14ac:dyDescent="0.25">
      <c r="A3938">
        <v>2</v>
      </c>
      <c r="B3938" t="s">
        <v>3788</v>
      </c>
      <c r="C3938">
        <v>180050</v>
      </c>
      <c r="D3938" t="str">
        <f>"1759-1953"</f>
        <v>1759-1953</v>
      </c>
      <c r="E3938" t="s">
        <v>8</v>
      </c>
      <c r="F3938" t="s">
        <v>3946</v>
      </c>
      <c r="G3938">
        <v>1</v>
      </c>
    </row>
    <row r="3939" spans="1:7" x14ac:dyDescent="0.25">
      <c r="A3939">
        <v>2</v>
      </c>
      <c r="B3939" t="s">
        <v>3788</v>
      </c>
      <c r="C3939">
        <v>180053</v>
      </c>
      <c r="D3939" t="str">
        <f>"1059-7867"</f>
        <v>1059-7867</v>
      </c>
      <c r="E3939" t="s">
        <v>15</v>
      </c>
      <c r="F3939" t="s">
        <v>3947</v>
      </c>
      <c r="G3939">
        <v>1</v>
      </c>
    </row>
    <row r="3940" spans="1:7" x14ac:dyDescent="0.25">
      <c r="A3940">
        <v>2</v>
      </c>
      <c r="B3940" t="s">
        <v>3788</v>
      </c>
      <c r="C3940">
        <v>9540</v>
      </c>
      <c r="D3940" t="str">
        <f>"1061-1924"</f>
        <v>1061-1924</v>
      </c>
      <c r="E3940" t="s">
        <v>8</v>
      </c>
      <c r="F3940" t="s">
        <v>3948</v>
      </c>
      <c r="G3940">
        <v>1</v>
      </c>
    </row>
    <row r="3941" spans="1:7" x14ac:dyDescent="0.25">
      <c r="A3941">
        <v>2</v>
      </c>
      <c r="B3941" t="s">
        <v>3788</v>
      </c>
      <c r="C3941">
        <v>6821</v>
      </c>
      <c r="D3941" t="str">
        <f>"1073-9467"</f>
        <v>1073-9467</v>
      </c>
      <c r="E3941" t="s">
        <v>8</v>
      </c>
      <c r="F3941" t="s">
        <v>3949</v>
      </c>
      <c r="G3941">
        <v>1</v>
      </c>
    </row>
    <row r="3942" spans="1:7" x14ac:dyDescent="0.25">
      <c r="A3942">
        <v>2</v>
      </c>
      <c r="B3942" t="s">
        <v>3788</v>
      </c>
      <c r="C3942">
        <v>4822</v>
      </c>
      <c r="D3942" t="str">
        <f>"0899-2851"</f>
        <v>0899-2851</v>
      </c>
      <c r="E3942" t="s">
        <v>8</v>
      </c>
      <c r="F3942" t="s">
        <v>3950</v>
      </c>
      <c r="G3942">
        <v>1</v>
      </c>
    </row>
    <row r="3943" spans="1:7" x14ac:dyDescent="0.25">
      <c r="A3943">
        <v>2</v>
      </c>
      <c r="B3943" t="s">
        <v>3788</v>
      </c>
      <c r="C3943">
        <v>12215</v>
      </c>
      <c r="D3943" t="str">
        <f>"1475-262X"</f>
        <v>1475-262X</v>
      </c>
      <c r="E3943" t="s">
        <v>8</v>
      </c>
      <c r="F3943" t="s">
        <v>3951</v>
      </c>
      <c r="G3943">
        <v>1</v>
      </c>
    </row>
    <row r="3944" spans="1:7" x14ac:dyDescent="0.25">
      <c r="A3944">
        <v>2</v>
      </c>
      <c r="B3944" t="s">
        <v>3788</v>
      </c>
      <c r="C3944">
        <v>13655</v>
      </c>
      <c r="D3944" t="str">
        <f>"0026-3206"</f>
        <v>0026-3206</v>
      </c>
      <c r="E3944" t="s">
        <v>8</v>
      </c>
      <c r="F3944" t="s">
        <v>3952</v>
      </c>
      <c r="G3944">
        <v>1</v>
      </c>
    </row>
    <row r="3945" spans="1:7" x14ac:dyDescent="0.25">
      <c r="A3945">
        <v>2</v>
      </c>
      <c r="B3945" t="s">
        <v>3788</v>
      </c>
      <c r="C3945">
        <v>12900</v>
      </c>
      <c r="D3945" t="str">
        <f>"0027-0741"</f>
        <v>0027-0741</v>
      </c>
      <c r="E3945" t="s">
        <v>8</v>
      </c>
      <c r="F3945" t="s">
        <v>3953</v>
      </c>
      <c r="G3945">
        <v>1</v>
      </c>
    </row>
    <row r="3946" spans="1:7" x14ac:dyDescent="0.25">
      <c r="A3946">
        <v>2</v>
      </c>
      <c r="B3946" t="s">
        <v>3788</v>
      </c>
      <c r="C3946">
        <v>23164</v>
      </c>
      <c r="D3946" t="str">
        <f>"0254-9948"</f>
        <v>0254-9948</v>
      </c>
      <c r="E3946" t="s">
        <v>8</v>
      </c>
      <c r="F3946" t="s">
        <v>3954</v>
      </c>
      <c r="G3946">
        <v>1</v>
      </c>
    </row>
    <row r="3947" spans="1:7" x14ac:dyDescent="0.25">
      <c r="A3947">
        <v>2</v>
      </c>
      <c r="B3947" t="s">
        <v>3788</v>
      </c>
      <c r="C3947">
        <v>104080</v>
      </c>
      <c r="D3947" t="str">
        <f>"1620-3224"</f>
        <v>1620-3224</v>
      </c>
      <c r="E3947" t="s">
        <v>8</v>
      </c>
      <c r="F3947" t="s">
        <v>3955</v>
      </c>
      <c r="G3947">
        <v>1</v>
      </c>
    </row>
    <row r="3948" spans="1:7" x14ac:dyDescent="0.25">
      <c r="A3948">
        <v>2</v>
      </c>
      <c r="B3948" t="s">
        <v>3788</v>
      </c>
      <c r="C3948">
        <v>55376</v>
      </c>
      <c r="D3948" t="str">
        <f>"1359-0421"</f>
        <v>1359-0421</v>
      </c>
      <c r="E3948" t="s">
        <v>15</v>
      </c>
      <c r="F3948" t="s">
        <v>3956</v>
      </c>
      <c r="G3948">
        <v>1</v>
      </c>
    </row>
    <row r="3949" spans="1:7" x14ac:dyDescent="0.25">
      <c r="A3949">
        <v>2</v>
      </c>
      <c r="B3949" t="s">
        <v>3788</v>
      </c>
      <c r="C3949">
        <v>19</v>
      </c>
      <c r="D3949" t="str">
        <f>"0740-9133"</f>
        <v>0740-9133</v>
      </c>
      <c r="E3949" t="s">
        <v>8</v>
      </c>
      <c r="F3949" t="s">
        <v>3957</v>
      </c>
      <c r="G3949">
        <v>1</v>
      </c>
    </row>
    <row r="3950" spans="1:7" x14ac:dyDescent="0.25">
      <c r="A3950">
        <v>2</v>
      </c>
      <c r="B3950" t="s">
        <v>3788</v>
      </c>
      <c r="C3950">
        <v>11540</v>
      </c>
      <c r="D3950" t="str">
        <f>"0078-6578"</f>
        <v>0078-6578</v>
      </c>
      <c r="E3950" t="s">
        <v>8</v>
      </c>
      <c r="F3950" t="s">
        <v>3958</v>
      </c>
      <c r="G3950">
        <v>1</v>
      </c>
    </row>
    <row r="3951" spans="1:7" x14ac:dyDescent="0.25">
      <c r="A3951">
        <v>2</v>
      </c>
      <c r="B3951" t="s">
        <v>3788</v>
      </c>
      <c r="C3951">
        <v>564</v>
      </c>
      <c r="D3951" t="str">
        <f>"0030-5383"</f>
        <v>0030-5383</v>
      </c>
      <c r="E3951" t="s">
        <v>8</v>
      </c>
      <c r="F3951" t="s">
        <v>3959</v>
      </c>
      <c r="G3951">
        <v>1</v>
      </c>
    </row>
    <row r="3952" spans="1:7" x14ac:dyDescent="0.25">
      <c r="A3952">
        <v>2</v>
      </c>
      <c r="B3952" t="s">
        <v>3788</v>
      </c>
      <c r="C3952">
        <v>11446</v>
      </c>
      <c r="D3952" t="str">
        <f>"0030-5472"</f>
        <v>0030-5472</v>
      </c>
      <c r="E3952" t="s">
        <v>8</v>
      </c>
      <c r="F3952" t="s">
        <v>3960</v>
      </c>
      <c r="G3952">
        <v>1</v>
      </c>
    </row>
    <row r="3953" spans="1:7" x14ac:dyDescent="0.25">
      <c r="A3953">
        <v>2</v>
      </c>
      <c r="B3953" t="s">
        <v>3788</v>
      </c>
      <c r="C3953">
        <v>16545</v>
      </c>
      <c r="D3953" t="str">
        <f>"0030-851X"</f>
        <v>0030-851X</v>
      </c>
      <c r="E3953" t="s">
        <v>8</v>
      </c>
      <c r="F3953" t="s">
        <v>3961</v>
      </c>
      <c r="G3953">
        <v>1</v>
      </c>
    </row>
    <row r="3954" spans="1:7" x14ac:dyDescent="0.25">
      <c r="A3954">
        <v>2</v>
      </c>
      <c r="B3954" t="s">
        <v>3788</v>
      </c>
      <c r="C3954">
        <v>125957</v>
      </c>
      <c r="D3954" t="str">
        <f>"1021-9013"</f>
        <v>1021-9013</v>
      </c>
      <c r="E3954" t="s">
        <v>8</v>
      </c>
      <c r="F3954" t="s">
        <v>3962</v>
      </c>
      <c r="G3954">
        <v>1</v>
      </c>
    </row>
    <row r="3955" spans="1:7" x14ac:dyDescent="0.25">
      <c r="A3955">
        <v>2</v>
      </c>
      <c r="B3955" t="s">
        <v>3788</v>
      </c>
      <c r="C3955">
        <v>65771</v>
      </c>
      <c r="D3955" t="str">
        <f>"0033-2283"</f>
        <v>0033-2283</v>
      </c>
      <c r="E3955" t="s">
        <v>8</v>
      </c>
      <c r="F3955" t="s">
        <v>3963</v>
      </c>
      <c r="G3955">
        <v>1</v>
      </c>
    </row>
    <row r="3956" spans="1:7" x14ac:dyDescent="0.25">
      <c r="A3956">
        <v>2</v>
      </c>
      <c r="B3956" t="s">
        <v>3788</v>
      </c>
      <c r="C3956">
        <v>10775</v>
      </c>
      <c r="D3956" t="str">
        <f>"0034-5210"</f>
        <v>0034-5210</v>
      </c>
      <c r="E3956" t="s">
        <v>8</v>
      </c>
      <c r="F3956" t="s">
        <v>3964</v>
      </c>
      <c r="G3956">
        <v>1</v>
      </c>
    </row>
    <row r="3957" spans="1:7" x14ac:dyDescent="0.25">
      <c r="A3957">
        <v>2</v>
      </c>
      <c r="B3957" t="s">
        <v>3788</v>
      </c>
      <c r="C3957">
        <v>22922</v>
      </c>
      <c r="D3957" t="str">
        <f>"2151-3481"</f>
        <v>2151-3481</v>
      </c>
      <c r="E3957" t="s">
        <v>8</v>
      </c>
      <c r="F3957" t="s">
        <v>3965</v>
      </c>
      <c r="G3957">
        <v>1</v>
      </c>
    </row>
    <row r="3958" spans="1:7" x14ac:dyDescent="0.25">
      <c r="A3958">
        <v>2</v>
      </c>
      <c r="B3958" t="s">
        <v>3788</v>
      </c>
      <c r="C3958">
        <v>12109</v>
      </c>
      <c r="D3958" t="str">
        <f>"0997-1327"</f>
        <v>0997-1327</v>
      </c>
      <c r="E3958" t="s">
        <v>8</v>
      </c>
      <c r="F3958" t="s">
        <v>3966</v>
      </c>
      <c r="G3958">
        <v>1</v>
      </c>
    </row>
    <row r="3959" spans="1:7" x14ac:dyDescent="0.25">
      <c r="A3959">
        <v>2</v>
      </c>
      <c r="B3959" t="s">
        <v>3788</v>
      </c>
      <c r="C3959">
        <v>12547</v>
      </c>
      <c r="D3959" t="str">
        <f>"1582-6953"</f>
        <v>1582-6953</v>
      </c>
      <c r="E3959" t="s">
        <v>8</v>
      </c>
      <c r="F3959" t="s">
        <v>3967</v>
      </c>
      <c r="G3959">
        <v>1</v>
      </c>
    </row>
    <row r="3960" spans="1:7" x14ac:dyDescent="0.25">
      <c r="A3960">
        <v>2</v>
      </c>
      <c r="B3960" t="s">
        <v>3788</v>
      </c>
      <c r="C3960">
        <v>170012</v>
      </c>
      <c r="E3960" t="s">
        <v>15</v>
      </c>
      <c r="F3960" t="s">
        <v>3968</v>
      </c>
      <c r="G3960">
        <v>1</v>
      </c>
    </row>
    <row r="3961" spans="1:7" x14ac:dyDescent="0.25">
      <c r="A3961">
        <v>2</v>
      </c>
      <c r="B3961" t="s">
        <v>3788</v>
      </c>
      <c r="C3961">
        <v>180044</v>
      </c>
      <c r="E3961" t="s">
        <v>15</v>
      </c>
      <c r="F3961" t="s">
        <v>3969</v>
      </c>
      <c r="G3961">
        <v>1</v>
      </c>
    </row>
    <row r="3962" spans="1:7" x14ac:dyDescent="0.25">
      <c r="A3962">
        <v>2</v>
      </c>
      <c r="B3962" t="s">
        <v>3788</v>
      </c>
      <c r="C3962">
        <v>8783833</v>
      </c>
      <c r="E3962" t="s">
        <v>15</v>
      </c>
      <c r="F3962" t="s">
        <v>3970</v>
      </c>
      <c r="G3962">
        <v>1</v>
      </c>
    </row>
    <row r="3963" spans="1:7" x14ac:dyDescent="0.25">
      <c r="A3963">
        <v>2</v>
      </c>
      <c r="B3963" t="s">
        <v>3788</v>
      </c>
      <c r="C3963">
        <v>8783834</v>
      </c>
      <c r="E3963" t="s">
        <v>15</v>
      </c>
      <c r="F3963" t="s">
        <v>3971</v>
      </c>
      <c r="G3963">
        <v>1</v>
      </c>
    </row>
    <row r="3964" spans="1:7" x14ac:dyDescent="0.25">
      <c r="A3964">
        <v>2</v>
      </c>
      <c r="B3964" t="s">
        <v>3788</v>
      </c>
      <c r="C3964">
        <v>180046</v>
      </c>
      <c r="E3964" t="s">
        <v>15</v>
      </c>
      <c r="F3964" t="s">
        <v>3972</v>
      </c>
      <c r="G3964">
        <v>1</v>
      </c>
    </row>
    <row r="3965" spans="1:7" x14ac:dyDescent="0.25">
      <c r="A3965">
        <v>2</v>
      </c>
      <c r="B3965" t="s">
        <v>3788</v>
      </c>
      <c r="C3965">
        <v>12013</v>
      </c>
      <c r="D3965" t="str">
        <f>"0038-2353"</f>
        <v>0038-2353</v>
      </c>
      <c r="E3965" t="s">
        <v>8</v>
      </c>
      <c r="F3965" t="s">
        <v>3973</v>
      </c>
      <c r="G3965">
        <v>1</v>
      </c>
    </row>
    <row r="3966" spans="1:7" x14ac:dyDescent="0.25">
      <c r="A3966">
        <v>2</v>
      </c>
      <c r="B3966" t="s">
        <v>3788</v>
      </c>
      <c r="C3966">
        <v>122916</v>
      </c>
      <c r="E3966" t="s">
        <v>8</v>
      </c>
      <c r="F3966" t="s">
        <v>3974</v>
      </c>
      <c r="G3966">
        <v>1</v>
      </c>
    </row>
    <row r="3967" spans="1:7" x14ac:dyDescent="0.25">
      <c r="A3967">
        <v>2</v>
      </c>
      <c r="B3967" t="s">
        <v>3788</v>
      </c>
      <c r="C3967">
        <v>13790</v>
      </c>
      <c r="D3967" t="str">
        <f>"0262-7280"</f>
        <v>0262-7280</v>
      </c>
      <c r="E3967" t="s">
        <v>8</v>
      </c>
      <c r="F3967" t="s">
        <v>3975</v>
      </c>
      <c r="G3967">
        <v>1</v>
      </c>
    </row>
    <row r="3968" spans="1:7" x14ac:dyDescent="0.25">
      <c r="A3968">
        <v>2</v>
      </c>
      <c r="B3968" t="s">
        <v>3788</v>
      </c>
      <c r="C3968">
        <v>5625</v>
      </c>
      <c r="D3968" t="str">
        <f>"0085-6401"</f>
        <v>0085-6401</v>
      </c>
      <c r="E3968" t="s">
        <v>8</v>
      </c>
      <c r="F3968" t="s">
        <v>3976</v>
      </c>
      <c r="G3968">
        <v>1</v>
      </c>
    </row>
    <row r="3969" spans="1:7" x14ac:dyDescent="0.25">
      <c r="A3969">
        <v>2</v>
      </c>
      <c r="B3969" t="s">
        <v>3788</v>
      </c>
      <c r="C3969">
        <v>4430</v>
      </c>
      <c r="D3969" t="str">
        <f>"1474-6689"</f>
        <v>1474-6689</v>
      </c>
      <c r="E3969" t="s">
        <v>8</v>
      </c>
      <c r="F3969" t="s">
        <v>3977</v>
      </c>
      <c r="G3969">
        <v>1</v>
      </c>
    </row>
    <row r="3970" spans="1:7" x14ac:dyDescent="0.25">
      <c r="A3970">
        <v>2</v>
      </c>
      <c r="B3970" t="s">
        <v>3788</v>
      </c>
      <c r="C3970">
        <v>6899</v>
      </c>
      <c r="D3970" t="str">
        <f>"0266-6030"</f>
        <v>0266-6030</v>
      </c>
      <c r="E3970" t="s">
        <v>8</v>
      </c>
      <c r="F3970" t="s">
        <v>3978</v>
      </c>
      <c r="G3970">
        <v>1</v>
      </c>
    </row>
    <row r="3971" spans="1:7" x14ac:dyDescent="0.25">
      <c r="A3971">
        <v>2</v>
      </c>
      <c r="B3971" t="s">
        <v>3788</v>
      </c>
      <c r="C3971">
        <v>2362</v>
      </c>
      <c r="D3971" t="str">
        <f>"0967-828X"</f>
        <v>0967-828X</v>
      </c>
      <c r="E3971" t="s">
        <v>8</v>
      </c>
      <c r="F3971" t="s">
        <v>3979</v>
      </c>
      <c r="G3971">
        <v>1</v>
      </c>
    </row>
    <row r="3972" spans="1:7" x14ac:dyDescent="0.25">
      <c r="A3972">
        <v>2</v>
      </c>
      <c r="B3972" t="s">
        <v>3788</v>
      </c>
      <c r="C3972">
        <v>40906</v>
      </c>
      <c r="D3972" t="str">
        <f>"0377-5437"</f>
        <v>0377-5437</v>
      </c>
      <c r="E3972" t="s">
        <v>15</v>
      </c>
      <c r="F3972" t="s">
        <v>3980</v>
      </c>
      <c r="G3972">
        <v>1</v>
      </c>
    </row>
    <row r="3973" spans="1:7" x14ac:dyDescent="0.25">
      <c r="A3973">
        <v>2</v>
      </c>
      <c r="B3973" t="s">
        <v>3788</v>
      </c>
      <c r="C3973">
        <v>18304</v>
      </c>
      <c r="D3973" t="str">
        <f>"0221-5004"</f>
        <v>0221-5004</v>
      </c>
      <c r="E3973" t="s">
        <v>8</v>
      </c>
      <c r="F3973" t="s">
        <v>3981</v>
      </c>
      <c r="G3973">
        <v>1</v>
      </c>
    </row>
    <row r="3974" spans="1:7" x14ac:dyDescent="0.25">
      <c r="A3974">
        <v>2</v>
      </c>
      <c r="B3974" t="s">
        <v>3788</v>
      </c>
      <c r="C3974">
        <v>5643</v>
      </c>
      <c r="D3974" t="str">
        <f>"0585-5292"</f>
        <v>0585-5292</v>
      </c>
      <c r="E3974" t="s">
        <v>8</v>
      </c>
      <c r="F3974" t="s">
        <v>3982</v>
      </c>
      <c r="G3974">
        <v>1</v>
      </c>
    </row>
    <row r="3975" spans="1:7" x14ac:dyDescent="0.25">
      <c r="A3975">
        <v>2</v>
      </c>
      <c r="B3975" t="s">
        <v>3788</v>
      </c>
      <c r="C3975">
        <v>8768239</v>
      </c>
      <c r="D3975" t="str">
        <f>"2196-7180"</f>
        <v>2196-7180</v>
      </c>
      <c r="E3975" t="s">
        <v>15</v>
      </c>
      <c r="F3975" t="s">
        <v>3983</v>
      </c>
      <c r="G3975">
        <v>1</v>
      </c>
    </row>
    <row r="3976" spans="1:7" x14ac:dyDescent="0.25">
      <c r="A3976">
        <v>2</v>
      </c>
      <c r="B3976" t="s">
        <v>3788</v>
      </c>
      <c r="C3976">
        <v>17384</v>
      </c>
      <c r="D3976" t="str">
        <f>"0049-2949"</f>
        <v>0049-2949</v>
      </c>
      <c r="E3976" t="s">
        <v>8</v>
      </c>
      <c r="F3976" t="s">
        <v>3984</v>
      </c>
      <c r="G3976">
        <v>1</v>
      </c>
    </row>
    <row r="3977" spans="1:7" x14ac:dyDescent="0.25">
      <c r="A3977">
        <v>2</v>
      </c>
      <c r="B3977" t="s">
        <v>3788</v>
      </c>
      <c r="C3977">
        <v>9333</v>
      </c>
      <c r="D3977" t="str">
        <f>"1324-9347"</f>
        <v>1324-9347</v>
      </c>
      <c r="E3977" t="s">
        <v>8</v>
      </c>
      <c r="F3977" t="s">
        <v>3985</v>
      </c>
      <c r="G3977">
        <v>1</v>
      </c>
    </row>
    <row r="3978" spans="1:7" x14ac:dyDescent="0.25">
      <c r="A3978">
        <v>2</v>
      </c>
      <c r="B3978" t="s">
        <v>3788</v>
      </c>
      <c r="C3978">
        <v>17389</v>
      </c>
      <c r="D3978" t="str">
        <f>"1680-2012"</f>
        <v>1680-2012</v>
      </c>
      <c r="E3978" t="s">
        <v>8</v>
      </c>
      <c r="F3978" t="s">
        <v>3986</v>
      </c>
      <c r="G3978">
        <v>1</v>
      </c>
    </row>
    <row r="3979" spans="1:7" x14ac:dyDescent="0.25">
      <c r="A3979">
        <v>2</v>
      </c>
      <c r="B3979" t="s">
        <v>3788</v>
      </c>
      <c r="C3979">
        <v>8098</v>
      </c>
      <c r="D3979" t="str">
        <f>"0309-457X"</f>
        <v>0309-457X</v>
      </c>
      <c r="E3979" t="s">
        <v>8</v>
      </c>
      <c r="F3979" t="s">
        <v>3987</v>
      </c>
      <c r="G3979">
        <v>1</v>
      </c>
    </row>
    <row r="3980" spans="1:7" x14ac:dyDescent="0.25">
      <c r="A3980">
        <v>2</v>
      </c>
      <c r="B3980" t="s">
        <v>3788</v>
      </c>
      <c r="C3980">
        <v>180048</v>
      </c>
      <c r="E3980" t="s">
        <v>15</v>
      </c>
      <c r="F3980" t="s">
        <v>3988</v>
      </c>
      <c r="G3980">
        <v>1</v>
      </c>
    </row>
    <row r="3981" spans="1:7" x14ac:dyDescent="0.25">
      <c r="A3981">
        <v>2</v>
      </c>
      <c r="B3981" t="s">
        <v>3788</v>
      </c>
      <c r="C3981">
        <v>8783841</v>
      </c>
      <c r="E3981" t="s">
        <v>15</v>
      </c>
      <c r="F3981" t="s">
        <v>3989</v>
      </c>
      <c r="G3981">
        <v>1</v>
      </c>
    </row>
    <row r="3982" spans="1:7" x14ac:dyDescent="0.25">
      <c r="A3982">
        <v>2</v>
      </c>
      <c r="B3982" t="s">
        <v>3788</v>
      </c>
      <c r="C3982">
        <v>7717008</v>
      </c>
      <c r="D3982" t="str">
        <f>"2191-5806"</f>
        <v>2191-5806</v>
      </c>
      <c r="E3982" t="s">
        <v>15</v>
      </c>
      <c r="F3982" t="s">
        <v>3990</v>
      </c>
      <c r="G3982">
        <v>1</v>
      </c>
    </row>
    <row r="3983" spans="1:7" x14ac:dyDescent="0.25">
      <c r="A3983">
        <v>2</v>
      </c>
      <c r="B3983" t="s">
        <v>3788</v>
      </c>
      <c r="C3983">
        <v>50394</v>
      </c>
      <c r="D3983" t="str">
        <f>"1161-9473"</f>
        <v>1161-9473</v>
      </c>
      <c r="E3983" t="s">
        <v>8</v>
      </c>
      <c r="F3983" t="s">
        <v>3991</v>
      </c>
      <c r="G3983">
        <v>1</v>
      </c>
    </row>
    <row r="3984" spans="1:7" x14ac:dyDescent="0.25">
      <c r="A3984">
        <v>2</v>
      </c>
      <c r="B3984" t="s">
        <v>3788</v>
      </c>
      <c r="C3984">
        <v>10357</v>
      </c>
      <c r="D3984" t="str">
        <f>"0082-5433"</f>
        <v>0082-5433</v>
      </c>
      <c r="E3984" t="s">
        <v>8</v>
      </c>
      <c r="F3984" t="s">
        <v>3992</v>
      </c>
      <c r="G3984">
        <v>1</v>
      </c>
    </row>
    <row r="3985" spans="1:7" x14ac:dyDescent="0.25">
      <c r="A3985">
        <v>2</v>
      </c>
      <c r="B3985" t="s">
        <v>3788</v>
      </c>
      <c r="C3985">
        <v>15344</v>
      </c>
      <c r="D3985" t="str">
        <f>"0035-919X"</f>
        <v>0035-919X</v>
      </c>
      <c r="E3985" t="s">
        <v>8</v>
      </c>
      <c r="F3985" t="s">
        <v>3993</v>
      </c>
      <c r="G3985">
        <v>1</v>
      </c>
    </row>
    <row r="3986" spans="1:7" x14ac:dyDescent="0.25">
      <c r="A3986">
        <v>2</v>
      </c>
      <c r="B3986" t="s">
        <v>3788</v>
      </c>
      <c r="C3986">
        <v>144133</v>
      </c>
      <c r="D3986" t="str">
        <f>"1302-6011"</f>
        <v>1302-6011</v>
      </c>
      <c r="E3986" t="s">
        <v>8</v>
      </c>
      <c r="F3986" t="s">
        <v>3994</v>
      </c>
      <c r="G3986">
        <v>1</v>
      </c>
    </row>
    <row r="3987" spans="1:7" x14ac:dyDescent="0.25">
      <c r="A3987">
        <v>2</v>
      </c>
      <c r="B3987" t="s">
        <v>3788</v>
      </c>
      <c r="C3987">
        <v>19836</v>
      </c>
      <c r="D3987" t="str">
        <f>"1521-5385"</f>
        <v>1521-5385</v>
      </c>
      <c r="E3987" t="s">
        <v>8</v>
      </c>
      <c r="F3987" t="s">
        <v>3995</v>
      </c>
      <c r="G3987">
        <v>1</v>
      </c>
    </row>
    <row r="3988" spans="1:7" x14ac:dyDescent="0.25">
      <c r="A3988">
        <v>20</v>
      </c>
      <c r="B3988" t="s">
        <v>3996</v>
      </c>
      <c r="C3988">
        <v>12643</v>
      </c>
      <c r="D3988" t="str">
        <f>"0957-0411"</f>
        <v>0957-0411</v>
      </c>
      <c r="E3988" t="s">
        <v>8</v>
      </c>
      <c r="F3988" t="s">
        <v>3997</v>
      </c>
      <c r="G3988">
        <v>2</v>
      </c>
    </row>
    <row r="3989" spans="1:7" x14ac:dyDescent="0.25">
      <c r="A3989">
        <v>20</v>
      </c>
      <c r="B3989" t="s">
        <v>3996</v>
      </c>
      <c r="C3989">
        <v>10914</v>
      </c>
      <c r="D3989" t="str">
        <f>"0007-9758"</f>
        <v>0007-9758</v>
      </c>
      <c r="E3989" t="s">
        <v>15</v>
      </c>
      <c r="F3989" t="s">
        <v>3998</v>
      </c>
      <c r="G3989">
        <v>2</v>
      </c>
    </row>
    <row r="3990" spans="1:7" x14ac:dyDescent="0.25">
      <c r="A3990">
        <v>20</v>
      </c>
      <c r="B3990" t="s">
        <v>3996</v>
      </c>
      <c r="C3990">
        <v>55451</v>
      </c>
      <c r="D3990" t="str">
        <f>"1528-8870"</f>
        <v>1528-8870</v>
      </c>
      <c r="E3990" t="s">
        <v>8</v>
      </c>
      <c r="F3990" t="s">
        <v>3999</v>
      </c>
      <c r="G3990">
        <v>2</v>
      </c>
    </row>
    <row r="3991" spans="1:7" x14ac:dyDescent="0.25">
      <c r="A3991">
        <v>20</v>
      </c>
      <c r="B3991" t="s">
        <v>3996</v>
      </c>
      <c r="C3991">
        <v>11009</v>
      </c>
      <c r="D3991" t="str">
        <f>"0010-1958"</f>
        <v>0010-1958</v>
      </c>
      <c r="E3991" t="s">
        <v>8</v>
      </c>
      <c r="F3991" t="s">
        <v>4000</v>
      </c>
      <c r="G3991">
        <v>2</v>
      </c>
    </row>
    <row r="3992" spans="1:7" x14ac:dyDescent="0.25">
      <c r="A3992">
        <v>20</v>
      </c>
      <c r="B3992" t="s">
        <v>3996</v>
      </c>
      <c r="C3992">
        <v>10864</v>
      </c>
      <c r="D3992" t="str">
        <f>"0165-0750"</f>
        <v>0165-0750</v>
      </c>
      <c r="E3992" t="s">
        <v>8</v>
      </c>
      <c r="F3992" t="s">
        <v>4001</v>
      </c>
      <c r="G3992">
        <v>2</v>
      </c>
    </row>
    <row r="3993" spans="1:7" x14ac:dyDescent="0.25">
      <c r="A3993">
        <v>20</v>
      </c>
      <c r="B3993" t="s">
        <v>3996</v>
      </c>
      <c r="C3993">
        <v>9213</v>
      </c>
      <c r="D3993" t="str">
        <f>"0267-3649"</f>
        <v>0267-3649</v>
      </c>
      <c r="E3993" t="s">
        <v>8</v>
      </c>
      <c r="F3993" t="s">
        <v>4002</v>
      </c>
      <c r="G3993">
        <v>2</v>
      </c>
    </row>
    <row r="3994" spans="1:7" x14ac:dyDescent="0.25">
      <c r="A3994">
        <v>20</v>
      </c>
      <c r="B3994" t="s">
        <v>3996</v>
      </c>
      <c r="C3994">
        <v>6219</v>
      </c>
      <c r="D3994" t="str">
        <f>"1046-8374"</f>
        <v>1046-8374</v>
      </c>
      <c r="E3994" t="s">
        <v>8</v>
      </c>
      <c r="F3994" t="s">
        <v>4003</v>
      </c>
      <c r="G3994">
        <v>2</v>
      </c>
    </row>
    <row r="3995" spans="1:7" x14ac:dyDescent="0.25">
      <c r="A3995">
        <v>20</v>
      </c>
      <c r="B3995" t="s">
        <v>3996</v>
      </c>
      <c r="C3995">
        <v>4781</v>
      </c>
      <c r="D3995" t="str">
        <f>"1053-6736"</f>
        <v>1053-6736</v>
      </c>
      <c r="E3995" t="s">
        <v>8</v>
      </c>
      <c r="F3995" t="s">
        <v>4004</v>
      </c>
      <c r="G3995">
        <v>2</v>
      </c>
    </row>
    <row r="3996" spans="1:7" x14ac:dyDescent="0.25">
      <c r="A3996">
        <v>20</v>
      </c>
      <c r="B3996" t="s">
        <v>3996</v>
      </c>
      <c r="C3996">
        <v>14406</v>
      </c>
      <c r="D3996" t="str">
        <f>"0531-2485"</f>
        <v>0531-2485</v>
      </c>
      <c r="E3996" t="s">
        <v>8</v>
      </c>
      <c r="F3996" t="s">
        <v>4005</v>
      </c>
      <c r="G3996">
        <v>2</v>
      </c>
    </row>
    <row r="3997" spans="1:7" x14ac:dyDescent="0.25">
      <c r="A3997">
        <v>20</v>
      </c>
      <c r="B3997" t="s">
        <v>3996</v>
      </c>
      <c r="C3997">
        <v>16828</v>
      </c>
      <c r="D3997" t="str">
        <f>"0959-6941"</f>
        <v>0959-6941</v>
      </c>
      <c r="E3997" t="s">
        <v>8</v>
      </c>
      <c r="F3997" t="s">
        <v>4006</v>
      </c>
      <c r="G3997">
        <v>2</v>
      </c>
    </row>
    <row r="3998" spans="1:7" x14ac:dyDescent="0.25">
      <c r="A3998">
        <v>20</v>
      </c>
      <c r="B3998" t="s">
        <v>3996</v>
      </c>
      <c r="C3998">
        <v>21290</v>
      </c>
      <c r="D3998" t="str">
        <f>"1566-7529"</f>
        <v>1566-7529</v>
      </c>
      <c r="E3998" t="s">
        <v>8</v>
      </c>
      <c r="F3998" t="s">
        <v>4007</v>
      </c>
      <c r="G3998">
        <v>2</v>
      </c>
    </row>
    <row r="3999" spans="1:7" x14ac:dyDescent="0.25">
      <c r="A3999">
        <v>20</v>
      </c>
      <c r="B3999" t="s">
        <v>3996</v>
      </c>
      <c r="C3999">
        <v>22037</v>
      </c>
      <c r="D3999" t="str">
        <f>"1613-2548"</f>
        <v>1613-2548</v>
      </c>
      <c r="E3999" t="s">
        <v>8</v>
      </c>
      <c r="F3999" t="s">
        <v>4008</v>
      </c>
      <c r="G3999">
        <v>2</v>
      </c>
    </row>
    <row r="4000" spans="1:7" x14ac:dyDescent="0.25">
      <c r="A4000">
        <v>20</v>
      </c>
      <c r="B4000" t="s">
        <v>3996</v>
      </c>
      <c r="C4000">
        <v>1782</v>
      </c>
      <c r="D4000" t="str">
        <f>"0144-3054"</f>
        <v>0144-3054</v>
      </c>
      <c r="E4000" t="s">
        <v>8</v>
      </c>
      <c r="F4000" t="s">
        <v>4009</v>
      </c>
      <c r="G4000">
        <v>2</v>
      </c>
    </row>
    <row r="4001" spans="1:7" x14ac:dyDescent="0.25">
      <c r="A4001">
        <v>20</v>
      </c>
      <c r="B4001" t="s">
        <v>3996</v>
      </c>
      <c r="C4001">
        <v>17524</v>
      </c>
      <c r="D4001" t="str">
        <f>"1574-0196"</f>
        <v>1574-0196</v>
      </c>
      <c r="E4001" t="s">
        <v>8</v>
      </c>
      <c r="F4001" t="s">
        <v>4010</v>
      </c>
      <c r="G4001">
        <v>2</v>
      </c>
    </row>
    <row r="4002" spans="1:7" x14ac:dyDescent="0.25">
      <c r="A4002">
        <v>20</v>
      </c>
      <c r="B4002" t="s">
        <v>3996</v>
      </c>
      <c r="C4002">
        <v>3329</v>
      </c>
      <c r="D4002" t="str">
        <f>"1879-3886"</f>
        <v>1879-3886</v>
      </c>
      <c r="E4002" t="s">
        <v>8</v>
      </c>
      <c r="F4002" t="s">
        <v>4011</v>
      </c>
      <c r="G4002">
        <v>2</v>
      </c>
    </row>
    <row r="4003" spans="1:7" x14ac:dyDescent="0.25">
      <c r="A4003">
        <v>20</v>
      </c>
      <c r="B4003" t="s">
        <v>3996</v>
      </c>
      <c r="C4003">
        <v>8107</v>
      </c>
      <c r="D4003" t="str">
        <f>"0928-9569"</f>
        <v>0928-9569</v>
      </c>
      <c r="E4003" t="s">
        <v>8</v>
      </c>
      <c r="F4003" t="s">
        <v>4012</v>
      </c>
      <c r="G4003">
        <v>2</v>
      </c>
    </row>
    <row r="4004" spans="1:7" x14ac:dyDescent="0.25">
      <c r="A4004">
        <v>20</v>
      </c>
      <c r="B4004" t="s">
        <v>3996</v>
      </c>
      <c r="C4004">
        <v>546</v>
      </c>
      <c r="D4004" t="str">
        <f>"0929-0273"</f>
        <v>0929-0273</v>
      </c>
      <c r="E4004" t="s">
        <v>8</v>
      </c>
      <c r="F4004" t="s">
        <v>4013</v>
      </c>
      <c r="G4004">
        <v>2</v>
      </c>
    </row>
    <row r="4005" spans="1:7" x14ac:dyDescent="0.25">
      <c r="A4005">
        <v>20</v>
      </c>
      <c r="B4005" t="s">
        <v>3996</v>
      </c>
      <c r="C4005">
        <v>12064</v>
      </c>
      <c r="D4005" t="str">
        <f>"0938-5428"</f>
        <v>0938-5428</v>
      </c>
      <c r="E4005" t="s">
        <v>8</v>
      </c>
      <c r="F4005" t="s">
        <v>4014</v>
      </c>
      <c r="G4005">
        <v>2</v>
      </c>
    </row>
    <row r="4006" spans="1:7" x14ac:dyDescent="0.25">
      <c r="A4006">
        <v>20</v>
      </c>
      <c r="B4006" t="s">
        <v>3996</v>
      </c>
      <c r="C4006">
        <v>14287</v>
      </c>
      <c r="D4006" t="str">
        <f>"0929-1261"</f>
        <v>0929-1261</v>
      </c>
      <c r="E4006" t="s">
        <v>8</v>
      </c>
      <c r="F4006" t="s">
        <v>4015</v>
      </c>
      <c r="G4006">
        <v>2</v>
      </c>
    </row>
    <row r="4007" spans="1:7" x14ac:dyDescent="0.25">
      <c r="A4007">
        <v>20</v>
      </c>
      <c r="B4007" t="s">
        <v>3996</v>
      </c>
      <c r="C4007">
        <v>13831</v>
      </c>
      <c r="D4007" t="str">
        <f>"1388-364X"</f>
        <v>1388-364X</v>
      </c>
      <c r="E4007" t="s">
        <v>8</v>
      </c>
      <c r="F4007" t="s">
        <v>4016</v>
      </c>
      <c r="G4007">
        <v>2</v>
      </c>
    </row>
    <row r="4008" spans="1:7" x14ac:dyDescent="0.25">
      <c r="A4008">
        <v>20</v>
      </c>
      <c r="B4008" t="s">
        <v>3996</v>
      </c>
      <c r="C4008">
        <v>8589</v>
      </c>
      <c r="D4008" t="str">
        <f>"1388-2627"</f>
        <v>1388-2627</v>
      </c>
      <c r="E4008" t="s">
        <v>8</v>
      </c>
      <c r="F4008" t="s">
        <v>4017</v>
      </c>
      <c r="G4008">
        <v>2</v>
      </c>
    </row>
    <row r="4009" spans="1:7" x14ac:dyDescent="0.25">
      <c r="A4009">
        <v>20</v>
      </c>
      <c r="B4009" t="s">
        <v>3996</v>
      </c>
      <c r="C4009">
        <v>170407</v>
      </c>
      <c r="D4009" t="str">
        <f>"2031-9525"</f>
        <v>2031-9525</v>
      </c>
      <c r="E4009" t="s">
        <v>8</v>
      </c>
      <c r="F4009" t="s">
        <v>4018</v>
      </c>
      <c r="G4009">
        <v>2</v>
      </c>
    </row>
    <row r="4010" spans="1:7" x14ac:dyDescent="0.25">
      <c r="A4010">
        <v>20</v>
      </c>
      <c r="B4010" t="s">
        <v>3996</v>
      </c>
      <c r="C4010">
        <v>5433</v>
      </c>
      <c r="D4010" t="str">
        <f>"1351-5993"</f>
        <v>1351-5993</v>
      </c>
      <c r="E4010" t="s">
        <v>8</v>
      </c>
      <c r="F4010" t="s">
        <v>4019</v>
      </c>
      <c r="G4010">
        <v>2</v>
      </c>
    </row>
    <row r="4011" spans="1:7" x14ac:dyDescent="0.25">
      <c r="A4011">
        <v>20</v>
      </c>
      <c r="B4011" t="s">
        <v>3996</v>
      </c>
      <c r="C4011">
        <v>7869</v>
      </c>
      <c r="D4011" t="str">
        <f>"0307-5400"</f>
        <v>0307-5400</v>
      </c>
      <c r="E4011" t="s">
        <v>8</v>
      </c>
      <c r="F4011" t="s">
        <v>4020</v>
      </c>
      <c r="G4011">
        <v>2</v>
      </c>
    </row>
    <row r="4012" spans="1:7" x14ac:dyDescent="0.25">
      <c r="A4012">
        <v>20</v>
      </c>
      <c r="B4012" t="s">
        <v>3996</v>
      </c>
      <c r="C4012">
        <v>5651</v>
      </c>
      <c r="D4012" t="str">
        <f>"1354-3725"</f>
        <v>1354-3725</v>
      </c>
      <c r="E4012" t="s">
        <v>8</v>
      </c>
      <c r="F4012" t="s">
        <v>4021</v>
      </c>
      <c r="G4012">
        <v>2</v>
      </c>
    </row>
    <row r="4013" spans="1:7" x14ac:dyDescent="0.25">
      <c r="A4013">
        <v>20</v>
      </c>
      <c r="B4013" t="s">
        <v>3996</v>
      </c>
      <c r="C4013">
        <v>20421</v>
      </c>
      <c r="D4013" t="str">
        <f>"1614-9920"</f>
        <v>1614-9920</v>
      </c>
      <c r="E4013" t="s">
        <v>8</v>
      </c>
      <c r="F4013" t="s">
        <v>4022</v>
      </c>
      <c r="G4013">
        <v>2</v>
      </c>
    </row>
    <row r="4014" spans="1:7" x14ac:dyDescent="0.25">
      <c r="A4014">
        <v>20</v>
      </c>
      <c r="B4014" t="s">
        <v>3996</v>
      </c>
      <c r="C4014">
        <v>26656</v>
      </c>
      <c r="D4014" t="str">
        <f>"1619-5272"</f>
        <v>1619-5272</v>
      </c>
      <c r="E4014" t="s">
        <v>8</v>
      </c>
      <c r="F4014" t="s">
        <v>4023</v>
      </c>
      <c r="G4014">
        <v>2</v>
      </c>
    </row>
    <row r="4015" spans="1:7" x14ac:dyDescent="0.25">
      <c r="A4015">
        <v>20</v>
      </c>
      <c r="B4015" t="s">
        <v>3996</v>
      </c>
      <c r="C4015">
        <v>23144</v>
      </c>
      <c r="D4015" t="str">
        <f>"0014-3138"</f>
        <v>0014-3138</v>
      </c>
      <c r="E4015" t="s">
        <v>8</v>
      </c>
      <c r="F4015" t="s">
        <v>4024</v>
      </c>
      <c r="G4015">
        <v>2</v>
      </c>
    </row>
    <row r="4016" spans="1:7" x14ac:dyDescent="0.25">
      <c r="A4016">
        <v>20</v>
      </c>
      <c r="B4016" t="s">
        <v>3996</v>
      </c>
      <c r="C4016">
        <v>3689</v>
      </c>
      <c r="D4016" t="str">
        <f>"0017-8063"</f>
        <v>0017-8063</v>
      </c>
      <c r="E4016" t="s">
        <v>8</v>
      </c>
      <c r="F4016" t="s">
        <v>4025</v>
      </c>
      <c r="G4016">
        <v>2</v>
      </c>
    </row>
    <row r="4017" spans="1:7" x14ac:dyDescent="0.25">
      <c r="A4017">
        <v>20</v>
      </c>
      <c r="B4017" t="s">
        <v>3996</v>
      </c>
      <c r="C4017">
        <v>13998</v>
      </c>
      <c r="D4017" t="str">
        <f>"0017-811X"</f>
        <v>0017-811X</v>
      </c>
      <c r="E4017" t="s">
        <v>8</v>
      </c>
      <c r="F4017" t="s">
        <v>4026</v>
      </c>
      <c r="G4017">
        <v>2</v>
      </c>
    </row>
    <row r="4018" spans="1:7" x14ac:dyDescent="0.25">
      <c r="A4018">
        <v>20</v>
      </c>
      <c r="B4018" t="s">
        <v>3996</v>
      </c>
      <c r="C4018">
        <v>5218</v>
      </c>
      <c r="D4018" t="str">
        <f>"0275-0392"</f>
        <v>0275-0392</v>
      </c>
      <c r="E4018" t="s">
        <v>8</v>
      </c>
      <c r="F4018" t="s">
        <v>4027</v>
      </c>
      <c r="G4018">
        <v>2</v>
      </c>
    </row>
    <row r="4019" spans="1:7" x14ac:dyDescent="0.25">
      <c r="A4019">
        <v>20</v>
      </c>
      <c r="B4019" t="s">
        <v>3996</v>
      </c>
      <c r="C4019">
        <v>3504</v>
      </c>
      <c r="D4019" t="str">
        <f>"0018-9855"</f>
        <v>0018-9855</v>
      </c>
      <c r="E4019" t="s">
        <v>8</v>
      </c>
      <c r="F4019" t="s">
        <v>4028</v>
      </c>
      <c r="G4019">
        <v>2</v>
      </c>
    </row>
    <row r="4020" spans="1:7" x14ac:dyDescent="0.25">
      <c r="A4020">
        <v>20</v>
      </c>
      <c r="B4020" t="s">
        <v>3996</v>
      </c>
      <c r="C4020">
        <v>5722</v>
      </c>
      <c r="D4020" t="str">
        <f>"0020-5893"</f>
        <v>0020-5893</v>
      </c>
      <c r="E4020" t="s">
        <v>8</v>
      </c>
      <c r="F4020" t="s">
        <v>4029</v>
      </c>
      <c r="G4020">
        <v>2</v>
      </c>
    </row>
    <row r="4021" spans="1:7" x14ac:dyDescent="0.25">
      <c r="A4021">
        <v>20</v>
      </c>
      <c r="B4021" t="s">
        <v>3996</v>
      </c>
      <c r="C4021">
        <v>5581</v>
      </c>
      <c r="D4021" t="str">
        <f>"0265-1416"</f>
        <v>0265-1416</v>
      </c>
      <c r="E4021" t="s">
        <v>8</v>
      </c>
      <c r="F4021" t="s">
        <v>4030</v>
      </c>
      <c r="G4021">
        <v>2</v>
      </c>
    </row>
    <row r="4022" spans="1:7" x14ac:dyDescent="0.25">
      <c r="A4022">
        <v>20</v>
      </c>
      <c r="B4022" t="s">
        <v>3996</v>
      </c>
      <c r="C4022">
        <v>7700840</v>
      </c>
      <c r="D4022" t="str">
        <f>"2044-3994"</f>
        <v>2044-3994</v>
      </c>
      <c r="E4022" t="s">
        <v>8</v>
      </c>
      <c r="F4022" t="s">
        <v>4031</v>
      </c>
      <c r="G4022">
        <v>2</v>
      </c>
    </row>
    <row r="4023" spans="1:7" x14ac:dyDescent="0.25">
      <c r="A4023">
        <v>20</v>
      </c>
      <c r="B4023" t="s">
        <v>3996</v>
      </c>
      <c r="C4023">
        <v>6619</v>
      </c>
      <c r="D4023" t="str">
        <f>"1474-2640"</f>
        <v>1474-2640</v>
      </c>
      <c r="E4023" t="s">
        <v>8</v>
      </c>
      <c r="F4023" t="s">
        <v>4032</v>
      </c>
      <c r="G4023">
        <v>2</v>
      </c>
    </row>
    <row r="4024" spans="1:7" x14ac:dyDescent="0.25">
      <c r="A4024">
        <v>20</v>
      </c>
      <c r="B4024" t="s">
        <v>3996</v>
      </c>
      <c r="C4024">
        <v>1398</v>
      </c>
      <c r="D4024" t="str">
        <f>"1360-9939"</f>
        <v>1360-9939</v>
      </c>
      <c r="E4024" t="s">
        <v>8</v>
      </c>
      <c r="F4024" t="s">
        <v>4033</v>
      </c>
      <c r="G4024">
        <v>2</v>
      </c>
    </row>
    <row r="4025" spans="1:7" x14ac:dyDescent="0.25">
      <c r="A4025">
        <v>20</v>
      </c>
      <c r="B4025" t="s">
        <v>3996</v>
      </c>
      <c r="C4025">
        <v>7435</v>
      </c>
      <c r="D4025" t="str">
        <f>"0953-8186"</f>
        <v>0953-8186</v>
      </c>
      <c r="E4025" t="s">
        <v>8</v>
      </c>
      <c r="F4025" t="s">
        <v>4034</v>
      </c>
      <c r="G4025">
        <v>2</v>
      </c>
    </row>
    <row r="4026" spans="1:7" x14ac:dyDescent="0.25">
      <c r="A4026">
        <v>20</v>
      </c>
      <c r="B4026" t="s">
        <v>3996</v>
      </c>
      <c r="C4026">
        <v>8364</v>
      </c>
      <c r="D4026" t="str">
        <f>"0144-8188"</f>
        <v>0144-8188</v>
      </c>
      <c r="E4026" t="s">
        <v>8</v>
      </c>
      <c r="F4026" t="s">
        <v>4035</v>
      </c>
      <c r="G4026">
        <v>2</v>
      </c>
    </row>
    <row r="4027" spans="1:7" x14ac:dyDescent="0.25">
      <c r="A4027">
        <v>20</v>
      </c>
      <c r="B4027" t="s">
        <v>3996</v>
      </c>
      <c r="C4027">
        <v>2353</v>
      </c>
      <c r="D4027" t="str">
        <f>"0165-2826"</f>
        <v>0165-2826</v>
      </c>
      <c r="E4027" t="s">
        <v>8</v>
      </c>
      <c r="F4027" t="s">
        <v>4036</v>
      </c>
      <c r="G4027">
        <v>2</v>
      </c>
    </row>
    <row r="4028" spans="1:7" x14ac:dyDescent="0.25">
      <c r="A4028">
        <v>20</v>
      </c>
      <c r="B4028" t="s">
        <v>3996</v>
      </c>
      <c r="C4028">
        <v>13876</v>
      </c>
      <c r="D4028" t="str">
        <f>"0720-6585"</f>
        <v>0720-6585</v>
      </c>
      <c r="E4028" t="s">
        <v>8</v>
      </c>
      <c r="F4028" t="s">
        <v>4037</v>
      </c>
      <c r="G4028">
        <v>2</v>
      </c>
    </row>
    <row r="4029" spans="1:7" x14ac:dyDescent="0.25">
      <c r="A4029">
        <v>20</v>
      </c>
      <c r="B4029" t="s">
        <v>3996</v>
      </c>
      <c r="C4029">
        <v>3708</v>
      </c>
      <c r="D4029" t="str">
        <f>"0264-6811"</f>
        <v>0264-6811</v>
      </c>
      <c r="E4029" t="s">
        <v>8</v>
      </c>
      <c r="F4029" t="s">
        <v>4038</v>
      </c>
      <c r="G4029">
        <v>2</v>
      </c>
    </row>
    <row r="4030" spans="1:7" x14ac:dyDescent="0.25">
      <c r="A4030">
        <v>20</v>
      </c>
      <c r="B4030" t="s">
        <v>3996</v>
      </c>
      <c r="C4030">
        <v>14125</v>
      </c>
      <c r="D4030" t="str">
        <f>"0952-8873"</f>
        <v>0952-8873</v>
      </c>
      <c r="E4030" t="s">
        <v>8</v>
      </c>
      <c r="F4030" t="s">
        <v>4039</v>
      </c>
      <c r="G4030">
        <v>2</v>
      </c>
    </row>
    <row r="4031" spans="1:7" x14ac:dyDescent="0.25">
      <c r="A4031">
        <v>20</v>
      </c>
      <c r="B4031" t="s">
        <v>3996</v>
      </c>
      <c r="C4031">
        <v>8540</v>
      </c>
      <c r="D4031" t="str">
        <f>"1369-3034"</f>
        <v>1369-3034</v>
      </c>
      <c r="E4031" t="s">
        <v>8</v>
      </c>
      <c r="F4031" t="s">
        <v>4040</v>
      </c>
      <c r="G4031">
        <v>2</v>
      </c>
    </row>
    <row r="4032" spans="1:7" x14ac:dyDescent="0.25">
      <c r="A4032">
        <v>20</v>
      </c>
      <c r="B4032" t="s">
        <v>3996</v>
      </c>
      <c r="C4032">
        <v>8578</v>
      </c>
      <c r="D4032" t="str">
        <f>"0263-323X"</f>
        <v>0263-323X</v>
      </c>
      <c r="E4032" t="s">
        <v>8</v>
      </c>
      <c r="F4032" t="s">
        <v>4041</v>
      </c>
      <c r="G4032">
        <v>2</v>
      </c>
    </row>
    <row r="4033" spans="1:7" x14ac:dyDescent="0.25">
      <c r="A4033">
        <v>20</v>
      </c>
      <c r="B4033" t="s">
        <v>3996</v>
      </c>
      <c r="C4033">
        <v>6469</v>
      </c>
      <c r="D4033" t="str">
        <f>"1744-1048"</f>
        <v>1744-1048</v>
      </c>
      <c r="E4033" t="s">
        <v>8</v>
      </c>
      <c r="F4033" t="s">
        <v>4042</v>
      </c>
      <c r="G4033">
        <v>2</v>
      </c>
    </row>
    <row r="4034" spans="1:7" x14ac:dyDescent="0.25">
      <c r="A4034">
        <v>20</v>
      </c>
      <c r="B4034" t="s">
        <v>3996</v>
      </c>
      <c r="C4034">
        <v>14680</v>
      </c>
      <c r="D4034" t="str">
        <f>"1011-6702"</f>
        <v>1011-6702</v>
      </c>
      <c r="E4034" t="s">
        <v>8</v>
      </c>
      <c r="F4034" t="s">
        <v>4043</v>
      </c>
      <c r="G4034">
        <v>2</v>
      </c>
    </row>
    <row r="4035" spans="1:7" x14ac:dyDescent="0.25">
      <c r="A4035">
        <v>20</v>
      </c>
      <c r="B4035" t="s">
        <v>3996</v>
      </c>
      <c r="C4035">
        <v>23117</v>
      </c>
      <c r="D4035" t="str">
        <f>"0107-699X"</f>
        <v>0107-699X</v>
      </c>
      <c r="E4035" t="s">
        <v>8</v>
      </c>
      <c r="F4035" t="s">
        <v>4044</v>
      </c>
      <c r="G4035">
        <v>2</v>
      </c>
    </row>
    <row r="4036" spans="1:7" x14ac:dyDescent="0.25">
      <c r="A4036">
        <v>20</v>
      </c>
      <c r="B4036" t="s">
        <v>3996</v>
      </c>
      <c r="C4036">
        <v>4994</v>
      </c>
      <c r="D4036" t="str">
        <f>"0023-9216"</f>
        <v>0023-9216</v>
      </c>
      <c r="E4036" t="s">
        <v>8</v>
      </c>
      <c r="F4036" t="s">
        <v>4045</v>
      </c>
      <c r="G4036">
        <v>2</v>
      </c>
    </row>
    <row r="4037" spans="1:7" x14ac:dyDescent="0.25">
      <c r="A4037">
        <v>20</v>
      </c>
      <c r="B4037" t="s">
        <v>3996</v>
      </c>
      <c r="C4037">
        <v>5612</v>
      </c>
      <c r="D4037" t="str">
        <f>"0167-5249"</f>
        <v>0167-5249</v>
      </c>
      <c r="E4037" t="s">
        <v>8</v>
      </c>
      <c r="F4037" t="s">
        <v>4046</v>
      </c>
      <c r="G4037">
        <v>2</v>
      </c>
    </row>
    <row r="4038" spans="1:7" x14ac:dyDescent="0.25">
      <c r="A4038">
        <v>20</v>
      </c>
      <c r="B4038" t="s">
        <v>3996</v>
      </c>
      <c r="C4038">
        <v>10768</v>
      </c>
      <c r="D4038" t="str">
        <f>"1352-3252"</f>
        <v>1352-3252</v>
      </c>
      <c r="E4038" t="s">
        <v>8</v>
      </c>
      <c r="F4038" t="s">
        <v>4047</v>
      </c>
      <c r="G4038">
        <v>2</v>
      </c>
    </row>
    <row r="4039" spans="1:7" x14ac:dyDescent="0.25">
      <c r="A4039">
        <v>20</v>
      </c>
      <c r="B4039" t="s">
        <v>3996</v>
      </c>
      <c r="C4039">
        <v>2054</v>
      </c>
      <c r="D4039" t="str">
        <f>"0306-2945"</f>
        <v>0306-2945</v>
      </c>
      <c r="E4039" t="s">
        <v>8</v>
      </c>
      <c r="F4039" t="s">
        <v>4048</v>
      </c>
      <c r="G4039">
        <v>2</v>
      </c>
    </row>
    <row r="4040" spans="1:7" x14ac:dyDescent="0.25">
      <c r="A4040">
        <v>20</v>
      </c>
      <c r="B4040" t="s">
        <v>3996</v>
      </c>
      <c r="C4040">
        <v>26105</v>
      </c>
      <c r="D4040" t="str">
        <f>"0968-5332"</f>
        <v>0968-5332</v>
      </c>
      <c r="E4040" t="s">
        <v>8</v>
      </c>
      <c r="F4040" t="s">
        <v>4049</v>
      </c>
      <c r="G4040">
        <v>2</v>
      </c>
    </row>
    <row r="4041" spans="1:7" x14ac:dyDescent="0.25">
      <c r="A4041">
        <v>20</v>
      </c>
      <c r="B4041" t="s">
        <v>3996</v>
      </c>
      <c r="C4041">
        <v>11317</v>
      </c>
      <c r="D4041" t="str">
        <f>"1023-263X"</f>
        <v>1023-263X</v>
      </c>
      <c r="E4041" t="s">
        <v>8</v>
      </c>
      <c r="F4041" t="s">
        <v>4050</v>
      </c>
      <c r="G4041">
        <v>2</v>
      </c>
    </row>
    <row r="4042" spans="1:7" x14ac:dyDescent="0.25">
      <c r="A4042">
        <v>20</v>
      </c>
      <c r="B4042" t="s">
        <v>3996</v>
      </c>
      <c r="C4042">
        <v>9853</v>
      </c>
      <c r="D4042" t="str">
        <f>"0924-0519"</f>
        <v>0924-0519</v>
      </c>
      <c r="E4042" t="s">
        <v>8</v>
      </c>
      <c r="F4042" t="s">
        <v>4051</v>
      </c>
      <c r="G4042">
        <v>2</v>
      </c>
    </row>
    <row r="4043" spans="1:7" x14ac:dyDescent="0.25">
      <c r="A4043">
        <v>20</v>
      </c>
      <c r="B4043" t="s">
        <v>3996</v>
      </c>
      <c r="C4043">
        <v>156459</v>
      </c>
      <c r="D4043" t="str">
        <f>"2032-2844"</f>
        <v>2032-2844</v>
      </c>
      <c r="E4043" t="s">
        <v>8</v>
      </c>
      <c r="F4043" t="s">
        <v>4052</v>
      </c>
      <c r="G4043">
        <v>2</v>
      </c>
    </row>
    <row r="4044" spans="1:7" x14ac:dyDescent="0.25">
      <c r="A4044">
        <v>20</v>
      </c>
      <c r="B4044" t="s">
        <v>3996</v>
      </c>
      <c r="C4044">
        <v>2282</v>
      </c>
      <c r="D4044" t="str">
        <f>"0027-6723"</f>
        <v>0027-6723</v>
      </c>
      <c r="E4044" t="s">
        <v>8</v>
      </c>
      <c r="F4044" t="s">
        <v>4053</v>
      </c>
      <c r="G4044">
        <v>2</v>
      </c>
    </row>
    <row r="4045" spans="1:7" x14ac:dyDescent="0.25">
      <c r="A4045">
        <v>20</v>
      </c>
      <c r="B4045" t="s">
        <v>3996</v>
      </c>
      <c r="C4045">
        <v>8882</v>
      </c>
      <c r="E4045" t="s">
        <v>8</v>
      </c>
      <c r="F4045" t="s">
        <v>4054</v>
      </c>
      <c r="G4045">
        <v>2</v>
      </c>
    </row>
    <row r="4046" spans="1:7" x14ac:dyDescent="0.25">
      <c r="A4046">
        <v>20</v>
      </c>
      <c r="B4046" t="s">
        <v>3996</v>
      </c>
      <c r="C4046">
        <v>9009</v>
      </c>
      <c r="D4046" t="str">
        <f>"1891-8131"</f>
        <v>1891-8131</v>
      </c>
      <c r="E4046" t="s">
        <v>8</v>
      </c>
      <c r="F4046" t="s">
        <v>4055</v>
      </c>
      <c r="G4046">
        <v>2</v>
      </c>
    </row>
    <row r="4047" spans="1:7" x14ac:dyDescent="0.25">
      <c r="A4047">
        <v>20</v>
      </c>
      <c r="B4047" t="s">
        <v>3996</v>
      </c>
      <c r="C4047">
        <v>6044</v>
      </c>
      <c r="D4047" t="str">
        <f>"0902-7351"</f>
        <v>0902-7351</v>
      </c>
      <c r="E4047" t="s">
        <v>8</v>
      </c>
      <c r="F4047" t="s">
        <v>4056</v>
      </c>
      <c r="G4047">
        <v>2</v>
      </c>
    </row>
    <row r="4048" spans="1:7" x14ac:dyDescent="0.25">
      <c r="A4048">
        <v>20</v>
      </c>
      <c r="B4048" t="s">
        <v>3996</v>
      </c>
      <c r="C4048">
        <v>180054</v>
      </c>
      <c r="E4048" t="s">
        <v>8</v>
      </c>
      <c r="F4048" t="s">
        <v>4057</v>
      </c>
      <c r="G4048">
        <v>2</v>
      </c>
    </row>
    <row r="4049" spans="1:7" x14ac:dyDescent="0.25">
      <c r="A4049">
        <v>20</v>
      </c>
      <c r="B4049" t="s">
        <v>3996</v>
      </c>
      <c r="C4049">
        <v>170100</v>
      </c>
      <c r="D4049" t="str">
        <f>"2000-6500"</f>
        <v>2000-6500</v>
      </c>
      <c r="E4049" t="s">
        <v>8</v>
      </c>
      <c r="F4049" t="s">
        <v>4058</v>
      </c>
      <c r="G4049">
        <v>2</v>
      </c>
    </row>
    <row r="4050" spans="1:7" x14ac:dyDescent="0.25">
      <c r="A4050">
        <v>20</v>
      </c>
      <c r="B4050" t="s">
        <v>3996</v>
      </c>
      <c r="C4050">
        <v>13951</v>
      </c>
      <c r="D4050" t="str">
        <f>"0029-1528"</f>
        <v>0029-1528</v>
      </c>
      <c r="E4050" t="s">
        <v>8</v>
      </c>
      <c r="F4050" t="s">
        <v>4059</v>
      </c>
      <c r="G4050">
        <v>2</v>
      </c>
    </row>
    <row r="4051" spans="1:7" x14ac:dyDescent="0.25">
      <c r="A4051">
        <v>20</v>
      </c>
      <c r="B4051" t="s">
        <v>3996</v>
      </c>
      <c r="C4051">
        <v>10691</v>
      </c>
      <c r="D4051" t="str">
        <f>"1399-140X"</f>
        <v>1399-140X</v>
      </c>
      <c r="E4051" t="s">
        <v>8</v>
      </c>
      <c r="F4051" t="s">
        <v>4060</v>
      </c>
      <c r="G4051">
        <v>2</v>
      </c>
    </row>
    <row r="4052" spans="1:7" x14ac:dyDescent="0.25">
      <c r="A4052">
        <v>20</v>
      </c>
      <c r="B4052" t="s">
        <v>3996</v>
      </c>
      <c r="C4052">
        <v>2889</v>
      </c>
      <c r="D4052" t="str">
        <f>"0143-6503"</f>
        <v>0143-6503</v>
      </c>
      <c r="E4052" t="s">
        <v>8</v>
      </c>
      <c r="F4052" t="s">
        <v>4061</v>
      </c>
      <c r="G4052">
        <v>2</v>
      </c>
    </row>
    <row r="4053" spans="1:7" x14ac:dyDescent="0.25">
      <c r="A4053">
        <v>20</v>
      </c>
      <c r="B4053" t="s">
        <v>3996</v>
      </c>
      <c r="C4053">
        <v>27566</v>
      </c>
      <c r="D4053" t="str">
        <f>"1553-7897"</f>
        <v>1553-7897</v>
      </c>
      <c r="E4053" t="s">
        <v>8</v>
      </c>
      <c r="F4053" t="s">
        <v>4062</v>
      </c>
      <c r="G4053">
        <v>2</v>
      </c>
    </row>
    <row r="4054" spans="1:7" x14ac:dyDescent="0.25">
      <c r="A4054">
        <v>20</v>
      </c>
      <c r="B4054" t="s">
        <v>3996</v>
      </c>
      <c r="C4054">
        <v>19862</v>
      </c>
      <c r="D4054" t="str">
        <f>"0033-3565"</f>
        <v>0033-3565</v>
      </c>
      <c r="E4054" t="s">
        <v>8</v>
      </c>
      <c r="F4054" t="s">
        <v>4063</v>
      </c>
      <c r="G4054">
        <v>2</v>
      </c>
    </row>
    <row r="4055" spans="1:7" x14ac:dyDescent="0.25">
      <c r="A4055">
        <v>20</v>
      </c>
      <c r="B4055" t="s">
        <v>3996</v>
      </c>
      <c r="C4055">
        <v>505</v>
      </c>
      <c r="D4055" t="str">
        <f>"0963-8245"</f>
        <v>0963-8245</v>
      </c>
      <c r="E4055" t="s">
        <v>8</v>
      </c>
      <c r="F4055" t="s">
        <v>4064</v>
      </c>
      <c r="G4055">
        <v>2</v>
      </c>
    </row>
    <row r="4056" spans="1:7" x14ac:dyDescent="0.25">
      <c r="A4056">
        <v>20</v>
      </c>
      <c r="B4056" t="s">
        <v>3996</v>
      </c>
      <c r="C4056">
        <v>12379</v>
      </c>
      <c r="D4056" t="str">
        <f>"0033-7250"</f>
        <v>0033-7250</v>
      </c>
      <c r="E4056" t="s">
        <v>8</v>
      </c>
      <c r="F4056" t="s">
        <v>4065</v>
      </c>
      <c r="G4056">
        <v>2</v>
      </c>
    </row>
    <row r="4057" spans="1:7" x14ac:dyDescent="0.25">
      <c r="A4057">
        <v>20</v>
      </c>
      <c r="B4057" t="s">
        <v>3996</v>
      </c>
      <c r="C4057">
        <v>9302</v>
      </c>
      <c r="D4057" t="str">
        <f>"0952-1917"</f>
        <v>0952-1917</v>
      </c>
      <c r="E4057" t="s">
        <v>8</v>
      </c>
      <c r="F4057" t="s">
        <v>4066</v>
      </c>
      <c r="G4057">
        <v>2</v>
      </c>
    </row>
    <row r="4058" spans="1:7" x14ac:dyDescent="0.25">
      <c r="A4058">
        <v>20</v>
      </c>
      <c r="B4058" t="s">
        <v>3996</v>
      </c>
      <c r="C4058">
        <v>10152</v>
      </c>
      <c r="D4058" t="str">
        <f>"0105-1121"</f>
        <v>0105-1121</v>
      </c>
      <c r="E4058" t="s">
        <v>8</v>
      </c>
      <c r="F4058" t="s">
        <v>4067</v>
      </c>
      <c r="G4058">
        <v>2</v>
      </c>
    </row>
    <row r="4059" spans="1:7" x14ac:dyDescent="0.25">
      <c r="A4059">
        <v>20</v>
      </c>
      <c r="B4059" t="s">
        <v>3996</v>
      </c>
      <c r="C4059">
        <v>582</v>
      </c>
      <c r="D4059" t="str">
        <f>"0085-5944"</f>
        <v>0085-5944</v>
      </c>
      <c r="E4059" t="s">
        <v>15</v>
      </c>
      <c r="F4059" t="s">
        <v>4068</v>
      </c>
      <c r="G4059">
        <v>2</v>
      </c>
    </row>
    <row r="4060" spans="1:7" x14ac:dyDescent="0.25">
      <c r="A4060">
        <v>20</v>
      </c>
      <c r="B4060" t="s">
        <v>3996</v>
      </c>
      <c r="C4060">
        <v>15860</v>
      </c>
      <c r="D4060" t="str">
        <f>"0038-9765"</f>
        <v>0038-9765</v>
      </c>
      <c r="E4060" t="s">
        <v>8</v>
      </c>
      <c r="F4060" t="s">
        <v>4069</v>
      </c>
      <c r="G4060">
        <v>2</v>
      </c>
    </row>
    <row r="4061" spans="1:7" x14ac:dyDescent="0.25">
      <c r="A4061">
        <v>20</v>
      </c>
      <c r="B4061" t="s">
        <v>3996</v>
      </c>
      <c r="C4061">
        <v>4890</v>
      </c>
      <c r="D4061" t="str">
        <f>"1076-6715"</f>
        <v>1076-6715</v>
      </c>
      <c r="E4061" t="s">
        <v>8</v>
      </c>
      <c r="F4061" t="s">
        <v>4070</v>
      </c>
      <c r="G4061">
        <v>2</v>
      </c>
    </row>
    <row r="4062" spans="1:7" x14ac:dyDescent="0.25">
      <c r="A4062">
        <v>20</v>
      </c>
      <c r="B4062" t="s">
        <v>3996</v>
      </c>
      <c r="C4062">
        <v>13372</v>
      </c>
      <c r="D4062" t="str">
        <f>"0952-617X"</f>
        <v>0952-617X</v>
      </c>
      <c r="E4062" t="s">
        <v>8</v>
      </c>
      <c r="F4062" t="s">
        <v>4071</v>
      </c>
      <c r="G4062">
        <v>2</v>
      </c>
    </row>
    <row r="4063" spans="1:7" x14ac:dyDescent="0.25">
      <c r="A4063">
        <v>20</v>
      </c>
      <c r="B4063" t="s">
        <v>3996</v>
      </c>
      <c r="C4063">
        <v>20945</v>
      </c>
      <c r="D4063" t="str">
        <f>"1473-5970"</f>
        <v>1473-5970</v>
      </c>
      <c r="E4063" t="s">
        <v>8</v>
      </c>
      <c r="F4063" t="s">
        <v>4072</v>
      </c>
      <c r="G4063">
        <v>2</v>
      </c>
    </row>
    <row r="4064" spans="1:7" x14ac:dyDescent="0.25">
      <c r="A4064">
        <v>20</v>
      </c>
      <c r="B4064" t="s">
        <v>3996</v>
      </c>
      <c r="C4064">
        <v>5236</v>
      </c>
      <c r="D4064" t="str">
        <f>"0964-9069"</f>
        <v>0964-9069</v>
      </c>
      <c r="E4064" t="s">
        <v>8</v>
      </c>
      <c r="F4064" t="s">
        <v>4073</v>
      </c>
      <c r="G4064">
        <v>2</v>
      </c>
    </row>
    <row r="4065" spans="1:7" x14ac:dyDescent="0.25">
      <c r="A4065">
        <v>20</v>
      </c>
      <c r="B4065" t="s">
        <v>3996</v>
      </c>
      <c r="C4065">
        <v>25813</v>
      </c>
      <c r="D4065" t="str">
        <f>"0023-933X"</f>
        <v>0023-933X</v>
      </c>
      <c r="E4065" t="s">
        <v>8</v>
      </c>
      <c r="F4065" t="s">
        <v>4074</v>
      </c>
      <c r="G4065">
        <v>2</v>
      </c>
    </row>
    <row r="4066" spans="1:7" x14ac:dyDescent="0.25">
      <c r="A4066">
        <v>20</v>
      </c>
      <c r="B4066" t="s">
        <v>3996</v>
      </c>
      <c r="C4066">
        <v>3350</v>
      </c>
      <c r="D4066" t="str">
        <f>"0026-7961"</f>
        <v>0026-7961</v>
      </c>
      <c r="E4066" t="s">
        <v>8</v>
      </c>
      <c r="F4066" t="s">
        <v>4075</v>
      </c>
      <c r="G4066">
        <v>2</v>
      </c>
    </row>
    <row r="4067" spans="1:7" x14ac:dyDescent="0.25">
      <c r="A4067">
        <v>20</v>
      </c>
      <c r="B4067" t="s">
        <v>3996</v>
      </c>
      <c r="C4067">
        <v>12261</v>
      </c>
      <c r="D4067" t="str">
        <f>"0044-0094"</f>
        <v>0044-0094</v>
      </c>
      <c r="E4067" t="s">
        <v>8</v>
      </c>
      <c r="F4067" t="s">
        <v>4076</v>
      </c>
      <c r="G4067">
        <v>2</v>
      </c>
    </row>
    <row r="4068" spans="1:7" x14ac:dyDescent="0.25">
      <c r="A4068">
        <v>20</v>
      </c>
      <c r="B4068" t="s">
        <v>3996</v>
      </c>
      <c r="C4068">
        <v>12038</v>
      </c>
      <c r="D4068" t="str">
        <f>"0040-7143"</f>
        <v>0040-7143</v>
      </c>
      <c r="E4068" t="s">
        <v>8</v>
      </c>
      <c r="F4068" t="s">
        <v>4077</v>
      </c>
      <c r="G4068">
        <v>2</v>
      </c>
    </row>
    <row r="4069" spans="1:7" x14ac:dyDescent="0.25">
      <c r="A4069">
        <v>20</v>
      </c>
      <c r="B4069" t="s">
        <v>3996</v>
      </c>
      <c r="C4069">
        <v>27512</v>
      </c>
      <c r="D4069" t="str">
        <f>"0108-2353"</f>
        <v>0108-2353</v>
      </c>
      <c r="E4069" t="s">
        <v>8</v>
      </c>
      <c r="F4069" t="s">
        <v>4078</v>
      </c>
      <c r="G4069">
        <v>2</v>
      </c>
    </row>
    <row r="4070" spans="1:7" x14ac:dyDescent="0.25">
      <c r="A4070">
        <v>20</v>
      </c>
      <c r="B4070" t="s">
        <v>3996</v>
      </c>
      <c r="C4070">
        <v>156448</v>
      </c>
      <c r="D4070" t="str">
        <f>"1878-4917"</f>
        <v>1878-4917</v>
      </c>
      <c r="E4070" t="s">
        <v>8</v>
      </c>
      <c r="F4070" t="s">
        <v>4079</v>
      </c>
      <c r="G4070">
        <v>2</v>
      </c>
    </row>
    <row r="4071" spans="1:7" x14ac:dyDescent="0.25">
      <c r="A4071">
        <v>20</v>
      </c>
      <c r="B4071" t="s">
        <v>3996</v>
      </c>
      <c r="C4071">
        <v>2213</v>
      </c>
      <c r="D4071" t="str">
        <f>"1474-7456"</f>
        <v>1474-7456</v>
      </c>
      <c r="E4071" t="s">
        <v>8</v>
      </c>
      <c r="F4071" t="s">
        <v>4080</v>
      </c>
      <c r="G4071">
        <v>2</v>
      </c>
    </row>
    <row r="4072" spans="1:7" x14ac:dyDescent="0.25">
      <c r="A4072">
        <v>20</v>
      </c>
      <c r="B4072" t="s">
        <v>3996</v>
      </c>
      <c r="C4072">
        <v>14898</v>
      </c>
      <c r="D4072" t="str">
        <f>"0263-3264"</f>
        <v>0263-3264</v>
      </c>
      <c r="E4072" t="s">
        <v>8</v>
      </c>
      <c r="F4072" t="s">
        <v>4081</v>
      </c>
      <c r="G4072">
        <v>2</v>
      </c>
    </row>
    <row r="4073" spans="1:7" x14ac:dyDescent="0.25">
      <c r="A4073">
        <v>20</v>
      </c>
      <c r="B4073" t="s">
        <v>3996</v>
      </c>
      <c r="C4073">
        <v>9421</v>
      </c>
      <c r="D4073" t="str">
        <f>"0943-3929"</f>
        <v>0943-3929</v>
      </c>
      <c r="E4073" t="s">
        <v>8</v>
      </c>
      <c r="F4073" t="s">
        <v>4082</v>
      </c>
      <c r="G4073">
        <v>2</v>
      </c>
    </row>
    <row r="4074" spans="1:7" x14ac:dyDescent="0.25">
      <c r="A4074">
        <v>20</v>
      </c>
      <c r="B4074" t="s">
        <v>3996</v>
      </c>
      <c r="C4074">
        <v>63</v>
      </c>
      <c r="D4074" t="str">
        <f>"0954-8890"</f>
        <v>0954-8890</v>
      </c>
      <c r="E4074" t="s">
        <v>8</v>
      </c>
      <c r="F4074" t="s">
        <v>4083</v>
      </c>
      <c r="G4074">
        <v>1</v>
      </c>
    </row>
    <row r="4075" spans="1:7" x14ac:dyDescent="0.25">
      <c r="A4075">
        <v>20</v>
      </c>
      <c r="B4075" t="s">
        <v>3996</v>
      </c>
      <c r="C4075">
        <v>11534</v>
      </c>
      <c r="D4075" t="str">
        <f>"1380-7412"</f>
        <v>1380-7412</v>
      </c>
      <c r="E4075" t="s">
        <v>8</v>
      </c>
      <c r="F4075" t="s">
        <v>4084</v>
      </c>
      <c r="G4075">
        <v>1</v>
      </c>
    </row>
    <row r="4076" spans="1:7" x14ac:dyDescent="0.25">
      <c r="A4076">
        <v>20</v>
      </c>
      <c r="B4076" t="s">
        <v>3996</v>
      </c>
      <c r="C4076">
        <v>8783402</v>
      </c>
      <c r="E4076" t="s">
        <v>15</v>
      </c>
      <c r="F4076" t="s">
        <v>4085</v>
      </c>
      <c r="G4076">
        <v>1</v>
      </c>
    </row>
    <row r="4077" spans="1:7" x14ac:dyDescent="0.25">
      <c r="A4077">
        <v>20</v>
      </c>
      <c r="B4077" t="s">
        <v>3996</v>
      </c>
      <c r="C4077">
        <v>11526</v>
      </c>
      <c r="D4077" t="str">
        <f>"0027-9048"</f>
        <v>0027-9048</v>
      </c>
      <c r="E4077" t="s">
        <v>8</v>
      </c>
      <c r="F4077" t="s">
        <v>4086</v>
      </c>
      <c r="G4077">
        <v>1</v>
      </c>
    </row>
    <row r="4078" spans="1:7" x14ac:dyDescent="0.25">
      <c r="A4078">
        <v>20</v>
      </c>
      <c r="B4078" t="s">
        <v>3996</v>
      </c>
      <c r="C4078">
        <v>2843</v>
      </c>
      <c r="D4078" t="str">
        <f>"0002-7766"</f>
        <v>0002-7766</v>
      </c>
      <c r="E4078" t="s">
        <v>8</v>
      </c>
      <c r="F4078" t="s">
        <v>4087</v>
      </c>
      <c r="G4078">
        <v>1</v>
      </c>
    </row>
    <row r="4079" spans="1:7" x14ac:dyDescent="0.25">
      <c r="A4079">
        <v>20</v>
      </c>
      <c r="B4079" t="s">
        <v>3996</v>
      </c>
      <c r="C4079">
        <v>166</v>
      </c>
      <c r="D4079" t="str">
        <f>"0164-0364"</f>
        <v>0164-0364</v>
      </c>
      <c r="E4079" t="s">
        <v>8</v>
      </c>
      <c r="F4079" t="s">
        <v>4088</v>
      </c>
      <c r="G4079">
        <v>1</v>
      </c>
    </row>
    <row r="4080" spans="1:7" x14ac:dyDescent="0.25">
      <c r="A4080">
        <v>20</v>
      </c>
      <c r="B4080" t="s">
        <v>3996</v>
      </c>
      <c r="C4080">
        <v>15338</v>
      </c>
      <c r="D4080" t="str">
        <f>"0002-9300"</f>
        <v>0002-9300</v>
      </c>
      <c r="E4080" t="s">
        <v>8</v>
      </c>
      <c r="F4080" t="s">
        <v>4089</v>
      </c>
      <c r="G4080">
        <v>1</v>
      </c>
    </row>
    <row r="4081" spans="1:7" x14ac:dyDescent="0.25">
      <c r="A4081">
        <v>20</v>
      </c>
      <c r="B4081" t="s">
        <v>3996</v>
      </c>
      <c r="C4081">
        <v>12219</v>
      </c>
      <c r="D4081" t="str">
        <f>"0002-9319"</f>
        <v>0002-9319</v>
      </c>
      <c r="E4081" t="s">
        <v>8</v>
      </c>
      <c r="F4081" t="s">
        <v>4090</v>
      </c>
      <c r="G4081">
        <v>1</v>
      </c>
    </row>
    <row r="4082" spans="1:7" x14ac:dyDescent="0.25">
      <c r="A4082">
        <v>20</v>
      </c>
      <c r="B4082" t="s">
        <v>3996</v>
      </c>
      <c r="C4082">
        <v>9602</v>
      </c>
      <c r="D4082" t="str">
        <f>"1465-7252"</f>
        <v>1465-7252</v>
      </c>
      <c r="E4082" t="s">
        <v>8</v>
      </c>
      <c r="F4082" t="s">
        <v>4091</v>
      </c>
      <c r="G4082">
        <v>1</v>
      </c>
    </row>
    <row r="4083" spans="1:7" x14ac:dyDescent="0.25">
      <c r="A4083">
        <v>20</v>
      </c>
      <c r="B4083" t="s">
        <v>3996</v>
      </c>
      <c r="C4083">
        <v>10776</v>
      </c>
      <c r="D4083" t="str">
        <f>"0003-6056"</f>
        <v>0003-6056</v>
      </c>
      <c r="E4083" t="s">
        <v>8</v>
      </c>
      <c r="F4083" t="s">
        <v>4092</v>
      </c>
      <c r="G4083">
        <v>1</v>
      </c>
    </row>
    <row r="4084" spans="1:7" x14ac:dyDescent="0.25">
      <c r="A4084">
        <v>20</v>
      </c>
      <c r="B4084" t="s">
        <v>3996</v>
      </c>
      <c r="C4084">
        <v>5800</v>
      </c>
      <c r="D4084" t="str">
        <f>"1503-5883"</f>
        <v>1503-5883</v>
      </c>
      <c r="E4084" t="s">
        <v>8</v>
      </c>
      <c r="F4084" t="s">
        <v>4093</v>
      </c>
      <c r="G4084">
        <v>1</v>
      </c>
    </row>
    <row r="4085" spans="1:7" x14ac:dyDescent="0.25">
      <c r="A4085">
        <v>20</v>
      </c>
      <c r="B4085" t="s">
        <v>3996</v>
      </c>
      <c r="C4085">
        <v>4284</v>
      </c>
      <c r="D4085" t="str">
        <f>"1502-7767"</f>
        <v>1502-7767</v>
      </c>
      <c r="E4085" t="s">
        <v>8</v>
      </c>
      <c r="F4085" t="s">
        <v>4094</v>
      </c>
      <c r="G4085">
        <v>1</v>
      </c>
    </row>
    <row r="4086" spans="1:7" x14ac:dyDescent="0.25">
      <c r="A4086">
        <v>20</v>
      </c>
      <c r="B4086" t="s">
        <v>3996</v>
      </c>
      <c r="C4086">
        <v>8066</v>
      </c>
      <c r="D4086" t="str">
        <f>"0003-892X"</f>
        <v>0003-892X</v>
      </c>
      <c r="E4086" t="s">
        <v>8</v>
      </c>
      <c r="F4086" t="s">
        <v>4095</v>
      </c>
      <c r="G4086">
        <v>1</v>
      </c>
    </row>
    <row r="4087" spans="1:7" x14ac:dyDescent="0.25">
      <c r="A4087">
        <v>20</v>
      </c>
      <c r="B4087" t="s">
        <v>3996</v>
      </c>
      <c r="C4087">
        <v>32737</v>
      </c>
      <c r="D4087" t="str">
        <f>"1424-4276"</f>
        <v>1424-4276</v>
      </c>
      <c r="E4087" t="s">
        <v>8</v>
      </c>
      <c r="F4087" t="s">
        <v>4096</v>
      </c>
      <c r="G4087">
        <v>1</v>
      </c>
    </row>
    <row r="4088" spans="1:7" x14ac:dyDescent="0.25">
      <c r="A4088">
        <v>20</v>
      </c>
      <c r="B4088" t="s">
        <v>3996</v>
      </c>
      <c r="C4088">
        <v>7706857</v>
      </c>
      <c r="D4088" t="str">
        <f>"1891-6252"</f>
        <v>1891-6252</v>
      </c>
      <c r="E4088" t="s">
        <v>8</v>
      </c>
      <c r="F4088" t="s">
        <v>4097</v>
      </c>
      <c r="G4088">
        <v>1</v>
      </c>
    </row>
    <row r="4089" spans="1:7" x14ac:dyDescent="0.25">
      <c r="A4089">
        <v>20</v>
      </c>
      <c r="B4089" t="s">
        <v>3996</v>
      </c>
      <c r="C4089">
        <v>13159</v>
      </c>
      <c r="D4089" t="str">
        <f>"0924-8463"</f>
        <v>0924-8463</v>
      </c>
      <c r="E4089" t="s">
        <v>8</v>
      </c>
      <c r="F4089" t="s">
        <v>4098</v>
      </c>
      <c r="G4089">
        <v>1</v>
      </c>
    </row>
    <row r="4090" spans="1:7" x14ac:dyDescent="0.25">
      <c r="A4090">
        <v>20</v>
      </c>
      <c r="B4090" t="s">
        <v>3996</v>
      </c>
      <c r="C4090">
        <v>8783403</v>
      </c>
      <c r="E4090" t="s">
        <v>15</v>
      </c>
      <c r="F4090" t="s">
        <v>4099</v>
      </c>
      <c r="G4090">
        <v>1</v>
      </c>
    </row>
    <row r="4091" spans="1:7" x14ac:dyDescent="0.25">
      <c r="A4091">
        <v>20</v>
      </c>
      <c r="B4091" t="s">
        <v>3996</v>
      </c>
      <c r="C4091">
        <v>16087</v>
      </c>
      <c r="D4091" t="str">
        <f>"1388-1906"</f>
        <v>1388-1906</v>
      </c>
      <c r="E4091" t="s">
        <v>8</v>
      </c>
      <c r="F4091" t="s">
        <v>4100</v>
      </c>
      <c r="G4091">
        <v>1</v>
      </c>
    </row>
    <row r="4092" spans="1:7" x14ac:dyDescent="0.25">
      <c r="A4092">
        <v>20</v>
      </c>
      <c r="B4092" t="s">
        <v>3996</v>
      </c>
      <c r="C4092">
        <v>16388</v>
      </c>
      <c r="D4092" t="str">
        <f>"1019-2557"</f>
        <v>1019-2557</v>
      </c>
      <c r="E4092" t="s">
        <v>8</v>
      </c>
      <c r="F4092" t="s">
        <v>4101</v>
      </c>
      <c r="G4092">
        <v>1</v>
      </c>
    </row>
    <row r="4093" spans="1:7" x14ac:dyDescent="0.25">
      <c r="A4093">
        <v>20</v>
      </c>
      <c r="B4093" t="s">
        <v>3996</v>
      </c>
      <c r="C4093">
        <v>106092</v>
      </c>
      <c r="D4093" t="str">
        <f>"1819-5164"</f>
        <v>1819-5164</v>
      </c>
      <c r="E4093" t="s">
        <v>8</v>
      </c>
      <c r="F4093" t="s">
        <v>4102</v>
      </c>
      <c r="G4093">
        <v>1</v>
      </c>
    </row>
    <row r="4094" spans="1:7" x14ac:dyDescent="0.25">
      <c r="A4094">
        <v>20</v>
      </c>
      <c r="B4094" t="s">
        <v>3996</v>
      </c>
      <c r="C4094">
        <v>7495</v>
      </c>
      <c r="D4094" t="str">
        <f>"0004-8658"</f>
        <v>0004-8658</v>
      </c>
      <c r="E4094" t="s">
        <v>8</v>
      </c>
      <c r="F4094" t="s">
        <v>4103</v>
      </c>
      <c r="G4094">
        <v>1</v>
      </c>
    </row>
    <row r="4095" spans="1:7" x14ac:dyDescent="0.25">
      <c r="A4095">
        <v>20</v>
      </c>
      <c r="B4095" t="s">
        <v>3996</v>
      </c>
      <c r="C4095">
        <v>12174</v>
      </c>
      <c r="D4095" t="str">
        <f>"0084-7658"</f>
        <v>0084-7658</v>
      </c>
      <c r="E4095" t="s">
        <v>8</v>
      </c>
      <c r="F4095" t="s">
        <v>4104</v>
      </c>
      <c r="G4095">
        <v>1</v>
      </c>
    </row>
    <row r="4096" spans="1:7" x14ac:dyDescent="0.25">
      <c r="A4096">
        <v>20</v>
      </c>
      <c r="B4096" t="s">
        <v>3996</v>
      </c>
      <c r="C4096">
        <v>170098</v>
      </c>
      <c r="E4096" t="s">
        <v>8</v>
      </c>
      <c r="F4096" t="s">
        <v>4105</v>
      </c>
      <c r="G4096">
        <v>1</v>
      </c>
    </row>
    <row r="4097" spans="1:7" x14ac:dyDescent="0.25">
      <c r="A4097">
        <v>20</v>
      </c>
      <c r="B4097" t="s">
        <v>3996</v>
      </c>
      <c r="C4097">
        <v>2279</v>
      </c>
      <c r="D4097" t="str">
        <f>"0735-3936"</f>
        <v>0735-3936</v>
      </c>
      <c r="E4097" t="s">
        <v>8</v>
      </c>
      <c r="F4097" t="s">
        <v>4106</v>
      </c>
      <c r="G4097">
        <v>1</v>
      </c>
    </row>
    <row r="4098" spans="1:7" x14ac:dyDescent="0.25">
      <c r="A4098">
        <v>20</v>
      </c>
      <c r="B4098" t="s">
        <v>3996</v>
      </c>
      <c r="C4098">
        <v>180056</v>
      </c>
      <c r="E4098" t="s">
        <v>8</v>
      </c>
      <c r="F4098" t="s">
        <v>4107</v>
      </c>
      <c r="G4098">
        <v>1</v>
      </c>
    </row>
    <row r="4099" spans="1:7" x14ac:dyDescent="0.25">
      <c r="A4099">
        <v>20</v>
      </c>
      <c r="B4099" t="s">
        <v>3996</v>
      </c>
      <c r="C4099">
        <v>8781995</v>
      </c>
      <c r="D4099" t="str">
        <f>"2284-4503"</f>
        <v>2284-4503</v>
      </c>
      <c r="E4099" t="s">
        <v>8</v>
      </c>
      <c r="F4099" t="s">
        <v>4108</v>
      </c>
      <c r="G4099">
        <v>1</v>
      </c>
    </row>
    <row r="4100" spans="1:7" x14ac:dyDescent="0.25">
      <c r="A4100">
        <v>20</v>
      </c>
      <c r="B4100" t="s">
        <v>3996</v>
      </c>
      <c r="C4100">
        <v>10052</v>
      </c>
      <c r="D4100" t="str">
        <f>"1365-8867"</f>
        <v>1365-8867</v>
      </c>
      <c r="E4100" t="s">
        <v>8</v>
      </c>
      <c r="F4100" t="s">
        <v>4109</v>
      </c>
      <c r="G4100">
        <v>1</v>
      </c>
    </row>
    <row r="4101" spans="1:7" x14ac:dyDescent="0.25">
      <c r="A4101">
        <v>20</v>
      </c>
      <c r="B4101" t="s">
        <v>3996</v>
      </c>
      <c r="C4101">
        <v>4161</v>
      </c>
      <c r="D4101" t="str">
        <f>"0730-031X"</f>
        <v>0730-031X</v>
      </c>
      <c r="E4101" t="s">
        <v>8</v>
      </c>
      <c r="F4101" t="s">
        <v>4110</v>
      </c>
      <c r="G4101">
        <v>1</v>
      </c>
    </row>
    <row r="4102" spans="1:7" x14ac:dyDescent="0.25">
      <c r="A4102">
        <v>20</v>
      </c>
      <c r="B4102" t="s">
        <v>3996</v>
      </c>
      <c r="C4102">
        <v>2767</v>
      </c>
      <c r="D4102" t="str">
        <f>"0068-2691"</f>
        <v>0068-2691</v>
      </c>
      <c r="E4102" t="s">
        <v>8</v>
      </c>
      <c r="F4102" t="s">
        <v>4111</v>
      </c>
      <c r="G4102">
        <v>1</v>
      </c>
    </row>
    <row r="4103" spans="1:7" x14ac:dyDescent="0.25">
      <c r="A4103">
        <v>20</v>
      </c>
      <c r="B4103" t="s">
        <v>3996</v>
      </c>
      <c r="C4103">
        <v>12772</v>
      </c>
      <c r="D4103" t="str">
        <f>"0753-2601"</f>
        <v>0753-2601</v>
      </c>
      <c r="E4103" t="s">
        <v>8</v>
      </c>
      <c r="F4103" t="s">
        <v>4112</v>
      </c>
      <c r="G4103">
        <v>1</v>
      </c>
    </row>
    <row r="4104" spans="1:7" x14ac:dyDescent="0.25">
      <c r="A4104">
        <v>20</v>
      </c>
      <c r="B4104" t="s">
        <v>3996</v>
      </c>
      <c r="C4104">
        <v>8775960</v>
      </c>
      <c r="D4104" t="str">
        <f>"2057-0198"</f>
        <v>2057-0198</v>
      </c>
      <c r="E4104" t="s">
        <v>8</v>
      </c>
      <c r="F4104" t="s">
        <v>4113</v>
      </c>
      <c r="G4104">
        <v>1</v>
      </c>
    </row>
    <row r="4105" spans="1:7" x14ac:dyDescent="0.25">
      <c r="A4105">
        <v>20</v>
      </c>
      <c r="B4105" t="s">
        <v>3996</v>
      </c>
      <c r="C4105">
        <v>110144</v>
      </c>
      <c r="D4105" t="str">
        <f>"0168-0455"</f>
        <v>0168-0455</v>
      </c>
      <c r="E4105" t="s">
        <v>15</v>
      </c>
      <c r="F4105" t="s">
        <v>4114</v>
      </c>
      <c r="G4105">
        <v>1</v>
      </c>
    </row>
    <row r="4106" spans="1:7" x14ac:dyDescent="0.25">
      <c r="A4106">
        <v>20</v>
      </c>
      <c r="B4106" t="s">
        <v>3996</v>
      </c>
      <c r="C4106">
        <v>14853</v>
      </c>
      <c r="D4106" t="str">
        <f>"0008-1221"</f>
        <v>0008-1221</v>
      </c>
      <c r="E4106" t="s">
        <v>8</v>
      </c>
      <c r="F4106" t="s">
        <v>4115</v>
      </c>
      <c r="G4106">
        <v>1</v>
      </c>
    </row>
    <row r="4107" spans="1:7" x14ac:dyDescent="0.25">
      <c r="A4107">
        <v>20</v>
      </c>
      <c r="B4107" t="s">
        <v>3996</v>
      </c>
      <c r="C4107">
        <v>180057</v>
      </c>
      <c r="D4107" t="str">
        <f>"2050-1706"</f>
        <v>2050-1706</v>
      </c>
      <c r="E4107" t="s">
        <v>8</v>
      </c>
      <c r="F4107" t="s">
        <v>4116</v>
      </c>
      <c r="G4107">
        <v>1</v>
      </c>
    </row>
    <row r="4108" spans="1:7" x14ac:dyDescent="0.25">
      <c r="A4108">
        <v>20</v>
      </c>
      <c r="B4108" t="s">
        <v>3996</v>
      </c>
      <c r="C4108">
        <v>170103</v>
      </c>
      <c r="E4108" t="s">
        <v>15</v>
      </c>
      <c r="F4108" t="s">
        <v>4117</v>
      </c>
      <c r="G4108">
        <v>1</v>
      </c>
    </row>
    <row r="4109" spans="1:7" x14ac:dyDescent="0.25">
      <c r="A4109">
        <v>20</v>
      </c>
      <c r="B4109" t="s">
        <v>3996</v>
      </c>
      <c r="C4109">
        <v>8783404</v>
      </c>
      <c r="E4109" t="s">
        <v>15</v>
      </c>
      <c r="F4109" t="s">
        <v>4118</v>
      </c>
      <c r="G4109">
        <v>1</v>
      </c>
    </row>
    <row r="4110" spans="1:7" x14ac:dyDescent="0.25">
      <c r="A4110">
        <v>20</v>
      </c>
      <c r="B4110" t="s">
        <v>3996</v>
      </c>
      <c r="C4110">
        <v>17960</v>
      </c>
      <c r="D4110" t="str">
        <f>"1707-7753"</f>
        <v>1707-7753</v>
      </c>
      <c r="E4110" t="s">
        <v>8</v>
      </c>
      <c r="F4110" t="s">
        <v>4119</v>
      </c>
      <c r="G4110">
        <v>1</v>
      </c>
    </row>
    <row r="4111" spans="1:7" x14ac:dyDescent="0.25">
      <c r="A4111">
        <v>20</v>
      </c>
      <c r="B4111" t="s">
        <v>3996</v>
      </c>
      <c r="C4111">
        <v>5309</v>
      </c>
      <c r="D4111" t="str">
        <f>"0841-8209"</f>
        <v>0841-8209</v>
      </c>
      <c r="E4111" t="s">
        <v>8</v>
      </c>
      <c r="F4111" t="s">
        <v>4120</v>
      </c>
      <c r="G4111">
        <v>1</v>
      </c>
    </row>
    <row r="4112" spans="1:7" x14ac:dyDescent="0.25">
      <c r="A4112">
        <v>20</v>
      </c>
      <c r="B4112" t="s">
        <v>3996</v>
      </c>
      <c r="C4112">
        <v>20528</v>
      </c>
      <c r="D4112" t="str">
        <f>"0829-3201"</f>
        <v>0829-3201</v>
      </c>
      <c r="E4112" t="s">
        <v>8</v>
      </c>
      <c r="F4112" t="s">
        <v>4121</v>
      </c>
      <c r="G4112">
        <v>1</v>
      </c>
    </row>
    <row r="4113" spans="1:7" x14ac:dyDescent="0.25">
      <c r="A4113">
        <v>20</v>
      </c>
      <c r="B4113" t="s">
        <v>3996</v>
      </c>
      <c r="C4113">
        <v>1248</v>
      </c>
      <c r="D4113" t="str">
        <f>"0069-0058"</f>
        <v>0069-0058</v>
      </c>
      <c r="E4113" t="s">
        <v>8</v>
      </c>
      <c r="F4113" t="s">
        <v>4122</v>
      </c>
      <c r="G4113">
        <v>1</v>
      </c>
    </row>
    <row r="4114" spans="1:7" x14ac:dyDescent="0.25">
      <c r="A4114">
        <v>20</v>
      </c>
      <c r="B4114" t="s">
        <v>3996</v>
      </c>
      <c r="C4114">
        <v>24600</v>
      </c>
      <c r="D4114" t="str">
        <f>"1750-7219"</f>
        <v>1750-7219</v>
      </c>
      <c r="E4114" t="s">
        <v>8</v>
      </c>
      <c r="F4114" t="s">
        <v>4123</v>
      </c>
      <c r="G4114">
        <v>1</v>
      </c>
    </row>
    <row r="4115" spans="1:7" x14ac:dyDescent="0.25">
      <c r="A4115">
        <v>20</v>
      </c>
      <c r="B4115" t="s">
        <v>3996</v>
      </c>
      <c r="C4115">
        <v>27148</v>
      </c>
      <c r="D4115" t="str">
        <f>"1069-3181"</f>
        <v>1069-3181</v>
      </c>
      <c r="E4115" t="s">
        <v>8</v>
      </c>
      <c r="F4115" t="s">
        <v>4124</v>
      </c>
      <c r="G4115">
        <v>1</v>
      </c>
    </row>
    <row r="4116" spans="1:7" x14ac:dyDescent="0.25">
      <c r="A4116">
        <v>20</v>
      </c>
      <c r="B4116" t="s">
        <v>3996</v>
      </c>
      <c r="C4116">
        <v>8783405</v>
      </c>
      <c r="E4116" t="s">
        <v>15</v>
      </c>
      <c r="F4116" t="s">
        <v>4125</v>
      </c>
      <c r="G4116">
        <v>1</v>
      </c>
    </row>
    <row r="4117" spans="1:7" x14ac:dyDescent="0.25">
      <c r="A4117">
        <v>20</v>
      </c>
      <c r="B4117" t="s">
        <v>3996</v>
      </c>
      <c r="C4117">
        <v>8782757</v>
      </c>
      <c r="E4117" t="s">
        <v>8</v>
      </c>
      <c r="F4117" t="s">
        <v>4126</v>
      </c>
      <c r="G4117">
        <v>1</v>
      </c>
    </row>
    <row r="4118" spans="1:7" x14ac:dyDescent="0.25">
      <c r="A4118">
        <v>20</v>
      </c>
      <c r="B4118" t="s">
        <v>3996</v>
      </c>
      <c r="C4118">
        <v>22070</v>
      </c>
      <c r="D4118" t="str">
        <f>"1358-8184"</f>
        <v>1358-8184</v>
      </c>
      <c r="E4118" t="s">
        <v>8</v>
      </c>
      <c r="F4118" t="s">
        <v>4127</v>
      </c>
      <c r="G4118">
        <v>1</v>
      </c>
    </row>
    <row r="4119" spans="1:7" x14ac:dyDescent="0.25">
      <c r="A4119">
        <v>20</v>
      </c>
      <c r="B4119" t="s">
        <v>3996</v>
      </c>
      <c r="C4119">
        <v>19199</v>
      </c>
      <c r="D4119" t="str">
        <f>"1540-1650"</f>
        <v>1540-1650</v>
      </c>
      <c r="E4119" t="s">
        <v>8</v>
      </c>
      <c r="F4119" t="s">
        <v>4128</v>
      </c>
      <c r="G4119">
        <v>1</v>
      </c>
    </row>
    <row r="4120" spans="1:7" x14ac:dyDescent="0.25">
      <c r="A4120">
        <v>20</v>
      </c>
      <c r="B4120" t="s">
        <v>3996</v>
      </c>
      <c r="C4120">
        <v>138290</v>
      </c>
      <c r="D4120" t="str">
        <f>"1875-2047"</f>
        <v>1875-2047</v>
      </c>
      <c r="E4120" t="s">
        <v>15</v>
      </c>
      <c r="F4120" t="s">
        <v>4129</v>
      </c>
      <c r="G4120">
        <v>1</v>
      </c>
    </row>
    <row r="4121" spans="1:7" x14ac:dyDescent="0.25">
      <c r="A4121">
        <v>20</v>
      </c>
      <c r="B4121" t="s">
        <v>3996</v>
      </c>
      <c r="C4121">
        <v>8782773</v>
      </c>
      <c r="D4121" t="str">
        <f>"2031-4922"</f>
        <v>2031-4922</v>
      </c>
      <c r="E4121" t="s">
        <v>15</v>
      </c>
      <c r="F4121" t="s">
        <v>4130</v>
      </c>
      <c r="G4121">
        <v>1</v>
      </c>
    </row>
    <row r="4122" spans="1:7" x14ac:dyDescent="0.25">
      <c r="A4122">
        <v>20</v>
      </c>
      <c r="B4122" t="s">
        <v>3996</v>
      </c>
      <c r="C4122">
        <v>3017</v>
      </c>
      <c r="D4122" t="str">
        <f>"0010-1923"</f>
        <v>0010-1923</v>
      </c>
      <c r="E4122" t="s">
        <v>8</v>
      </c>
      <c r="F4122" t="s">
        <v>4131</v>
      </c>
      <c r="G4122">
        <v>1</v>
      </c>
    </row>
    <row r="4123" spans="1:7" x14ac:dyDescent="0.25">
      <c r="A4123">
        <v>20</v>
      </c>
      <c r="B4123" t="s">
        <v>3996</v>
      </c>
      <c r="C4123">
        <v>3374</v>
      </c>
      <c r="D4123" t="str">
        <f>"0010-1931"</f>
        <v>0010-1931</v>
      </c>
      <c r="E4123" t="s">
        <v>8</v>
      </c>
      <c r="F4123" t="s">
        <v>4132</v>
      </c>
      <c r="G4123">
        <v>1</v>
      </c>
    </row>
    <row r="4124" spans="1:7" x14ac:dyDescent="0.25">
      <c r="A4124">
        <v>20</v>
      </c>
      <c r="B4124" t="s">
        <v>3996</v>
      </c>
      <c r="C4124">
        <v>16399</v>
      </c>
      <c r="D4124" t="str">
        <f>"1081-1680"</f>
        <v>1081-1680</v>
      </c>
      <c r="E4124" t="s">
        <v>8</v>
      </c>
      <c r="F4124" t="s">
        <v>4133</v>
      </c>
      <c r="G4124">
        <v>1</v>
      </c>
    </row>
    <row r="4125" spans="1:7" x14ac:dyDescent="0.25">
      <c r="A4125">
        <v>20</v>
      </c>
      <c r="B4125" t="s">
        <v>3996</v>
      </c>
      <c r="C4125">
        <v>12903</v>
      </c>
      <c r="D4125" t="str">
        <f>"1746-7616"</f>
        <v>1746-7616</v>
      </c>
      <c r="E4125" t="s">
        <v>8</v>
      </c>
      <c r="F4125" t="s">
        <v>4134</v>
      </c>
      <c r="G4125">
        <v>1</v>
      </c>
    </row>
    <row r="4126" spans="1:7" x14ac:dyDescent="0.25">
      <c r="A4126">
        <v>20</v>
      </c>
      <c r="B4126" t="s">
        <v>3996</v>
      </c>
      <c r="C4126">
        <v>8782750</v>
      </c>
      <c r="E4126" t="s">
        <v>15</v>
      </c>
      <c r="F4126" t="s">
        <v>4135</v>
      </c>
      <c r="G4126">
        <v>1</v>
      </c>
    </row>
    <row r="4127" spans="1:7" x14ac:dyDescent="0.25">
      <c r="A4127">
        <v>20</v>
      </c>
      <c r="B4127" t="s">
        <v>3996</v>
      </c>
      <c r="C4127">
        <v>8783406</v>
      </c>
      <c r="E4127" t="s">
        <v>15</v>
      </c>
      <c r="F4127" t="s">
        <v>4135</v>
      </c>
      <c r="G4127">
        <v>1</v>
      </c>
    </row>
    <row r="4128" spans="1:7" x14ac:dyDescent="0.25">
      <c r="A4128">
        <v>20</v>
      </c>
      <c r="B4128" t="s">
        <v>3996</v>
      </c>
      <c r="C4128">
        <v>930</v>
      </c>
      <c r="D4128" t="str">
        <f>"1095-6654"</f>
        <v>1095-6654</v>
      </c>
      <c r="E4128" t="s">
        <v>8</v>
      </c>
      <c r="F4128" t="s">
        <v>4136</v>
      </c>
      <c r="G4128">
        <v>1</v>
      </c>
    </row>
    <row r="4129" spans="1:7" x14ac:dyDescent="0.25">
      <c r="A4129">
        <v>20</v>
      </c>
      <c r="B4129" t="s">
        <v>3996</v>
      </c>
      <c r="C4129">
        <v>7737339</v>
      </c>
      <c r="D4129" t="str">
        <f>"2049-677X"</f>
        <v>2049-677X</v>
      </c>
      <c r="E4129" t="s">
        <v>8</v>
      </c>
      <c r="F4129" t="s">
        <v>4137</v>
      </c>
      <c r="G4129">
        <v>1</v>
      </c>
    </row>
    <row r="4130" spans="1:7" x14ac:dyDescent="0.25">
      <c r="A4130">
        <v>20</v>
      </c>
      <c r="B4130" t="s">
        <v>3996</v>
      </c>
      <c r="C4130">
        <v>26817</v>
      </c>
      <c r="D4130" t="str">
        <f>"1610-7608"</f>
        <v>1610-7608</v>
      </c>
      <c r="E4130" t="s">
        <v>8</v>
      </c>
      <c r="F4130" t="s">
        <v>4138</v>
      </c>
      <c r="G4130">
        <v>1</v>
      </c>
    </row>
    <row r="4131" spans="1:7" x14ac:dyDescent="0.25">
      <c r="A4131">
        <v>20</v>
      </c>
      <c r="B4131" t="s">
        <v>3996</v>
      </c>
      <c r="C4131">
        <v>24550</v>
      </c>
      <c r="D4131" t="str">
        <f>"0267-2359"</f>
        <v>0267-2359</v>
      </c>
      <c r="E4131" t="s">
        <v>8</v>
      </c>
      <c r="F4131" t="s">
        <v>4139</v>
      </c>
      <c r="G4131">
        <v>1</v>
      </c>
    </row>
    <row r="4132" spans="1:7" x14ac:dyDescent="0.25">
      <c r="A4132">
        <v>20</v>
      </c>
      <c r="B4132" t="s">
        <v>3996</v>
      </c>
      <c r="C4132">
        <v>10229</v>
      </c>
      <c r="D4132" t="str">
        <f>"1028-2580"</f>
        <v>1028-2580</v>
      </c>
      <c r="E4132" t="s">
        <v>8</v>
      </c>
      <c r="F4132" t="s">
        <v>4140</v>
      </c>
      <c r="G4132">
        <v>1</v>
      </c>
    </row>
    <row r="4133" spans="1:7" x14ac:dyDescent="0.25">
      <c r="A4133">
        <v>20</v>
      </c>
      <c r="B4133" t="s">
        <v>3996</v>
      </c>
      <c r="C4133">
        <v>11222</v>
      </c>
      <c r="D4133" t="str">
        <f>"0010-8812"</f>
        <v>0010-8812</v>
      </c>
      <c r="E4133" t="s">
        <v>8</v>
      </c>
      <c r="F4133" t="s">
        <v>4141</v>
      </c>
      <c r="G4133">
        <v>1</v>
      </c>
    </row>
    <row r="4134" spans="1:7" x14ac:dyDescent="0.25">
      <c r="A4134">
        <v>20</v>
      </c>
      <c r="B4134" t="s">
        <v>3996</v>
      </c>
      <c r="C4134">
        <v>13015</v>
      </c>
      <c r="D4134" t="str">
        <f>"0925-4994"</f>
        <v>0925-4994</v>
      </c>
      <c r="E4134" t="s">
        <v>8</v>
      </c>
      <c r="F4134" t="s">
        <v>4142</v>
      </c>
      <c r="G4134">
        <v>1</v>
      </c>
    </row>
    <row r="4135" spans="1:7" x14ac:dyDescent="0.25">
      <c r="A4135">
        <v>20</v>
      </c>
      <c r="B4135" t="s">
        <v>3996</v>
      </c>
      <c r="C4135">
        <v>10615</v>
      </c>
      <c r="D4135" t="str">
        <f>"0887-4034"</f>
        <v>0887-4034</v>
      </c>
      <c r="E4135" t="s">
        <v>8</v>
      </c>
      <c r="F4135" t="s">
        <v>4143</v>
      </c>
      <c r="G4135">
        <v>1</v>
      </c>
    </row>
    <row r="4136" spans="1:7" x14ac:dyDescent="0.25">
      <c r="A4136">
        <v>20</v>
      </c>
      <c r="B4136" t="s">
        <v>3996</v>
      </c>
      <c r="C4136">
        <v>14024</v>
      </c>
      <c r="D4136" t="str">
        <f>"1478-601X"</f>
        <v>1478-601X</v>
      </c>
      <c r="E4136" t="s">
        <v>8</v>
      </c>
      <c r="F4136" t="s">
        <v>4144</v>
      </c>
      <c r="G4136">
        <v>1</v>
      </c>
    </row>
    <row r="4137" spans="1:7" x14ac:dyDescent="0.25">
      <c r="A4137">
        <v>20</v>
      </c>
      <c r="B4137" t="s">
        <v>3996</v>
      </c>
      <c r="C4137">
        <v>19030</v>
      </c>
      <c r="D4137" t="str">
        <f>"1748-8958"</f>
        <v>1748-8958</v>
      </c>
      <c r="E4137" t="s">
        <v>8</v>
      </c>
      <c r="F4137" t="s">
        <v>4145</v>
      </c>
      <c r="G4137">
        <v>1</v>
      </c>
    </row>
    <row r="4138" spans="1:7" x14ac:dyDescent="0.25">
      <c r="A4138">
        <v>20</v>
      </c>
      <c r="B4138" t="s">
        <v>3996</v>
      </c>
      <c r="C4138">
        <v>8783407</v>
      </c>
      <c r="E4138" t="s">
        <v>15</v>
      </c>
      <c r="F4138" t="s">
        <v>4146</v>
      </c>
      <c r="G4138">
        <v>1</v>
      </c>
    </row>
    <row r="4139" spans="1:7" x14ac:dyDescent="0.25">
      <c r="A4139">
        <v>20</v>
      </c>
      <c r="B4139" t="s">
        <v>3996</v>
      </c>
      <c r="C4139">
        <v>8783408</v>
      </c>
      <c r="E4139" t="s">
        <v>15</v>
      </c>
      <c r="F4139" t="s">
        <v>4147</v>
      </c>
      <c r="G4139">
        <v>1</v>
      </c>
    </row>
    <row r="4140" spans="1:7" x14ac:dyDescent="0.25">
      <c r="A4140">
        <v>20</v>
      </c>
      <c r="B4140" t="s">
        <v>3996</v>
      </c>
      <c r="C4140">
        <v>726</v>
      </c>
      <c r="D4140" t="str">
        <f>"1205-8629"</f>
        <v>1205-8629</v>
      </c>
      <c r="E4140" t="s">
        <v>8</v>
      </c>
      <c r="F4140" t="s">
        <v>4148</v>
      </c>
      <c r="G4140">
        <v>1</v>
      </c>
    </row>
    <row r="4141" spans="1:7" x14ac:dyDescent="0.25">
      <c r="A4141">
        <v>20</v>
      </c>
      <c r="B4141" t="s">
        <v>3996</v>
      </c>
      <c r="C4141">
        <v>8783409</v>
      </c>
      <c r="E4141" t="s">
        <v>15</v>
      </c>
      <c r="F4141" t="s">
        <v>4149</v>
      </c>
      <c r="G4141">
        <v>1</v>
      </c>
    </row>
    <row r="4142" spans="1:7" x14ac:dyDescent="0.25">
      <c r="A4142">
        <v>20</v>
      </c>
      <c r="B4142" t="s">
        <v>3996</v>
      </c>
      <c r="C4142">
        <v>8782774</v>
      </c>
      <c r="D4142" t="str">
        <f>"1102-3317"</f>
        <v>1102-3317</v>
      </c>
      <c r="E4142" t="s">
        <v>15</v>
      </c>
      <c r="F4142" t="s">
        <v>4150</v>
      </c>
      <c r="G4142">
        <v>1</v>
      </c>
    </row>
    <row r="4143" spans="1:7" x14ac:dyDescent="0.25">
      <c r="A4143">
        <v>20</v>
      </c>
      <c r="B4143" t="s">
        <v>3996</v>
      </c>
      <c r="C4143">
        <v>19399</v>
      </c>
      <c r="D4143" t="str">
        <f>"0002-3752"</f>
        <v>0002-3752</v>
      </c>
      <c r="E4143" t="s">
        <v>8</v>
      </c>
      <c r="F4143" t="s">
        <v>4151</v>
      </c>
      <c r="G4143">
        <v>1</v>
      </c>
    </row>
    <row r="4144" spans="1:7" x14ac:dyDescent="0.25">
      <c r="A4144">
        <v>20</v>
      </c>
      <c r="B4144" t="s">
        <v>3996</v>
      </c>
      <c r="C4144">
        <v>153884</v>
      </c>
      <c r="D4144" t="str">
        <f>"1756-4611"</f>
        <v>1756-4611</v>
      </c>
      <c r="E4144" t="s">
        <v>8</v>
      </c>
      <c r="F4144" t="s">
        <v>4152</v>
      </c>
      <c r="G4144">
        <v>1</v>
      </c>
    </row>
    <row r="4145" spans="1:7" x14ac:dyDescent="0.25">
      <c r="A4145">
        <v>20</v>
      </c>
      <c r="B4145" t="s">
        <v>3996</v>
      </c>
      <c r="C4145">
        <v>119683</v>
      </c>
      <c r="D4145" t="str">
        <f>"0332-3250"</f>
        <v>0332-3250</v>
      </c>
      <c r="E4145" t="s">
        <v>8</v>
      </c>
      <c r="F4145" t="s">
        <v>4153</v>
      </c>
      <c r="G4145">
        <v>1</v>
      </c>
    </row>
    <row r="4146" spans="1:7" x14ac:dyDescent="0.25">
      <c r="A4146">
        <v>20</v>
      </c>
      <c r="B4146" t="s">
        <v>3996</v>
      </c>
      <c r="C4146">
        <v>4229</v>
      </c>
      <c r="D4146" t="str">
        <f>"1064-3958"</f>
        <v>1064-3958</v>
      </c>
      <c r="E4146" t="s">
        <v>8</v>
      </c>
      <c r="F4146" t="s">
        <v>4154</v>
      </c>
      <c r="G4146">
        <v>1</v>
      </c>
    </row>
    <row r="4147" spans="1:7" x14ac:dyDescent="0.25">
      <c r="A4147">
        <v>20</v>
      </c>
      <c r="B4147" t="s">
        <v>3996</v>
      </c>
      <c r="C4147">
        <v>3749</v>
      </c>
      <c r="D4147" t="str">
        <f>"0928-2750"</f>
        <v>0928-2750</v>
      </c>
      <c r="E4147" t="s">
        <v>8</v>
      </c>
      <c r="F4147" t="s">
        <v>4155</v>
      </c>
      <c r="G4147">
        <v>1</v>
      </c>
    </row>
    <row r="4148" spans="1:7" x14ac:dyDescent="0.25">
      <c r="A4148">
        <v>20</v>
      </c>
      <c r="B4148" t="s">
        <v>3996</v>
      </c>
      <c r="C4148">
        <v>5849</v>
      </c>
      <c r="E4148" t="s">
        <v>8</v>
      </c>
      <c r="F4148" t="s">
        <v>4156</v>
      </c>
      <c r="G4148">
        <v>1</v>
      </c>
    </row>
    <row r="4149" spans="1:7" x14ac:dyDescent="0.25">
      <c r="A4149">
        <v>20</v>
      </c>
      <c r="B4149" t="s">
        <v>3996</v>
      </c>
      <c r="C4149">
        <v>8783410</v>
      </c>
      <c r="E4149" t="s">
        <v>15</v>
      </c>
      <c r="F4149" t="s">
        <v>4157</v>
      </c>
      <c r="G4149">
        <v>1</v>
      </c>
    </row>
    <row r="4150" spans="1:7" x14ac:dyDescent="0.25">
      <c r="A4150">
        <v>20</v>
      </c>
      <c r="B4150" t="s">
        <v>3996</v>
      </c>
      <c r="C4150">
        <v>8783357</v>
      </c>
      <c r="E4150" t="s">
        <v>15</v>
      </c>
      <c r="F4150" t="s">
        <v>4158</v>
      </c>
      <c r="G4150">
        <v>1</v>
      </c>
    </row>
    <row r="4151" spans="1:7" x14ac:dyDescent="0.25">
      <c r="A4151">
        <v>20</v>
      </c>
      <c r="B4151" t="s">
        <v>3996</v>
      </c>
      <c r="C4151">
        <v>8783412</v>
      </c>
      <c r="E4151" t="s">
        <v>15</v>
      </c>
      <c r="F4151" t="s">
        <v>4159</v>
      </c>
      <c r="G4151">
        <v>1</v>
      </c>
    </row>
    <row r="4152" spans="1:7" x14ac:dyDescent="0.25">
      <c r="A4152">
        <v>20</v>
      </c>
      <c r="B4152" t="s">
        <v>3996</v>
      </c>
      <c r="C4152">
        <v>8783413</v>
      </c>
      <c r="E4152" t="s">
        <v>15</v>
      </c>
      <c r="F4152" t="s">
        <v>4160</v>
      </c>
      <c r="G4152">
        <v>1</v>
      </c>
    </row>
    <row r="4153" spans="1:7" x14ac:dyDescent="0.25">
      <c r="A4153">
        <v>20</v>
      </c>
      <c r="B4153" t="s">
        <v>3996</v>
      </c>
      <c r="C4153">
        <v>21784</v>
      </c>
      <c r="E4153" t="s">
        <v>8</v>
      </c>
      <c r="F4153" t="s">
        <v>4161</v>
      </c>
      <c r="G4153">
        <v>1</v>
      </c>
    </row>
    <row r="4154" spans="1:7" x14ac:dyDescent="0.25">
      <c r="A4154">
        <v>20</v>
      </c>
      <c r="B4154" t="s">
        <v>3996</v>
      </c>
      <c r="C4154">
        <v>21904</v>
      </c>
      <c r="D4154" t="str">
        <f>"1461-4529"</f>
        <v>1461-4529</v>
      </c>
      <c r="E4154" t="s">
        <v>8</v>
      </c>
      <c r="F4154" t="s">
        <v>4162</v>
      </c>
      <c r="G4154">
        <v>1</v>
      </c>
    </row>
    <row r="4155" spans="1:7" x14ac:dyDescent="0.25">
      <c r="A4155">
        <v>20</v>
      </c>
      <c r="B4155" t="s">
        <v>3996</v>
      </c>
      <c r="C4155">
        <v>26763</v>
      </c>
      <c r="D4155" t="str">
        <f>"0966-2030"</f>
        <v>0966-2030</v>
      </c>
      <c r="E4155" t="s">
        <v>8</v>
      </c>
      <c r="F4155" t="s">
        <v>4163</v>
      </c>
      <c r="G4155">
        <v>1</v>
      </c>
    </row>
    <row r="4156" spans="1:7" x14ac:dyDescent="0.25">
      <c r="A4156">
        <v>20</v>
      </c>
      <c r="B4156" t="s">
        <v>3996</v>
      </c>
      <c r="C4156">
        <v>26628</v>
      </c>
      <c r="D4156" t="str">
        <f>"1466-0466"</f>
        <v>1466-0466</v>
      </c>
      <c r="E4156" t="s">
        <v>8</v>
      </c>
      <c r="F4156" t="s">
        <v>4164</v>
      </c>
      <c r="G4156">
        <v>1</v>
      </c>
    </row>
    <row r="4157" spans="1:7" x14ac:dyDescent="0.25">
      <c r="A4157">
        <v>20</v>
      </c>
      <c r="B4157" t="s">
        <v>3996</v>
      </c>
      <c r="C4157">
        <v>24698</v>
      </c>
      <c r="D4157" t="str">
        <f>"1612-3093"</f>
        <v>1612-3093</v>
      </c>
      <c r="E4157" t="s">
        <v>8</v>
      </c>
      <c r="F4157" t="s">
        <v>4165</v>
      </c>
      <c r="G4157">
        <v>1</v>
      </c>
    </row>
    <row r="4158" spans="1:7" x14ac:dyDescent="0.25">
      <c r="A4158">
        <v>20</v>
      </c>
      <c r="B4158" t="s">
        <v>3996</v>
      </c>
      <c r="C4158">
        <v>7699752</v>
      </c>
      <c r="D4158" t="str">
        <f>"2210-2671"</f>
        <v>2210-2671</v>
      </c>
      <c r="E4158" t="s">
        <v>8</v>
      </c>
      <c r="F4158" t="s">
        <v>4166</v>
      </c>
      <c r="G4158">
        <v>1</v>
      </c>
    </row>
    <row r="4159" spans="1:7" x14ac:dyDescent="0.25">
      <c r="A4159">
        <v>20</v>
      </c>
      <c r="B4159" t="s">
        <v>3996</v>
      </c>
      <c r="C4159">
        <v>151947</v>
      </c>
      <c r="D4159" t="str">
        <f>"1901-3612"</f>
        <v>1901-3612</v>
      </c>
      <c r="E4159" t="s">
        <v>8</v>
      </c>
      <c r="F4159" t="s">
        <v>4167</v>
      </c>
      <c r="G4159">
        <v>1</v>
      </c>
    </row>
    <row r="4160" spans="1:7" x14ac:dyDescent="0.25">
      <c r="A4160">
        <v>20</v>
      </c>
      <c r="B4160" t="s">
        <v>3996</v>
      </c>
      <c r="C4160">
        <v>61578</v>
      </c>
      <c r="D4160" t="str">
        <f>"1395-220X"</f>
        <v>1395-220X</v>
      </c>
      <c r="E4160" t="s">
        <v>8</v>
      </c>
      <c r="F4160" t="s">
        <v>4168</v>
      </c>
      <c r="G4160">
        <v>1</v>
      </c>
    </row>
    <row r="4161" spans="1:7" x14ac:dyDescent="0.25">
      <c r="A4161">
        <v>20</v>
      </c>
      <c r="B4161" t="s">
        <v>3996</v>
      </c>
      <c r="C4161">
        <v>994</v>
      </c>
      <c r="D4161" t="str">
        <f>"1403-8722"</f>
        <v>1403-8722</v>
      </c>
      <c r="E4161" t="s">
        <v>8</v>
      </c>
      <c r="F4161" t="s">
        <v>4169</v>
      </c>
      <c r="G4161">
        <v>1</v>
      </c>
    </row>
    <row r="4162" spans="1:7" x14ac:dyDescent="0.25">
      <c r="A4162">
        <v>20</v>
      </c>
      <c r="B4162" t="s">
        <v>3996</v>
      </c>
      <c r="C4162">
        <v>14277</v>
      </c>
      <c r="D4162" t="str">
        <f>"1572-4999"</f>
        <v>1572-4999</v>
      </c>
      <c r="E4162" t="s">
        <v>8</v>
      </c>
      <c r="F4162" t="s">
        <v>4170</v>
      </c>
      <c r="G4162">
        <v>1</v>
      </c>
    </row>
    <row r="4163" spans="1:7" x14ac:dyDescent="0.25">
      <c r="A4163">
        <v>20</v>
      </c>
      <c r="B4163" t="s">
        <v>3996</v>
      </c>
      <c r="C4163">
        <v>5319</v>
      </c>
      <c r="D4163" t="str">
        <f>"1744-1056"</f>
        <v>1744-1056</v>
      </c>
      <c r="E4163" t="s">
        <v>8</v>
      </c>
      <c r="F4163" t="s">
        <v>4171</v>
      </c>
      <c r="G4163">
        <v>1</v>
      </c>
    </row>
    <row r="4164" spans="1:7" x14ac:dyDescent="0.25">
      <c r="A4164">
        <v>20</v>
      </c>
      <c r="B4164" t="s">
        <v>3996</v>
      </c>
      <c r="C4164">
        <v>8783414</v>
      </c>
      <c r="E4164" t="s">
        <v>15</v>
      </c>
      <c r="F4164" t="s">
        <v>4172</v>
      </c>
      <c r="G4164">
        <v>1</v>
      </c>
    </row>
    <row r="4165" spans="1:7" x14ac:dyDescent="0.25">
      <c r="A4165">
        <v>20</v>
      </c>
      <c r="B4165" t="s">
        <v>3996</v>
      </c>
      <c r="C4165">
        <v>7722040</v>
      </c>
      <c r="D4165" t="str">
        <f>"2191-7442"</f>
        <v>2191-7442</v>
      </c>
      <c r="E4165" t="s">
        <v>8</v>
      </c>
      <c r="F4165" t="s">
        <v>4173</v>
      </c>
      <c r="G4165">
        <v>1</v>
      </c>
    </row>
    <row r="4166" spans="1:7" x14ac:dyDescent="0.25">
      <c r="A4166">
        <v>20</v>
      </c>
      <c r="B4166" t="s">
        <v>3996</v>
      </c>
      <c r="C4166">
        <v>8783415</v>
      </c>
      <c r="E4166" t="s">
        <v>15</v>
      </c>
      <c r="F4166" t="s">
        <v>4174</v>
      </c>
      <c r="G4166">
        <v>1</v>
      </c>
    </row>
    <row r="4167" spans="1:7" x14ac:dyDescent="0.25">
      <c r="A4167">
        <v>20</v>
      </c>
      <c r="B4167" t="s">
        <v>3996</v>
      </c>
      <c r="C4167">
        <v>27801</v>
      </c>
      <c r="D4167" t="str">
        <f>"1862-2720"</f>
        <v>1862-2720</v>
      </c>
      <c r="E4167" t="s">
        <v>8</v>
      </c>
      <c r="F4167" t="s">
        <v>4175</v>
      </c>
      <c r="G4167">
        <v>1</v>
      </c>
    </row>
    <row r="4168" spans="1:7" x14ac:dyDescent="0.25">
      <c r="A4168">
        <v>20</v>
      </c>
      <c r="B4168" t="s">
        <v>3996</v>
      </c>
      <c r="C4168">
        <v>15404</v>
      </c>
      <c r="D4168" t="str">
        <f>"1361-1526"</f>
        <v>1361-1526</v>
      </c>
      <c r="E4168" t="s">
        <v>8</v>
      </c>
      <c r="F4168" t="s">
        <v>4176</v>
      </c>
      <c r="G4168">
        <v>1</v>
      </c>
    </row>
    <row r="4169" spans="1:7" x14ac:dyDescent="0.25">
      <c r="A4169">
        <v>20</v>
      </c>
      <c r="B4169" t="s">
        <v>3996</v>
      </c>
      <c r="C4169">
        <v>5594</v>
      </c>
      <c r="D4169" t="str">
        <f>"0142-0461"</f>
        <v>0142-0461</v>
      </c>
      <c r="E4169" t="s">
        <v>8</v>
      </c>
      <c r="F4169" t="s">
        <v>4177</v>
      </c>
      <c r="G4169">
        <v>1</v>
      </c>
    </row>
    <row r="4170" spans="1:7" x14ac:dyDescent="0.25">
      <c r="A4170">
        <v>20</v>
      </c>
      <c r="B4170" t="s">
        <v>3996</v>
      </c>
      <c r="C4170">
        <v>2093</v>
      </c>
      <c r="D4170" t="str">
        <f>"1477-3708"</f>
        <v>1477-3708</v>
      </c>
      <c r="E4170" t="s">
        <v>8</v>
      </c>
      <c r="F4170" t="s">
        <v>4178</v>
      </c>
      <c r="G4170">
        <v>1</v>
      </c>
    </row>
    <row r="4171" spans="1:7" x14ac:dyDescent="0.25">
      <c r="A4171">
        <v>20</v>
      </c>
      <c r="B4171" t="s">
        <v>3996</v>
      </c>
      <c r="C4171">
        <v>8084</v>
      </c>
      <c r="D4171" t="str">
        <f>"1387-2370"</f>
        <v>1387-2370</v>
      </c>
      <c r="E4171" t="s">
        <v>8</v>
      </c>
      <c r="F4171" t="s">
        <v>4179</v>
      </c>
      <c r="G4171">
        <v>1</v>
      </c>
    </row>
    <row r="4172" spans="1:7" x14ac:dyDescent="0.25">
      <c r="A4172">
        <v>20</v>
      </c>
      <c r="B4172" t="s">
        <v>3996</v>
      </c>
      <c r="C4172">
        <v>47589</v>
      </c>
      <c r="E4172" t="s">
        <v>8</v>
      </c>
      <c r="F4172" t="s">
        <v>4180</v>
      </c>
      <c r="G4172">
        <v>1</v>
      </c>
    </row>
    <row r="4173" spans="1:7" x14ac:dyDescent="0.25">
      <c r="A4173">
        <v>20</v>
      </c>
      <c r="B4173" t="s">
        <v>3996</v>
      </c>
      <c r="C4173">
        <v>180055</v>
      </c>
      <c r="D4173" t="str">
        <f>"2034-760X"</f>
        <v>2034-760X</v>
      </c>
      <c r="E4173" t="s">
        <v>8</v>
      </c>
      <c r="F4173" t="s">
        <v>4181</v>
      </c>
      <c r="G4173">
        <v>1</v>
      </c>
    </row>
    <row r="4174" spans="1:7" x14ac:dyDescent="0.25">
      <c r="A4174">
        <v>20</v>
      </c>
      <c r="B4174" t="s">
        <v>3996</v>
      </c>
      <c r="C4174">
        <v>6490</v>
      </c>
      <c r="D4174" t="str">
        <f>"0928-1371"</f>
        <v>0928-1371</v>
      </c>
      <c r="E4174" t="s">
        <v>8</v>
      </c>
      <c r="F4174" t="s">
        <v>4182</v>
      </c>
      <c r="G4174">
        <v>1</v>
      </c>
    </row>
    <row r="4175" spans="1:7" x14ac:dyDescent="0.25">
      <c r="A4175">
        <v>20</v>
      </c>
      <c r="B4175" t="s">
        <v>3996</v>
      </c>
      <c r="C4175">
        <v>8782733</v>
      </c>
      <c r="E4175" t="s">
        <v>8</v>
      </c>
      <c r="F4175" t="s">
        <v>4183</v>
      </c>
      <c r="G4175">
        <v>1</v>
      </c>
    </row>
    <row r="4176" spans="1:7" x14ac:dyDescent="0.25">
      <c r="A4176">
        <v>20</v>
      </c>
      <c r="B4176" t="s">
        <v>3996</v>
      </c>
      <c r="C4176">
        <v>63873</v>
      </c>
      <c r="D4176" t="str">
        <f>"2194-7376"</f>
        <v>2194-7376</v>
      </c>
      <c r="E4176" t="s">
        <v>8</v>
      </c>
      <c r="F4176" t="s">
        <v>4184</v>
      </c>
      <c r="G4176">
        <v>1</v>
      </c>
    </row>
    <row r="4177" spans="1:7" x14ac:dyDescent="0.25">
      <c r="A4177">
        <v>20</v>
      </c>
      <c r="B4177" t="s">
        <v>3996</v>
      </c>
      <c r="C4177">
        <v>170105</v>
      </c>
      <c r="E4177" t="s">
        <v>15</v>
      </c>
      <c r="F4177" t="s">
        <v>4185</v>
      </c>
      <c r="G4177">
        <v>1</v>
      </c>
    </row>
    <row r="4178" spans="1:7" x14ac:dyDescent="0.25">
      <c r="A4178">
        <v>20</v>
      </c>
      <c r="B4178" t="s">
        <v>3996</v>
      </c>
      <c r="C4178">
        <v>11184</v>
      </c>
      <c r="D4178" t="str">
        <f>"0928-9801"</f>
        <v>0928-9801</v>
      </c>
      <c r="E4178" t="s">
        <v>8</v>
      </c>
      <c r="F4178" t="s">
        <v>4186</v>
      </c>
      <c r="G4178">
        <v>1</v>
      </c>
    </row>
    <row r="4179" spans="1:7" x14ac:dyDescent="0.25">
      <c r="A4179">
        <v>20</v>
      </c>
      <c r="B4179" t="s">
        <v>3996</v>
      </c>
      <c r="C4179">
        <v>3428</v>
      </c>
      <c r="D4179" t="str">
        <f>"0167-6717"</f>
        <v>0167-6717</v>
      </c>
      <c r="E4179" t="s">
        <v>15</v>
      </c>
      <c r="F4179" t="s">
        <v>4187</v>
      </c>
      <c r="G4179">
        <v>1</v>
      </c>
    </row>
    <row r="4180" spans="1:7" x14ac:dyDescent="0.25">
      <c r="A4180">
        <v>20</v>
      </c>
      <c r="B4180" t="s">
        <v>3996</v>
      </c>
      <c r="C4180">
        <v>26400</v>
      </c>
      <c r="D4180" t="str">
        <f>"0937-7204"</f>
        <v>0937-7204</v>
      </c>
      <c r="E4180" t="s">
        <v>8</v>
      </c>
      <c r="F4180" t="s">
        <v>4188</v>
      </c>
      <c r="G4180">
        <v>1</v>
      </c>
    </row>
    <row r="4181" spans="1:7" x14ac:dyDescent="0.25">
      <c r="A4181">
        <v>20</v>
      </c>
      <c r="B4181" t="s">
        <v>3996</v>
      </c>
      <c r="C4181">
        <v>130868</v>
      </c>
      <c r="D4181" t="str">
        <f>"0067-205X"</f>
        <v>0067-205X</v>
      </c>
      <c r="E4181" t="s">
        <v>8</v>
      </c>
      <c r="F4181" t="s">
        <v>4189</v>
      </c>
      <c r="G4181">
        <v>1</v>
      </c>
    </row>
    <row r="4182" spans="1:7" x14ac:dyDescent="0.25">
      <c r="A4182">
        <v>20</v>
      </c>
      <c r="B4182" t="s">
        <v>3996</v>
      </c>
      <c r="C4182">
        <v>7455</v>
      </c>
      <c r="D4182" t="str">
        <f>"0014-9128"</f>
        <v>0014-9128</v>
      </c>
      <c r="E4182" t="s">
        <v>8</v>
      </c>
      <c r="F4182" t="s">
        <v>4190</v>
      </c>
      <c r="G4182">
        <v>1</v>
      </c>
    </row>
    <row r="4183" spans="1:7" x14ac:dyDescent="0.25">
      <c r="A4183">
        <v>20</v>
      </c>
      <c r="B4183" t="s">
        <v>3996</v>
      </c>
      <c r="C4183">
        <v>9225</v>
      </c>
      <c r="D4183" t="str">
        <f>"0966-3622"</f>
        <v>0966-3622</v>
      </c>
      <c r="E4183" t="s">
        <v>8</v>
      </c>
      <c r="F4183" t="s">
        <v>4191</v>
      </c>
      <c r="G4183">
        <v>1</v>
      </c>
    </row>
    <row r="4184" spans="1:7" x14ac:dyDescent="0.25">
      <c r="A4184">
        <v>20</v>
      </c>
      <c r="B4184" t="s">
        <v>3996</v>
      </c>
      <c r="C4184">
        <v>3258</v>
      </c>
      <c r="D4184" t="str">
        <f>"0015-8585"</f>
        <v>0015-8585</v>
      </c>
      <c r="E4184" t="s">
        <v>8</v>
      </c>
      <c r="F4184" t="s">
        <v>4192</v>
      </c>
      <c r="G4184">
        <v>1</v>
      </c>
    </row>
    <row r="4185" spans="1:7" x14ac:dyDescent="0.25">
      <c r="A4185">
        <v>20</v>
      </c>
      <c r="B4185" t="s">
        <v>3996</v>
      </c>
      <c r="C4185">
        <v>9388</v>
      </c>
      <c r="D4185" t="str">
        <f>"1064-590X"</f>
        <v>1064-590X</v>
      </c>
      <c r="E4185" t="s">
        <v>8</v>
      </c>
      <c r="F4185" t="s">
        <v>4193</v>
      </c>
      <c r="G4185">
        <v>1</v>
      </c>
    </row>
    <row r="4186" spans="1:7" x14ac:dyDescent="0.25">
      <c r="A4186">
        <v>20</v>
      </c>
      <c r="B4186" t="s">
        <v>3996</v>
      </c>
      <c r="C4186">
        <v>27590</v>
      </c>
      <c r="D4186" t="str">
        <f>"1079-9699"</f>
        <v>1079-9699</v>
      </c>
      <c r="E4186" t="s">
        <v>8</v>
      </c>
      <c r="F4186" t="s">
        <v>4194</v>
      </c>
      <c r="G4186">
        <v>1</v>
      </c>
    </row>
    <row r="4187" spans="1:7" x14ac:dyDescent="0.25">
      <c r="A4187">
        <v>20</v>
      </c>
      <c r="B4187" t="s">
        <v>3996</v>
      </c>
      <c r="C4187">
        <v>5951</v>
      </c>
      <c r="D4187" t="str">
        <f>"0747-9395"</f>
        <v>0747-9395</v>
      </c>
      <c r="E4187" t="s">
        <v>8</v>
      </c>
      <c r="F4187" t="s">
        <v>4195</v>
      </c>
      <c r="G4187">
        <v>1</v>
      </c>
    </row>
    <row r="4188" spans="1:7" x14ac:dyDescent="0.25">
      <c r="A4188">
        <v>20</v>
      </c>
      <c r="B4188" t="s">
        <v>3996</v>
      </c>
      <c r="C4188">
        <v>6587</v>
      </c>
      <c r="D4188" t="str">
        <f>"0015-704X"</f>
        <v>0015-704X</v>
      </c>
      <c r="E4188" t="s">
        <v>8</v>
      </c>
      <c r="F4188" t="s">
        <v>4196</v>
      </c>
      <c r="G4188">
        <v>1</v>
      </c>
    </row>
    <row r="4189" spans="1:7" x14ac:dyDescent="0.25">
      <c r="A4189">
        <v>20</v>
      </c>
      <c r="B4189" t="s">
        <v>3996</v>
      </c>
      <c r="C4189">
        <v>7623</v>
      </c>
      <c r="D4189" t="str">
        <f>"0344-3094"</f>
        <v>0344-3094</v>
      </c>
      <c r="E4189" t="s">
        <v>8</v>
      </c>
      <c r="F4189" t="s">
        <v>4197</v>
      </c>
      <c r="G4189">
        <v>1</v>
      </c>
    </row>
    <row r="4190" spans="1:7" x14ac:dyDescent="0.25">
      <c r="A4190">
        <v>20</v>
      </c>
      <c r="B4190" t="s">
        <v>3996</v>
      </c>
      <c r="C4190">
        <v>3835</v>
      </c>
      <c r="D4190" t="str">
        <f>"0016-9420"</f>
        <v>0016-9420</v>
      </c>
      <c r="E4190" t="s">
        <v>8</v>
      </c>
      <c r="F4190" t="s">
        <v>4198</v>
      </c>
      <c r="G4190">
        <v>1</v>
      </c>
    </row>
    <row r="4191" spans="1:7" x14ac:dyDescent="0.25">
      <c r="A4191">
        <v>20</v>
      </c>
      <c r="B4191" t="s">
        <v>3996</v>
      </c>
      <c r="C4191">
        <v>5694</v>
      </c>
      <c r="D4191" t="str">
        <f>"0435-8600"</f>
        <v>0435-8600</v>
      </c>
      <c r="E4191" t="s">
        <v>8</v>
      </c>
      <c r="F4191" t="s">
        <v>4199</v>
      </c>
      <c r="G4191">
        <v>1</v>
      </c>
    </row>
    <row r="4192" spans="1:7" x14ac:dyDescent="0.25">
      <c r="A4192">
        <v>20</v>
      </c>
      <c r="B4192" t="s">
        <v>3996</v>
      </c>
      <c r="C4192">
        <v>26336</v>
      </c>
      <c r="D4192" t="str">
        <f>"1744-0572"</f>
        <v>1744-0572</v>
      </c>
      <c r="E4192" t="s">
        <v>8</v>
      </c>
      <c r="F4192" t="s">
        <v>4200</v>
      </c>
      <c r="G4192">
        <v>1</v>
      </c>
    </row>
    <row r="4193" spans="1:7" x14ac:dyDescent="0.25">
      <c r="A4193">
        <v>20</v>
      </c>
      <c r="B4193" t="s">
        <v>3996</v>
      </c>
      <c r="C4193">
        <v>152324</v>
      </c>
      <c r="D4193" t="str">
        <f>"1934-2640"</f>
        <v>1934-2640</v>
      </c>
      <c r="E4193" t="s">
        <v>8</v>
      </c>
      <c r="F4193" t="s">
        <v>4201</v>
      </c>
      <c r="G4193">
        <v>1</v>
      </c>
    </row>
    <row r="4194" spans="1:7" x14ac:dyDescent="0.25">
      <c r="A4194">
        <v>20</v>
      </c>
      <c r="B4194" t="s">
        <v>3996</v>
      </c>
      <c r="C4194">
        <v>8783392</v>
      </c>
      <c r="E4194" t="s">
        <v>15</v>
      </c>
      <c r="F4194" t="s">
        <v>4202</v>
      </c>
      <c r="G4194">
        <v>1</v>
      </c>
    </row>
    <row r="4195" spans="1:7" x14ac:dyDescent="0.25">
      <c r="A4195">
        <v>20</v>
      </c>
      <c r="B4195" t="s">
        <v>3996</v>
      </c>
      <c r="C4195">
        <v>22339</v>
      </c>
      <c r="D4195" t="str">
        <f>"0017-1956"</f>
        <v>0017-1956</v>
      </c>
      <c r="E4195" t="s">
        <v>8</v>
      </c>
      <c r="F4195" t="s">
        <v>4203</v>
      </c>
      <c r="G4195">
        <v>1</v>
      </c>
    </row>
    <row r="4196" spans="1:7" x14ac:dyDescent="0.25">
      <c r="A4196">
        <v>20</v>
      </c>
      <c r="B4196" t="s">
        <v>3996</v>
      </c>
      <c r="C4196">
        <v>8783416</v>
      </c>
      <c r="E4196" t="s">
        <v>15</v>
      </c>
      <c r="F4196" t="s">
        <v>4204</v>
      </c>
      <c r="G4196">
        <v>1</v>
      </c>
    </row>
    <row r="4197" spans="1:7" x14ac:dyDescent="0.25">
      <c r="A4197">
        <v>20</v>
      </c>
      <c r="B4197" t="s">
        <v>3996</v>
      </c>
      <c r="C4197">
        <v>4975</v>
      </c>
      <c r="D4197" t="str">
        <f>"0923-8298"</f>
        <v>0923-8298</v>
      </c>
      <c r="E4197" t="s">
        <v>8</v>
      </c>
      <c r="F4197" t="s">
        <v>4205</v>
      </c>
      <c r="G4197">
        <v>1</v>
      </c>
    </row>
    <row r="4198" spans="1:7" x14ac:dyDescent="0.25">
      <c r="A4198">
        <v>20</v>
      </c>
      <c r="B4198" t="s">
        <v>3996</v>
      </c>
      <c r="C4198">
        <v>8783417</v>
      </c>
      <c r="E4198" t="s">
        <v>15</v>
      </c>
      <c r="F4198" t="s">
        <v>4206</v>
      </c>
      <c r="G4198">
        <v>1</v>
      </c>
    </row>
    <row r="4199" spans="1:7" x14ac:dyDescent="0.25">
      <c r="A4199">
        <v>20</v>
      </c>
      <c r="B4199" t="s">
        <v>3996</v>
      </c>
      <c r="C4199">
        <v>15950</v>
      </c>
      <c r="D4199" t="str">
        <f>"0147-8257"</f>
        <v>0147-8257</v>
      </c>
      <c r="E4199" t="s">
        <v>8</v>
      </c>
      <c r="F4199" t="s">
        <v>4207</v>
      </c>
      <c r="G4199">
        <v>1</v>
      </c>
    </row>
    <row r="4200" spans="1:7" x14ac:dyDescent="0.25">
      <c r="A4200">
        <v>20</v>
      </c>
      <c r="B4200" t="s">
        <v>3996</v>
      </c>
      <c r="C4200">
        <v>6211</v>
      </c>
      <c r="D4200" t="str">
        <f>"1057-5057"</f>
        <v>1057-5057</v>
      </c>
      <c r="E4200" t="s">
        <v>8</v>
      </c>
      <c r="F4200" t="s">
        <v>4208</v>
      </c>
      <c r="G4200">
        <v>1</v>
      </c>
    </row>
    <row r="4201" spans="1:7" x14ac:dyDescent="0.25">
      <c r="A4201">
        <v>20</v>
      </c>
      <c r="B4201" t="s">
        <v>3996</v>
      </c>
      <c r="C4201">
        <v>11052</v>
      </c>
      <c r="D4201" t="str">
        <f>"0193-4872"</f>
        <v>0193-4872</v>
      </c>
      <c r="E4201" t="s">
        <v>8</v>
      </c>
      <c r="F4201" t="s">
        <v>4209</v>
      </c>
      <c r="G4201">
        <v>1</v>
      </c>
    </row>
    <row r="4202" spans="1:7" x14ac:dyDescent="0.25">
      <c r="A4202">
        <v>20</v>
      </c>
      <c r="B4202" t="s">
        <v>3996</v>
      </c>
      <c r="C4202">
        <v>26173</v>
      </c>
      <c r="D4202" t="str">
        <f>"0149-9246"</f>
        <v>0149-9246</v>
      </c>
      <c r="E4202" t="s">
        <v>8</v>
      </c>
      <c r="F4202" t="s">
        <v>4210</v>
      </c>
      <c r="G4202">
        <v>1</v>
      </c>
    </row>
    <row r="4203" spans="1:7" x14ac:dyDescent="0.25">
      <c r="A4203">
        <v>20</v>
      </c>
      <c r="B4203" t="s">
        <v>3996</v>
      </c>
      <c r="C4203">
        <v>12166</v>
      </c>
      <c r="D4203" t="str">
        <f>"0017-8322"</f>
        <v>0017-8322</v>
      </c>
      <c r="E4203" t="s">
        <v>8</v>
      </c>
      <c r="F4203" t="s">
        <v>4211</v>
      </c>
      <c r="G4203">
        <v>1</v>
      </c>
    </row>
    <row r="4204" spans="1:7" x14ac:dyDescent="0.25">
      <c r="A4204">
        <v>20</v>
      </c>
      <c r="B4204" t="s">
        <v>3996</v>
      </c>
      <c r="C4204">
        <v>27668</v>
      </c>
      <c r="D4204" t="str">
        <f>"1079-0969"</f>
        <v>1079-0969</v>
      </c>
      <c r="E4204" t="s">
        <v>8</v>
      </c>
      <c r="F4204" t="s">
        <v>4212</v>
      </c>
      <c r="G4204">
        <v>1</v>
      </c>
    </row>
    <row r="4205" spans="1:7" x14ac:dyDescent="0.25">
      <c r="A4205">
        <v>20</v>
      </c>
      <c r="B4205" t="s">
        <v>3996</v>
      </c>
      <c r="C4205">
        <v>5729</v>
      </c>
      <c r="D4205" t="str">
        <f>"0194-1879"</f>
        <v>0194-1879</v>
      </c>
      <c r="E4205" t="s">
        <v>8</v>
      </c>
      <c r="F4205" t="s">
        <v>4213</v>
      </c>
      <c r="G4205">
        <v>1</v>
      </c>
    </row>
    <row r="4206" spans="1:7" x14ac:dyDescent="0.25">
      <c r="A4206">
        <v>20</v>
      </c>
      <c r="B4206" t="s">
        <v>3996</v>
      </c>
      <c r="C4206">
        <v>154319</v>
      </c>
      <c r="D4206" t="str">
        <f>"1783-7014"</f>
        <v>1783-7014</v>
      </c>
      <c r="E4206" t="s">
        <v>8</v>
      </c>
      <c r="F4206" t="s">
        <v>4214</v>
      </c>
      <c r="G4206">
        <v>1</v>
      </c>
    </row>
    <row r="4207" spans="1:7" x14ac:dyDescent="0.25">
      <c r="A4207">
        <v>20</v>
      </c>
      <c r="B4207" t="s">
        <v>3996</v>
      </c>
      <c r="C4207">
        <v>7378</v>
      </c>
      <c r="D4207" t="str">
        <f>"0174-4704"</f>
        <v>0174-4704</v>
      </c>
      <c r="E4207" t="s">
        <v>8</v>
      </c>
      <c r="F4207" t="s">
        <v>4215</v>
      </c>
      <c r="G4207">
        <v>1</v>
      </c>
    </row>
    <row r="4208" spans="1:7" x14ac:dyDescent="0.25">
      <c r="A4208">
        <v>20</v>
      </c>
      <c r="B4208" t="s">
        <v>3996</v>
      </c>
      <c r="C4208">
        <v>24610</v>
      </c>
      <c r="D4208" t="str">
        <f>"1461-7781"</f>
        <v>1461-7781</v>
      </c>
      <c r="E4208" t="s">
        <v>8</v>
      </c>
      <c r="F4208" t="s">
        <v>4216</v>
      </c>
      <c r="G4208">
        <v>1</v>
      </c>
    </row>
    <row r="4209" spans="1:7" x14ac:dyDescent="0.25">
      <c r="A4209">
        <v>20</v>
      </c>
      <c r="B4209" t="s">
        <v>3996</v>
      </c>
      <c r="C4209">
        <v>11701</v>
      </c>
      <c r="D4209" t="str">
        <f>"1524-8879"</f>
        <v>1524-8879</v>
      </c>
      <c r="E4209" t="s">
        <v>8</v>
      </c>
      <c r="F4209" t="s">
        <v>4217</v>
      </c>
      <c r="G4209">
        <v>1</v>
      </c>
    </row>
    <row r="4210" spans="1:7" x14ac:dyDescent="0.25">
      <c r="A4210">
        <v>20</v>
      </c>
      <c r="B4210" t="s">
        <v>3996</v>
      </c>
      <c r="C4210">
        <v>55139</v>
      </c>
      <c r="D4210" t="str">
        <f>"0937-5414"</f>
        <v>0937-5414</v>
      </c>
      <c r="E4210" t="s">
        <v>8</v>
      </c>
      <c r="F4210" t="s">
        <v>4218</v>
      </c>
      <c r="G4210">
        <v>1</v>
      </c>
    </row>
    <row r="4211" spans="1:7" x14ac:dyDescent="0.25">
      <c r="A4211">
        <v>20</v>
      </c>
      <c r="B4211" t="s">
        <v>3996</v>
      </c>
      <c r="C4211">
        <v>8783418</v>
      </c>
      <c r="E4211" t="s">
        <v>15</v>
      </c>
      <c r="F4211" t="s">
        <v>4219</v>
      </c>
      <c r="G4211">
        <v>1</v>
      </c>
    </row>
    <row r="4212" spans="1:7" x14ac:dyDescent="0.25">
      <c r="A4212">
        <v>20</v>
      </c>
      <c r="B4212" t="s">
        <v>3996</v>
      </c>
      <c r="C4212">
        <v>15282</v>
      </c>
      <c r="D4212" t="str">
        <f>"1568-2749"</f>
        <v>1568-2749</v>
      </c>
      <c r="E4212" t="s">
        <v>15</v>
      </c>
      <c r="F4212" t="s">
        <v>4220</v>
      </c>
      <c r="G4212">
        <v>1</v>
      </c>
    </row>
    <row r="4213" spans="1:7" x14ac:dyDescent="0.25">
      <c r="A4213">
        <v>20</v>
      </c>
      <c r="B4213" t="s">
        <v>3996</v>
      </c>
      <c r="C4213">
        <v>12652</v>
      </c>
      <c r="D4213" t="str">
        <f>"1080-0727"</f>
        <v>1080-0727</v>
      </c>
      <c r="E4213" t="s">
        <v>8</v>
      </c>
      <c r="F4213" t="s">
        <v>4221</v>
      </c>
      <c r="G4213">
        <v>1</v>
      </c>
    </row>
    <row r="4214" spans="1:7" x14ac:dyDescent="0.25">
      <c r="A4214">
        <v>20</v>
      </c>
      <c r="B4214" t="s">
        <v>3996</v>
      </c>
      <c r="C4214">
        <v>15295</v>
      </c>
      <c r="D4214" t="str">
        <f>"0305-9332"</f>
        <v>0305-9332</v>
      </c>
      <c r="E4214" t="s">
        <v>8</v>
      </c>
      <c r="F4214" t="s">
        <v>4222</v>
      </c>
      <c r="G4214">
        <v>1</v>
      </c>
    </row>
    <row r="4215" spans="1:7" x14ac:dyDescent="0.25">
      <c r="A4215">
        <v>20</v>
      </c>
      <c r="B4215" t="s">
        <v>3996</v>
      </c>
      <c r="C4215">
        <v>8856</v>
      </c>
      <c r="D4215" t="str">
        <f>"1360-0834"</f>
        <v>1360-0834</v>
      </c>
      <c r="E4215" t="s">
        <v>8</v>
      </c>
      <c r="F4215" t="s">
        <v>4223</v>
      </c>
      <c r="G4215">
        <v>1</v>
      </c>
    </row>
    <row r="4216" spans="1:7" x14ac:dyDescent="0.25">
      <c r="A4216">
        <v>20</v>
      </c>
      <c r="B4216" t="s">
        <v>3996</v>
      </c>
      <c r="C4216">
        <v>8782668</v>
      </c>
      <c r="D4216" t="str">
        <f>"2002-3014"</f>
        <v>2002-3014</v>
      </c>
      <c r="E4216" t="s">
        <v>8</v>
      </c>
      <c r="F4216" t="s">
        <v>4224</v>
      </c>
      <c r="G4216">
        <v>1</v>
      </c>
    </row>
    <row r="4217" spans="1:7" x14ac:dyDescent="0.25">
      <c r="A4217">
        <v>20</v>
      </c>
      <c r="B4217" t="s">
        <v>3996</v>
      </c>
      <c r="C4217">
        <v>19446</v>
      </c>
      <c r="D4217" t="str">
        <f>"1364-906X"</f>
        <v>1364-906X</v>
      </c>
      <c r="E4217" t="s">
        <v>8</v>
      </c>
      <c r="F4217" t="s">
        <v>4225</v>
      </c>
      <c r="G4217">
        <v>1</v>
      </c>
    </row>
    <row r="4218" spans="1:7" x14ac:dyDescent="0.25">
      <c r="A4218">
        <v>20</v>
      </c>
      <c r="B4218" t="s">
        <v>3996</v>
      </c>
      <c r="C4218">
        <v>316</v>
      </c>
      <c r="D4218" t="str">
        <f>"1388-7084"</f>
        <v>1388-7084</v>
      </c>
      <c r="E4218" t="s">
        <v>8</v>
      </c>
      <c r="F4218" t="s">
        <v>4226</v>
      </c>
      <c r="G4218">
        <v>1</v>
      </c>
    </row>
    <row r="4219" spans="1:7" x14ac:dyDescent="0.25">
      <c r="A4219">
        <v>20</v>
      </c>
      <c r="B4219" t="s">
        <v>3996</v>
      </c>
      <c r="C4219">
        <v>8786</v>
      </c>
      <c r="D4219" t="str">
        <f>"1871-9740"</f>
        <v>1871-9740</v>
      </c>
      <c r="E4219" t="s">
        <v>8</v>
      </c>
      <c r="F4219" t="s">
        <v>4227</v>
      </c>
      <c r="G4219">
        <v>1</v>
      </c>
    </row>
    <row r="4220" spans="1:7" x14ac:dyDescent="0.25">
      <c r="A4220">
        <v>20</v>
      </c>
      <c r="B4220" t="s">
        <v>3996</v>
      </c>
      <c r="C4220">
        <v>16775</v>
      </c>
      <c r="D4220" t="str">
        <f>"1567-536X"</f>
        <v>1567-536X</v>
      </c>
      <c r="E4220" t="s">
        <v>8</v>
      </c>
      <c r="F4220" t="s">
        <v>4228</v>
      </c>
      <c r="G4220">
        <v>1</v>
      </c>
    </row>
    <row r="4221" spans="1:7" x14ac:dyDescent="0.25">
      <c r="A4221">
        <v>20</v>
      </c>
      <c r="B4221" t="s">
        <v>3996</v>
      </c>
      <c r="C4221">
        <v>8783419</v>
      </c>
      <c r="E4221" t="s">
        <v>15</v>
      </c>
      <c r="F4221" t="s">
        <v>4229</v>
      </c>
      <c r="G4221">
        <v>1</v>
      </c>
    </row>
    <row r="4222" spans="1:7" x14ac:dyDescent="0.25">
      <c r="A4222">
        <v>20</v>
      </c>
      <c r="B4222" t="s">
        <v>3996</v>
      </c>
      <c r="C4222">
        <v>21844</v>
      </c>
      <c r="D4222" t="str">
        <f>"1757-4404"</f>
        <v>1757-4404</v>
      </c>
      <c r="E4222" t="s">
        <v>8</v>
      </c>
      <c r="F4222" t="s">
        <v>4230</v>
      </c>
      <c r="G4222">
        <v>1</v>
      </c>
    </row>
    <row r="4223" spans="1:7" x14ac:dyDescent="0.25">
      <c r="A4223">
        <v>20</v>
      </c>
      <c r="B4223" t="s">
        <v>3996</v>
      </c>
      <c r="C4223">
        <v>135331</v>
      </c>
      <c r="D4223" t="str">
        <f>"1369-5762"</f>
        <v>1369-5762</v>
      </c>
      <c r="E4223" t="s">
        <v>8</v>
      </c>
      <c r="F4223" t="s">
        <v>4231</v>
      </c>
      <c r="G4223">
        <v>1</v>
      </c>
    </row>
    <row r="4224" spans="1:7" x14ac:dyDescent="0.25">
      <c r="A4224">
        <v>20</v>
      </c>
      <c r="B4224" t="s">
        <v>3996</v>
      </c>
      <c r="C4224">
        <v>20800</v>
      </c>
      <c r="D4224" t="str">
        <f>"1180-0518"</f>
        <v>1180-0518</v>
      </c>
      <c r="E4224" t="s">
        <v>8</v>
      </c>
      <c r="F4224" t="s">
        <v>4232</v>
      </c>
      <c r="G4224">
        <v>1</v>
      </c>
    </row>
    <row r="4225" spans="1:7" x14ac:dyDescent="0.25">
      <c r="A4225">
        <v>20</v>
      </c>
      <c r="B4225" t="s">
        <v>3996</v>
      </c>
      <c r="C4225">
        <v>11767</v>
      </c>
      <c r="D4225" t="str">
        <f>"0952-8059"</f>
        <v>0952-8059</v>
      </c>
      <c r="E4225" t="s">
        <v>8</v>
      </c>
      <c r="F4225" t="s">
        <v>4233</v>
      </c>
      <c r="G4225">
        <v>1</v>
      </c>
    </row>
    <row r="4226" spans="1:7" x14ac:dyDescent="0.25">
      <c r="A4226">
        <v>20</v>
      </c>
      <c r="B4226" t="s">
        <v>3996</v>
      </c>
      <c r="C4226">
        <v>78157</v>
      </c>
      <c r="D4226" t="str">
        <f>"1931-907X"</f>
        <v>1931-907X</v>
      </c>
      <c r="E4226" t="s">
        <v>8</v>
      </c>
      <c r="F4226" t="s">
        <v>4234</v>
      </c>
      <c r="G4226">
        <v>1</v>
      </c>
    </row>
    <row r="4227" spans="1:7" x14ac:dyDescent="0.25">
      <c r="A4227">
        <v>20</v>
      </c>
      <c r="B4227" t="s">
        <v>3996</v>
      </c>
      <c r="C4227">
        <v>11988</v>
      </c>
      <c r="E4227" t="s">
        <v>8</v>
      </c>
      <c r="F4227" t="s">
        <v>4235</v>
      </c>
      <c r="G4227">
        <v>1</v>
      </c>
    </row>
    <row r="4228" spans="1:7" x14ac:dyDescent="0.25">
      <c r="A4228">
        <v>20</v>
      </c>
      <c r="B4228" t="s">
        <v>3996</v>
      </c>
      <c r="C4228">
        <v>22497</v>
      </c>
      <c r="D4228" t="str">
        <f>"0192-4036"</f>
        <v>0192-4036</v>
      </c>
      <c r="E4228" t="s">
        <v>8</v>
      </c>
      <c r="F4228" t="s">
        <v>4236</v>
      </c>
      <c r="G4228">
        <v>1</v>
      </c>
    </row>
    <row r="4229" spans="1:7" x14ac:dyDescent="0.25">
      <c r="A4229">
        <v>20</v>
      </c>
      <c r="B4229" t="s">
        <v>3996</v>
      </c>
      <c r="C4229">
        <v>20809</v>
      </c>
      <c r="D4229" t="str">
        <f>"1741-7392"</f>
        <v>1741-7392</v>
      </c>
      <c r="E4229" t="s">
        <v>8</v>
      </c>
      <c r="F4229" t="s">
        <v>4237</v>
      </c>
      <c r="G4229">
        <v>1</v>
      </c>
    </row>
    <row r="4230" spans="1:7" x14ac:dyDescent="0.25">
      <c r="A4230">
        <v>20</v>
      </c>
      <c r="B4230" t="s">
        <v>3996</v>
      </c>
      <c r="C4230">
        <v>16272</v>
      </c>
      <c r="D4230" t="str">
        <f>"0967-0769"</f>
        <v>0967-0769</v>
      </c>
      <c r="E4230" t="s">
        <v>8</v>
      </c>
      <c r="F4230" t="s">
        <v>4238</v>
      </c>
      <c r="G4230">
        <v>1</v>
      </c>
    </row>
    <row r="4231" spans="1:7" x14ac:dyDescent="0.25">
      <c r="A4231">
        <v>20</v>
      </c>
      <c r="B4231" t="s">
        <v>3996</v>
      </c>
      <c r="C4231">
        <v>24769</v>
      </c>
      <c r="D4231" t="str">
        <f>"1744-5523"</f>
        <v>1744-5523</v>
      </c>
      <c r="E4231" t="s">
        <v>8</v>
      </c>
      <c r="F4231" t="s">
        <v>4239</v>
      </c>
      <c r="G4231">
        <v>1</v>
      </c>
    </row>
    <row r="4232" spans="1:7" x14ac:dyDescent="0.25">
      <c r="A4232">
        <v>20</v>
      </c>
      <c r="B4232" t="s">
        <v>3996</v>
      </c>
      <c r="C4232">
        <v>4392</v>
      </c>
      <c r="D4232" t="str">
        <f>"1756-0616"</f>
        <v>1756-0616</v>
      </c>
      <c r="E4232" t="s">
        <v>8</v>
      </c>
      <c r="F4232" t="s">
        <v>4240</v>
      </c>
      <c r="G4232">
        <v>1</v>
      </c>
    </row>
    <row r="4233" spans="1:7" x14ac:dyDescent="0.25">
      <c r="A4233">
        <v>20</v>
      </c>
      <c r="B4233" t="s">
        <v>3996</v>
      </c>
      <c r="C4233">
        <v>25852</v>
      </c>
      <c r="D4233" t="str">
        <f>"1753-6235"</f>
        <v>1753-6235</v>
      </c>
      <c r="E4233" t="s">
        <v>8</v>
      </c>
      <c r="F4233" t="s">
        <v>4241</v>
      </c>
      <c r="G4233">
        <v>1</v>
      </c>
    </row>
    <row r="4234" spans="1:7" x14ac:dyDescent="0.25">
      <c r="A4234">
        <v>20</v>
      </c>
      <c r="B4234" t="s">
        <v>3996</v>
      </c>
      <c r="C4234">
        <v>7709518</v>
      </c>
      <c r="D4234" t="str">
        <f>"2044-7663"</f>
        <v>2044-7663</v>
      </c>
      <c r="E4234" t="s">
        <v>8</v>
      </c>
      <c r="F4234" t="s">
        <v>4242</v>
      </c>
      <c r="G4234">
        <v>1</v>
      </c>
    </row>
    <row r="4235" spans="1:7" x14ac:dyDescent="0.25">
      <c r="A4235">
        <v>20</v>
      </c>
      <c r="B4235" t="s">
        <v>3996</v>
      </c>
      <c r="C4235">
        <v>12587</v>
      </c>
      <c r="D4235" t="str">
        <f>"1742-4240"</f>
        <v>1742-4240</v>
      </c>
      <c r="E4235" t="s">
        <v>8</v>
      </c>
      <c r="F4235" t="s">
        <v>4243</v>
      </c>
      <c r="G4235">
        <v>1</v>
      </c>
    </row>
    <row r="4236" spans="1:7" x14ac:dyDescent="0.25">
      <c r="A4236">
        <v>20</v>
      </c>
      <c r="B4236" t="s">
        <v>3996</v>
      </c>
      <c r="C4236">
        <v>4810</v>
      </c>
      <c r="D4236" t="str">
        <f>"0969-5958"</f>
        <v>0969-5958</v>
      </c>
      <c r="E4236" t="s">
        <v>8</v>
      </c>
      <c r="F4236" t="s">
        <v>4244</v>
      </c>
      <c r="G4236">
        <v>1</v>
      </c>
    </row>
    <row r="4237" spans="1:7" x14ac:dyDescent="0.25">
      <c r="A4237">
        <v>20</v>
      </c>
      <c r="B4237" t="s">
        <v>3996</v>
      </c>
      <c r="C4237">
        <v>12821</v>
      </c>
      <c r="D4237" t="str">
        <f>"1752-7716"</f>
        <v>1752-7716</v>
      </c>
      <c r="E4237" t="s">
        <v>8</v>
      </c>
      <c r="F4237" t="s">
        <v>4245</v>
      </c>
      <c r="G4237">
        <v>1</v>
      </c>
    </row>
    <row r="4238" spans="1:7" x14ac:dyDescent="0.25">
      <c r="A4238">
        <v>20</v>
      </c>
      <c r="B4238" t="s">
        <v>3996</v>
      </c>
      <c r="C4238">
        <v>8783420</v>
      </c>
      <c r="E4238" t="s">
        <v>15</v>
      </c>
      <c r="F4238" t="s">
        <v>4246</v>
      </c>
      <c r="G4238">
        <v>1</v>
      </c>
    </row>
    <row r="4239" spans="1:7" x14ac:dyDescent="0.25">
      <c r="A4239">
        <v>20</v>
      </c>
      <c r="B4239" t="s">
        <v>3996</v>
      </c>
      <c r="C4239">
        <v>8761158</v>
      </c>
      <c r="D4239" t="str">
        <f>"1567-8008"</f>
        <v>1567-8008</v>
      </c>
      <c r="E4239" t="s">
        <v>8</v>
      </c>
      <c r="F4239" t="s">
        <v>4247</v>
      </c>
      <c r="G4239">
        <v>1</v>
      </c>
    </row>
    <row r="4240" spans="1:7" x14ac:dyDescent="0.25">
      <c r="A4240">
        <v>20</v>
      </c>
      <c r="B4240" t="s">
        <v>3996</v>
      </c>
      <c r="C4240">
        <v>24269</v>
      </c>
      <c r="D4240" t="str">
        <f>"1572-3739"</f>
        <v>1572-3739</v>
      </c>
      <c r="E4240" t="s">
        <v>8</v>
      </c>
      <c r="F4240" t="s">
        <v>4248</v>
      </c>
      <c r="G4240">
        <v>1</v>
      </c>
    </row>
    <row r="4241" spans="1:7" x14ac:dyDescent="0.25">
      <c r="A4241">
        <v>20</v>
      </c>
      <c r="B4241" t="s">
        <v>3996</v>
      </c>
      <c r="C4241">
        <v>4588</v>
      </c>
      <c r="D4241" t="str">
        <f>"1360-0869"</f>
        <v>1360-0869</v>
      </c>
      <c r="E4241" t="s">
        <v>8</v>
      </c>
      <c r="F4241" t="s">
        <v>4249</v>
      </c>
      <c r="G4241">
        <v>1</v>
      </c>
    </row>
    <row r="4242" spans="1:7" x14ac:dyDescent="0.25">
      <c r="A4242">
        <v>20</v>
      </c>
      <c r="B4242" t="s">
        <v>3996</v>
      </c>
      <c r="C4242">
        <v>22752</v>
      </c>
      <c r="D4242" t="str">
        <f>"1816-3831"</f>
        <v>1816-3831</v>
      </c>
      <c r="E4242" t="s">
        <v>8</v>
      </c>
      <c r="F4242" t="s">
        <v>4250</v>
      </c>
      <c r="G4242">
        <v>1</v>
      </c>
    </row>
    <row r="4243" spans="1:7" x14ac:dyDescent="0.25">
      <c r="A4243">
        <v>20</v>
      </c>
      <c r="B4243" t="s">
        <v>3996</v>
      </c>
      <c r="C4243">
        <v>1406</v>
      </c>
      <c r="D4243" t="str">
        <f>"0269-7580"</f>
        <v>0269-7580</v>
      </c>
      <c r="E4243" t="s">
        <v>8</v>
      </c>
      <c r="F4243" t="s">
        <v>4251</v>
      </c>
      <c r="G4243">
        <v>1</v>
      </c>
    </row>
    <row r="4244" spans="1:7" x14ac:dyDescent="0.25">
      <c r="A4244">
        <v>20</v>
      </c>
      <c r="B4244" t="s">
        <v>3996</v>
      </c>
      <c r="C4244">
        <v>20936</v>
      </c>
      <c r="D4244" t="str">
        <f>"0097-7314"</f>
        <v>0097-7314</v>
      </c>
      <c r="E4244" t="s">
        <v>8</v>
      </c>
      <c r="F4244" t="s">
        <v>4252</v>
      </c>
      <c r="G4244">
        <v>1</v>
      </c>
    </row>
    <row r="4245" spans="1:7" x14ac:dyDescent="0.25">
      <c r="A4245">
        <v>20</v>
      </c>
      <c r="B4245" t="s">
        <v>3996</v>
      </c>
      <c r="C4245">
        <v>24839</v>
      </c>
      <c r="D4245" t="str">
        <f>"1385-3074"</f>
        <v>1385-3074</v>
      </c>
      <c r="E4245" t="s">
        <v>8</v>
      </c>
      <c r="F4245" t="s">
        <v>4253</v>
      </c>
      <c r="G4245">
        <v>1</v>
      </c>
    </row>
    <row r="4246" spans="1:7" x14ac:dyDescent="0.25">
      <c r="A4246">
        <v>20</v>
      </c>
      <c r="B4246" t="s">
        <v>3996</v>
      </c>
      <c r="C4246">
        <v>25353</v>
      </c>
      <c r="D4246" t="str">
        <f>"0925-0832"</f>
        <v>0925-0832</v>
      </c>
      <c r="E4246" t="s">
        <v>8</v>
      </c>
      <c r="F4246" t="s">
        <v>4254</v>
      </c>
      <c r="G4246">
        <v>1</v>
      </c>
    </row>
    <row r="4247" spans="1:7" x14ac:dyDescent="0.25">
      <c r="A4247">
        <v>20</v>
      </c>
      <c r="B4247" t="s">
        <v>3996</v>
      </c>
      <c r="C4247">
        <v>80116</v>
      </c>
      <c r="D4247" t="str">
        <f>"1617-5395"</f>
        <v>1617-5395</v>
      </c>
      <c r="E4247" t="s">
        <v>8</v>
      </c>
      <c r="F4247" t="s">
        <v>4255</v>
      </c>
      <c r="G4247">
        <v>1</v>
      </c>
    </row>
    <row r="4248" spans="1:7" x14ac:dyDescent="0.25">
      <c r="A4248">
        <v>20</v>
      </c>
      <c r="B4248" t="s">
        <v>3996</v>
      </c>
      <c r="C4248">
        <v>8773612</v>
      </c>
      <c r="E4248" t="s">
        <v>8</v>
      </c>
      <c r="F4248" t="s">
        <v>4256</v>
      </c>
      <c r="G4248">
        <v>1</v>
      </c>
    </row>
    <row r="4249" spans="1:7" x14ac:dyDescent="0.25">
      <c r="A4249">
        <v>20</v>
      </c>
      <c r="B4249" t="s">
        <v>3996</v>
      </c>
      <c r="C4249">
        <v>27205</v>
      </c>
      <c r="D4249" t="str">
        <f>"0791-5403"</f>
        <v>0791-5403</v>
      </c>
      <c r="E4249" t="s">
        <v>8</v>
      </c>
      <c r="F4249" t="s">
        <v>4257</v>
      </c>
      <c r="G4249">
        <v>1</v>
      </c>
    </row>
    <row r="4250" spans="1:7" x14ac:dyDescent="0.25">
      <c r="A4250">
        <v>20</v>
      </c>
      <c r="B4250" t="s">
        <v>3996</v>
      </c>
      <c r="C4250">
        <v>125248</v>
      </c>
      <c r="D4250" t="str">
        <f>"0021-1273"</f>
        <v>0021-1273</v>
      </c>
      <c r="E4250" t="s">
        <v>8</v>
      </c>
      <c r="F4250" t="s">
        <v>4258</v>
      </c>
      <c r="G4250">
        <v>1</v>
      </c>
    </row>
    <row r="4251" spans="1:7" x14ac:dyDescent="0.25">
      <c r="A4251">
        <v>20</v>
      </c>
      <c r="B4251" t="s">
        <v>3996</v>
      </c>
      <c r="C4251">
        <v>6197</v>
      </c>
      <c r="D4251" t="str">
        <f>"8756-8160"</f>
        <v>8756-8160</v>
      </c>
      <c r="E4251" t="s">
        <v>8</v>
      </c>
      <c r="F4251" t="s">
        <v>4259</v>
      </c>
      <c r="G4251">
        <v>1</v>
      </c>
    </row>
    <row r="4252" spans="1:7" x14ac:dyDescent="0.25">
      <c r="A4252">
        <v>20</v>
      </c>
      <c r="B4252" t="s">
        <v>3996</v>
      </c>
      <c r="C4252">
        <v>418</v>
      </c>
      <c r="D4252" t="str">
        <f>"0391-5107"</f>
        <v>0391-5107</v>
      </c>
      <c r="E4252" t="s">
        <v>8</v>
      </c>
      <c r="F4252" t="s">
        <v>4260</v>
      </c>
      <c r="G4252">
        <v>1</v>
      </c>
    </row>
    <row r="4253" spans="1:7" x14ac:dyDescent="0.25">
      <c r="A4253">
        <v>20</v>
      </c>
      <c r="B4253" t="s">
        <v>3996</v>
      </c>
      <c r="C4253">
        <v>8783422</v>
      </c>
      <c r="E4253" t="s">
        <v>15</v>
      </c>
      <c r="F4253" t="s">
        <v>4261</v>
      </c>
      <c r="G4253">
        <v>1</v>
      </c>
    </row>
    <row r="4254" spans="1:7" x14ac:dyDescent="0.25">
      <c r="A4254">
        <v>20</v>
      </c>
      <c r="B4254" t="s">
        <v>3996</v>
      </c>
      <c r="C4254">
        <v>8782775</v>
      </c>
      <c r="D4254" t="str">
        <f>"2214-6881"</f>
        <v>2214-6881</v>
      </c>
      <c r="E4254" t="s">
        <v>15</v>
      </c>
      <c r="F4254" t="s">
        <v>4262</v>
      </c>
      <c r="G4254">
        <v>1</v>
      </c>
    </row>
    <row r="4255" spans="1:7" x14ac:dyDescent="0.25">
      <c r="A4255">
        <v>20</v>
      </c>
      <c r="B4255" t="s">
        <v>3996</v>
      </c>
      <c r="C4255">
        <v>13708</v>
      </c>
      <c r="D4255" t="str">
        <f>"0040-6953"</f>
        <v>0040-6953</v>
      </c>
      <c r="E4255" t="s">
        <v>8</v>
      </c>
      <c r="F4255" t="s">
        <v>4263</v>
      </c>
      <c r="G4255">
        <v>1</v>
      </c>
    </row>
    <row r="4256" spans="1:7" x14ac:dyDescent="0.25">
      <c r="A4256">
        <v>20</v>
      </c>
      <c r="B4256" t="s">
        <v>3996</v>
      </c>
      <c r="C4256">
        <v>12063</v>
      </c>
      <c r="D4256" t="str">
        <f>"1078-4128"</f>
        <v>1078-4128</v>
      </c>
      <c r="E4256" t="s">
        <v>8</v>
      </c>
      <c r="F4256" t="s">
        <v>4264</v>
      </c>
      <c r="G4256">
        <v>1</v>
      </c>
    </row>
    <row r="4257" spans="1:7" x14ac:dyDescent="0.25">
      <c r="A4257">
        <v>20</v>
      </c>
      <c r="B4257" t="s">
        <v>3996</v>
      </c>
      <c r="C4257">
        <v>20151</v>
      </c>
      <c r="D4257" t="str">
        <f>"1613-7272"</f>
        <v>1613-7272</v>
      </c>
      <c r="E4257" t="s">
        <v>8</v>
      </c>
      <c r="F4257" t="s">
        <v>4265</v>
      </c>
      <c r="G4257">
        <v>1</v>
      </c>
    </row>
    <row r="4258" spans="1:7" x14ac:dyDescent="0.25">
      <c r="A4258">
        <v>20</v>
      </c>
      <c r="B4258" t="s">
        <v>3996</v>
      </c>
      <c r="C4258">
        <v>7739307</v>
      </c>
      <c r="D4258" t="str">
        <f>"2050-0688"</f>
        <v>2050-0688</v>
      </c>
      <c r="E4258" t="s">
        <v>8</v>
      </c>
      <c r="F4258" t="s">
        <v>4266</v>
      </c>
      <c r="G4258">
        <v>1</v>
      </c>
    </row>
    <row r="4259" spans="1:7" x14ac:dyDescent="0.25">
      <c r="A4259">
        <v>20</v>
      </c>
      <c r="B4259" t="s">
        <v>3996</v>
      </c>
      <c r="C4259">
        <v>24517</v>
      </c>
      <c r="D4259" t="str">
        <f>"0021-9460"</f>
        <v>0021-9460</v>
      </c>
      <c r="E4259" t="s">
        <v>8</v>
      </c>
      <c r="F4259" t="s">
        <v>4267</v>
      </c>
      <c r="G4259">
        <v>1</v>
      </c>
    </row>
    <row r="4260" spans="1:7" x14ac:dyDescent="0.25">
      <c r="A4260">
        <v>20</v>
      </c>
      <c r="B4260" t="s">
        <v>3996</v>
      </c>
      <c r="C4260">
        <v>8381</v>
      </c>
      <c r="D4260" t="str">
        <f>"1744-6414"</f>
        <v>1744-6414</v>
      </c>
      <c r="E4260" t="s">
        <v>8</v>
      </c>
      <c r="F4260" t="s">
        <v>4268</v>
      </c>
      <c r="G4260">
        <v>1</v>
      </c>
    </row>
    <row r="4261" spans="1:7" x14ac:dyDescent="0.25">
      <c r="A4261">
        <v>20</v>
      </c>
      <c r="B4261" t="s">
        <v>3996</v>
      </c>
      <c r="C4261">
        <v>10045</v>
      </c>
      <c r="D4261" t="str">
        <f>"1467-7954"</f>
        <v>1467-7954</v>
      </c>
      <c r="E4261" t="s">
        <v>8</v>
      </c>
      <c r="F4261" t="s">
        <v>4269</v>
      </c>
      <c r="G4261">
        <v>1</v>
      </c>
    </row>
    <row r="4262" spans="1:7" x14ac:dyDescent="0.25">
      <c r="A4262">
        <v>20</v>
      </c>
      <c r="B4262" t="s">
        <v>3996</v>
      </c>
      <c r="C4262">
        <v>5829</v>
      </c>
      <c r="D4262" t="str">
        <f>"1043-9862"</f>
        <v>1043-9862</v>
      </c>
      <c r="E4262" t="s">
        <v>8</v>
      </c>
      <c r="F4262" t="s">
        <v>4270</v>
      </c>
      <c r="G4262">
        <v>1</v>
      </c>
    </row>
    <row r="4263" spans="1:7" x14ac:dyDescent="0.25">
      <c r="A4263">
        <v>20</v>
      </c>
      <c r="B4263" t="s">
        <v>3996</v>
      </c>
      <c r="C4263">
        <v>615</v>
      </c>
      <c r="D4263" t="str">
        <f>"0091-4169"</f>
        <v>0091-4169</v>
      </c>
      <c r="E4263" t="s">
        <v>8</v>
      </c>
      <c r="F4263" t="s">
        <v>4271</v>
      </c>
      <c r="G4263">
        <v>1</v>
      </c>
    </row>
    <row r="4264" spans="1:7" x14ac:dyDescent="0.25">
      <c r="A4264">
        <v>20</v>
      </c>
      <c r="B4264" t="s">
        <v>3996</v>
      </c>
      <c r="C4264">
        <v>1898</v>
      </c>
      <c r="D4264" t="str">
        <f>"1740-1453"</f>
        <v>1740-1453</v>
      </c>
      <c r="E4264" t="s">
        <v>8</v>
      </c>
      <c r="F4264" t="s">
        <v>4272</v>
      </c>
      <c r="G4264">
        <v>1</v>
      </c>
    </row>
    <row r="4265" spans="1:7" x14ac:dyDescent="0.25">
      <c r="A4265">
        <v>20</v>
      </c>
      <c r="B4265" t="s">
        <v>3996</v>
      </c>
      <c r="C4265">
        <v>7720347</v>
      </c>
      <c r="D4265" t="str">
        <f>"2364-4710"</f>
        <v>2364-4710</v>
      </c>
      <c r="E4265" t="s">
        <v>8</v>
      </c>
      <c r="F4265" t="s">
        <v>4273</v>
      </c>
      <c r="G4265">
        <v>1</v>
      </c>
    </row>
    <row r="4266" spans="1:7" x14ac:dyDescent="0.25">
      <c r="A4266">
        <v>20</v>
      </c>
      <c r="B4266" t="s">
        <v>3996</v>
      </c>
      <c r="C4266">
        <v>6169405</v>
      </c>
      <c r="D4266" t="str">
        <f>"1868-9612"</f>
        <v>1868-9612</v>
      </c>
      <c r="E4266" t="s">
        <v>8</v>
      </c>
      <c r="F4266" t="s">
        <v>4274</v>
      </c>
      <c r="G4266">
        <v>1</v>
      </c>
    </row>
    <row r="4267" spans="1:7" x14ac:dyDescent="0.25">
      <c r="A4267">
        <v>20</v>
      </c>
      <c r="B4267" t="s">
        <v>3996</v>
      </c>
      <c r="C4267">
        <v>11130</v>
      </c>
      <c r="D4267" t="str">
        <f>"1475-4835"</f>
        <v>1475-4835</v>
      </c>
      <c r="E4267" t="s">
        <v>8</v>
      </c>
      <c r="F4267" t="s">
        <v>4275</v>
      </c>
      <c r="G4267">
        <v>1</v>
      </c>
    </row>
    <row r="4268" spans="1:7" x14ac:dyDescent="0.25">
      <c r="A4268">
        <v>20</v>
      </c>
      <c r="B4268" t="s">
        <v>3996</v>
      </c>
      <c r="C4268">
        <v>170099</v>
      </c>
      <c r="D4268" t="str">
        <f>"1759-7188"</f>
        <v>1759-7188</v>
      </c>
      <c r="E4268" t="s">
        <v>8</v>
      </c>
      <c r="F4268" t="s">
        <v>4276</v>
      </c>
      <c r="G4268">
        <v>1</v>
      </c>
    </row>
    <row r="4269" spans="1:7" x14ac:dyDescent="0.25">
      <c r="A4269">
        <v>20</v>
      </c>
      <c r="B4269" t="s">
        <v>3996</v>
      </c>
      <c r="C4269">
        <v>355</v>
      </c>
      <c r="D4269" t="str">
        <f>"1361-4169"</f>
        <v>1361-4169</v>
      </c>
      <c r="E4269" t="s">
        <v>8</v>
      </c>
      <c r="F4269" t="s">
        <v>4277</v>
      </c>
      <c r="G4269">
        <v>1</v>
      </c>
    </row>
    <row r="4270" spans="1:7" x14ac:dyDescent="0.25">
      <c r="A4270">
        <v>20</v>
      </c>
      <c r="B4270" t="s">
        <v>3996</v>
      </c>
      <c r="C4270">
        <v>25972</v>
      </c>
      <c r="D4270" t="str">
        <f>"1747-1532"</f>
        <v>1747-1532</v>
      </c>
      <c r="E4270" t="s">
        <v>8</v>
      </c>
      <c r="F4270" t="s">
        <v>4278</v>
      </c>
      <c r="G4270">
        <v>1</v>
      </c>
    </row>
    <row r="4271" spans="1:7" x14ac:dyDescent="0.25">
      <c r="A4271">
        <v>20</v>
      </c>
      <c r="B4271" t="s">
        <v>3996</v>
      </c>
      <c r="C4271">
        <v>8782779</v>
      </c>
      <c r="D4271" t="str">
        <f>"2313-3775"</f>
        <v>2313-3775</v>
      </c>
      <c r="E4271" t="s">
        <v>8</v>
      </c>
      <c r="F4271" t="s">
        <v>4279</v>
      </c>
      <c r="G4271">
        <v>1</v>
      </c>
    </row>
    <row r="4272" spans="1:7" x14ac:dyDescent="0.25">
      <c r="A4272">
        <v>20</v>
      </c>
      <c r="B4272" t="s">
        <v>3996</v>
      </c>
      <c r="C4272">
        <v>522</v>
      </c>
      <c r="D4272" t="str">
        <f>"1742-6812"</f>
        <v>1742-6812</v>
      </c>
      <c r="E4272" t="s">
        <v>8</v>
      </c>
      <c r="F4272" t="s">
        <v>4280</v>
      </c>
      <c r="G4272">
        <v>1</v>
      </c>
    </row>
    <row r="4273" spans="1:7" x14ac:dyDescent="0.25">
      <c r="A4273">
        <v>20</v>
      </c>
      <c r="B4273" t="s">
        <v>3996</v>
      </c>
      <c r="C4273">
        <v>77</v>
      </c>
      <c r="D4273" t="str">
        <f>"1478-1387"</f>
        <v>1478-1387</v>
      </c>
      <c r="E4273" t="s">
        <v>8</v>
      </c>
      <c r="F4273" t="s">
        <v>4281</v>
      </c>
      <c r="G4273">
        <v>1</v>
      </c>
    </row>
    <row r="4274" spans="1:7" x14ac:dyDescent="0.25">
      <c r="A4274">
        <v>20</v>
      </c>
      <c r="B4274" t="s">
        <v>3996</v>
      </c>
      <c r="C4274">
        <v>8782683</v>
      </c>
      <c r="D4274" t="str">
        <f>"2040-3585"</f>
        <v>2040-3585</v>
      </c>
      <c r="E4274" t="s">
        <v>8</v>
      </c>
      <c r="F4274" t="s">
        <v>4282</v>
      </c>
      <c r="G4274">
        <v>1</v>
      </c>
    </row>
    <row r="4275" spans="1:7" x14ac:dyDescent="0.25">
      <c r="A4275">
        <v>20</v>
      </c>
      <c r="B4275" t="s">
        <v>3996</v>
      </c>
      <c r="C4275">
        <v>7704010</v>
      </c>
      <c r="D4275" t="str">
        <f>"1878-1373"</f>
        <v>1878-1373</v>
      </c>
      <c r="E4275" t="s">
        <v>8</v>
      </c>
      <c r="F4275" t="s">
        <v>4283</v>
      </c>
      <c r="G4275">
        <v>1</v>
      </c>
    </row>
    <row r="4276" spans="1:7" x14ac:dyDescent="0.25">
      <c r="A4276">
        <v>20</v>
      </c>
      <c r="B4276" t="s">
        <v>3996</v>
      </c>
      <c r="C4276">
        <v>25757</v>
      </c>
      <c r="D4276" t="str">
        <f>"1049-6378"</f>
        <v>1049-6378</v>
      </c>
      <c r="E4276" t="s">
        <v>8</v>
      </c>
      <c r="F4276" t="s">
        <v>4284</v>
      </c>
      <c r="G4276">
        <v>1</v>
      </c>
    </row>
    <row r="4277" spans="1:7" x14ac:dyDescent="0.25">
      <c r="A4277">
        <v>20</v>
      </c>
      <c r="B4277" t="s">
        <v>3996</v>
      </c>
      <c r="C4277">
        <v>15469</v>
      </c>
      <c r="D4277" t="str">
        <f>"1388-0292"</f>
        <v>1388-0292</v>
      </c>
      <c r="E4277" t="s">
        <v>8</v>
      </c>
      <c r="F4277" t="s">
        <v>4285</v>
      </c>
      <c r="G4277">
        <v>1</v>
      </c>
    </row>
    <row r="4278" spans="1:7" x14ac:dyDescent="0.25">
      <c r="A4278">
        <v>20</v>
      </c>
      <c r="B4278" t="s">
        <v>3996</v>
      </c>
      <c r="C4278">
        <v>55600</v>
      </c>
      <c r="D4278" t="str">
        <f>"0733-2491"</f>
        <v>0733-2491</v>
      </c>
      <c r="E4278" t="s">
        <v>8</v>
      </c>
      <c r="F4278" t="s">
        <v>4286</v>
      </c>
      <c r="G4278">
        <v>1</v>
      </c>
    </row>
    <row r="4279" spans="1:7" x14ac:dyDescent="0.25">
      <c r="A4279">
        <v>20</v>
      </c>
      <c r="B4279" t="s">
        <v>3996</v>
      </c>
      <c r="C4279">
        <v>3110</v>
      </c>
      <c r="D4279" t="str">
        <f>"1047-8035"</f>
        <v>1047-8035</v>
      </c>
      <c r="E4279" t="s">
        <v>8</v>
      </c>
      <c r="F4279" t="s">
        <v>4287</v>
      </c>
      <c r="G4279">
        <v>1</v>
      </c>
    </row>
    <row r="4280" spans="1:7" x14ac:dyDescent="0.25">
      <c r="A4280">
        <v>20</v>
      </c>
      <c r="B4280" t="s">
        <v>3996</v>
      </c>
      <c r="C4280">
        <v>18547</v>
      </c>
      <c r="D4280" t="str">
        <f>"0748-0814"</f>
        <v>0748-0814</v>
      </c>
      <c r="E4280" t="s">
        <v>8</v>
      </c>
      <c r="F4280" t="s">
        <v>4288</v>
      </c>
      <c r="G4280">
        <v>1</v>
      </c>
    </row>
    <row r="4281" spans="1:7" x14ac:dyDescent="0.25">
      <c r="A4281">
        <v>20</v>
      </c>
      <c r="B4281" t="s">
        <v>3996</v>
      </c>
      <c r="C4281">
        <v>8781994</v>
      </c>
      <c r="E4281" t="s">
        <v>8</v>
      </c>
      <c r="F4281" t="s">
        <v>4289</v>
      </c>
      <c r="G4281">
        <v>1</v>
      </c>
    </row>
    <row r="4282" spans="1:7" x14ac:dyDescent="0.25">
      <c r="A4282">
        <v>20</v>
      </c>
      <c r="B4282" t="s">
        <v>3996</v>
      </c>
      <c r="C4282">
        <v>131869</v>
      </c>
      <c r="D4282" t="str">
        <f>"1054-3023"</f>
        <v>1054-3023</v>
      </c>
      <c r="E4282" t="s">
        <v>8</v>
      </c>
      <c r="F4282" t="s">
        <v>4290</v>
      </c>
      <c r="G4282">
        <v>1</v>
      </c>
    </row>
    <row r="4283" spans="1:7" x14ac:dyDescent="0.25">
      <c r="A4283">
        <v>20</v>
      </c>
      <c r="B4283" t="s">
        <v>3996</v>
      </c>
      <c r="C4283">
        <v>6867</v>
      </c>
      <c r="D4283" t="str">
        <f>"0022-2208"</f>
        <v>0022-2208</v>
      </c>
      <c r="E4283" t="s">
        <v>8</v>
      </c>
      <c r="F4283" t="s">
        <v>4291</v>
      </c>
      <c r="G4283">
        <v>1</v>
      </c>
    </row>
    <row r="4284" spans="1:7" x14ac:dyDescent="0.25">
      <c r="A4284">
        <v>20</v>
      </c>
      <c r="B4284" t="s">
        <v>3996</v>
      </c>
      <c r="C4284">
        <v>12213</v>
      </c>
      <c r="D4284" t="str">
        <f>"0022-2410"</f>
        <v>0022-2410</v>
      </c>
      <c r="E4284" t="s">
        <v>8</v>
      </c>
      <c r="F4284" t="s">
        <v>4292</v>
      </c>
      <c r="G4284">
        <v>1</v>
      </c>
    </row>
    <row r="4285" spans="1:7" x14ac:dyDescent="0.25">
      <c r="A4285">
        <v>20</v>
      </c>
      <c r="B4285" t="s">
        <v>3996</v>
      </c>
      <c r="C4285">
        <v>74238</v>
      </c>
      <c r="D4285" t="str">
        <f>"1553-3158"</f>
        <v>1553-3158</v>
      </c>
      <c r="E4285" t="s">
        <v>8</v>
      </c>
      <c r="F4285" t="s">
        <v>4293</v>
      </c>
      <c r="G4285">
        <v>1</v>
      </c>
    </row>
    <row r="4286" spans="1:7" x14ac:dyDescent="0.25">
      <c r="A4286">
        <v>20</v>
      </c>
      <c r="B4286" t="s">
        <v>3996</v>
      </c>
      <c r="C4286">
        <v>2338</v>
      </c>
      <c r="D4286" t="str">
        <f>"0307-4870"</f>
        <v>0307-4870</v>
      </c>
      <c r="E4286" t="s">
        <v>8</v>
      </c>
      <c r="F4286" t="s">
        <v>4294</v>
      </c>
      <c r="G4286">
        <v>1</v>
      </c>
    </row>
    <row r="4287" spans="1:7" x14ac:dyDescent="0.25">
      <c r="A4287">
        <v>20</v>
      </c>
      <c r="B4287" t="s">
        <v>3996</v>
      </c>
      <c r="C4287">
        <v>70510</v>
      </c>
      <c r="D4287" t="str">
        <f>"1535-0118"</f>
        <v>1535-0118</v>
      </c>
      <c r="E4287" t="s">
        <v>8</v>
      </c>
      <c r="F4287" t="s">
        <v>4295</v>
      </c>
      <c r="G4287">
        <v>1</v>
      </c>
    </row>
    <row r="4288" spans="1:7" x14ac:dyDescent="0.25">
      <c r="A4288">
        <v>20</v>
      </c>
      <c r="B4288" t="s">
        <v>3996</v>
      </c>
      <c r="C4288">
        <v>8783423</v>
      </c>
      <c r="E4288" t="s">
        <v>15</v>
      </c>
      <c r="F4288" t="s">
        <v>4296</v>
      </c>
      <c r="G4288">
        <v>1</v>
      </c>
    </row>
    <row r="4289" spans="1:7" x14ac:dyDescent="0.25">
      <c r="A4289">
        <v>20</v>
      </c>
      <c r="B4289" t="s">
        <v>3996</v>
      </c>
      <c r="C4289">
        <v>10760</v>
      </c>
      <c r="D4289" t="str">
        <f>"1100-7761"</f>
        <v>1100-7761</v>
      </c>
      <c r="E4289" t="s">
        <v>8</v>
      </c>
      <c r="F4289" t="s">
        <v>4297</v>
      </c>
      <c r="G4289">
        <v>1</v>
      </c>
    </row>
    <row r="4290" spans="1:7" x14ac:dyDescent="0.25">
      <c r="A4290">
        <v>20</v>
      </c>
      <c r="B4290" t="s">
        <v>3996</v>
      </c>
      <c r="C4290">
        <v>21788</v>
      </c>
      <c r="D4290" t="str">
        <f>"0022-6882"</f>
        <v>0022-6882</v>
      </c>
      <c r="E4290" t="s">
        <v>8</v>
      </c>
      <c r="F4290" t="s">
        <v>4298</v>
      </c>
      <c r="G4290">
        <v>1</v>
      </c>
    </row>
    <row r="4291" spans="1:7" x14ac:dyDescent="0.25">
      <c r="A4291">
        <v>20</v>
      </c>
      <c r="B4291" t="s">
        <v>3996</v>
      </c>
      <c r="C4291">
        <v>7711011</v>
      </c>
      <c r="D4291" t="str">
        <f>"2101-8790"</f>
        <v>2101-8790</v>
      </c>
      <c r="E4291" t="s">
        <v>15</v>
      </c>
      <c r="F4291" t="s">
        <v>4299</v>
      </c>
      <c r="G4291">
        <v>1</v>
      </c>
    </row>
    <row r="4292" spans="1:7" x14ac:dyDescent="0.25">
      <c r="A4292">
        <v>20</v>
      </c>
      <c r="B4292" t="s">
        <v>3996</v>
      </c>
      <c r="C4292">
        <v>2451</v>
      </c>
      <c r="D4292" t="str">
        <f>"0022-6971"</f>
        <v>0022-6971</v>
      </c>
      <c r="E4292" t="s">
        <v>8</v>
      </c>
      <c r="F4292" t="s">
        <v>4300</v>
      </c>
      <c r="G4292">
        <v>1</v>
      </c>
    </row>
    <row r="4293" spans="1:7" x14ac:dyDescent="0.25">
      <c r="A4293">
        <v>20</v>
      </c>
      <c r="B4293" t="s">
        <v>3996</v>
      </c>
      <c r="C4293">
        <v>996</v>
      </c>
      <c r="D4293" t="str">
        <f>"0161-7109"</f>
        <v>0161-7109</v>
      </c>
      <c r="E4293" t="s">
        <v>8</v>
      </c>
      <c r="F4293" t="s">
        <v>4301</v>
      </c>
      <c r="G4293">
        <v>1</v>
      </c>
    </row>
    <row r="4294" spans="1:7" x14ac:dyDescent="0.25">
      <c r="A4294">
        <v>20</v>
      </c>
      <c r="B4294" t="s">
        <v>3996</v>
      </c>
      <c r="C4294">
        <v>13918</v>
      </c>
      <c r="D4294" t="str">
        <f>"0023-4699"</f>
        <v>0023-4699</v>
      </c>
      <c r="E4294" t="s">
        <v>8</v>
      </c>
      <c r="F4294" t="s">
        <v>4302</v>
      </c>
      <c r="G4294">
        <v>1</v>
      </c>
    </row>
    <row r="4295" spans="1:7" x14ac:dyDescent="0.25">
      <c r="A4295">
        <v>20</v>
      </c>
      <c r="B4295" t="s">
        <v>3996</v>
      </c>
      <c r="C4295">
        <v>3032</v>
      </c>
      <c r="D4295" t="str">
        <f>"0341-1966"</f>
        <v>0341-1966</v>
      </c>
      <c r="E4295" t="s">
        <v>8</v>
      </c>
      <c r="F4295" t="s">
        <v>4303</v>
      </c>
      <c r="G4295">
        <v>1</v>
      </c>
    </row>
    <row r="4296" spans="1:7" x14ac:dyDescent="0.25">
      <c r="A4296">
        <v>20</v>
      </c>
      <c r="B4296" t="s">
        <v>3996</v>
      </c>
      <c r="C4296">
        <v>11097</v>
      </c>
      <c r="D4296" t="str">
        <f>"0804-7375"</f>
        <v>0804-7375</v>
      </c>
      <c r="E4296" t="s">
        <v>8</v>
      </c>
      <c r="F4296" t="s">
        <v>4304</v>
      </c>
      <c r="G4296">
        <v>1</v>
      </c>
    </row>
    <row r="4297" spans="1:7" x14ac:dyDescent="0.25">
      <c r="A4297">
        <v>20</v>
      </c>
      <c r="B4297" t="s">
        <v>3996</v>
      </c>
      <c r="C4297">
        <v>8783424</v>
      </c>
      <c r="E4297" t="s">
        <v>15</v>
      </c>
      <c r="F4297" t="s">
        <v>4305</v>
      </c>
      <c r="G4297">
        <v>1</v>
      </c>
    </row>
    <row r="4298" spans="1:7" x14ac:dyDescent="0.25">
      <c r="A4298">
        <v>20</v>
      </c>
      <c r="B4298" t="s">
        <v>3996</v>
      </c>
      <c r="C4298">
        <v>3754</v>
      </c>
      <c r="D4298" t="str">
        <f>"0265-8240"</f>
        <v>0265-8240</v>
      </c>
      <c r="E4298" t="s">
        <v>8</v>
      </c>
      <c r="F4298" t="s">
        <v>4306</v>
      </c>
      <c r="G4298">
        <v>1</v>
      </c>
    </row>
    <row r="4299" spans="1:7" x14ac:dyDescent="0.25">
      <c r="A4299">
        <v>20</v>
      </c>
      <c r="B4299" t="s">
        <v>3996</v>
      </c>
      <c r="C4299">
        <v>4474</v>
      </c>
      <c r="D4299" t="str">
        <f>"0023-9186"</f>
        <v>0023-9186</v>
      </c>
      <c r="E4299" t="s">
        <v>8</v>
      </c>
      <c r="F4299" t="s">
        <v>4307</v>
      </c>
      <c r="G4299">
        <v>1</v>
      </c>
    </row>
    <row r="4300" spans="1:7" x14ac:dyDescent="0.25">
      <c r="A4300">
        <v>20</v>
      </c>
      <c r="B4300" t="s">
        <v>3996</v>
      </c>
      <c r="C4300">
        <v>16112</v>
      </c>
      <c r="D4300" t="str">
        <f>"0957-8536"</f>
        <v>0957-8536</v>
      </c>
      <c r="E4300" t="s">
        <v>8</v>
      </c>
      <c r="F4300" t="s">
        <v>4308</v>
      </c>
      <c r="G4300">
        <v>1</v>
      </c>
    </row>
    <row r="4301" spans="1:7" x14ac:dyDescent="0.25">
      <c r="A4301">
        <v>20</v>
      </c>
      <c r="B4301" t="s">
        <v>3996</v>
      </c>
      <c r="C4301">
        <v>12738</v>
      </c>
      <c r="D4301" t="str">
        <f>"0738-2480"</f>
        <v>0738-2480</v>
      </c>
      <c r="E4301" t="s">
        <v>8</v>
      </c>
      <c r="F4301" t="s">
        <v>4309</v>
      </c>
      <c r="G4301">
        <v>1</v>
      </c>
    </row>
    <row r="4302" spans="1:7" x14ac:dyDescent="0.25">
      <c r="A4302">
        <v>20</v>
      </c>
      <c r="B4302" t="s">
        <v>3996</v>
      </c>
      <c r="C4302">
        <v>2697</v>
      </c>
      <c r="D4302" t="str">
        <f>"0897-6546"</f>
        <v>0897-6546</v>
      </c>
      <c r="E4302" t="s">
        <v>8</v>
      </c>
      <c r="F4302" t="s">
        <v>4310</v>
      </c>
      <c r="G4302">
        <v>1</v>
      </c>
    </row>
    <row r="4303" spans="1:7" x14ac:dyDescent="0.25">
      <c r="A4303">
        <v>20</v>
      </c>
      <c r="B4303" t="s">
        <v>3996</v>
      </c>
      <c r="C4303">
        <v>116226</v>
      </c>
      <c r="D4303" t="str">
        <f>"0811-5796"</f>
        <v>0811-5796</v>
      </c>
      <c r="E4303" t="s">
        <v>8</v>
      </c>
      <c r="F4303" t="s">
        <v>4311</v>
      </c>
      <c r="G4303">
        <v>1</v>
      </c>
    </row>
    <row r="4304" spans="1:7" x14ac:dyDescent="0.25">
      <c r="A4304">
        <v>20</v>
      </c>
      <c r="B4304" t="s">
        <v>3996</v>
      </c>
      <c r="C4304">
        <v>21668</v>
      </c>
      <c r="D4304" t="str">
        <f>"1743-8721"</f>
        <v>1743-8721</v>
      </c>
      <c r="E4304" t="s">
        <v>8</v>
      </c>
      <c r="F4304" t="s">
        <v>4312</v>
      </c>
      <c r="G4304">
        <v>1</v>
      </c>
    </row>
    <row r="4305" spans="1:7" x14ac:dyDescent="0.25">
      <c r="A4305">
        <v>20</v>
      </c>
      <c r="B4305" t="s">
        <v>3996</v>
      </c>
      <c r="C4305">
        <v>3345</v>
      </c>
      <c r="D4305" t="str">
        <f>"1470-8396"</f>
        <v>1470-8396</v>
      </c>
      <c r="E4305" t="s">
        <v>8</v>
      </c>
      <c r="F4305" t="s">
        <v>4313</v>
      </c>
      <c r="G4305">
        <v>1</v>
      </c>
    </row>
    <row r="4306" spans="1:7" x14ac:dyDescent="0.25">
      <c r="A4306">
        <v>20</v>
      </c>
      <c r="B4306" t="s">
        <v>3996</v>
      </c>
      <c r="C4306">
        <v>5639</v>
      </c>
      <c r="E4306" t="s">
        <v>8</v>
      </c>
      <c r="F4306" t="s">
        <v>4314</v>
      </c>
      <c r="G4306">
        <v>1</v>
      </c>
    </row>
    <row r="4307" spans="1:7" x14ac:dyDescent="0.25">
      <c r="A4307">
        <v>20</v>
      </c>
      <c r="B4307" t="s">
        <v>3996</v>
      </c>
      <c r="C4307">
        <v>24965</v>
      </c>
      <c r="D4307" t="str">
        <f>"1298-728X"</f>
        <v>1298-728X</v>
      </c>
      <c r="E4307" t="s">
        <v>8</v>
      </c>
      <c r="F4307" t="s">
        <v>4315</v>
      </c>
      <c r="G4307">
        <v>1</v>
      </c>
    </row>
    <row r="4308" spans="1:7" x14ac:dyDescent="0.25">
      <c r="A4308">
        <v>20</v>
      </c>
      <c r="B4308" t="s">
        <v>3996</v>
      </c>
      <c r="C4308">
        <v>1082</v>
      </c>
      <c r="D4308" t="str">
        <f>"1355-3259"</f>
        <v>1355-3259</v>
      </c>
      <c r="E4308" t="s">
        <v>8</v>
      </c>
      <c r="F4308" t="s">
        <v>4316</v>
      </c>
      <c r="G4308">
        <v>1</v>
      </c>
    </row>
    <row r="4309" spans="1:7" x14ac:dyDescent="0.25">
      <c r="A4309">
        <v>20</v>
      </c>
      <c r="B4309" t="s">
        <v>3996</v>
      </c>
      <c r="C4309">
        <v>13924</v>
      </c>
      <c r="D4309" t="str">
        <f>"1566-6573"</f>
        <v>1566-6573</v>
      </c>
      <c r="E4309" t="s">
        <v>8</v>
      </c>
      <c r="F4309" t="s">
        <v>4317</v>
      </c>
      <c r="G4309">
        <v>1</v>
      </c>
    </row>
    <row r="4310" spans="1:7" x14ac:dyDescent="0.25">
      <c r="A4310">
        <v>20</v>
      </c>
      <c r="B4310" t="s">
        <v>3996</v>
      </c>
      <c r="C4310">
        <v>170106</v>
      </c>
      <c r="E4310" t="s">
        <v>15</v>
      </c>
      <c r="F4310" t="s">
        <v>4318</v>
      </c>
      <c r="G4310">
        <v>1</v>
      </c>
    </row>
    <row r="4311" spans="1:7" x14ac:dyDescent="0.25">
      <c r="A4311">
        <v>20</v>
      </c>
      <c r="B4311" t="s">
        <v>3996</v>
      </c>
      <c r="C4311">
        <v>7742818</v>
      </c>
      <c r="D4311" t="str">
        <f>"2213-493X"</f>
        <v>2213-493X</v>
      </c>
      <c r="E4311" t="s">
        <v>15</v>
      </c>
      <c r="F4311" t="s">
        <v>4319</v>
      </c>
      <c r="G4311">
        <v>1</v>
      </c>
    </row>
    <row r="4312" spans="1:7" x14ac:dyDescent="0.25">
      <c r="A4312">
        <v>20</v>
      </c>
      <c r="B4312" t="s">
        <v>3996</v>
      </c>
      <c r="C4312">
        <v>8782776</v>
      </c>
      <c r="D4312" t="str">
        <f>"2213-2813"</f>
        <v>2213-2813</v>
      </c>
      <c r="E4312" t="s">
        <v>15</v>
      </c>
      <c r="F4312" t="s">
        <v>4320</v>
      </c>
      <c r="G4312">
        <v>1</v>
      </c>
    </row>
    <row r="4313" spans="1:7" x14ac:dyDescent="0.25">
      <c r="A4313">
        <v>20</v>
      </c>
      <c r="B4313" t="s">
        <v>3996</v>
      </c>
      <c r="C4313">
        <v>281</v>
      </c>
      <c r="D4313" t="str">
        <f>"0922-1565"</f>
        <v>0922-1565</v>
      </c>
      <c r="E4313" t="s">
        <v>8</v>
      </c>
      <c r="F4313" t="s">
        <v>4321</v>
      </c>
      <c r="G4313">
        <v>1</v>
      </c>
    </row>
    <row r="4314" spans="1:7" x14ac:dyDescent="0.25">
      <c r="A4314">
        <v>20</v>
      </c>
      <c r="B4314" t="s">
        <v>3996</v>
      </c>
      <c r="C4314">
        <v>11650</v>
      </c>
      <c r="D4314" t="str">
        <f>"0024-6980"</f>
        <v>0024-6980</v>
      </c>
      <c r="E4314" t="s">
        <v>8</v>
      </c>
      <c r="F4314" t="s">
        <v>4322</v>
      </c>
      <c r="G4314">
        <v>1</v>
      </c>
    </row>
    <row r="4315" spans="1:7" x14ac:dyDescent="0.25">
      <c r="A4315">
        <v>20</v>
      </c>
      <c r="B4315" t="s">
        <v>3996</v>
      </c>
      <c r="C4315">
        <v>8782713</v>
      </c>
      <c r="E4315" t="s">
        <v>8</v>
      </c>
      <c r="F4315" t="s">
        <v>4323</v>
      </c>
      <c r="G4315">
        <v>1</v>
      </c>
    </row>
    <row r="4316" spans="1:7" x14ac:dyDescent="0.25">
      <c r="A4316">
        <v>20</v>
      </c>
      <c r="B4316" t="s">
        <v>3996</v>
      </c>
      <c r="C4316">
        <v>15881</v>
      </c>
      <c r="D4316" t="str">
        <f>"0332-7868"</f>
        <v>0332-7868</v>
      </c>
      <c r="E4316" t="s">
        <v>15</v>
      </c>
      <c r="F4316" t="s">
        <v>4324</v>
      </c>
      <c r="G4316">
        <v>1</v>
      </c>
    </row>
    <row r="4317" spans="1:7" x14ac:dyDescent="0.25">
      <c r="A4317">
        <v>20</v>
      </c>
      <c r="B4317" t="s">
        <v>3996</v>
      </c>
      <c r="C4317">
        <v>9821</v>
      </c>
      <c r="D4317" t="str">
        <f>"0967-0742"</f>
        <v>0967-0742</v>
      </c>
      <c r="E4317" t="s">
        <v>8</v>
      </c>
      <c r="F4317" t="s">
        <v>4325</v>
      </c>
      <c r="G4317">
        <v>1</v>
      </c>
    </row>
    <row r="4318" spans="1:7" x14ac:dyDescent="0.25">
      <c r="A4318">
        <v>20</v>
      </c>
      <c r="B4318" t="s">
        <v>3996</v>
      </c>
      <c r="C4318">
        <v>22490</v>
      </c>
      <c r="D4318" t="str">
        <f>"0723-1393"</f>
        <v>0723-1393</v>
      </c>
      <c r="E4318" t="s">
        <v>8</v>
      </c>
      <c r="F4318" t="s">
        <v>4326</v>
      </c>
      <c r="G4318">
        <v>1</v>
      </c>
    </row>
    <row r="4319" spans="1:7" x14ac:dyDescent="0.25">
      <c r="A4319">
        <v>20</v>
      </c>
      <c r="B4319" t="s">
        <v>3996</v>
      </c>
      <c r="C4319">
        <v>6811</v>
      </c>
      <c r="D4319" t="str">
        <f>"1052-2867"</f>
        <v>1052-2867</v>
      </c>
      <c r="E4319" t="s">
        <v>8</v>
      </c>
      <c r="F4319" t="s">
        <v>4327</v>
      </c>
      <c r="G4319">
        <v>1</v>
      </c>
    </row>
    <row r="4320" spans="1:7" x14ac:dyDescent="0.25">
      <c r="A4320">
        <v>20</v>
      </c>
      <c r="B4320" t="s">
        <v>3996</v>
      </c>
      <c r="C4320">
        <v>5279</v>
      </c>
      <c r="D4320" t="str">
        <f>"0026-2234"</f>
        <v>0026-2234</v>
      </c>
      <c r="E4320" t="s">
        <v>8</v>
      </c>
      <c r="F4320" t="s">
        <v>4328</v>
      </c>
      <c r="G4320">
        <v>1</v>
      </c>
    </row>
    <row r="4321" spans="1:7" x14ac:dyDescent="0.25">
      <c r="A4321">
        <v>20</v>
      </c>
      <c r="B4321" t="s">
        <v>3996</v>
      </c>
      <c r="C4321">
        <v>156460</v>
      </c>
      <c r="D4321" t="str">
        <f>"1396-8386"</f>
        <v>1396-8386</v>
      </c>
      <c r="E4321" t="s">
        <v>8</v>
      </c>
      <c r="F4321" t="s">
        <v>4329</v>
      </c>
      <c r="G4321">
        <v>1</v>
      </c>
    </row>
    <row r="4322" spans="1:7" x14ac:dyDescent="0.25">
      <c r="A4322">
        <v>20</v>
      </c>
      <c r="B4322" t="s">
        <v>3996</v>
      </c>
      <c r="C4322">
        <v>6205670</v>
      </c>
      <c r="E4322" t="s">
        <v>15</v>
      </c>
      <c r="F4322" t="s">
        <v>4330</v>
      </c>
      <c r="G4322">
        <v>1</v>
      </c>
    </row>
    <row r="4323" spans="1:7" x14ac:dyDescent="0.25">
      <c r="A4323">
        <v>20</v>
      </c>
      <c r="B4323" t="s">
        <v>3996</v>
      </c>
      <c r="C4323">
        <v>8853</v>
      </c>
      <c r="D4323" t="str">
        <f>"0172-1631"</f>
        <v>0172-1631</v>
      </c>
      <c r="E4323" t="s">
        <v>8</v>
      </c>
      <c r="F4323" t="s">
        <v>4331</v>
      </c>
      <c r="G4323">
        <v>1</v>
      </c>
    </row>
    <row r="4324" spans="1:7" x14ac:dyDescent="0.25">
      <c r="A4324">
        <v>20</v>
      </c>
      <c r="B4324" t="s">
        <v>3996</v>
      </c>
      <c r="C4324">
        <v>14816</v>
      </c>
      <c r="D4324" t="str">
        <f>"0028-0739"</f>
        <v>0028-0739</v>
      </c>
      <c r="E4324" t="s">
        <v>8</v>
      </c>
      <c r="F4324" t="s">
        <v>4332</v>
      </c>
      <c r="G4324">
        <v>1</v>
      </c>
    </row>
    <row r="4325" spans="1:7" x14ac:dyDescent="0.25">
      <c r="A4325">
        <v>20</v>
      </c>
      <c r="B4325" t="s">
        <v>3996</v>
      </c>
      <c r="C4325">
        <v>8782666</v>
      </c>
      <c r="E4325" t="s">
        <v>8</v>
      </c>
      <c r="F4325" t="s">
        <v>4333</v>
      </c>
      <c r="G4325">
        <v>1</v>
      </c>
    </row>
    <row r="4326" spans="1:7" x14ac:dyDescent="0.25">
      <c r="A4326">
        <v>20</v>
      </c>
      <c r="B4326" t="s">
        <v>3996</v>
      </c>
      <c r="C4326">
        <v>5568</v>
      </c>
      <c r="D4326" t="str">
        <f>"0748-4526"</f>
        <v>0748-4526</v>
      </c>
      <c r="E4326" t="s">
        <v>8</v>
      </c>
      <c r="F4326" t="s">
        <v>4334</v>
      </c>
      <c r="G4326">
        <v>1</v>
      </c>
    </row>
    <row r="4327" spans="1:7" x14ac:dyDescent="0.25">
      <c r="A4327">
        <v>20</v>
      </c>
      <c r="B4327" t="s">
        <v>3996</v>
      </c>
      <c r="C4327">
        <v>4537</v>
      </c>
      <c r="D4327" t="str">
        <f>"0165-070X"</f>
        <v>0165-070X</v>
      </c>
      <c r="E4327" t="s">
        <v>8</v>
      </c>
      <c r="F4327" t="s">
        <v>4335</v>
      </c>
      <c r="G4327">
        <v>1</v>
      </c>
    </row>
    <row r="4328" spans="1:7" x14ac:dyDescent="0.25">
      <c r="A4328">
        <v>20</v>
      </c>
      <c r="B4328" t="s">
        <v>3996</v>
      </c>
      <c r="C4328">
        <v>11135</v>
      </c>
      <c r="D4328" t="str">
        <f>"0167-6768"</f>
        <v>0167-6768</v>
      </c>
      <c r="E4328" t="s">
        <v>8</v>
      </c>
      <c r="F4328" t="s">
        <v>4336</v>
      </c>
      <c r="G4328">
        <v>1</v>
      </c>
    </row>
    <row r="4329" spans="1:7" x14ac:dyDescent="0.25">
      <c r="A4329">
        <v>20</v>
      </c>
      <c r="B4329" t="s">
        <v>3996</v>
      </c>
      <c r="C4329">
        <v>2979</v>
      </c>
      <c r="D4329" t="str">
        <f>"0341-1915"</f>
        <v>0341-1915</v>
      </c>
      <c r="E4329" t="s">
        <v>8</v>
      </c>
      <c r="F4329" t="s">
        <v>4337</v>
      </c>
      <c r="G4329">
        <v>1</v>
      </c>
    </row>
    <row r="4330" spans="1:7" x14ac:dyDescent="0.25">
      <c r="A4330">
        <v>20</v>
      </c>
      <c r="B4330" t="s">
        <v>3996</v>
      </c>
      <c r="C4330">
        <v>18341</v>
      </c>
      <c r="D4330" t="str">
        <f>"1434-9272"</f>
        <v>1434-9272</v>
      </c>
      <c r="E4330" t="s">
        <v>8</v>
      </c>
      <c r="F4330" t="s">
        <v>4338</v>
      </c>
      <c r="G4330">
        <v>1</v>
      </c>
    </row>
    <row r="4331" spans="1:7" x14ac:dyDescent="0.25">
      <c r="A4331">
        <v>20</v>
      </c>
      <c r="B4331" t="s">
        <v>3996</v>
      </c>
      <c r="C4331">
        <v>19398</v>
      </c>
      <c r="D4331" t="str">
        <f>"0720-1753"</f>
        <v>0720-1753</v>
      </c>
      <c r="E4331" t="s">
        <v>8</v>
      </c>
      <c r="F4331" t="s">
        <v>4339</v>
      </c>
      <c r="G4331">
        <v>1</v>
      </c>
    </row>
    <row r="4332" spans="1:7" x14ac:dyDescent="0.25">
      <c r="A4332">
        <v>20</v>
      </c>
      <c r="B4332" t="s">
        <v>3996</v>
      </c>
      <c r="C4332">
        <v>8783425</v>
      </c>
      <c r="E4332" t="s">
        <v>15</v>
      </c>
      <c r="F4332" t="s">
        <v>4340</v>
      </c>
      <c r="G4332">
        <v>1</v>
      </c>
    </row>
    <row r="4333" spans="1:7" x14ac:dyDescent="0.25">
      <c r="A4333">
        <v>20</v>
      </c>
      <c r="B4333" t="s">
        <v>3996</v>
      </c>
      <c r="C4333">
        <v>8783426</v>
      </c>
      <c r="E4333" t="s">
        <v>15</v>
      </c>
      <c r="F4333" t="s">
        <v>4341</v>
      </c>
      <c r="G4333">
        <v>1</v>
      </c>
    </row>
    <row r="4334" spans="1:7" x14ac:dyDescent="0.25">
      <c r="A4334">
        <v>20</v>
      </c>
      <c r="B4334" t="s">
        <v>3996</v>
      </c>
      <c r="C4334">
        <v>18346</v>
      </c>
      <c r="D4334" t="str">
        <f>"0028-7873"</f>
        <v>0028-7873</v>
      </c>
      <c r="E4334" t="s">
        <v>8</v>
      </c>
      <c r="F4334" t="s">
        <v>4342</v>
      </c>
      <c r="G4334">
        <v>1</v>
      </c>
    </row>
    <row r="4335" spans="1:7" x14ac:dyDescent="0.25">
      <c r="A4335">
        <v>20</v>
      </c>
      <c r="B4335" t="s">
        <v>3996</v>
      </c>
      <c r="C4335">
        <v>3995</v>
      </c>
      <c r="D4335" t="str">
        <f>"0028-7881"</f>
        <v>0028-7881</v>
      </c>
      <c r="E4335" t="s">
        <v>8</v>
      </c>
      <c r="F4335" t="s">
        <v>4343</v>
      </c>
      <c r="G4335">
        <v>1</v>
      </c>
    </row>
    <row r="4336" spans="1:7" x14ac:dyDescent="0.25">
      <c r="A4336">
        <v>20</v>
      </c>
      <c r="B4336" t="s">
        <v>3996</v>
      </c>
      <c r="C4336">
        <v>8782743</v>
      </c>
      <c r="E4336" t="s">
        <v>8</v>
      </c>
      <c r="F4336" t="s">
        <v>4344</v>
      </c>
      <c r="G4336">
        <v>1</v>
      </c>
    </row>
    <row r="4337" spans="1:7" x14ac:dyDescent="0.25">
      <c r="A4337">
        <v>20</v>
      </c>
      <c r="B4337" t="s">
        <v>3996</v>
      </c>
      <c r="C4337">
        <v>156449</v>
      </c>
      <c r="E4337" t="s">
        <v>8</v>
      </c>
      <c r="F4337" t="s">
        <v>4345</v>
      </c>
      <c r="G4337">
        <v>1</v>
      </c>
    </row>
    <row r="4338" spans="1:7" x14ac:dyDescent="0.25">
      <c r="A4338">
        <v>20</v>
      </c>
      <c r="B4338" t="s">
        <v>3996</v>
      </c>
      <c r="C4338">
        <v>8768341</v>
      </c>
      <c r="E4338" t="s">
        <v>8</v>
      </c>
      <c r="F4338" t="s">
        <v>4346</v>
      </c>
      <c r="G4338">
        <v>1</v>
      </c>
    </row>
    <row r="4339" spans="1:7" x14ac:dyDescent="0.25">
      <c r="A4339">
        <v>20</v>
      </c>
      <c r="B4339" t="s">
        <v>3996</v>
      </c>
      <c r="C4339">
        <v>1109</v>
      </c>
      <c r="D4339" t="str">
        <f>"0090-8320"</f>
        <v>0090-8320</v>
      </c>
      <c r="E4339" t="s">
        <v>8</v>
      </c>
      <c r="F4339" t="s">
        <v>4347</v>
      </c>
      <c r="G4339">
        <v>1</v>
      </c>
    </row>
    <row r="4340" spans="1:7" x14ac:dyDescent="0.25">
      <c r="A4340">
        <v>20</v>
      </c>
      <c r="B4340" t="s">
        <v>3996</v>
      </c>
      <c r="C4340">
        <v>8776807</v>
      </c>
      <c r="D4340" t="str">
        <f>"2387-3299"</f>
        <v>2387-3299</v>
      </c>
      <c r="E4340" t="s">
        <v>8</v>
      </c>
      <c r="F4340" t="s">
        <v>4348</v>
      </c>
      <c r="G4340">
        <v>1</v>
      </c>
    </row>
    <row r="4341" spans="1:7" x14ac:dyDescent="0.25">
      <c r="A4341">
        <v>20</v>
      </c>
      <c r="B4341" t="s">
        <v>3996</v>
      </c>
      <c r="C4341">
        <v>8783427</v>
      </c>
      <c r="E4341" t="s">
        <v>15</v>
      </c>
      <c r="F4341" t="s">
        <v>4349</v>
      </c>
      <c r="G4341">
        <v>1</v>
      </c>
    </row>
    <row r="4342" spans="1:7" x14ac:dyDescent="0.25">
      <c r="A4342">
        <v>20</v>
      </c>
      <c r="B4342" t="s">
        <v>3996</v>
      </c>
      <c r="C4342">
        <v>8783428</v>
      </c>
      <c r="E4342" t="s">
        <v>15</v>
      </c>
      <c r="F4342" t="s">
        <v>4350</v>
      </c>
      <c r="G4342">
        <v>1</v>
      </c>
    </row>
    <row r="4343" spans="1:7" x14ac:dyDescent="0.25">
      <c r="A4343">
        <v>20</v>
      </c>
      <c r="B4343" t="s">
        <v>3996</v>
      </c>
      <c r="C4343">
        <v>8782749</v>
      </c>
      <c r="E4343" t="s">
        <v>15</v>
      </c>
      <c r="F4343" t="s">
        <v>4351</v>
      </c>
      <c r="G4343">
        <v>1</v>
      </c>
    </row>
    <row r="4344" spans="1:7" x14ac:dyDescent="0.25">
      <c r="A4344">
        <v>20</v>
      </c>
      <c r="B4344" t="s">
        <v>3996</v>
      </c>
      <c r="C4344">
        <v>3653</v>
      </c>
      <c r="D4344" t="str">
        <f>"1561-4263"</f>
        <v>1561-4263</v>
      </c>
      <c r="E4344" t="s">
        <v>8</v>
      </c>
      <c r="F4344" t="s">
        <v>4352</v>
      </c>
      <c r="G4344">
        <v>1</v>
      </c>
    </row>
    <row r="4345" spans="1:7" x14ac:dyDescent="0.25">
      <c r="A4345">
        <v>20</v>
      </c>
      <c r="B4345" t="s">
        <v>3996</v>
      </c>
      <c r="C4345">
        <v>4110</v>
      </c>
      <c r="D4345" t="str">
        <f>"1098-6111"</f>
        <v>1098-6111</v>
      </c>
      <c r="E4345" t="s">
        <v>8</v>
      </c>
      <c r="F4345" t="s">
        <v>4353</v>
      </c>
      <c r="G4345">
        <v>1</v>
      </c>
    </row>
    <row r="4346" spans="1:7" x14ac:dyDescent="0.25">
      <c r="A4346">
        <v>20</v>
      </c>
      <c r="B4346" t="s">
        <v>3996</v>
      </c>
      <c r="C4346">
        <v>4441</v>
      </c>
      <c r="D4346" t="str">
        <f>"1043-9463"</f>
        <v>1043-9463</v>
      </c>
      <c r="E4346" t="s">
        <v>8</v>
      </c>
      <c r="F4346" t="s">
        <v>4354</v>
      </c>
      <c r="G4346">
        <v>1</v>
      </c>
    </row>
    <row r="4347" spans="1:7" x14ac:dyDescent="0.25">
      <c r="A4347">
        <v>20</v>
      </c>
      <c r="B4347" t="s">
        <v>3996</v>
      </c>
      <c r="C4347">
        <v>3589</v>
      </c>
      <c r="D4347" t="str">
        <f>"1363-951X"</f>
        <v>1363-951X</v>
      </c>
      <c r="E4347" t="s">
        <v>8</v>
      </c>
      <c r="F4347" t="s">
        <v>4355</v>
      </c>
      <c r="G4347">
        <v>1</v>
      </c>
    </row>
    <row r="4348" spans="1:7" x14ac:dyDescent="0.25">
      <c r="A4348">
        <v>20</v>
      </c>
      <c r="B4348" t="s">
        <v>3996</v>
      </c>
      <c r="C4348">
        <v>8782472</v>
      </c>
      <c r="E4348" t="s">
        <v>8</v>
      </c>
      <c r="F4348" t="s">
        <v>4356</v>
      </c>
      <c r="G4348">
        <v>1</v>
      </c>
    </row>
    <row r="4349" spans="1:7" x14ac:dyDescent="0.25">
      <c r="A4349">
        <v>20</v>
      </c>
      <c r="B4349" t="s">
        <v>3996</v>
      </c>
      <c r="C4349">
        <v>8783429</v>
      </c>
      <c r="E4349" t="s">
        <v>15</v>
      </c>
      <c r="F4349" t="s">
        <v>4357</v>
      </c>
      <c r="G4349">
        <v>1</v>
      </c>
    </row>
    <row r="4350" spans="1:7" x14ac:dyDescent="0.25">
      <c r="A4350">
        <v>20</v>
      </c>
      <c r="B4350" t="s">
        <v>3996</v>
      </c>
      <c r="C4350">
        <v>23344</v>
      </c>
      <c r="D4350" t="str">
        <f>"0300-3558"</f>
        <v>0300-3558</v>
      </c>
      <c r="E4350" t="s">
        <v>8</v>
      </c>
      <c r="F4350" t="s">
        <v>4358</v>
      </c>
      <c r="G4350">
        <v>1</v>
      </c>
    </row>
    <row r="4351" spans="1:7" x14ac:dyDescent="0.25">
      <c r="A4351">
        <v>20</v>
      </c>
      <c r="B4351" t="s">
        <v>3996</v>
      </c>
      <c r="C4351">
        <v>1794</v>
      </c>
      <c r="D4351" t="str">
        <f>"1449-8227"</f>
        <v>1449-8227</v>
      </c>
      <c r="E4351" t="s">
        <v>8</v>
      </c>
      <c r="F4351" t="s">
        <v>4359</v>
      </c>
      <c r="G4351">
        <v>1</v>
      </c>
    </row>
    <row r="4352" spans="1:7" x14ac:dyDescent="0.25">
      <c r="A4352">
        <v>20</v>
      </c>
      <c r="B4352" t="s">
        <v>3996</v>
      </c>
      <c r="C4352">
        <v>8607</v>
      </c>
      <c r="D4352" t="str">
        <f>"0264-5505"</f>
        <v>0264-5505</v>
      </c>
      <c r="E4352" t="s">
        <v>8</v>
      </c>
      <c r="F4352" t="s">
        <v>4360</v>
      </c>
      <c r="G4352">
        <v>1</v>
      </c>
    </row>
    <row r="4353" spans="1:7" x14ac:dyDescent="0.25">
      <c r="A4353">
        <v>20</v>
      </c>
      <c r="B4353" t="s">
        <v>3996</v>
      </c>
      <c r="C4353">
        <v>5354</v>
      </c>
      <c r="D4353" t="str">
        <f>"1462-4745"</f>
        <v>1462-4745</v>
      </c>
      <c r="E4353" t="s">
        <v>8</v>
      </c>
      <c r="F4353" t="s">
        <v>4361</v>
      </c>
      <c r="G4353">
        <v>1</v>
      </c>
    </row>
    <row r="4354" spans="1:7" x14ac:dyDescent="0.25">
      <c r="A4354">
        <v>20</v>
      </c>
      <c r="B4354" t="s">
        <v>3996</v>
      </c>
      <c r="C4354">
        <v>7727755</v>
      </c>
      <c r="D4354" t="str">
        <f>"2045-9807"</f>
        <v>2045-9807</v>
      </c>
      <c r="E4354" t="s">
        <v>8</v>
      </c>
      <c r="F4354" t="s">
        <v>4362</v>
      </c>
      <c r="G4354">
        <v>1</v>
      </c>
    </row>
    <row r="4355" spans="1:7" x14ac:dyDescent="0.25">
      <c r="A4355">
        <v>20</v>
      </c>
      <c r="B4355" t="s">
        <v>3996</v>
      </c>
      <c r="C4355">
        <v>16964</v>
      </c>
      <c r="D4355" t="str">
        <f>"0340-7926"</f>
        <v>0340-7926</v>
      </c>
      <c r="E4355" t="s">
        <v>8</v>
      </c>
      <c r="F4355" t="s">
        <v>4363</v>
      </c>
      <c r="G4355">
        <v>1</v>
      </c>
    </row>
    <row r="4356" spans="1:7" x14ac:dyDescent="0.25">
      <c r="A4356">
        <v>20</v>
      </c>
      <c r="B4356" t="s">
        <v>3996</v>
      </c>
      <c r="C4356">
        <v>2741</v>
      </c>
      <c r="D4356" t="str">
        <f>"1619-4993"</f>
        <v>1619-4993</v>
      </c>
      <c r="E4356" t="s">
        <v>8</v>
      </c>
      <c r="F4356" t="s">
        <v>4364</v>
      </c>
      <c r="G4356">
        <v>1</v>
      </c>
    </row>
    <row r="4357" spans="1:7" x14ac:dyDescent="0.25">
      <c r="A4357">
        <v>20</v>
      </c>
      <c r="B4357" t="s">
        <v>3996</v>
      </c>
      <c r="C4357">
        <v>5809</v>
      </c>
      <c r="D4357" t="str">
        <f>"0169-5436"</f>
        <v>0169-5436</v>
      </c>
      <c r="E4357" t="s">
        <v>15</v>
      </c>
      <c r="F4357" t="s">
        <v>4365</v>
      </c>
      <c r="G4357">
        <v>1</v>
      </c>
    </row>
    <row r="4358" spans="1:7" x14ac:dyDescent="0.25">
      <c r="A4358">
        <v>20</v>
      </c>
      <c r="B4358" t="s">
        <v>3996</v>
      </c>
      <c r="C4358">
        <v>23118</v>
      </c>
      <c r="D4358" t="str">
        <f>"1871-031X"</f>
        <v>1871-031X</v>
      </c>
      <c r="E4358" t="s">
        <v>8</v>
      </c>
      <c r="F4358" t="s">
        <v>4366</v>
      </c>
      <c r="G4358">
        <v>1</v>
      </c>
    </row>
    <row r="4359" spans="1:7" x14ac:dyDescent="0.25">
      <c r="A4359">
        <v>20</v>
      </c>
      <c r="B4359" t="s">
        <v>3996</v>
      </c>
      <c r="C4359">
        <v>8783431</v>
      </c>
      <c r="E4359" t="s">
        <v>15</v>
      </c>
      <c r="F4359" t="s">
        <v>4367</v>
      </c>
      <c r="G4359">
        <v>1</v>
      </c>
    </row>
    <row r="4360" spans="1:7" x14ac:dyDescent="0.25">
      <c r="A4360">
        <v>20</v>
      </c>
      <c r="B4360" t="s">
        <v>3996</v>
      </c>
      <c r="C4360">
        <v>8783432</v>
      </c>
      <c r="E4360" t="s">
        <v>15</v>
      </c>
      <c r="F4360" t="s">
        <v>4368</v>
      </c>
      <c r="G4360">
        <v>1</v>
      </c>
    </row>
    <row r="4361" spans="1:7" x14ac:dyDescent="0.25">
      <c r="A4361">
        <v>20</v>
      </c>
      <c r="B4361" t="s">
        <v>3996</v>
      </c>
      <c r="C4361">
        <v>8782751</v>
      </c>
      <c r="E4361" t="s">
        <v>15</v>
      </c>
      <c r="F4361" t="s">
        <v>4369</v>
      </c>
      <c r="G4361">
        <v>1</v>
      </c>
    </row>
    <row r="4362" spans="1:7" x14ac:dyDescent="0.25">
      <c r="A4362">
        <v>20</v>
      </c>
      <c r="B4362" t="s">
        <v>3996</v>
      </c>
      <c r="C4362">
        <v>8782760</v>
      </c>
      <c r="E4362" t="s">
        <v>15</v>
      </c>
      <c r="F4362" t="s">
        <v>4370</v>
      </c>
      <c r="G4362">
        <v>1</v>
      </c>
    </row>
    <row r="4363" spans="1:7" x14ac:dyDescent="0.25">
      <c r="A4363">
        <v>20</v>
      </c>
      <c r="B4363" t="s">
        <v>3996</v>
      </c>
      <c r="C4363">
        <v>8783430</v>
      </c>
      <c r="E4363" t="s">
        <v>15</v>
      </c>
      <c r="F4363" t="s">
        <v>4371</v>
      </c>
      <c r="G4363">
        <v>1</v>
      </c>
    </row>
    <row r="4364" spans="1:7" x14ac:dyDescent="0.25">
      <c r="A4364">
        <v>20</v>
      </c>
      <c r="B4364" t="s">
        <v>3996</v>
      </c>
      <c r="C4364">
        <v>8541</v>
      </c>
      <c r="D4364" t="str">
        <f>"0925-9880"</f>
        <v>0925-9880</v>
      </c>
      <c r="E4364" t="s">
        <v>8</v>
      </c>
      <c r="F4364" t="s">
        <v>4372</v>
      </c>
      <c r="G4364">
        <v>1</v>
      </c>
    </row>
    <row r="4365" spans="1:7" x14ac:dyDescent="0.25">
      <c r="A4365">
        <v>20</v>
      </c>
      <c r="B4365" t="s">
        <v>3996</v>
      </c>
      <c r="C4365">
        <v>112372</v>
      </c>
      <c r="D4365" t="str">
        <f>"1874-7981"</f>
        <v>1874-7981</v>
      </c>
      <c r="E4365" t="s">
        <v>8</v>
      </c>
      <c r="F4365" t="s">
        <v>4373</v>
      </c>
      <c r="G4365">
        <v>1</v>
      </c>
    </row>
    <row r="4366" spans="1:7" x14ac:dyDescent="0.25">
      <c r="A4366">
        <v>20</v>
      </c>
      <c r="B4366" t="s">
        <v>3996</v>
      </c>
      <c r="C4366">
        <v>15074</v>
      </c>
      <c r="D4366" t="str">
        <f>"0962-8797"</f>
        <v>0962-8797</v>
      </c>
      <c r="E4366" t="s">
        <v>8</v>
      </c>
      <c r="F4366" t="s">
        <v>4374</v>
      </c>
      <c r="G4366">
        <v>1</v>
      </c>
    </row>
    <row r="4367" spans="1:7" x14ac:dyDescent="0.25">
      <c r="A4367">
        <v>20</v>
      </c>
      <c r="B4367" t="s">
        <v>3996</v>
      </c>
      <c r="C4367">
        <v>130209</v>
      </c>
      <c r="D4367" t="str">
        <f>"0034-6918"</f>
        <v>0034-6918</v>
      </c>
      <c r="E4367" t="s">
        <v>8</v>
      </c>
      <c r="F4367" t="s">
        <v>4375</v>
      </c>
      <c r="G4367">
        <v>1</v>
      </c>
    </row>
    <row r="4368" spans="1:7" x14ac:dyDescent="0.25">
      <c r="A4368">
        <v>20</v>
      </c>
      <c r="B4368" t="s">
        <v>3996</v>
      </c>
      <c r="C4368">
        <v>20259</v>
      </c>
      <c r="D4368" t="str">
        <f>"0769-3362"</f>
        <v>0769-3362</v>
      </c>
      <c r="E4368" t="s">
        <v>8</v>
      </c>
      <c r="F4368" t="s">
        <v>4376</v>
      </c>
      <c r="G4368">
        <v>1</v>
      </c>
    </row>
    <row r="4369" spans="1:7" x14ac:dyDescent="0.25">
      <c r="A4369">
        <v>20</v>
      </c>
      <c r="B4369" t="s">
        <v>3996</v>
      </c>
      <c r="C4369">
        <v>155307</v>
      </c>
      <c r="D4369" t="str">
        <f>"1624-365X"</f>
        <v>1624-365X</v>
      </c>
      <c r="E4369" t="s">
        <v>8</v>
      </c>
      <c r="F4369" t="s">
        <v>4377</v>
      </c>
      <c r="G4369">
        <v>1</v>
      </c>
    </row>
    <row r="4370" spans="1:7" x14ac:dyDescent="0.25">
      <c r="A4370">
        <v>20</v>
      </c>
      <c r="B4370" t="s">
        <v>3996</v>
      </c>
      <c r="C4370">
        <v>11417</v>
      </c>
      <c r="D4370" t="str">
        <f>"0035-2616"</f>
        <v>0035-2616</v>
      </c>
      <c r="E4370" t="s">
        <v>8</v>
      </c>
      <c r="F4370" t="s">
        <v>4378</v>
      </c>
      <c r="G4370">
        <v>1</v>
      </c>
    </row>
    <row r="4371" spans="1:7" x14ac:dyDescent="0.25">
      <c r="A4371">
        <v>20</v>
      </c>
      <c r="B4371" t="s">
        <v>3996</v>
      </c>
      <c r="C4371">
        <v>25196</v>
      </c>
      <c r="D4371" t="str">
        <f>"0035-4317"</f>
        <v>0035-4317</v>
      </c>
      <c r="E4371" t="s">
        <v>8</v>
      </c>
      <c r="F4371" t="s">
        <v>4379</v>
      </c>
      <c r="G4371">
        <v>1</v>
      </c>
    </row>
    <row r="4372" spans="1:7" x14ac:dyDescent="0.25">
      <c r="A4372">
        <v>20</v>
      </c>
      <c r="B4372" t="s">
        <v>3996</v>
      </c>
      <c r="C4372">
        <v>8783433</v>
      </c>
      <c r="E4372" t="s">
        <v>15</v>
      </c>
      <c r="F4372" t="s">
        <v>4380</v>
      </c>
      <c r="G4372">
        <v>1</v>
      </c>
    </row>
    <row r="4373" spans="1:7" x14ac:dyDescent="0.25">
      <c r="A4373">
        <v>20</v>
      </c>
      <c r="B4373" t="s">
        <v>3996</v>
      </c>
      <c r="C4373">
        <v>8783434</v>
      </c>
      <c r="E4373" t="s">
        <v>15</v>
      </c>
      <c r="F4373" t="s">
        <v>4381</v>
      </c>
      <c r="G4373">
        <v>1</v>
      </c>
    </row>
    <row r="4374" spans="1:7" x14ac:dyDescent="0.25">
      <c r="A4374">
        <v>20</v>
      </c>
      <c r="B4374" t="s">
        <v>3996</v>
      </c>
      <c r="C4374">
        <v>8783435</v>
      </c>
      <c r="E4374" t="s">
        <v>15</v>
      </c>
      <c r="F4374" t="s">
        <v>4382</v>
      </c>
      <c r="G4374">
        <v>1</v>
      </c>
    </row>
    <row r="4375" spans="1:7" x14ac:dyDescent="0.25">
      <c r="A4375">
        <v>20</v>
      </c>
      <c r="B4375" t="s">
        <v>3996</v>
      </c>
      <c r="C4375">
        <v>8783436</v>
      </c>
      <c r="E4375" t="s">
        <v>15</v>
      </c>
      <c r="F4375" t="s">
        <v>4383</v>
      </c>
      <c r="G4375">
        <v>1</v>
      </c>
    </row>
    <row r="4376" spans="1:7" x14ac:dyDescent="0.25">
      <c r="A4376">
        <v>20</v>
      </c>
      <c r="B4376" t="s">
        <v>3996</v>
      </c>
      <c r="C4376">
        <v>8783437</v>
      </c>
      <c r="E4376" t="s">
        <v>15</v>
      </c>
      <c r="F4376" t="s">
        <v>4384</v>
      </c>
      <c r="G4376">
        <v>1</v>
      </c>
    </row>
    <row r="4377" spans="1:7" x14ac:dyDescent="0.25">
      <c r="A4377">
        <v>20</v>
      </c>
      <c r="B4377" t="s">
        <v>3996</v>
      </c>
      <c r="C4377">
        <v>8783438</v>
      </c>
      <c r="E4377" t="s">
        <v>15</v>
      </c>
      <c r="F4377" t="s">
        <v>4385</v>
      </c>
      <c r="G4377">
        <v>1</v>
      </c>
    </row>
    <row r="4378" spans="1:7" x14ac:dyDescent="0.25">
      <c r="A4378">
        <v>20</v>
      </c>
      <c r="B4378" t="s">
        <v>3996</v>
      </c>
      <c r="C4378">
        <v>19160</v>
      </c>
      <c r="D4378" t="str">
        <f>"0735-8938"</f>
        <v>0735-8938</v>
      </c>
      <c r="E4378" t="s">
        <v>8</v>
      </c>
      <c r="F4378" t="s">
        <v>4386</v>
      </c>
      <c r="G4378">
        <v>1</v>
      </c>
    </row>
    <row r="4379" spans="1:7" x14ac:dyDescent="0.25">
      <c r="A4379">
        <v>20</v>
      </c>
      <c r="B4379" t="s">
        <v>3996</v>
      </c>
      <c r="C4379">
        <v>8783325</v>
      </c>
      <c r="D4379" t="str">
        <f>"2523-4145 "</f>
        <v xml:space="preserve">2523-4145 </v>
      </c>
      <c r="E4379" t="s">
        <v>8</v>
      </c>
      <c r="F4379" t="s">
        <v>4387</v>
      </c>
      <c r="G4379">
        <v>1</v>
      </c>
    </row>
    <row r="4380" spans="1:7" x14ac:dyDescent="0.25">
      <c r="A4380">
        <v>20</v>
      </c>
      <c r="B4380" t="s">
        <v>3996</v>
      </c>
      <c r="C4380">
        <v>27769</v>
      </c>
      <c r="D4380" t="str">
        <f>"1744-2567"</f>
        <v>1744-2567</v>
      </c>
      <c r="E4380" t="s">
        <v>8</v>
      </c>
      <c r="F4380" t="s">
        <v>4388</v>
      </c>
      <c r="G4380">
        <v>1</v>
      </c>
    </row>
    <row r="4381" spans="1:7" x14ac:dyDescent="0.25">
      <c r="A4381">
        <v>20</v>
      </c>
      <c r="B4381" t="s">
        <v>3996</v>
      </c>
      <c r="C4381">
        <v>119349</v>
      </c>
      <c r="D4381" t="str">
        <f>"0905-443X"</f>
        <v>0905-443X</v>
      </c>
      <c r="E4381" t="s">
        <v>8</v>
      </c>
      <c r="F4381" t="s">
        <v>4389</v>
      </c>
      <c r="G4381">
        <v>1</v>
      </c>
    </row>
    <row r="4382" spans="1:7" x14ac:dyDescent="0.25">
      <c r="A4382">
        <v>20</v>
      </c>
      <c r="B4382" t="s">
        <v>3996</v>
      </c>
      <c r="C4382">
        <v>132061</v>
      </c>
      <c r="D4382" t="str">
        <f>"0108-6049"</f>
        <v>0108-6049</v>
      </c>
      <c r="E4382" t="s">
        <v>8</v>
      </c>
      <c r="F4382" t="s">
        <v>4390</v>
      </c>
      <c r="G4382">
        <v>1</v>
      </c>
    </row>
    <row r="4383" spans="1:7" x14ac:dyDescent="0.25">
      <c r="A4383">
        <v>20</v>
      </c>
      <c r="B4383" t="s">
        <v>3996</v>
      </c>
      <c r="C4383">
        <v>12520</v>
      </c>
      <c r="D4383" t="str">
        <f>"0333-2810"</f>
        <v>0333-2810</v>
      </c>
      <c r="E4383" t="s">
        <v>8</v>
      </c>
      <c r="F4383" t="s">
        <v>4391</v>
      </c>
      <c r="G4383">
        <v>1</v>
      </c>
    </row>
    <row r="4384" spans="1:7" x14ac:dyDescent="0.25">
      <c r="A4384">
        <v>20</v>
      </c>
      <c r="B4384" t="s">
        <v>3996</v>
      </c>
      <c r="C4384">
        <v>3955</v>
      </c>
      <c r="D4384" t="str">
        <f>"0964-6639"</f>
        <v>0964-6639</v>
      </c>
      <c r="E4384" t="s">
        <v>8</v>
      </c>
      <c r="F4384" t="s">
        <v>4392</v>
      </c>
      <c r="G4384">
        <v>1</v>
      </c>
    </row>
    <row r="4385" spans="1:7" x14ac:dyDescent="0.25">
      <c r="A4385">
        <v>20</v>
      </c>
      <c r="B4385" t="s">
        <v>3996</v>
      </c>
      <c r="C4385">
        <v>8783439</v>
      </c>
      <c r="E4385" t="s">
        <v>15</v>
      </c>
      <c r="F4385" t="s">
        <v>4393</v>
      </c>
      <c r="G4385">
        <v>1</v>
      </c>
    </row>
    <row r="4386" spans="1:7" x14ac:dyDescent="0.25">
      <c r="A4386">
        <v>20</v>
      </c>
      <c r="B4386" t="s">
        <v>3996</v>
      </c>
      <c r="C4386">
        <v>119384</v>
      </c>
      <c r="D4386" t="str">
        <f>"0904-5139"</f>
        <v>0904-5139</v>
      </c>
      <c r="E4386" t="s">
        <v>8</v>
      </c>
      <c r="F4386" t="s">
        <v>4394</v>
      </c>
      <c r="G4386">
        <v>1</v>
      </c>
    </row>
    <row r="4387" spans="1:7" x14ac:dyDescent="0.25">
      <c r="A4387">
        <v>20</v>
      </c>
      <c r="B4387" t="s">
        <v>3996</v>
      </c>
      <c r="C4387">
        <v>7879</v>
      </c>
      <c r="D4387" t="str">
        <f>"0731-5082"</f>
        <v>0731-5082</v>
      </c>
      <c r="E4387" t="s">
        <v>8</v>
      </c>
      <c r="F4387" t="s">
        <v>4395</v>
      </c>
      <c r="G4387">
        <v>1</v>
      </c>
    </row>
    <row r="4388" spans="1:7" x14ac:dyDescent="0.25">
      <c r="A4388">
        <v>20</v>
      </c>
      <c r="B4388" t="s">
        <v>3996</v>
      </c>
      <c r="C4388">
        <v>15585</v>
      </c>
      <c r="D4388" t="str">
        <f>"0144-3593"</f>
        <v>0144-3593</v>
      </c>
      <c r="E4388" t="s">
        <v>8</v>
      </c>
      <c r="F4388" t="s">
        <v>4396</v>
      </c>
      <c r="G4388">
        <v>1</v>
      </c>
    </row>
    <row r="4389" spans="1:7" x14ac:dyDescent="0.25">
      <c r="A4389">
        <v>20</v>
      </c>
      <c r="B4389" t="s">
        <v>3996</v>
      </c>
      <c r="C4389">
        <v>8782777</v>
      </c>
      <c r="D4389" t="str">
        <f>"2214-2037"</f>
        <v>2214-2037</v>
      </c>
      <c r="E4389" t="s">
        <v>15</v>
      </c>
      <c r="F4389" t="s">
        <v>4397</v>
      </c>
      <c r="G4389">
        <v>1</v>
      </c>
    </row>
    <row r="4390" spans="1:7" x14ac:dyDescent="0.25">
      <c r="A4390">
        <v>20</v>
      </c>
      <c r="B4390" t="s">
        <v>3996</v>
      </c>
      <c r="C4390">
        <v>8783440</v>
      </c>
      <c r="E4390" t="s">
        <v>15</v>
      </c>
      <c r="F4390" t="s">
        <v>4398</v>
      </c>
      <c r="G4390">
        <v>1</v>
      </c>
    </row>
    <row r="4391" spans="1:7" x14ac:dyDescent="0.25">
      <c r="A4391">
        <v>20</v>
      </c>
      <c r="B4391" t="s">
        <v>3996</v>
      </c>
      <c r="C4391">
        <v>53916</v>
      </c>
      <c r="D4391" t="str">
        <f>"0346-2218"</f>
        <v>0346-2218</v>
      </c>
      <c r="E4391" t="s">
        <v>8</v>
      </c>
      <c r="F4391" t="s">
        <v>4399</v>
      </c>
      <c r="G4391">
        <v>1</v>
      </c>
    </row>
    <row r="4392" spans="1:7" x14ac:dyDescent="0.25">
      <c r="A4392">
        <v>20</v>
      </c>
      <c r="B4392" t="s">
        <v>3996</v>
      </c>
      <c r="C4392">
        <v>23766</v>
      </c>
      <c r="D4392" t="str">
        <f>"1019-0406"</f>
        <v>1019-0406</v>
      </c>
      <c r="E4392" t="s">
        <v>8</v>
      </c>
      <c r="F4392" t="s">
        <v>4400</v>
      </c>
      <c r="G4392">
        <v>1</v>
      </c>
    </row>
    <row r="4393" spans="1:7" x14ac:dyDescent="0.25">
      <c r="A4393">
        <v>20</v>
      </c>
      <c r="B4393" t="s">
        <v>3996</v>
      </c>
      <c r="C4393">
        <v>26133</v>
      </c>
      <c r="D4393" t="str">
        <f>"0309-7900"</f>
        <v>0309-7900</v>
      </c>
      <c r="E4393" t="s">
        <v>8</v>
      </c>
      <c r="F4393" t="s">
        <v>4401</v>
      </c>
      <c r="G4393">
        <v>1</v>
      </c>
    </row>
    <row r="4394" spans="1:7" x14ac:dyDescent="0.25">
      <c r="A4394">
        <v>20</v>
      </c>
      <c r="B4394" t="s">
        <v>3996</v>
      </c>
      <c r="C4394">
        <v>147240</v>
      </c>
      <c r="D4394" t="str">
        <f>"0908-6692"</f>
        <v>0908-6692</v>
      </c>
      <c r="E4394" t="s">
        <v>15</v>
      </c>
      <c r="F4394" t="s">
        <v>4402</v>
      </c>
      <c r="G4394">
        <v>1</v>
      </c>
    </row>
    <row r="4395" spans="1:7" x14ac:dyDescent="0.25">
      <c r="A4395">
        <v>20</v>
      </c>
      <c r="B4395" t="s">
        <v>3996</v>
      </c>
      <c r="C4395">
        <v>2235</v>
      </c>
      <c r="D4395" t="str">
        <f>"0040-4411"</f>
        <v>0040-4411</v>
      </c>
      <c r="E4395" t="s">
        <v>8</v>
      </c>
      <c r="F4395" t="s">
        <v>4403</v>
      </c>
      <c r="G4395">
        <v>1</v>
      </c>
    </row>
    <row r="4396" spans="1:7" x14ac:dyDescent="0.25">
      <c r="A4396">
        <v>20</v>
      </c>
      <c r="B4396" t="s">
        <v>3996</v>
      </c>
      <c r="C4396">
        <v>7778</v>
      </c>
      <c r="D4396" t="str">
        <f>"0002-919X"</f>
        <v>0002-919X</v>
      </c>
      <c r="E4396" t="s">
        <v>8</v>
      </c>
      <c r="F4396" t="s">
        <v>4404</v>
      </c>
      <c r="G4396">
        <v>1</v>
      </c>
    </row>
    <row r="4397" spans="1:7" x14ac:dyDescent="0.25">
      <c r="A4397">
        <v>20</v>
      </c>
      <c r="B4397" t="s">
        <v>3996</v>
      </c>
      <c r="C4397">
        <v>11150</v>
      </c>
      <c r="D4397" t="str">
        <f>"0008-1973"</f>
        <v>0008-1973</v>
      </c>
      <c r="E4397" t="s">
        <v>8</v>
      </c>
      <c r="F4397" t="s">
        <v>4405</v>
      </c>
      <c r="G4397">
        <v>1</v>
      </c>
    </row>
    <row r="4398" spans="1:7" x14ac:dyDescent="0.25">
      <c r="A4398">
        <v>20</v>
      </c>
      <c r="B4398" t="s">
        <v>3996</v>
      </c>
      <c r="C4398">
        <v>8111</v>
      </c>
      <c r="D4398" t="str">
        <f>"1105-1590"</f>
        <v>1105-1590</v>
      </c>
      <c r="E4398" t="s">
        <v>8</v>
      </c>
      <c r="F4398" t="s">
        <v>4406</v>
      </c>
      <c r="G4398">
        <v>1</v>
      </c>
    </row>
    <row r="4399" spans="1:7" x14ac:dyDescent="0.25">
      <c r="A4399">
        <v>20</v>
      </c>
      <c r="B4399" t="s">
        <v>3996</v>
      </c>
      <c r="C4399">
        <v>4355</v>
      </c>
      <c r="D4399" t="str">
        <f>"0786-6453"</f>
        <v>0786-6453</v>
      </c>
      <c r="E4399" t="s">
        <v>8</v>
      </c>
      <c r="F4399" t="s">
        <v>4407</v>
      </c>
      <c r="G4399">
        <v>1</v>
      </c>
    </row>
    <row r="4400" spans="1:7" x14ac:dyDescent="0.25">
      <c r="A4400">
        <v>20</v>
      </c>
      <c r="B4400" t="s">
        <v>3996</v>
      </c>
      <c r="C4400">
        <v>14577</v>
      </c>
      <c r="D4400" t="str">
        <f>"2059-1098"</f>
        <v>2059-1098</v>
      </c>
      <c r="E4400" t="s">
        <v>8</v>
      </c>
      <c r="F4400" t="s">
        <v>4408</v>
      </c>
      <c r="G4400">
        <v>1</v>
      </c>
    </row>
    <row r="4401" spans="1:7" x14ac:dyDescent="0.25">
      <c r="A4401">
        <v>20</v>
      </c>
      <c r="B4401" t="s">
        <v>3996</v>
      </c>
      <c r="C4401">
        <v>8595</v>
      </c>
      <c r="D4401" t="str">
        <f>"0927-5568"</f>
        <v>0927-5568</v>
      </c>
      <c r="E4401" t="s">
        <v>8</v>
      </c>
      <c r="F4401" t="s">
        <v>4409</v>
      </c>
      <c r="G4401">
        <v>1</v>
      </c>
    </row>
    <row r="4402" spans="1:7" x14ac:dyDescent="0.25">
      <c r="A4402">
        <v>20</v>
      </c>
      <c r="B4402" t="s">
        <v>3996</v>
      </c>
      <c r="C4402">
        <v>6527</v>
      </c>
      <c r="D4402" t="str">
        <f>"1364-2987"</f>
        <v>1364-2987</v>
      </c>
      <c r="E4402" t="s">
        <v>8</v>
      </c>
      <c r="F4402" t="s">
        <v>4410</v>
      </c>
      <c r="G4402">
        <v>1</v>
      </c>
    </row>
    <row r="4403" spans="1:7" x14ac:dyDescent="0.25">
      <c r="A4403">
        <v>20</v>
      </c>
      <c r="B4403" t="s">
        <v>3996</v>
      </c>
      <c r="C4403">
        <v>6573</v>
      </c>
      <c r="D4403" t="str">
        <f>"0927-3522"</f>
        <v>0927-3522</v>
      </c>
      <c r="E4403" t="s">
        <v>8</v>
      </c>
      <c r="F4403" t="s">
        <v>4411</v>
      </c>
      <c r="G4403">
        <v>1</v>
      </c>
    </row>
    <row r="4404" spans="1:7" x14ac:dyDescent="0.25">
      <c r="A4404">
        <v>20</v>
      </c>
      <c r="B4404" t="s">
        <v>3996</v>
      </c>
      <c r="C4404">
        <v>149644</v>
      </c>
      <c r="D4404" t="str">
        <f>"1567-7559"</f>
        <v>1567-7559</v>
      </c>
      <c r="E4404" t="s">
        <v>8</v>
      </c>
      <c r="F4404" t="s">
        <v>4412</v>
      </c>
      <c r="G4404">
        <v>1</v>
      </c>
    </row>
    <row r="4405" spans="1:7" x14ac:dyDescent="0.25">
      <c r="A4405">
        <v>20</v>
      </c>
      <c r="B4405" t="s">
        <v>3996</v>
      </c>
      <c r="C4405">
        <v>8783421</v>
      </c>
      <c r="E4405" t="s">
        <v>15</v>
      </c>
      <c r="F4405" t="s">
        <v>4413</v>
      </c>
      <c r="G4405">
        <v>1</v>
      </c>
    </row>
    <row r="4406" spans="1:7" x14ac:dyDescent="0.25">
      <c r="A4406">
        <v>20</v>
      </c>
      <c r="B4406" t="s">
        <v>3996</v>
      </c>
      <c r="C4406">
        <v>4776</v>
      </c>
      <c r="D4406" t="str">
        <f>"1478-8586"</f>
        <v>1478-8586</v>
      </c>
      <c r="E4406" t="s">
        <v>8</v>
      </c>
      <c r="F4406" t="s">
        <v>4414</v>
      </c>
      <c r="G4406">
        <v>1</v>
      </c>
    </row>
    <row r="4407" spans="1:7" x14ac:dyDescent="0.25">
      <c r="A4407">
        <v>20</v>
      </c>
      <c r="B4407" t="s">
        <v>3996</v>
      </c>
      <c r="C4407">
        <v>27543</v>
      </c>
      <c r="D4407" t="str">
        <f>"2049-789X"</f>
        <v>2049-789X</v>
      </c>
      <c r="E4407" t="s">
        <v>8</v>
      </c>
      <c r="F4407" t="s">
        <v>4415</v>
      </c>
      <c r="G4407">
        <v>1</v>
      </c>
    </row>
    <row r="4408" spans="1:7" x14ac:dyDescent="0.25">
      <c r="A4408">
        <v>20</v>
      </c>
      <c r="B4408" t="s">
        <v>3996</v>
      </c>
      <c r="C4408">
        <v>11902</v>
      </c>
      <c r="D4408" t="str">
        <f>"0047-2530"</f>
        <v>0047-2530</v>
      </c>
      <c r="E4408" t="s">
        <v>8</v>
      </c>
      <c r="F4408" t="s">
        <v>4416</v>
      </c>
      <c r="G4408">
        <v>1</v>
      </c>
    </row>
    <row r="4409" spans="1:7" x14ac:dyDescent="0.25">
      <c r="A4409">
        <v>20</v>
      </c>
      <c r="B4409" t="s">
        <v>3996</v>
      </c>
      <c r="C4409">
        <v>6462</v>
      </c>
      <c r="D4409" t="str">
        <f>"1422-2213"</f>
        <v>1422-2213</v>
      </c>
      <c r="E4409" t="s">
        <v>8</v>
      </c>
      <c r="F4409" t="s">
        <v>4417</v>
      </c>
      <c r="G4409">
        <v>1</v>
      </c>
    </row>
    <row r="4410" spans="1:7" x14ac:dyDescent="0.25">
      <c r="A4410">
        <v>20</v>
      </c>
      <c r="B4410" t="s">
        <v>3996</v>
      </c>
      <c r="C4410">
        <v>11782</v>
      </c>
      <c r="D4410" t="str">
        <f>"1569-1853"</f>
        <v>1569-1853</v>
      </c>
      <c r="E4410" t="s">
        <v>8</v>
      </c>
      <c r="F4410" t="s">
        <v>4418</v>
      </c>
      <c r="G4410">
        <v>1</v>
      </c>
    </row>
    <row r="4411" spans="1:7" x14ac:dyDescent="0.25">
      <c r="A4411">
        <v>20</v>
      </c>
      <c r="B4411" t="s">
        <v>3996</v>
      </c>
      <c r="C4411">
        <v>21706</v>
      </c>
      <c r="D4411" t="str">
        <f>"0306-9400"</f>
        <v>0306-9400</v>
      </c>
      <c r="E4411" t="s">
        <v>8</v>
      </c>
      <c r="F4411" t="s">
        <v>4419</v>
      </c>
      <c r="G4411">
        <v>1</v>
      </c>
    </row>
    <row r="4412" spans="1:7" x14ac:dyDescent="0.25">
      <c r="A4412">
        <v>20</v>
      </c>
      <c r="B4412" t="s">
        <v>3996</v>
      </c>
      <c r="C4412">
        <v>8783441</v>
      </c>
      <c r="E4412" t="s">
        <v>15</v>
      </c>
      <c r="F4412" t="s">
        <v>4420</v>
      </c>
      <c r="G4412">
        <v>1</v>
      </c>
    </row>
    <row r="4413" spans="1:7" x14ac:dyDescent="0.25">
      <c r="A4413">
        <v>20</v>
      </c>
      <c r="B4413" t="s">
        <v>3996</v>
      </c>
      <c r="C4413">
        <v>3903</v>
      </c>
      <c r="D4413" t="str">
        <f>"0032-8855"</f>
        <v>0032-8855</v>
      </c>
      <c r="E4413" t="s">
        <v>8</v>
      </c>
      <c r="F4413" t="s">
        <v>4421</v>
      </c>
      <c r="G4413">
        <v>1</v>
      </c>
    </row>
    <row r="4414" spans="1:7" x14ac:dyDescent="0.25">
      <c r="A4414">
        <v>20</v>
      </c>
      <c r="B4414" t="s">
        <v>3996</v>
      </c>
      <c r="C4414">
        <v>74381</v>
      </c>
      <c r="D4414" t="str">
        <f>"2050-8840"</f>
        <v>2050-8840</v>
      </c>
      <c r="E4414" t="s">
        <v>8</v>
      </c>
      <c r="F4414" t="s">
        <v>4422</v>
      </c>
      <c r="G4414">
        <v>1</v>
      </c>
    </row>
    <row r="4415" spans="1:7" x14ac:dyDescent="0.25">
      <c r="A4415">
        <v>20</v>
      </c>
      <c r="B4415" t="s">
        <v>3996</v>
      </c>
      <c r="C4415">
        <v>27223</v>
      </c>
      <c r="D4415" t="str">
        <f>"0041-056X"</f>
        <v>0041-056X</v>
      </c>
      <c r="E4415" t="s">
        <v>8</v>
      </c>
      <c r="F4415" t="s">
        <v>4423</v>
      </c>
      <c r="G4415">
        <v>1</v>
      </c>
    </row>
    <row r="4416" spans="1:7" x14ac:dyDescent="0.25">
      <c r="A4416">
        <v>20</v>
      </c>
      <c r="B4416" t="s">
        <v>3996</v>
      </c>
      <c r="C4416">
        <v>5618</v>
      </c>
      <c r="D4416" t="str">
        <f>"0041-9494"</f>
        <v>0041-9494</v>
      </c>
      <c r="E4416" t="s">
        <v>8</v>
      </c>
      <c r="F4416" t="s">
        <v>4424</v>
      </c>
      <c r="G4416">
        <v>1</v>
      </c>
    </row>
    <row r="4417" spans="1:7" x14ac:dyDescent="0.25">
      <c r="A4417">
        <v>20</v>
      </c>
      <c r="B4417" t="s">
        <v>3996</v>
      </c>
      <c r="C4417">
        <v>27518</v>
      </c>
      <c r="D4417" t="str">
        <f>"1439-9741"</f>
        <v>1439-9741</v>
      </c>
      <c r="E4417" t="s">
        <v>8</v>
      </c>
      <c r="F4417" t="s">
        <v>4425</v>
      </c>
      <c r="G4417">
        <v>1</v>
      </c>
    </row>
    <row r="4418" spans="1:7" x14ac:dyDescent="0.25">
      <c r="A4418">
        <v>20</v>
      </c>
      <c r="B4418" t="s">
        <v>3996</v>
      </c>
      <c r="C4418">
        <v>7699148</v>
      </c>
      <c r="D4418" t="str">
        <f>"1876-8814"</f>
        <v>1876-8814</v>
      </c>
      <c r="E4418" t="s">
        <v>8</v>
      </c>
      <c r="F4418" t="s">
        <v>4426</v>
      </c>
      <c r="G4418">
        <v>1</v>
      </c>
    </row>
    <row r="4419" spans="1:7" x14ac:dyDescent="0.25">
      <c r="A4419">
        <v>20</v>
      </c>
      <c r="B4419" t="s">
        <v>3996</v>
      </c>
      <c r="C4419">
        <v>12559</v>
      </c>
      <c r="D4419" t="str">
        <f>"1362-4806"</f>
        <v>1362-4806</v>
      </c>
      <c r="E4419" t="s">
        <v>8</v>
      </c>
      <c r="F4419" t="s">
        <v>4427</v>
      </c>
      <c r="G4419">
        <v>1</v>
      </c>
    </row>
    <row r="4420" spans="1:7" x14ac:dyDescent="0.25">
      <c r="A4420">
        <v>20</v>
      </c>
      <c r="B4420" t="s">
        <v>3996</v>
      </c>
      <c r="C4420">
        <v>136844</v>
      </c>
      <c r="D4420" t="str">
        <f>"1398-1021"</f>
        <v>1398-1021</v>
      </c>
      <c r="E4420" t="s">
        <v>8</v>
      </c>
      <c r="F4420" t="s">
        <v>4428</v>
      </c>
      <c r="G4420">
        <v>1</v>
      </c>
    </row>
    <row r="4421" spans="1:7" x14ac:dyDescent="0.25">
      <c r="A4421">
        <v>20</v>
      </c>
      <c r="B4421" t="s">
        <v>3996</v>
      </c>
      <c r="C4421">
        <v>10070</v>
      </c>
      <c r="D4421" t="str">
        <f>"2464-336X"</f>
        <v>2464-336X</v>
      </c>
      <c r="E4421" t="s">
        <v>8</v>
      </c>
      <c r="F4421" t="s">
        <v>4429</v>
      </c>
      <c r="G4421">
        <v>1</v>
      </c>
    </row>
    <row r="4422" spans="1:7" x14ac:dyDescent="0.25">
      <c r="A4422">
        <v>20</v>
      </c>
      <c r="B4422" t="s">
        <v>3996</v>
      </c>
      <c r="C4422">
        <v>124646</v>
      </c>
      <c r="D4422" t="str">
        <f>"1397-4599"</f>
        <v>1397-4599</v>
      </c>
      <c r="E4422" t="s">
        <v>8</v>
      </c>
      <c r="F4422" t="s">
        <v>4430</v>
      </c>
      <c r="G4422">
        <v>1</v>
      </c>
    </row>
    <row r="4423" spans="1:7" x14ac:dyDescent="0.25">
      <c r="A4423">
        <v>20</v>
      </c>
      <c r="B4423" t="s">
        <v>3996</v>
      </c>
      <c r="C4423">
        <v>5344</v>
      </c>
      <c r="D4423" t="str">
        <f>"1503-2965"</f>
        <v>1503-2965</v>
      </c>
      <c r="E4423" t="s">
        <v>8</v>
      </c>
      <c r="F4423" t="s">
        <v>4431</v>
      </c>
      <c r="G4423">
        <v>1</v>
      </c>
    </row>
    <row r="4424" spans="1:7" x14ac:dyDescent="0.25">
      <c r="A4424">
        <v>20</v>
      </c>
      <c r="B4424" t="s">
        <v>3996</v>
      </c>
      <c r="C4424">
        <v>33218</v>
      </c>
      <c r="D4424" t="str">
        <f>"0805-4355"</f>
        <v>0805-4355</v>
      </c>
      <c r="E4424" t="s">
        <v>8</v>
      </c>
      <c r="F4424" t="s">
        <v>4432</v>
      </c>
      <c r="G4424">
        <v>1</v>
      </c>
    </row>
    <row r="4425" spans="1:7" x14ac:dyDescent="0.25">
      <c r="A4425">
        <v>20</v>
      </c>
      <c r="B4425" t="s">
        <v>3996</v>
      </c>
      <c r="C4425">
        <v>86801</v>
      </c>
      <c r="D4425" t="str">
        <f>"1399-6061"</f>
        <v>1399-6061</v>
      </c>
      <c r="E4425" t="s">
        <v>8</v>
      </c>
      <c r="F4425" t="s">
        <v>4433</v>
      </c>
      <c r="G4425">
        <v>1</v>
      </c>
    </row>
    <row r="4426" spans="1:7" x14ac:dyDescent="0.25">
      <c r="A4426">
        <v>20</v>
      </c>
      <c r="B4426" t="s">
        <v>3996</v>
      </c>
      <c r="C4426">
        <v>94725</v>
      </c>
      <c r="D4426" t="str">
        <f>"1399-252X"</f>
        <v>1399-252X</v>
      </c>
      <c r="E4426" t="s">
        <v>8</v>
      </c>
      <c r="F4426" t="s">
        <v>4434</v>
      </c>
      <c r="G4426">
        <v>1</v>
      </c>
    </row>
    <row r="4427" spans="1:7" x14ac:dyDescent="0.25">
      <c r="A4427">
        <v>20</v>
      </c>
      <c r="B4427" t="s">
        <v>3996</v>
      </c>
      <c r="C4427">
        <v>27410</v>
      </c>
      <c r="D4427" t="str">
        <f>"1603-8398"</f>
        <v>1603-8398</v>
      </c>
      <c r="E4427" t="s">
        <v>8</v>
      </c>
      <c r="F4427" t="s">
        <v>4435</v>
      </c>
      <c r="G4427">
        <v>1</v>
      </c>
    </row>
    <row r="4428" spans="1:7" x14ac:dyDescent="0.25">
      <c r="A4428">
        <v>20</v>
      </c>
      <c r="B4428" t="s">
        <v>3996</v>
      </c>
      <c r="C4428">
        <v>42763</v>
      </c>
      <c r="D4428" t="str">
        <f>"0908-8431"</f>
        <v>0908-8431</v>
      </c>
      <c r="E4428" t="s">
        <v>8</v>
      </c>
      <c r="F4428" t="s">
        <v>4436</v>
      </c>
      <c r="G4428">
        <v>1</v>
      </c>
    </row>
    <row r="4429" spans="1:7" x14ac:dyDescent="0.25">
      <c r="A4429">
        <v>20</v>
      </c>
      <c r="B4429" t="s">
        <v>3996</v>
      </c>
      <c r="C4429">
        <v>4497</v>
      </c>
      <c r="D4429" t="str">
        <f>"1502-685X"</f>
        <v>1502-685X</v>
      </c>
      <c r="E4429" t="s">
        <v>8</v>
      </c>
      <c r="F4429" t="s">
        <v>4437</v>
      </c>
      <c r="G4429">
        <v>1</v>
      </c>
    </row>
    <row r="4430" spans="1:7" x14ac:dyDescent="0.25">
      <c r="A4430">
        <v>20</v>
      </c>
      <c r="B4430" t="s">
        <v>3996</v>
      </c>
      <c r="C4430">
        <v>12320</v>
      </c>
      <c r="D4430" t="str">
        <f>"0040-7585"</f>
        <v>0040-7585</v>
      </c>
      <c r="E4430" t="s">
        <v>8</v>
      </c>
      <c r="F4430" t="s">
        <v>4438</v>
      </c>
      <c r="G4430">
        <v>1</v>
      </c>
    </row>
    <row r="4431" spans="1:7" x14ac:dyDescent="0.25">
      <c r="A4431">
        <v>20</v>
      </c>
      <c r="B4431" t="s">
        <v>3996</v>
      </c>
      <c r="C4431">
        <v>155363</v>
      </c>
      <c r="D4431" t="str">
        <f>"2211-0046"</f>
        <v>2211-0046</v>
      </c>
      <c r="E4431" t="s">
        <v>8</v>
      </c>
      <c r="F4431" t="s">
        <v>4439</v>
      </c>
      <c r="G4431">
        <v>1</v>
      </c>
    </row>
    <row r="4432" spans="1:7" x14ac:dyDescent="0.25">
      <c r="A4432">
        <v>20</v>
      </c>
      <c r="B4432" t="s">
        <v>3996</v>
      </c>
      <c r="C4432">
        <v>7691826</v>
      </c>
      <c r="D4432" t="str">
        <f>"2041-4005"</f>
        <v>2041-4005</v>
      </c>
      <c r="E4432" t="s">
        <v>8</v>
      </c>
      <c r="F4432" t="s">
        <v>4440</v>
      </c>
      <c r="G4432">
        <v>1</v>
      </c>
    </row>
    <row r="4433" spans="1:7" x14ac:dyDescent="0.25">
      <c r="A4433">
        <v>20</v>
      </c>
      <c r="B4433" t="s">
        <v>3996</v>
      </c>
      <c r="C4433">
        <v>10351</v>
      </c>
      <c r="D4433" t="str">
        <f>"0174-559X"</f>
        <v>0174-559X</v>
      </c>
      <c r="E4433" t="s">
        <v>8</v>
      </c>
      <c r="F4433" t="s">
        <v>4441</v>
      </c>
      <c r="G4433">
        <v>1</v>
      </c>
    </row>
    <row r="4434" spans="1:7" x14ac:dyDescent="0.25">
      <c r="A4434">
        <v>20</v>
      </c>
      <c r="B4434" t="s">
        <v>3996</v>
      </c>
      <c r="C4434">
        <v>7101</v>
      </c>
      <c r="D4434" t="str">
        <f>"1084-4791"</f>
        <v>1084-4791</v>
      </c>
      <c r="E4434" t="s">
        <v>8</v>
      </c>
      <c r="F4434" t="s">
        <v>4442</v>
      </c>
      <c r="G4434">
        <v>1</v>
      </c>
    </row>
    <row r="4435" spans="1:7" x14ac:dyDescent="0.25">
      <c r="A4435">
        <v>20</v>
      </c>
      <c r="B4435" t="s">
        <v>3996</v>
      </c>
      <c r="C4435">
        <v>20599</v>
      </c>
      <c r="D4435" t="str">
        <f>"0962-2624"</f>
        <v>0962-2624</v>
      </c>
      <c r="E4435" t="s">
        <v>8</v>
      </c>
      <c r="F4435" t="s">
        <v>4443</v>
      </c>
      <c r="G4435">
        <v>1</v>
      </c>
    </row>
    <row r="4436" spans="1:7" x14ac:dyDescent="0.25">
      <c r="A4436">
        <v>20</v>
      </c>
      <c r="B4436" t="s">
        <v>3996</v>
      </c>
      <c r="C4436">
        <v>27451</v>
      </c>
      <c r="D4436" t="str">
        <f>"1363-1780"</f>
        <v>1363-1780</v>
      </c>
      <c r="E4436" t="s">
        <v>8</v>
      </c>
      <c r="F4436" t="s">
        <v>4444</v>
      </c>
      <c r="G4436">
        <v>1</v>
      </c>
    </row>
    <row r="4437" spans="1:7" x14ac:dyDescent="0.25">
      <c r="A4437">
        <v>20</v>
      </c>
      <c r="B4437" t="s">
        <v>3996</v>
      </c>
      <c r="C4437">
        <v>4594</v>
      </c>
      <c r="D4437" t="str">
        <f>"1048-3748"</f>
        <v>1048-3748</v>
      </c>
      <c r="E4437" t="s">
        <v>8</v>
      </c>
      <c r="F4437" t="s">
        <v>4445</v>
      </c>
      <c r="G4437">
        <v>1</v>
      </c>
    </row>
    <row r="4438" spans="1:7" x14ac:dyDescent="0.25">
      <c r="A4438">
        <v>20</v>
      </c>
      <c r="B4438" t="s">
        <v>3996</v>
      </c>
      <c r="C4438">
        <v>23110</v>
      </c>
      <c r="D4438" t="str">
        <f>"1124-3694"</f>
        <v>1124-3694</v>
      </c>
      <c r="E4438" t="s">
        <v>8</v>
      </c>
      <c r="F4438" t="s">
        <v>4446</v>
      </c>
      <c r="G4438">
        <v>1</v>
      </c>
    </row>
    <row r="4439" spans="1:7" x14ac:dyDescent="0.25">
      <c r="A4439">
        <v>20</v>
      </c>
      <c r="B4439" t="s">
        <v>3996</v>
      </c>
      <c r="C4439">
        <v>4066</v>
      </c>
      <c r="D4439" t="str">
        <f>"1938-0283"</f>
        <v>1938-0283</v>
      </c>
      <c r="E4439" t="s">
        <v>8</v>
      </c>
      <c r="F4439" t="s">
        <v>4447</v>
      </c>
      <c r="G4439">
        <v>1</v>
      </c>
    </row>
    <row r="4440" spans="1:7" x14ac:dyDescent="0.25">
      <c r="A4440">
        <v>20</v>
      </c>
      <c r="B4440" t="s">
        <v>3996</v>
      </c>
      <c r="C4440">
        <v>8046</v>
      </c>
      <c r="D4440" t="str">
        <f>"0041-9907"</f>
        <v>0041-9907</v>
      </c>
      <c r="E4440" t="s">
        <v>8</v>
      </c>
      <c r="F4440" t="s">
        <v>4448</v>
      </c>
      <c r="G4440">
        <v>1</v>
      </c>
    </row>
    <row r="4441" spans="1:7" x14ac:dyDescent="0.25">
      <c r="A4441">
        <v>20</v>
      </c>
      <c r="B4441" t="s">
        <v>3996</v>
      </c>
      <c r="C4441">
        <v>154348</v>
      </c>
      <c r="D4441" t="str">
        <f>"2053-5341"</f>
        <v>2053-5341</v>
      </c>
      <c r="E4441" t="s">
        <v>8</v>
      </c>
      <c r="F4441" t="s">
        <v>4449</v>
      </c>
      <c r="G4441">
        <v>1</v>
      </c>
    </row>
    <row r="4442" spans="1:7" x14ac:dyDescent="0.25">
      <c r="A4442">
        <v>20</v>
      </c>
      <c r="B4442" t="s">
        <v>3996</v>
      </c>
      <c r="C4442">
        <v>100165</v>
      </c>
      <c r="E4442" t="s">
        <v>8</v>
      </c>
      <c r="F4442" t="s">
        <v>4450</v>
      </c>
      <c r="G4442">
        <v>1</v>
      </c>
    </row>
    <row r="4443" spans="1:7" x14ac:dyDescent="0.25">
      <c r="A4443">
        <v>20</v>
      </c>
      <c r="B4443" t="s">
        <v>3996</v>
      </c>
      <c r="C4443">
        <v>485</v>
      </c>
      <c r="D4443" t="str">
        <f>"0090-2594"</f>
        <v>0090-2594</v>
      </c>
      <c r="E4443" t="s">
        <v>8</v>
      </c>
      <c r="F4443" t="s">
        <v>4451</v>
      </c>
      <c r="G4443">
        <v>1</v>
      </c>
    </row>
    <row r="4444" spans="1:7" x14ac:dyDescent="0.25">
      <c r="A4444">
        <v>20</v>
      </c>
      <c r="B4444" t="s">
        <v>3996</v>
      </c>
      <c r="C4444">
        <v>861</v>
      </c>
      <c r="D4444" t="str">
        <f>"0042-6601"</f>
        <v>0042-6601</v>
      </c>
      <c r="E4444" t="s">
        <v>8</v>
      </c>
      <c r="F4444" t="s">
        <v>4452</v>
      </c>
      <c r="G4444">
        <v>1</v>
      </c>
    </row>
    <row r="4445" spans="1:7" x14ac:dyDescent="0.25">
      <c r="A4445">
        <v>20</v>
      </c>
      <c r="B4445" t="s">
        <v>3996</v>
      </c>
      <c r="C4445">
        <v>8783442</v>
      </c>
      <c r="E4445" t="s">
        <v>15</v>
      </c>
      <c r="F4445" t="s">
        <v>4453</v>
      </c>
      <c r="G4445">
        <v>1</v>
      </c>
    </row>
    <row r="4446" spans="1:7" x14ac:dyDescent="0.25">
      <c r="A4446">
        <v>20</v>
      </c>
      <c r="B4446" t="s">
        <v>3996</v>
      </c>
      <c r="C4446">
        <v>5822</v>
      </c>
      <c r="D4446" t="str">
        <f>"0043-6151"</f>
        <v>0043-6151</v>
      </c>
      <c r="E4446" t="s">
        <v>8</v>
      </c>
      <c r="F4446" t="s">
        <v>4454</v>
      </c>
      <c r="G4446">
        <v>1</v>
      </c>
    </row>
    <row r="4447" spans="1:7" x14ac:dyDescent="0.25">
      <c r="A4447">
        <v>20</v>
      </c>
      <c r="B4447" t="s">
        <v>3996</v>
      </c>
      <c r="C4447">
        <v>11667</v>
      </c>
      <c r="D4447" t="str">
        <f>"1011-4548"</f>
        <v>1011-4548</v>
      </c>
      <c r="E4447" t="s">
        <v>8</v>
      </c>
      <c r="F4447" t="s">
        <v>4455</v>
      </c>
      <c r="G4447">
        <v>1</v>
      </c>
    </row>
    <row r="4448" spans="1:7" x14ac:dyDescent="0.25">
      <c r="A4448">
        <v>20</v>
      </c>
      <c r="B4448" t="s">
        <v>3996</v>
      </c>
      <c r="C4448">
        <v>27724</v>
      </c>
      <c r="D4448" t="str">
        <f>"1834-6707"</f>
        <v>1834-6707</v>
      </c>
      <c r="E4448" t="s">
        <v>8</v>
      </c>
      <c r="F4448" t="s">
        <v>4456</v>
      </c>
      <c r="G4448">
        <v>1</v>
      </c>
    </row>
    <row r="4449" spans="1:7" x14ac:dyDescent="0.25">
      <c r="A4449">
        <v>20</v>
      </c>
      <c r="B4449" t="s">
        <v>3996</v>
      </c>
      <c r="C4449">
        <v>16508</v>
      </c>
      <c r="D4449" t="str">
        <f>"0740-8048"</f>
        <v>0740-8048</v>
      </c>
      <c r="E4449" t="s">
        <v>8</v>
      </c>
      <c r="F4449" t="s">
        <v>4457</v>
      </c>
      <c r="G4449">
        <v>1</v>
      </c>
    </row>
    <row r="4450" spans="1:7" x14ac:dyDescent="0.25">
      <c r="A4450">
        <v>20</v>
      </c>
      <c r="B4450" t="s">
        <v>3996</v>
      </c>
      <c r="C4450">
        <v>5320</v>
      </c>
      <c r="D4450" t="str">
        <f>"0965-1721"</f>
        <v>0965-1721</v>
      </c>
      <c r="E4450" t="s">
        <v>8</v>
      </c>
      <c r="F4450" t="s">
        <v>4458</v>
      </c>
      <c r="G4450">
        <v>1</v>
      </c>
    </row>
    <row r="4451" spans="1:7" x14ac:dyDescent="0.25">
      <c r="A4451">
        <v>20</v>
      </c>
      <c r="B4451" t="s">
        <v>3996</v>
      </c>
      <c r="C4451">
        <v>9138</v>
      </c>
      <c r="D4451" t="str">
        <f>"1389-1359"</f>
        <v>1389-1359</v>
      </c>
      <c r="E4451" t="s">
        <v>8</v>
      </c>
      <c r="F4451" t="s">
        <v>4459</v>
      </c>
      <c r="G4451">
        <v>1</v>
      </c>
    </row>
    <row r="4452" spans="1:7" x14ac:dyDescent="0.25">
      <c r="A4452">
        <v>20</v>
      </c>
      <c r="B4452" t="s">
        <v>3996</v>
      </c>
      <c r="C4452">
        <v>18933</v>
      </c>
      <c r="D4452" t="str">
        <f>"0323-4045"</f>
        <v>0323-4045</v>
      </c>
      <c r="E4452" t="s">
        <v>8</v>
      </c>
      <c r="F4452" t="s">
        <v>4460</v>
      </c>
      <c r="G4452">
        <v>1</v>
      </c>
    </row>
    <row r="4453" spans="1:7" x14ac:dyDescent="0.25">
      <c r="A4453">
        <v>20</v>
      </c>
      <c r="B4453" t="s">
        <v>3996</v>
      </c>
      <c r="C4453">
        <v>20522</v>
      </c>
      <c r="D4453" t="str">
        <f>"0323-4142"</f>
        <v>0323-4142</v>
      </c>
      <c r="E4453" t="s">
        <v>15</v>
      </c>
      <c r="F4453" t="s">
        <v>4461</v>
      </c>
      <c r="G4453">
        <v>1</v>
      </c>
    </row>
    <row r="4454" spans="1:7" x14ac:dyDescent="0.25">
      <c r="A4454">
        <v>20</v>
      </c>
      <c r="B4454" t="s">
        <v>3996</v>
      </c>
      <c r="C4454">
        <v>7957</v>
      </c>
      <c r="D4454" t="str">
        <f>"0323-4096"</f>
        <v>0323-4096</v>
      </c>
      <c r="E4454" t="s">
        <v>15</v>
      </c>
      <c r="F4454" t="s">
        <v>4462</v>
      </c>
      <c r="G4454">
        <v>1</v>
      </c>
    </row>
    <row r="4455" spans="1:7" x14ac:dyDescent="0.25">
      <c r="A4455">
        <v>20</v>
      </c>
      <c r="B4455" t="s">
        <v>3996</v>
      </c>
      <c r="C4455">
        <v>25211</v>
      </c>
      <c r="D4455" t="str">
        <f>"0930-861X"</f>
        <v>0930-861X</v>
      </c>
      <c r="E4455" t="s">
        <v>8</v>
      </c>
      <c r="F4455" t="s">
        <v>4463</v>
      </c>
      <c r="G4455">
        <v>1</v>
      </c>
    </row>
    <row r="4456" spans="1:7" x14ac:dyDescent="0.25">
      <c r="A4456">
        <v>20</v>
      </c>
      <c r="B4456" t="s">
        <v>3996</v>
      </c>
      <c r="C4456">
        <v>21152</v>
      </c>
      <c r="D4456" t="str">
        <f>"0044-2437"</f>
        <v>0044-2437</v>
      </c>
      <c r="E4456" t="s">
        <v>8</v>
      </c>
      <c r="F4456" t="s">
        <v>4464</v>
      </c>
      <c r="G4456">
        <v>1</v>
      </c>
    </row>
    <row r="4457" spans="1:7" x14ac:dyDescent="0.25">
      <c r="A4457">
        <v>20</v>
      </c>
      <c r="B4457" t="s">
        <v>3996</v>
      </c>
      <c r="C4457">
        <v>6635</v>
      </c>
      <c r="D4457" t="str">
        <f>"1423-6931"</f>
        <v>1423-6931</v>
      </c>
      <c r="E4457" t="s">
        <v>8</v>
      </c>
      <c r="F4457" t="s">
        <v>4465</v>
      </c>
      <c r="G4457">
        <v>1</v>
      </c>
    </row>
    <row r="4458" spans="1:7" x14ac:dyDescent="0.25">
      <c r="A4458">
        <v>20</v>
      </c>
      <c r="B4458" t="s">
        <v>3996</v>
      </c>
      <c r="C4458">
        <v>6784</v>
      </c>
      <c r="D4458" t="str">
        <f>"0174-0202"</f>
        <v>0174-0202</v>
      </c>
      <c r="E4458" t="s">
        <v>8</v>
      </c>
      <c r="F4458" t="s">
        <v>4466</v>
      </c>
      <c r="G4458">
        <v>1</v>
      </c>
    </row>
    <row r="4459" spans="1:7" x14ac:dyDescent="0.25">
      <c r="A4459">
        <v>20</v>
      </c>
      <c r="B4459" t="s">
        <v>3996</v>
      </c>
      <c r="C4459">
        <v>22182</v>
      </c>
      <c r="D4459" t="str">
        <f>"0340-2479"</f>
        <v>0340-2479</v>
      </c>
      <c r="E4459" t="s">
        <v>8</v>
      </c>
      <c r="F4459" t="s">
        <v>4467</v>
      </c>
      <c r="G4459">
        <v>1</v>
      </c>
    </row>
    <row r="4460" spans="1:7" x14ac:dyDescent="0.25">
      <c r="A4460">
        <v>20</v>
      </c>
      <c r="B4460" t="s">
        <v>3996</v>
      </c>
      <c r="C4460">
        <v>24824</v>
      </c>
      <c r="D4460" t="str">
        <f>"0723-9416"</f>
        <v>0723-9416</v>
      </c>
      <c r="E4460" t="s">
        <v>8</v>
      </c>
      <c r="F4460" t="s">
        <v>4468</v>
      </c>
      <c r="G4460">
        <v>1</v>
      </c>
    </row>
    <row r="4461" spans="1:7" x14ac:dyDescent="0.25">
      <c r="A4461">
        <v>20</v>
      </c>
      <c r="B4461" t="s">
        <v>3996</v>
      </c>
      <c r="C4461">
        <v>21430</v>
      </c>
      <c r="D4461" t="str">
        <f>"0342-3484"</f>
        <v>0342-3484</v>
      </c>
      <c r="E4461" t="s">
        <v>8</v>
      </c>
      <c r="F4461" t="s">
        <v>4469</v>
      </c>
      <c r="G4461">
        <v>1</v>
      </c>
    </row>
    <row r="4462" spans="1:7" x14ac:dyDescent="0.25">
      <c r="A4462">
        <v>20</v>
      </c>
      <c r="B4462" t="s">
        <v>3996</v>
      </c>
      <c r="C4462">
        <v>10699</v>
      </c>
      <c r="D4462" t="str">
        <f>"0044-2348"</f>
        <v>0044-2348</v>
      </c>
      <c r="E4462" t="s">
        <v>8</v>
      </c>
      <c r="F4462" t="s">
        <v>4470</v>
      </c>
      <c r="G4462">
        <v>1</v>
      </c>
    </row>
    <row r="4463" spans="1:7" x14ac:dyDescent="0.25">
      <c r="A4463">
        <v>20</v>
      </c>
      <c r="B4463" t="s">
        <v>3996</v>
      </c>
      <c r="C4463">
        <v>8783342</v>
      </c>
      <c r="E4463" t="s">
        <v>8</v>
      </c>
      <c r="F4463" t="s">
        <v>4471</v>
      </c>
      <c r="G4463">
        <v>1</v>
      </c>
    </row>
    <row r="4464" spans="1:7" x14ac:dyDescent="0.25">
      <c r="A4464">
        <v>20</v>
      </c>
      <c r="B4464" t="s">
        <v>3996</v>
      </c>
      <c r="C4464">
        <v>33</v>
      </c>
      <c r="D4464" t="str">
        <f>"0948-4396"</f>
        <v>0948-4396</v>
      </c>
      <c r="E4464" t="s">
        <v>8</v>
      </c>
      <c r="F4464" t="s">
        <v>4472</v>
      </c>
      <c r="G4464">
        <v>1</v>
      </c>
    </row>
    <row r="4465" spans="1:7" x14ac:dyDescent="0.25">
      <c r="A4465">
        <v>21</v>
      </c>
      <c r="B4465" t="s">
        <v>4473</v>
      </c>
      <c r="C4465">
        <v>4885</v>
      </c>
      <c r="D4465" t="str">
        <f>"0001-6993"</f>
        <v>0001-6993</v>
      </c>
      <c r="E4465" t="s">
        <v>8</v>
      </c>
      <c r="F4465" t="s">
        <v>4474</v>
      </c>
      <c r="G4465">
        <v>2</v>
      </c>
    </row>
    <row r="4466" spans="1:7" x14ac:dyDescent="0.25">
      <c r="A4466">
        <v>21</v>
      </c>
      <c r="B4466" t="s">
        <v>4473</v>
      </c>
      <c r="C4466">
        <v>6565</v>
      </c>
      <c r="D4466" t="str">
        <f>"0335-5322"</f>
        <v>0335-5322</v>
      </c>
      <c r="E4466" t="s">
        <v>8</v>
      </c>
      <c r="F4466" t="s">
        <v>4475</v>
      </c>
      <c r="G4466">
        <v>2</v>
      </c>
    </row>
    <row r="4467" spans="1:7" x14ac:dyDescent="0.25">
      <c r="A4467">
        <v>21</v>
      </c>
      <c r="B4467" t="s">
        <v>4473</v>
      </c>
      <c r="C4467">
        <v>14291</v>
      </c>
      <c r="D4467" t="str">
        <f>"0002-9602"</f>
        <v>0002-9602</v>
      </c>
      <c r="E4467" t="s">
        <v>8</v>
      </c>
      <c r="F4467" t="s">
        <v>4476</v>
      </c>
      <c r="G4467">
        <v>2</v>
      </c>
    </row>
    <row r="4468" spans="1:7" x14ac:dyDescent="0.25">
      <c r="A4468">
        <v>21</v>
      </c>
      <c r="B4468" t="s">
        <v>4473</v>
      </c>
      <c r="C4468">
        <v>476</v>
      </c>
      <c r="D4468" t="str">
        <f>"0003-1224"</f>
        <v>0003-1224</v>
      </c>
      <c r="E4468" t="s">
        <v>8</v>
      </c>
      <c r="F4468" t="s">
        <v>4477</v>
      </c>
      <c r="G4468">
        <v>2</v>
      </c>
    </row>
    <row r="4469" spans="1:7" x14ac:dyDescent="0.25">
      <c r="A4469">
        <v>21</v>
      </c>
      <c r="B4469" t="s">
        <v>4473</v>
      </c>
      <c r="C4469">
        <v>11483</v>
      </c>
      <c r="D4469" t="str">
        <f>"0360-0572"</f>
        <v>0360-0572</v>
      </c>
      <c r="E4469" t="s">
        <v>8</v>
      </c>
      <c r="F4469" t="s">
        <v>4478</v>
      </c>
      <c r="G4469">
        <v>2</v>
      </c>
    </row>
    <row r="4470" spans="1:7" x14ac:dyDescent="0.25">
      <c r="A4470">
        <v>21</v>
      </c>
      <c r="B4470" t="s">
        <v>4473</v>
      </c>
      <c r="C4470">
        <v>10915</v>
      </c>
      <c r="D4470" t="str">
        <f>"0007-1315"</f>
        <v>0007-1315</v>
      </c>
      <c r="E4470" t="s">
        <v>8</v>
      </c>
      <c r="F4470" t="s">
        <v>4479</v>
      </c>
      <c r="G4470">
        <v>2</v>
      </c>
    </row>
    <row r="4471" spans="1:7" x14ac:dyDescent="0.25">
      <c r="A4471">
        <v>21</v>
      </c>
      <c r="B4471" t="s">
        <v>4473</v>
      </c>
      <c r="C4471">
        <v>1844</v>
      </c>
      <c r="D4471" t="str">
        <f>"0907-5682"</f>
        <v>0907-5682</v>
      </c>
      <c r="E4471" t="s">
        <v>8</v>
      </c>
      <c r="F4471" t="s">
        <v>4480</v>
      </c>
      <c r="G4471">
        <v>2</v>
      </c>
    </row>
    <row r="4472" spans="1:7" x14ac:dyDescent="0.25">
      <c r="A4472">
        <v>21</v>
      </c>
      <c r="B4472" t="s">
        <v>4473</v>
      </c>
      <c r="C4472">
        <v>13367</v>
      </c>
      <c r="D4472" t="str">
        <f>"0011-1384"</f>
        <v>0011-1384</v>
      </c>
      <c r="E4472" t="s">
        <v>8</v>
      </c>
      <c r="F4472" t="s">
        <v>4481</v>
      </c>
      <c r="G4472">
        <v>2</v>
      </c>
    </row>
    <row r="4473" spans="1:7" x14ac:dyDescent="0.25">
      <c r="A4473">
        <v>21</v>
      </c>
      <c r="B4473" t="s">
        <v>4473</v>
      </c>
      <c r="C4473">
        <v>2930</v>
      </c>
      <c r="D4473" t="str">
        <f>"0261-0183"</f>
        <v>0261-0183</v>
      </c>
      <c r="E4473" t="s">
        <v>8</v>
      </c>
      <c r="F4473" t="s">
        <v>4482</v>
      </c>
      <c r="G4473">
        <v>2</v>
      </c>
    </row>
    <row r="4474" spans="1:7" x14ac:dyDescent="0.25">
      <c r="A4474">
        <v>21</v>
      </c>
      <c r="B4474" t="s">
        <v>4473</v>
      </c>
      <c r="C4474">
        <v>22100</v>
      </c>
      <c r="D4474" t="str">
        <f>"1749-9755"</f>
        <v>1749-9755</v>
      </c>
      <c r="E4474" t="s">
        <v>8</v>
      </c>
      <c r="F4474" t="s">
        <v>4483</v>
      </c>
      <c r="G4474">
        <v>2</v>
      </c>
    </row>
    <row r="4475" spans="1:7" x14ac:dyDescent="0.25">
      <c r="A4475">
        <v>21</v>
      </c>
      <c r="B4475" t="s">
        <v>4473</v>
      </c>
      <c r="C4475">
        <v>2271</v>
      </c>
      <c r="D4475" t="str">
        <f>"0011-3921"</f>
        <v>0011-3921</v>
      </c>
      <c r="E4475" t="s">
        <v>8</v>
      </c>
      <c r="F4475" t="s">
        <v>4484</v>
      </c>
      <c r="G4475">
        <v>2</v>
      </c>
    </row>
    <row r="4476" spans="1:7" x14ac:dyDescent="0.25">
      <c r="A4476">
        <v>21</v>
      </c>
      <c r="B4476" t="s">
        <v>4473</v>
      </c>
      <c r="C4476">
        <v>3143</v>
      </c>
      <c r="D4476" t="str">
        <f>"1600-910X"</f>
        <v>1600-910X</v>
      </c>
      <c r="E4476" t="s">
        <v>8</v>
      </c>
      <c r="F4476" t="s">
        <v>4485</v>
      </c>
      <c r="G4476">
        <v>2</v>
      </c>
    </row>
    <row r="4477" spans="1:7" x14ac:dyDescent="0.25">
      <c r="A4477">
        <v>21</v>
      </c>
      <c r="B4477" t="s">
        <v>4473</v>
      </c>
      <c r="C4477">
        <v>12804</v>
      </c>
      <c r="D4477" t="str">
        <f>"1368-4310"</f>
        <v>1368-4310</v>
      </c>
      <c r="E4477" t="s">
        <v>8</v>
      </c>
      <c r="F4477" t="s">
        <v>4486</v>
      </c>
      <c r="G4477">
        <v>2</v>
      </c>
    </row>
    <row r="4478" spans="1:7" x14ac:dyDescent="0.25">
      <c r="A4478">
        <v>21</v>
      </c>
      <c r="B4478" t="s">
        <v>4473</v>
      </c>
      <c r="C4478">
        <v>11757</v>
      </c>
      <c r="D4478" t="str">
        <f>"1369-1457"</f>
        <v>1369-1457</v>
      </c>
      <c r="E4478" t="s">
        <v>8</v>
      </c>
      <c r="F4478" t="s">
        <v>4487</v>
      </c>
      <c r="G4478">
        <v>2</v>
      </c>
    </row>
    <row r="4479" spans="1:7" x14ac:dyDescent="0.25">
      <c r="A4479">
        <v>21</v>
      </c>
      <c r="B4479" t="s">
        <v>4473</v>
      </c>
      <c r="C4479">
        <v>3892</v>
      </c>
      <c r="D4479" t="str">
        <f>"0003-9756"</f>
        <v>0003-9756</v>
      </c>
      <c r="E4479" t="s">
        <v>8</v>
      </c>
      <c r="F4479" t="s">
        <v>4488</v>
      </c>
      <c r="G4479">
        <v>2</v>
      </c>
    </row>
    <row r="4480" spans="1:7" x14ac:dyDescent="0.25">
      <c r="A4480">
        <v>21</v>
      </c>
      <c r="B4480" t="s">
        <v>4473</v>
      </c>
      <c r="C4480">
        <v>13409</v>
      </c>
      <c r="D4480" t="str">
        <f>"1461-6696"</f>
        <v>1461-6696</v>
      </c>
      <c r="E4480" t="s">
        <v>8</v>
      </c>
      <c r="F4480" t="s">
        <v>4489</v>
      </c>
      <c r="G4480">
        <v>2</v>
      </c>
    </row>
    <row r="4481" spans="1:7" x14ac:dyDescent="0.25">
      <c r="A4481">
        <v>21</v>
      </c>
      <c r="B4481" t="s">
        <v>4473</v>
      </c>
      <c r="C4481">
        <v>11144</v>
      </c>
      <c r="D4481" t="str">
        <f>"0266-7215"</f>
        <v>0266-7215</v>
      </c>
      <c r="E4481" t="s">
        <v>8</v>
      </c>
      <c r="F4481" t="s">
        <v>4490</v>
      </c>
      <c r="G4481">
        <v>2</v>
      </c>
    </row>
    <row r="4482" spans="1:7" x14ac:dyDescent="0.25">
      <c r="A4482">
        <v>21</v>
      </c>
      <c r="B4482" t="s">
        <v>4473</v>
      </c>
      <c r="C4482">
        <v>8442</v>
      </c>
      <c r="D4482" t="str">
        <f>"1369-8575"</f>
        <v>1369-8575</v>
      </c>
      <c r="E4482" t="s">
        <v>8</v>
      </c>
      <c r="F4482" t="s">
        <v>4491</v>
      </c>
      <c r="G4482">
        <v>2</v>
      </c>
    </row>
    <row r="4483" spans="1:7" x14ac:dyDescent="0.25">
      <c r="A4483">
        <v>21</v>
      </c>
      <c r="B4483" t="s">
        <v>4473</v>
      </c>
      <c r="C4483">
        <v>8525</v>
      </c>
      <c r="D4483" t="str">
        <f>"0267-3037"</f>
        <v>0267-3037</v>
      </c>
      <c r="E4483" t="s">
        <v>8</v>
      </c>
      <c r="F4483" t="s">
        <v>4492</v>
      </c>
      <c r="G4483">
        <v>2</v>
      </c>
    </row>
    <row r="4484" spans="1:7" x14ac:dyDescent="0.25">
      <c r="A4484">
        <v>21</v>
      </c>
      <c r="B4484" t="s">
        <v>4473</v>
      </c>
      <c r="C4484">
        <v>5004</v>
      </c>
      <c r="D4484" t="str">
        <f>"1369-6866"</f>
        <v>1369-6866</v>
      </c>
      <c r="E4484" t="s">
        <v>8</v>
      </c>
      <c r="F4484" t="s">
        <v>4493</v>
      </c>
      <c r="G4484">
        <v>2</v>
      </c>
    </row>
    <row r="4485" spans="1:7" x14ac:dyDescent="0.25">
      <c r="A4485">
        <v>21</v>
      </c>
      <c r="B4485" t="s">
        <v>4473</v>
      </c>
      <c r="C4485">
        <v>9168</v>
      </c>
      <c r="D4485" t="str">
        <f>"0020-8728"</f>
        <v>0020-8728</v>
      </c>
      <c r="E4485" t="s">
        <v>8</v>
      </c>
      <c r="F4485" t="s">
        <v>4494</v>
      </c>
      <c r="G4485">
        <v>2</v>
      </c>
    </row>
    <row r="4486" spans="1:7" x14ac:dyDescent="0.25">
      <c r="A4486">
        <v>21</v>
      </c>
      <c r="B4486" t="s">
        <v>4473</v>
      </c>
      <c r="C4486">
        <v>10535</v>
      </c>
      <c r="D4486" t="str">
        <f>"0268-5809"</f>
        <v>0268-5809</v>
      </c>
      <c r="E4486" t="s">
        <v>8</v>
      </c>
      <c r="F4486" t="s">
        <v>4495</v>
      </c>
      <c r="G4486">
        <v>2</v>
      </c>
    </row>
    <row r="4487" spans="1:7" x14ac:dyDescent="0.25">
      <c r="A4487">
        <v>21</v>
      </c>
      <c r="B4487" t="s">
        <v>4473</v>
      </c>
      <c r="C4487">
        <v>6975</v>
      </c>
      <c r="D4487" t="str">
        <f>"1468-795X"</f>
        <v>1468-795X</v>
      </c>
      <c r="E4487" t="s">
        <v>8</v>
      </c>
      <c r="F4487" t="s">
        <v>4496</v>
      </c>
      <c r="G4487">
        <v>2</v>
      </c>
    </row>
    <row r="4488" spans="1:7" x14ac:dyDescent="0.25">
      <c r="A4488">
        <v>21</v>
      </c>
      <c r="B4488" t="s">
        <v>4473</v>
      </c>
      <c r="C4488">
        <v>7974</v>
      </c>
      <c r="D4488" t="str">
        <f>"0047-2352"</f>
        <v>0047-2352</v>
      </c>
      <c r="E4488" t="s">
        <v>8</v>
      </c>
      <c r="F4488" t="s">
        <v>4497</v>
      </c>
      <c r="G4488">
        <v>2</v>
      </c>
    </row>
    <row r="4489" spans="1:7" x14ac:dyDescent="0.25">
      <c r="A4489">
        <v>21</v>
      </c>
      <c r="B4489" t="s">
        <v>4473</v>
      </c>
      <c r="C4489">
        <v>12668</v>
      </c>
      <c r="D4489" t="str">
        <f>"0192-513X"</f>
        <v>0192-513X</v>
      </c>
      <c r="E4489" t="s">
        <v>8</v>
      </c>
      <c r="F4489" t="s">
        <v>4498</v>
      </c>
      <c r="G4489">
        <v>2</v>
      </c>
    </row>
    <row r="4490" spans="1:7" x14ac:dyDescent="0.25">
      <c r="A4490">
        <v>21</v>
      </c>
      <c r="B4490" t="s">
        <v>4473</v>
      </c>
      <c r="C4490">
        <v>14767</v>
      </c>
      <c r="D4490" t="str">
        <f>"0022-1465"</f>
        <v>0022-1465</v>
      </c>
      <c r="E4490" t="s">
        <v>8</v>
      </c>
      <c r="F4490" t="s">
        <v>4499</v>
      </c>
      <c r="G4490">
        <v>2</v>
      </c>
    </row>
    <row r="4491" spans="1:7" x14ac:dyDescent="0.25">
      <c r="A4491">
        <v>21</v>
      </c>
      <c r="B4491" t="s">
        <v>4473</v>
      </c>
      <c r="C4491">
        <v>10054</v>
      </c>
      <c r="D4491" t="str">
        <f>"0952-1909"</f>
        <v>0952-1909</v>
      </c>
      <c r="E4491" t="s">
        <v>8</v>
      </c>
      <c r="F4491" t="s">
        <v>4500</v>
      </c>
      <c r="G4491">
        <v>2</v>
      </c>
    </row>
    <row r="4492" spans="1:7" x14ac:dyDescent="0.25">
      <c r="A4492">
        <v>21</v>
      </c>
      <c r="B4492" t="s">
        <v>4473</v>
      </c>
      <c r="C4492">
        <v>5845</v>
      </c>
      <c r="D4492" t="str">
        <f>"0022-2445"</f>
        <v>0022-2445</v>
      </c>
      <c r="E4492" t="s">
        <v>8</v>
      </c>
      <c r="F4492" t="s">
        <v>4501</v>
      </c>
      <c r="G4492">
        <v>2</v>
      </c>
    </row>
    <row r="4493" spans="1:7" x14ac:dyDescent="0.25">
      <c r="A4493">
        <v>21</v>
      </c>
      <c r="B4493" t="s">
        <v>4473</v>
      </c>
      <c r="C4493">
        <v>180060</v>
      </c>
      <c r="D4493" t="str">
        <f>"2051-8803"</f>
        <v>2051-8803</v>
      </c>
      <c r="E4493" t="s">
        <v>8</v>
      </c>
      <c r="F4493" t="s">
        <v>4502</v>
      </c>
      <c r="G4493">
        <v>2</v>
      </c>
    </row>
    <row r="4494" spans="1:7" x14ac:dyDescent="0.25">
      <c r="A4494">
        <v>21</v>
      </c>
      <c r="B4494" t="s">
        <v>4473</v>
      </c>
      <c r="C4494">
        <v>16983</v>
      </c>
      <c r="D4494" t="str">
        <f>"0748-4518"</f>
        <v>0748-4518</v>
      </c>
      <c r="E4494" t="s">
        <v>8</v>
      </c>
      <c r="F4494" t="s">
        <v>4503</v>
      </c>
      <c r="G4494">
        <v>2</v>
      </c>
    </row>
    <row r="4495" spans="1:7" x14ac:dyDescent="0.25">
      <c r="A4495">
        <v>21</v>
      </c>
      <c r="B4495" t="s">
        <v>4473</v>
      </c>
      <c r="C4495">
        <v>10754</v>
      </c>
      <c r="D4495" t="str">
        <f>"0022-4278"</f>
        <v>0022-4278</v>
      </c>
      <c r="E4495" t="s">
        <v>8</v>
      </c>
      <c r="F4495" t="s">
        <v>4504</v>
      </c>
      <c r="G4495">
        <v>2</v>
      </c>
    </row>
    <row r="4496" spans="1:7" x14ac:dyDescent="0.25">
      <c r="A4496">
        <v>21</v>
      </c>
      <c r="B4496" t="s">
        <v>4473</v>
      </c>
      <c r="C4496">
        <v>13690</v>
      </c>
      <c r="D4496" t="str">
        <f>"0022-4537"</f>
        <v>0022-4537</v>
      </c>
      <c r="E4496" t="s">
        <v>8</v>
      </c>
      <c r="F4496" t="s">
        <v>4505</v>
      </c>
      <c r="G4496">
        <v>2</v>
      </c>
    </row>
    <row r="4497" spans="1:7" x14ac:dyDescent="0.25">
      <c r="A4497">
        <v>21</v>
      </c>
      <c r="B4497" t="s">
        <v>4473</v>
      </c>
      <c r="C4497">
        <v>8788</v>
      </c>
      <c r="D4497" t="str">
        <f>"1367-6261"</f>
        <v>1367-6261</v>
      </c>
      <c r="E4497" t="s">
        <v>8</v>
      </c>
      <c r="F4497" t="s">
        <v>4506</v>
      </c>
      <c r="G4497">
        <v>2</v>
      </c>
    </row>
    <row r="4498" spans="1:7" x14ac:dyDescent="0.25">
      <c r="A4498">
        <v>21</v>
      </c>
      <c r="B4498" t="s">
        <v>4473</v>
      </c>
      <c r="C4498">
        <v>12065</v>
      </c>
      <c r="D4498" t="str">
        <f>"0741-8825"</f>
        <v>0741-8825</v>
      </c>
      <c r="E4498" t="s">
        <v>8</v>
      </c>
      <c r="F4498" t="s">
        <v>4507</v>
      </c>
      <c r="G4498">
        <v>2</v>
      </c>
    </row>
    <row r="4499" spans="1:7" x14ac:dyDescent="0.25">
      <c r="A4499">
        <v>21</v>
      </c>
      <c r="B4499" t="s">
        <v>4473</v>
      </c>
      <c r="C4499">
        <v>7665</v>
      </c>
      <c r="D4499" t="str">
        <f>"0023-2653"</f>
        <v>0023-2653</v>
      </c>
      <c r="E4499" t="s">
        <v>8</v>
      </c>
      <c r="F4499" t="s">
        <v>4508</v>
      </c>
      <c r="G4499">
        <v>2</v>
      </c>
    </row>
    <row r="4500" spans="1:7" x14ac:dyDescent="0.25">
      <c r="A4500">
        <v>21</v>
      </c>
      <c r="B4500" t="s">
        <v>4473</v>
      </c>
      <c r="C4500">
        <v>153597</v>
      </c>
      <c r="E4500" t="s">
        <v>15</v>
      </c>
      <c r="F4500" t="s">
        <v>4509</v>
      </c>
      <c r="G4500">
        <v>2</v>
      </c>
    </row>
    <row r="4501" spans="1:7" x14ac:dyDescent="0.25">
      <c r="A4501">
        <v>21</v>
      </c>
      <c r="B4501" t="s">
        <v>4473</v>
      </c>
      <c r="C4501">
        <v>13262</v>
      </c>
      <c r="D4501" t="str">
        <f>"1077-8004"</f>
        <v>1077-8004</v>
      </c>
      <c r="E4501" t="s">
        <v>8</v>
      </c>
      <c r="F4501" t="s">
        <v>4510</v>
      </c>
      <c r="G4501">
        <v>2</v>
      </c>
    </row>
    <row r="4502" spans="1:7" x14ac:dyDescent="0.25">
      <c r="A4502">
        <v>21</v>
      </c>
      <c r="B4502" t="s">
        <v>4473</v>
      </c>
      <c r="C4502">
        <v>9956</v>
      </c>
      <c r="D4502" t="str">
        <f>"1468-7941"</f>
        <v>1468-7941</v>
      </c>
      <c r="E4502" t="s">
        <v>8</v>
      </c>
      <c r="F4502" t="s">
        <v>4511</v>
      </c>
      <c r="G4502">
        <v>2</v>
      </c>
    </row>
    <row r="4503" spans="1:7" x14ac:dyDescent="0.25">
      <c r="A4503">
        <v>21</v>
      </c>
      <c r="B4503" t="s">
        <v>4473</v>
      </c>
      <c r="C4503">
        <v>7852</v>
      </c>
      <c r="D4503" t="str">
        <f>"1043-4631"</f>
        <v>1043-4631</v>
      </c>
      <c r="E4503" t="s">
        <v>8</v>
      </c>
      <c r="F4503" t="s">
        <v>4512</v>
      </c>
      <c r="G4503">
        <v>2</v>
      </c>
    </row>
    <row r="4504" spans="1:7" x14ac:dyDescent="0.25">
      <c r="A4504">
        <v>21</v>
      </c>
      <c r="B4504" t="s">
        <v>4473</v>
      </c>
      <c r="C4504">
        <v>6061</v>
      </c>
      <c r="D4504" t="str">
        <f>"0276-5624"</f>
        <v>0276-5624</v>
      </c>
      <c r="E4504" t="s">
        <v>8</v>
      </c>
      <c r="F4504" t="s">
        <v>4513</v>
      </c>
      <c r="G4504">
        <v>2</v>
      </c>
    </row>
    <row r="4505" spans="1:7" x14ac:dyDescent="0.25">
      <c r="A4505">
        <v>21</v>
      </c>
      <c r="B4505" t="s">
        <v>4473</v>
      </c>
      <c r="C4505">
        <v>13774</v>
      </c>
      <c r="D4505" t="str">
        <f>"0035-2969"</f>
        <v>0035-2969</v>
      </c>
      <c r="E4505" t="s">
        <v>8</v>
      </c>
      <c r="F4505" t="s">
        <v>4514</v>
      </c>
      <c r="G4505">
        <v>2</v>
      </c>
    </row>
    <row r="4506" spans="1:7" x14ac:dyDescent="0.25">
      <c r="A4506">
        <v>21</v>
      </c>
      <c r="B4506" t="s">
        <v>4473</v>
      </c>
      <c r="C4506">
        <v>9715</v>
      </c>
      <c r="D4506" t="str">
        <f>"0036-0112"</f>
        <v>0036-0112</v>
      </c>
      <c r="E4506" t="s">
        <v>8</v>
      </c>
      <c r="F4506" t="s">
        <v>4515</v>
      </c>
      <c r="G4506">
        <v>2</v>
      </c>
    </row>
    <row r="4507" spans="1:7" x14ac:dyDescent="0.25">
      <c r="A4507">
        <v>21</v>
      </c>
      <c r="B4507" t="s">
        <v>4473</v>
      </c>
      <c r="C4507">
        <v>9062</v>
      </c>
      <c r="D4507" t="str">
        <f>"0037-7732"</f>
        <v>0037-7732</v>
      </c>
      <c r="E4507" t="s">
        <v>8</v>
      </c>
      <c r="F4507" t="s">
        <v>4516</v>
      </c>
      <c r="G4507">
        <v>2</v>
      </c>
    </row>
    <row r="4508" spans="1:7" x14ac:dyDescent="0.25">
      <c r="A4508">
        <v>21</v>
      </c>
      <c r="B4508" t="s">
        <v>4473</v>
      </c>
      <c r="C4508">
        <v>4388</v>
      </c>
      <c r="D4508" t="str">
        <f>"0303-8300"</f>
        <v>0303-8300</v>
      </c>
      <c r="E4508" t="s">
        <v>8</v>
      </c>
      <c r="F4508" t="s">
        <v>4517</v>
      </c>
      <c r="G4508">
        <v>2</v>
      </c>
    </row>
    <row r="4509" spans="1:7" x14ac:dyDescent="0.25">
      <c r="A4509">
        <v>21</v>
      </c>
      <c r="B4509" t="s">
        <v>4473</v>
      </c>
      <c r="C4509">
        <v>1312</v>
      </c>
      <c r="D4509" t="str">
        <f>"0378-8733"</f>
        <v>0378-8733</v>
      </c>
      <c r="E4509" t="s">
        <v>8</v>
      </c>
      <c r="F4509" t="s">
        <v>4518</v>
      </c>
      <c r="G4509">
        <v>2</v>
      </c>
    </row>
    <row r="4510" spans="1:7" x14ac:dyDescent="0.25">
      <c r="A4510">
        <v>21</v>
      </c>
      <c r="B4510" t="s">
        <v>4473</v>
      </c>
      <c r="C4510">
        <v>6264</v>
      </c>
      <c r="D4510" t="str">
        <f>"0037-7791"</f>
        <v>0037-7791</v>
      </c>
      <c r="E4510" t="s">
        <v>8</v>
      </c>
      <c r="F4510" t="s">
        <v>4519</v>
      </c>
      <c r="G4510">
        <v>2</v>
      </c>
    </row>
    <row r="4511" spans="1:7" x14ac:dyDescent="0.25">
      <c r="A4511">
        <v>21</v>
      </c>
      <c r="B4511" t="s">
        <v>4473</v>
      </c>
      <c r="C4511">
        <v>1385</v>
      </c>
      <c r="D4511" t="str">
        <f>"0049-089X"</f>
        <v>0049-089X</v>
      </c>
      <c r="E4511" t="s">
        <v>8</v>
      </c>
      <c r="F4511" t="s">
        <v>4520</v>
      </c>
      <c r="G4511">
        <v>2</v>
      </c>
    </row>
    <row r="4512" spans="1:7" x14ac:dyDescent="0.25">
      <c r="A4512">
        <v>21</v>
      </c>
      <c r="B4512" t="s">
        <v>4473</v>
      </c>
      <c r="C4512">
        <v>559</v>
      </c>
      <c r="D4512" t="str">
        <f>"0037-7961"</f>
        <v>0037-7961</v>
      </c>
      <c r="E4512" t="s">
        <v>8</v>
      </c>
      <c r="F4512" t="s">
        <v>4521</v>
      </c>
      <c r="G4512">
        <v>2</v>
      </c>
    </row>
    <row r="4513" spans="1:7" x14ac:dyDescent="0.25">
      <c r="A4513">
        <v>21</v>
      </c>
      <c r="B4513" t="s">
        <v>4473</v>
      </c>
      <c r="C4513">
        <v>16956</v>
      </c>
      <c r="D4513" t="str">
        <f>"0037-8046"</f>
        <v>0037-8046</v>
      </c>
      <c r="E4513" t="s">
        <v>8</v>
      </c>
      <c r="F4513" t="s">
        <v>4522</v>
      </c>
      <c r="G4513">
        <v>2</v>
      </c>
    </row>
    <row r="4514" spans="1:7" x14ac:dyDescent="0.25">
      <c r="A4514">
        <v>21</v>
      </c>
      <c r="B4514" t="s">
        <v>4473</v>
      </c>
      <c r="C4514">
        <v>4166</v>
      </c>
      <c r="D4514" t="str">
        <f>"1070-5309"</f>
        <v>1070-5309</v>
      </c>
      <c r="E4514" t="s">
        <v>8</v>
      </c>
      <c r="F4514" t="s">
        <v>4523</v>
      </c>
      <c r="G4514">
        <v>2</v>
      </c>
    </row>
    <row r="4515" spans="1:7" x14ac:dyDescent="0.25">
      <c r="A4515">
        <v>21</v>
      </c>
      <c r="B4515" t="s">
        <v>4473</v>
      </c>
      <c r="C4515">
        <v>16986</v>
      </c>
      <c r="D4515" t="str">
        <f>"0081-1750"</f>
        <v>0081-1750</v>
      </c>
      <c r="E4515" t="s">
        <v>8</v>
      </c>
      <c r="F4515" t="s">
        <v>4524</v>
      </c>
      <c r="G4515">
        <v>2</v>
      </c>
    </row>
    <row r="4516" spans="1:7" x14ac:dyDescent="0.25">
      <c r="A4516">
        <v>21</v>
      </c>
      <c r="B4516" t="s">
        <v>4473</v>
      </c>
      <c r="C4516">
        <v>5115</v>
      </c>
      <c r="D4516" t="str">
        <f>"0049-1241"</f>
        <v>0049-1241</v>
      </c>
      <c r="E4516" t="s">
        <v>8</v>
      </c>
      <c r="F4516" t="s">
        <v>4525</v>
      </c>
      <c r="G4516">
        <v>2</v>
      </c>
    </row>
    <row r="4517" spans="1:7" x14ac:dyDescent="0.25">
      <c r="A4517">
        <v>21</v>
      </c>
      <c r="B4517" t="s">
        <v>4473</v>
      </c>
      <c r="C4517">
        <v>5924</v>
      </c>
      <c r="D4517" t="str">
        <f>"0735-2751"</f>
        <v>0735-2751</v>
      </c>
      <c r="E4517" t="s">
        <v>8</v>
      </c>
      <c r="F4517" t="s">
        <v>4526</v>
      </c>
      <c r="G4517">
        <v>2</v>
      </c>
    </row>
    <row r="4518" spans="1:7" x14ac:dyDescent="0.25">
      <c r="A4518">
        <v>21</v>
      </c>
      <c r="B4518" t="s">
        <v>4473</v>
      </c>
      <c r="C4518">
        <v>14672</v>
      </c>
      <c r="D4518" t="str">
        <f>"0038-0385"</f>
        <v>0038-0385</v>
      </c>
      <c r="E4518" t="s">
        <v>8</v>
      </c>
      <c r="F4518" t="s">
        <v>4527</v>
      </c>
      <c r="G4518">
        <v>2</v>
      </c>
    </row>
    <row r="4519" spans="1:7" x14ac:dyDescent="0.25">
      <c r="A4519">
        <v>21</v>
      </c>
      <c r="B4519" t="s">
        <v>4473</v>
      </c>
      <c r="C4519">
        <v>9310</v>
      </c>
      <c r="D4519" t="str">
        <f>"0141-9889"</f>
        <v>0141-9889</v>
      </c>
      <c r="E4519" t="s">
        <v>8</v>
      </c>
      <c r="F4519" t="s">
        <v>4528</v>
      </c>
      <c r="G4519">
        <v>2</v>
      </c>
    </row>
    <row r="4520" spans="1:7" x14ac:dyDescent="0.25">
      <c r="A4520">
        <v>21</v>
      </c>
      <c r="B4520" t="s">
        <v>4473</v>
      </c>
      <c r="C4520">
        <v>4797</v>
      </c>
      <c r="D4520" t="str">
        <f>"0195-6086"</f>
        <v>0195-6086</v>
      </c>
      <c r="E4520" t="s">
        <v>8</v>
      </c>
      <c r="F4520" t="s">
        <v>4529</v>
      </c>
      <c r="G4520">
        <v>2</v>
      </c>
    </row>
    <row r="4521" spans="1:7" x14ac:dyDescent="0.25">
      <c r="A4521">
        <v>21</v>
      </c>
      <c r="B4521" t="s">
        <v>4473</v>
      </c>
      <c r="C4521">
        <v>1607</v>
      </c>
      <c r="D4521" t="str">
        <f>"0045-3102"</f>
        <v>0045-3102</v>
      </c>
      <c r="E4521" t="s">
        <v>8</v>
      </c>
      <c r="F4521" t="s">
        <v>4530</v>
      </c>
      <c r="G4521">
        <v>2</v>
      </c>
    </row>
    <row r="4522" spans="1:7" x14ac:dyDescent="0.25">
      <c r="A4522">
        <v>21</v>
      </c>
      <c r="B4522" t="s">
        <v>4473</v>
      </c>
      <c r="C4522">
        <v>9905</v>
      </c>
      <c r="D4522" t="str">
        <f>"0038-0261"</f>
        <v>0038-0261</v>
      </c>
      <c r="E4522" t="s">
        <v>8</v>
      </c>
      <c r="F4522" t="s">
        <v>4531</v>
      </c>
      <c r="G4522">
        <v>2</v>
      </c>
    </row>
    <row r="4523" spans="1:7" x14ac:dyDescent="0.25">
      <c r="A4523">
        <v>21</v>
      </c>
      <c r="B4523" t="s">
        <v>4473</v>
      </c>
      <c r="C4523">
        <v>7538</v>
      </c>
      <c r="D4523" t="str">
        <f>"0304-2421"</f>
        <v>0304-2421</v>
      </c>
      <c r="E4523" t="s">
        <v>8</v>
      </c>
      <c r="F4523" t="s">
        <v>4532</v>
      </c>
      <c r="G4523">
        <v>2</v>
      </c>
    </row>
    <row r="4524" spans="1:7" x14ac:dyDescent="0.25">
      <c r="A4524">
        <v>21</v>
      </c>
      <c r="B4524" t="s">
        <v>4473</v>
      </c>
      <c r="C4524">
        <v>8294</v>
      </c>
      <c r="D4524" t="str">
        <f>"0263-2764"</f>
        <v>0263-2764</v>
      </c>
      <c r="E4524" t="s">
        <v>8</v>
      </c>
      <c r="F4524" t="s">
        <v>4533</v>
      </c>
      <c r="G4524">
        <v>2</v>
      </c>
    </row>
    <row r="4525" spans="1:7" x14ac:dyDescent="0.25">
      <c r="A4525">
        <v>21</v>
      </c>
      <c r="B4525" t="s">
        <v>4473</v>
      </c>
      <c r="C4525">
        <v>5442</v>
      </c>
      <c r="D4525" t="str">
        <f>"0725-5136"</f>
        <v>0725-5136</v>
      </c>
      <c r="E4525" t="s">
        <v>8</v>
      </c>
      <c r="F4525" t="s">
        <v>4534</v>
      </c>
      <c r="G4525">
        <v>2</v>
      </c>
    </row>
    <row r="4526" spans="1:7" x14ac:dyDescent="0.25">
      <c r="A4526">
        <v>21</v>
      </c>
      <c r="B4526" t="s">
        <v>4473</v>
      </c>
      <c r="C4526">
        <v>8502</v>
      </c>
      <c r="D4526" t="str">
        <f>"0961-463X"</f>
        <v>0961-463X</v>
      </c>
      <c r="E4526" t="s">
        <v>8</v>
      </c>
      <c r="F4526" t="s">
        <v>4535</v>
      </c>
      <c r="G4526">
        <v>2</v>
      </c>
    </row>
    <row r="4527" spans="1:7" x14ac:dyDescent="0.25">
      <c r="A4527">
        <v>21</v>
      </c>
      <c r="B4527" t="s">
        <v>4473</v>
      </c>
      <c r="C4527">
        <v>6777</v>
      </c>
      <c r="D4527" t="str">
        <f>"0730-8884"</f>
        <v>0730-8884</v>
      </c>
      <c r="E4527" t="s">
        <v>8</v>
      </c>
      <c r="F4527" t="s">
        <v>4536</v>
      </c>
      <c r="G4527">
        <v>2</v>
      </c>
    </row>
    <row r="4528" spans="1:7" x14ac:dyDescent="0.25">
      <c r="A4528">
        <v>21</v>
      </c>
      <c r="B4528" t="s">
        <v>4473</v>
      </c>
      <c r="C4528">
        <v>11797</v>
      </c>
      <c r="D4528" t="str">
        <f>"0950-0170"</f>
        <v>0950-0170</v>
      </c>
      <c r="E4528" t="s">
        <v>8</v>
      </c>
      <c r="F4528" t="s">
        <v>4537</v>
      </c>
      <c r="G4528">
        <v>2</v>
      </c>
    </row>
    <row r="4529" spans="1:7" x14ac:dyDescent="0.25">
      <c r="A4529">
        <v>21</v>
      </c>
      <c r="B4529" t="s">
        <v>4473</v>
      </c>
      <c r="C4529">
        <v>7966</v>
      </c>
      <c r="D4529" t="str">
        <f>"0044-118X"</f>
        <v>0044-118X</v>
      </c>
      <c r="E4529" t="s">
        <v>8</v>
      </c>
      <c r="F4529" t="s">
        <v>4538</v>
      </c>
      <c r="G4529">
        <v>2</v>
      </c>
    </row>
    <row r="4530" spans="1:7" x14ac:dyDescent="0.25">
      <c r="A4530">
        <v>21</v>
      </c>
      <c r="B4530" t="s">
        <v>4473</v>
      </c>
      <c r="C4530">
        <v>6615</v>
      </c>
      <c r="D4530" t="str">
        <f>"0340-1804"</f>
        <v>0340-1804</v>
      </c>
      <c r="E4530" t="s">
        <v>8</v>
      </c>
      <c r="F4530" t="s">
        <v>4539</v>
      </c>
      <c r="G4530">
        <v>2</v>
      </c>
    </row>
    <row r="4531" spans="1:7" x14ac:dyDescent="0.25">
      <c r="A4531">
        <v>21</v>
      </c>
      <c r="B4531" t="s">
        <v>4473</v>
      </c>
      <c r="C4531">
        <v>1846</v>
      </c>
      <c r="D4531" t="str">
        <f>"0898-9621"</f>
        <v>0898-9621</v>
      </c>
      <c r="E4531" t="s">
        <v>8</v>
      </c>
      <c r="F4531" t="s">
        <v>4540</v>
      </c>
      <c r="G4531">
        <v>1</v>
      </c>
    </row>
    <row r="4532" spans="1:7" x14ac:dyDescent="0.25">
      <c r="A4532">
        <v>21</v>
      </c>
      <c r="B4532" t="s">
        <v>4473</v>
      </c>
      <c r="C4532">
        <v>10151</v>
      </c>
      <c r="D4532" t="str">
        <f>"1606-6359"</f>
        <v>1606-6359</v>
      </c>
      <c r="E4532" t="s">
        <v>8</v>
      </c>
      <c r="F4532" t="s">
        <v>4541</v>
      </c>
      <c r="G4532">
        <v>1</v>
      </c>
    </row>
    <row r="4533" spans="1:7" x14ac:dyDescent="0.25">
      <c r="A4533">
        <v>21</v>
      </c>
      <c r="B4533" t="s">
        <v>4473</v>
      </c>
      <c r="C4533">
        <v>170109</v>
      </c>
      <c r="D4533" t="str">
        <f>"2165-4328"</f>
        <v>2165-4328</v>
      </c>
      <c r="E4533" t="s">
        <v>8</v>
      </c>
      <c r="F4533" t="s">
        <v>4542</v>
      </c>
      <c r="G4533">
        <v>1</v>
      </c>
    </row>
    <row r="4534" spans="1:7" x14ac:dyDescent="0.25">
      <c r="A4534">
        <v>21</v>
      </c>
      <c r="B4534" t="s">
        <v>4473</v>
      </c>
      <c r="C4534">
        <v>34407</v>
      </c>
      <c r="D4534" t="str">
        <f>" 1040-2608"</f>
        <v xml:space="preserve"> 1040-2608</v>
      </c>
      <c r="E4534" t="s">
        <v>8</v>
      </c>
      <c r="F4534" t="s">
        <v>4543</v>
      </c>
      <c r="G4534">
        <v>1</v>
      </c>
    </row>
    <row r="4535" spans="1:7" x14ac:dyDescent="0.25">
      <c r="A4535">
        <v>21</v>
      </c>
      <c r="B4535" t="s">
        <v>4473</v>
      </c>
      <c r="C4535">
        <v>24040</v>
      </c>
      <c r="D4535" t="str">
        <f>"1057-6290"</f>
        <v>1057-6290</v>
      </c>
      <c r="E4535" t="s">
        <v>15</v>
      </c>
      <c r="F4535" t="s">
        <v>4544</v>
      </c>
      <c r="G4535">
        <v>1</v>
      </c>
    </row>
    <row r="4536" spans="1:7" x14ac:dyDescent="0.25">
      <c r="A4536">
        <v>21</v>
      </c>
      <c r="B4536" t="s">
        <v>4473</v>
      </c>
      <c r="C4536">
        <v>115086</v>
      </c>
      <c r="D4536" t="str">
        <f>"1527-8565"</f>
        <v>1527-8565</v>
      </c>
      <c r="E4536" t="s">
        <v>8</v>
      </c>
      <c r="F4536" t="s">
        <v>4545</v>
      </c>
      <c r="G4536">
        <v>1</v>
      </c>
    </row>
    <row r="4537" spans="1:7" x14ac:dyDescent="0.25">
      <c r="A4537">
        <v>21</v>
      </c>
      <c r="B4537" t="s">
        <v>4473</v>
      </c>
      <c r="C4537">
        <v>9628</v>
      </c>
      <c r="D4537" t="str">
        <f>"1027-4332"</f>
        <v>1027-4332</v>
      </c>
      <c r="E4537" t="s">
        <v>8</v>
      </c>
      <c r="F4537" t="s">
        <v>4546</v>
      </c>
      <c r="G4537">
        <v>1</v>
      </c>
    </row>
    <row r="4538" spans="1:7" x14ac:dyDescent="0.25">
      <c r="A4538">
        <v>21</v>
      </c>
      <c r="B4538" t="s">
        <v>4473</v>
      </c>
      <c r="C4538">
        <v>8783514</v>
      </c>
      <c r="E4538" t="s">
        <v>15</v>
      </c>
      <c r="F4538" t="s">
        <v>4547</v>
      </c>
      <c r="G4538">
        <v>1</v>
      </c>
    </row>
    <row r="4539" spans="1:7" x14ac:dyDescent="0.25">
      <c r="A4539">
        <v>21</v>
      </c>
      <c r="B4539" t="s">
        <v>4473</v>
      </c>
      <c r="C4539">
        <v>5877</v>
      </c>
      <c r="D4539" t="str">
        <f>"0002-7642"</f>
        <v>0002-7642</v>
      </c>
      <c r="E4539" t="s">
        <v>8</v>
      </c>
      <c r="F4539" t="s">
        <v>4548</v>
      </c>
      <c r="G4539">
        <v>1</v>
      </c>
    </row>
    <row r="4540" spans="1:7" x14ac:dyDescent="0.25">
      <c r="A4540">
        <v>21</v>
      </c>
      <c r="B4540" t="s">
        <v>4473</v>
      </c>
      <c r="C4540">
        <v>7737618</v>
      </c>
      <c r="D4540" t="str">
        <f>"2049-7113"</f>
        <v>2049-7113</v>
      </c>
      <c r="E4540" t="s">
        <v>8</v>
      </c>
      <c r="F4540" t="s">
        <v>4549</v>
      </c>
      <c r="G4540">
        <v>1</v>
      </c>
    </row>
    <row r="4541" spans="1:7" x14ac:dyDescent="0.25">
      <c r="A4541">
        <v>21</v>
      </c>
      <c r="B4541" t="s">
        <v>4473</v>
      </c>
      <c r="C4541">
        <v>15477</v>
      </c>
      <c r="D4541" t="str">
        <f>"0002-9246"</f>
        <v>0002-9246</v>
      </c>
      <c r="E4541" t="s">
        <v>8</v>
      </c>
      <c r="F4541" t="s">
        <v>4550</v>
      </c>
      <c r="G4541">
        <v>1</v>
      </c>
    </row>
    <row r="4542" spans="1:7" x14ac:dyDescent="0.25">
      <c r="A4542">
        <v>21</v>
      </c>
      <c r="B4542" t="s">
        <v>4473</v>
      </c>
      <c r="C4542">
        <v>6156925</v>
      </c>
      <c r="D4542" t="str">
        <f>"1568-1548"</f>
        <v>1568-1548</v>
      </c>
      <c r="E4542" t="s">
        <v>15</v>
      </c>
      <c r="F4542" t="s">
        <v>4551</v>
      </c>
      <c r="G4542">
        <v>1</v>
      </c>
    </row>
    <row r="4543" spans="1:7" x14ac:dyDescent="0.25">
      <c r="A4543">
        <v>21</v>
      </c>
      <c r="B4543" t="s">
        <v>4473</v>
      </c>
      <c r="C4543">
        <v>8783515</v>
      </c>
      <c r="E4543" t="s">
        <v>15</v>
      </c>
      <c r="F4543" t="s">
        <v>4552</v>
      </c>
      <c r="G4543">
        <v>1</v>
      </c>
    </row>
    <row r="4544" spans="1:7" x14ac:dyDescent="0.25">
      <c r="A4544">
        <v>21</v>
      </c>
      <c r="B4544" t="s">
        <v>4473</v>
      </c>
      <c r="C4544">
        <v>8783329</v>
      </c>
      <c r="D4544" t="str">
        <f>"2596-5859"</f>
        <v>2596-5859</v>
      </c>
      <c r="E4544" t="s">
        <v>15</v>
      </c>
      <c r="F4544" t="s">
        <v>4553</v>
      </c>
      <c r="G4544">
        <v>1</v>
      </c>
    </row>
    <row r="4545" spans="1:7" x14ac:dyDescent="0.25">
      <c r="A4545">
        <v>21</v>
      </c>
      <c r="B4545" t="s">
        <v>4473</v>
      </c>
      <c r="C4545">
        <v>91553</v>
      </c>
      <c r="D4545" t="str">
        <f>"1400-9692"</f>
        <v>1400-9692</v>
      </c>
      <c r="E4545" t="s">
        <v>8</v>
      </c>
      <c r="F4545" t="s">
        <v>4554</v>
      </c>
      <c r="G4545">
        <v>1</v>
      </c>
    </row>
    <row r="4546" spans="1:7" x14ac:dyDescent="0.25">
      <c r="A4546">
        <v>21</v>
      </c>
      <c r="B4546" t="s">
        <v>4473</v>
      </c>
      <c r="C4546">
        <v>8782519</v>
      </c>
      <c r="D4546" t="str">
        <f>"2000-6225"</f>
        <v>2000-6225</v>
      </c>
      <c r="E4546" t="s">
        <v>8</v>
      </c>
      <c r="F4546" t="s">
        <v>4555</v>
      </c>
      <c r="G4546">
        <v>1</v>
      </c>
    </row>
    <row r="4547" spans="1:7" x14ac:dyDescent="0.25">
      <c r="A4547">
        <v>21</v>
      </c>
      <c r="B4547" t="s">
        <v>4473</v>
      </c>
      <c r="C4547">
        <v>11090</v>
      </c>
      <c r="D4547" t="str">
        <f>"0095-327X"</f>
        <v>0095-327X</v>
      </c>
      <c r="E4547" t="s">
        <v>8</v>
      </c>
      <c r="F4547" t="s">
        <v>4556</v>
      </c>
      <c r="G4547">
        <v>1</v>
      </c>
    </row>
    <row r="4548" spans="1:7" x14ac:dyDescent="0.25">
      <c r="A4548">
        <v>21</v>
      </c>
      <c r="B4548" t="s">
        <v>4473</v>
      </c>
      <c r="C4548">
        <v>8519</v>
      </c>
      <c r="D4548" t="str">
        <f>"0218-5385"</f>
        <v>0218-5385</v>
      </c>
      <c r="E4548" t="s">
        <v>8</v>
      </c>
      <c r="F4548" t="s">
        <v>4557</v>
      </c>
      <c r="G4548">
        <v>1</v>
      </c>
    </row>
    <row r="4549" spans="1:7" x14ac:dyDescent="0.25">
      <c r="A4549">
        <v>21</v>
      </c>
      <c r="B4549" t="s">
        <v>4473</v>
      </c>
      <c r="C4549">
        <v>12936</v>
      </c>
      <c r="D4549" t="str">
        <f>"0157-6321"</f>
        <v>0157-6321</v>
      </c>
      <c r="E4549" t="s">
        <v>8</v>
      </c>
      <c r="F4549" t="s">
        <v>4558</v>
      </c>
      <c r="G4549">
        <v>1</v>
      </c>
    </row>
    <row r="4550" spans="1:7" x14ac:dyDescent="0.25">
      <c r="A4550">
        <v>21</v>
      </c>
      <c r="B4550" t="s">
        <v>4473</v>
      </c>
      <c r="C4550">
        <v>2411</v>
      </c>
      <c r="D4550" t="str">
        <f>"0312-407X"</f>
        <v>0312-407X</v>
      </c>
      <c r="E4550" t="s">
        <v>8</v>
      </c>
      <c r="F4550" t="s">
        <v>4559</v>
      </c>
      <c r="G4550">
        <v>1</v>
      </c>
    </row>
    <row r="4551" spans="1:7" x14ac:dyDescent="0.25">
      <c r="A4551">
        <v>21</v>
      </c>
      <c r="B4551" t="s">
        <v>4473</v>
      </c>
      <c r="C4551">
        <v>5125</v>
      </c>
      <c r="D4551" t="str">
        <f>"1064-9506"</f>
        <v>1064-9506</v>
      </c>
      <c r="E4551" t="s">
        <v>8</v>
      </c>
      <c r="F4551" t="s">
        <v>4560</v>
      </c>
      <c r="G4551">
        <v>1</v>
      </c>
    </row>
    <row r="4552" spans="1:7" x14ac:dyDescent="0.25">
      <c r="A4552">
        <v>21</v>
      </c>
      <c r="B4552" t="s">
        <v>4473</v>
      </c>
      <c r="C4552">
        <v>13343</v>
      </c>
      <c r="D4552" t="str">
        <f>"0863-1808"</f>
        <v>0863-1808</v>
      </c>
      <c r="E4552" t="s">
        <v>8</v>
      </c>
      <c r="F4552" t="s">
        <v>4561</v>
      </c>
      <c r="G4552">
        <v>1</v>
      </c>
    </row>
    <row r="4553" spans="1:7" x14ac:dyDescent="0.25">
      <c r="A4553">
        <v>21</v>
      </c>
      <c r="B4553" t="s">
        <v>4473</v>
      </c>
      <c r="C4553">
        <v>152515</v>
      </c>
      <c r="D4553" t="str">
        <f>"1948-5565"</f>
        <v>1948-5565</v>
      </c>
      <c r="E4553" t="s">
        <v>8</v>
      </c>
      <c r="F4553" t="s">
        <v>4562</v>
      </c>
      <c r="G4553">
        <v>1</v>
      </c>
    </row>
    <row r="4554" spans="1:7" x14ac:dyDescent="0.25">
      <c r="A4554">
        <v>21</v>
      </c>
      <c r="B4554" t="s">
        <v>4473</v>
      </c>
      <c r="C4554">
        <v>8782716</v>
      </c>
      <c r="D4554" t="str">
        <f>"2375-9240"</f>
        <v>2375-9240</v>
      </c>
      <c r="E4554" t="s">
        <v>8</v>
      </c>
      <c r="F4554" t="s">
        <v>4563</v>
      </c>
      <c r="G4554">
        <v>1</v>
      </c>
    </row>
    <row r="4555" spans="1:7" x14ac:dyDescent="0.25">
      <c r="A4555">
        <v>21</v>
      </c>
      <c r="B4555" t="s">
        <v>4473</v>
      </c>
      <c r="C4555">
        <v>27248</v>
      </c>
      <c r="D4555" t="str">
        <f>"0759-1063"</f>
        <v>0759-1063</v>
      </c>
      <c r="E4555" t="s">
        <v>8</v>
      </c>
      <c r="F4555" t="s">
        <v>4564</v>
      </c>
      <c r="G4555">
        <v>1</v>
      </c>
    </row>
    <row r="4556" spans="1:7" x14ac:dyDescent="0.25">
      <c r="A4556">
        <v>21</v>
      </c>
      <c r="B4556" t="s">
        <v>4473</v>
      </c>
      <c r="C4556">
        <v>41946</v>
      </c>
      <c r="D4556" t="str">
        <f>"0761-9871"</f>
        <v>0761-9871</v>
      </c>
      <c r="E4556" t="s">
        <v>8</v>
      </c>
      <c r="F4556" t="s">
        <v>4565</v>
      </c>
      <c r="G4556">
        <v>1</v>
      </c>
    </row>
    <row r="4557" spans="1:7" x14ac:dyDescent="0.25">
      <c r="A4557">
        <v>21</v>
      </c>
      <c r="B4557" t="s">
        <v>4473</v>
      </c>
      <c r="C4557">
        <v>9538</v>
      </c>
      <c r="D4557" t="str">
        <f>"1710-1123"</f>
        <v>1710-1123</v>
      </c>
      <c r="E4557" t="s">
        <v>8</v>
      </c>
      <c r="F4557" t="s">
        <v>4566</v>
      </c>
      <c r="G4557">
        <v>1</v>
      </c>
    </row>
    <row r="4558" spans="1:7" x14ac:dyDescent="0.25">
      <c r="A4558">
        <v>21</v>
      </c>
      <c r="B4558" t="s">
        <v>4473</v>
      </c>
      <c r="C4558">
        <v>27170</v>
      </c>
      <c r="D4558" t="str">
        <f>"0836-303X"</f>
        <v>0836-303X</v>
      </c>
      <c r="E4558" t="s">
        <v>8</v>
      </c>
      <c r="F4558" t="s">
        <v>4567</v>
      </c>
      <c r="G4558">
        <v>1</v>
      </c>
    </row>
    <row r="4559" spans="1:7" x14ac:dyDescent="0.25">
      <c r="A4559">
        <v>21</v>
      </c>
      <c r="B4559" t="s">
        <v>4473</v>
      </c>
      <c r="C4559">
        <v>5346</v>
      </c>
      <c r="D4559" t="str">
        <f>"1755-6171"</f>
        <v>1755-6171</v>
      </c>
      <c r="E4559" t="s">
        <v>8</v>
      </c>
      <c r="F4559" t="s">
        <v>4568</v>
      </c>
      <c r="G4559">
        <v>1</v>
      </c>
    </row>
    <row r="4560" spans="1:7" x14ac:dyDescent="0.25">
      <c r="A4560">
        <v>21</v>
      </c>
      <c r="B4560" t="s">
        <v>4473</v>
      </c>
      <c r="C4560">
        <v>25775</v>
      </c>
      <c r="D4560" t="str">
        <f>"0309-8168"</f>
        <v>0309-8168</v>
      </c>
      <c r="E4560" t="s">
        <v>8</v>
      </c>
      <c r="F4560" t="s">
        <v>4569</v>
      </c>
      <c r="G4560">
        <v>1</v>
      </c>
    </row>
    <row r="4561" spans="1:7" x14ac:dyDescent="0.25">
      <c r="A4561">
        <v>21</v>
      </c>
      <c r="B4561" t="s">
        <v>4473</v>
      </c>
      <c r="C4561">
        <v>16653</v>
      </c>
      <c r="D4561" t="str">
        <f>"1356-7500"</f>
        <v>1356-7500</v>
      </c>
      <c r="E4561" t="s">
        <v>8</v>
      </c>
      <c r="F4561" t="s">
        <v>4570</v>
      </c>
      <c r="G4561">
        <v>1</v>
      </c>
    </row>
    <row r="4562" spans="1:7" x14ac:dyDescent="0.25">
      <c r="A4562">
        <v>21</v>
      </c>
      <c r="B4562" t="s">
        <v>4473</v>
      </c>
      <c r="C4562">
        <v>19092</v>
      </c>
      <c r="D4562" t="str">
        <f>"0145-935X"</f>
        <v>0145-935X</v>
      </c>
      <c r="E4562" t="s">
        <v>8</v>
      </c>
      <c r="F4562" t="s">
        <v>4571</v>
      </c>
      <c r="G4562">
        <v>1</v>
      </c>
    </row>
    <row r="4563" spans="1:7" x14ac:dyDescent="0.25">
      <c r="A4563">
        <v>21</v>
      </c>
      <c r="B4563" t="s">
        <v>4473</v>
      </c>
      <c r="C4563">
        <v>4924</v>
      </c>
      <c r="D4563" t="str">
        <f>"0738-0151"</f>
        <v>0738-0151</v>
      </c>
      <c r="E4563" t="s">
        <v>8</v>
      </c>
      <c r="F4563" t="s">
        <v>4572</v>
      </c>
      <c r="G4563">
        <v>1</v>
      </c>
    </row>
    <row r="4564" spans="1:7" x14ac:dyDescent="0.25">
      <c r="A4564">
        <v>21</v>
      </c>
      <c r="B4564" t="s">
        <v>4473</v>
      </c>
      <c r="C4564">
        <v>11787</v>
      </c>
      <c r="D4564" t="str">
        <f>"1874-897X"</f>
        <v>1874-897X</v>
      </c>
      <c r="E4564" t="s">
        <v>8</v>
      </c>
      <c r="F4564" t="s">
        <v>4573</v>
      </c>
      <c r="G4564">
        <v>1</v>
      </c>
    </row>
    <row r="4565" spans="1:7" x14ac:dyDescent="0.25">
      <c r="A4565">
        <v>21</v>
      </c>
      <c r="B4565" t="s">
        <v>4473</v>
      </c>
      <c r="C4565">
        <v>2039</v>
      </c>
      <c r="D4565" t="str">
        <f>"0009-4021"</f>
        <v>0009-4021</v>
      </c>
      <c r="E4565" t="s">
        <v>8</v>
      </c>
      <c r="F4565" t="s">
        <v>4574</v>
      </c>
      <c r="G4565">
        <v>1</v>
      </c>
    </row>
    <row r="4566" spans="1:7" x14ac:dyDescent="0.25">
      <c r="A4566">
        <v>21</v>
      </c>
      <c r="B4566" t="s">
        <v>4473</v>
      </c>
      <c r="C4566">
        <v>25434</v>
      </c>
      <c r="D4566" t="str">
        <f>"1532-8759"</f>
        <v>1532-8759</v>
      </c>
      <c r="E4566" t="s">
        <v>8</v>
      </c>
      <c r="F4566" t="s">
        <v>4575</v>
      </c>
      <c r="G4566">
        <v>1</v>
      </c>
    </row>
    <row r="4567" spans="1:7" x14ac:dyDescent="0.25">
      <c r="A4567">
        <v>21</v>
      </c>
      <c r="B4567" t="s">
        <v>4473</v>
      </c>
      <c r="C4567">
        <v>2308</v>
      </c>
      <c r="D4567" t="str">
        <f>"0951-0605"</f>
        <v>0951-0605</v>
      </c>
      <c r="E4567" t="s">
        <v>8</v>
      </c>
      <c r="F4567" t="s">
        <v>4576</v>
      </c>
      <c r="G4567">
        <v>1</v>
      </c>
    </row>
    <row r="4568" spans="1:7" x14ac:dyDescent="0.25">
      <c r="A4568">
        <v>21</v>
      </c>
      <c r="B4568" t="s">
        <v>4473</v>
      </c>
      <c r="C4568">
        <v>4771</v>
      </c>
      <c r="D4568" t="str">
        <f>"0190-7409"</f>
        <v>0190-7409</v>
      </c>
      <c r="E4568" t="s">
        <v>8</v>
      </c>
      <c r="F4568" t="s">
        <v>4577</v>
      </c>
      <c r="G4568">
        <v>1</v>
      </c>
    </row>
    <row r="4569" spans="1:7" x14ac:dyDescent="0.25">
      <c r="A4569">
        <v>21</v>
      </c>
      <c r="B4569" t="s">
        <v>4473</v>
      </c>
      <c r="C4569">
        <v>27054</v>
      </c>
      <c r="D4569" t="str">
        <f>"1546-2250"</f>
        <v>1546-2250</v>
      </c>
      <c r="E4569" t="s">
        <v>8</v>
      </c>
      <c r="F4569" t="s">
        <v>4578</v>
      </c>
      <c r="G4569">
        <v>1</v>
      </c>
    </row>
    <row r="4570" spans="1:7" x14ac:dyDescent="0.25">
      <c r="A4570">
        <v>21</v>
      </c>
      <c r="B4570" t="s">
        <v>4473</v>
      </c>
      <c r="C4570">
        <v>8782533</v>
      </c>
      <c r="D4570" t="str">
        <f>"2057-150X"</f>
        <v>2057-150X</v>
      </c>
      <c r="E4570" t="s">
        <v>8</v>
      </c>
      <c r="F4570" t="s">
        <v>4579</v>
      </c>
      <c r="G4570">
        <v>1</v>
      </c>
    </row>
    <row r="4571" spans="1:7" x14ac:dyDescent="0.25">
      <c r="A4571">
        <v>21</v>
      </c>
      <c r="B4571" t="s">
        <v>4473</v>
      </c>
      <c r="C4571">
        <v>5957</v>
      </c>
      <c r="D4571" t="str">
        <f>"2162-0555"</f>
        <v>2162-0555</v>
      </c>
      <c r="E4571" t="s">
        <v>8</v>
      </c>
      <c r="F4571" t="s">
        <v>4580</v>
      </c>
      <c r="G4571">
        <v>1</v>
      </c>
    </row>
    <row r="4572" spans="1:7" x14ac:dyDescent="0.25">
      <c r="A4572">
        <v>21</v>
      </c>
      <c r="B4572" t="s">
        <v>4473</v>
      </c>
      <c r="C4572">
        <v>929</v>
      </c>
      <c r="D4572" t="str">
        <f>"1535-6841"</f>
        <v>1535-6841</v>
      </c>
      <c r="E4572" t="s">
        <v>8</v>
      </c>
      <c r="F4572" t="s">
        <v>4581</v>
      </c>
      <c r="G4572">
        <v>1</v>
      </c>
    </row>
    <row r="4573" spans="1:7" x14ac:dyDescent="0.25">
      <c r="A4573">
        <v>21</v>
      </c>
      <c r="B4573" t="s">
        <v>4473</v>
      </c>
      <c r="C4573">
        <v>8783516</v>
      </c>
      <c r="E4573" t="s">
        <v>15</v>
      </c>
      <c r="F4573" t="s">
        <v>4582</v>
      </c>
      <c r="G4573">
        <v>1</v>
      </c>
    </row>
    <row r="4574" spans="1:7" x14ac:dyDescent="0.25">
      <c r="A4574">
        <v>21</v>
      </c>
      <c r="B4574" t="s">
        <v>4473</v>
      </c>
      <c r="C4574">
        <v>10444</v>
      </c>
      <c r="D4574" t="str">
        <f>"0091-1674"</f>
        <v>0091-1674</v>
      </c>
      <c r="E4574" t="s">
        <v>8</v>
      </c>
      <c r="F4574" t="s">
        <v>4583</v>
      </c>
      <c r="G4574">
        <v>1</v>
      </c>
    </row>
    <row r="4575" spans="1:7" x14ac:dyDescent="0.25">
      <c r="A4575">
        <v>21</v>
      </c>
      <c r="B4575" t="s">
        <v>4473</v>
      </c>
      <c r="C4575">
        <v>107638</v>
      </c>
      <c r="D4575" t="str">
        <f>"1566-7847"</f>
        <v>1566-7847</v>
      </c>
      <c r="E4575" t="s">
        <v>15</v>
      </c>
      <c r="F4575" t="s">
        <v>4584</v>
      </c>
      <c r="G4575">
        <v>1</v>
      </c>
    </row>
    <row r="4576" spans="1:7" x14ac:dyDescent="0.25">
      <c r="A4576">
        <v>21</v>
      </c>
      <c r="B4576" t="s">
        <v>4473</v>
      </c>
      <c r="C4576">
        <v>5783</v>
      </c>
      <c r="D4576" t="str">
        <f>"1366-8803"</f>
        <v>1366-8803</v>
      </c>
      <c r="E4576" t="s">
        <v>8</v>
      </c>
      <c r="F4576" t="s">
        <v>4585</v>
      </c>
      <c r="G4576">
        <v>1</v>
      </c>
    </row>
    <row r="4577" spans="1:7" x14ac:dyDescent="0.25">
      <c r="A4577">
        <v>21</v>
      </c>
      <c r="B4577" t="s">
        <v>4473</v>
      </c>
      <c r="C4577">
        <v>10667</v>
      </c>
      <c r="D4577" t="str">
        <f>"0195-6310"</f>
        <v>0195-6310</v>
      </c>
      <c r="E4577" t="s">
        <v>15</v>
      </c>
      <c r="F4577" t="s">
        <v>4586</v>
      </c>
      <c r="G4577">
        <v>1</v>
      </c>
    </row>
    <row r="4578" spans="1:7" x14ac:dyDescent="0.25">
      <c r="A4578">
        <v>21</v>
      </c>
      <c r="B4578" t="s">
        <v>4473</v>
      </c>
      <c r="C4578">
        <v>15916</v>
      </c>
      <c r="D4578" t="str">
        <f>"1569-1322"</f>
        <v>1569-1322</v>
      </c>
      <c r="E4578" t="s">
        <v>8</v>
      </c>
      <c r="F4578" t="s">
        <v>4587</v>
      </c>
      <c r="G4578">
        <v>1</v>
      </c>
    </row>
    <row r="4579" spans="1:7" x14ac:dyDescent="0.25">
      <c r="A4579">
        <v>21</v>
      </c>
      <c r="B4579" t="s">
        <v>4473</v>
      </c>
      <c r="C4579">
        <v>180062</v>
      </c>
      <c r="D4579" t="str">
        <f>"0226-1776"</f>
        <v>0226-1776</v>
      </c>
      <c r="E4579" t="s">
        <v>8</v>
      </c>
      <c r="F4579" t="s">
        <v>4588</v>
      </c>
      <c r="G4579">
        <v>1</v>
      </c>
    </row>
    <row r="4580" spans="1:7" x14ac:dyDescent="0.25">
      <c r="A4580">
        <v>21</v>
      </c>
      <c r="B4580" t="s">
        <v>4473</v>
      </c>
      <c r="C4580">
        <v>14977</v>
      </c>
      <c r="D4580" t="str">
        <f>"1351-0487"</f>
        <v>1351-0487</v>
      </c>
      <c r="E4580" t="s">
        <v>8</v>
      </c>
      <c r="F4580" t="s">
        <v>4589</v>
      </c>
      <c r="G4580">
        <v>1</v>
      </c>
    </row>
    <row r="4581" spans="1:7" x14ac:dyDescent="0.25">
      <c r="A4581">
        <v>21</v>
      </c>
      <c r="B4581" t="s">
        <v>4473</v>
      </c>
      <c r="C4581">
        <v>180059</v>
      </c>
      <c r="E4581" t="s">
        <v>8</v>
      </c>
      <c r="F4581" t="s">
        <v>4590</v>
      </c>
      <c r="G4581">
        <v>1</v>
      </c>
    </row>
    <row r="4582" spans="1:7" x14ac:dyDescent="0.25">
      <c r="A4582">
        <v>21</v>
      </c>
      <c r="B4582" t="s">
        <v>4473</v>
      </c>
      <c r="C4582">
        <v>16926</v>
      </c>
      <c r="D4582" t="str">
        <f>"0094-3061"</f>
        <v>0094-3061</v>
      </c>
      <c r="E4582" t="s">
        <v>8</v>
      </c>
      <c r="F4582" t="s">
        <v>4591</v>
      </c>
      <c r="G4582">
        <v>1</v>
      </c>
    </row>
    <row r="4583" spans="1:7" x14ac:dyDescent="0.25">
      <c r="A4583">
        <v>21</v>
      </c>
      <c r="B4583" t="s">
        <v>4473</v>
      </c>
      <c r="C4583">
        <v>18384</v>
      </c>
      <c r="D4583" t="str">
        <f>"1536-5042"</f>
        <v>1536-5042</v>
      </c>
      <c r="E4583" t="s">
        <v>8</v>
      </c>
      <c r="F4583" t="s">
        <v>4592</v>
      </c>
      <c r="G4583">
        <v>1</v>
      </c>
    </row>
    <row r="4584" spans="1:7" x14ac:dyDescent="0.25">
      <c r="A4584">
        <v>21</v>
      </c>
      <c r="B4584" t="s">
        <v>4473</v>
      </c>
      <c r="C4584">
        <v>13003</v>
      </c>
      <c r="D4584" t="str">
        <f>"0011-1287"</f>
        <v>0011-1287</v>
      </c>
      <c r="E4584" t="s">
        <v>8</v>
      </c>
      <c r="F4584" t="s">
        <v>4593</v>
      </c>
      <c r="G4584">
        <v>1</v>
      </c>
    </row>
    <row r="4585" spans="1:7" x14ac:dyDescent="0.25">
      <c r="A4585">
        <v>21</v>
      </c>
      <c r="B4585" t="s">
        <v>4473</v>
      </c>
      <c r="C4585">
        <v>13119</v>
      </c>
      <c r="D4585" t="str">
        <f>"0192-3234"</f>
        <v>0192-3234</v>
      </c>
      <c r="E4585" t="s">
        <v>15</v>
      </c>
      <c r="F4585" t="s">
        <v>4594</v>
      </c>
      <c r="G4585">
        <v>1</v>
      </c>
    </row>
    <row r="4586" spans="1:7" x14ac:dyDescent="0.25">
      <c r="A4586">
        <v>21</v>
      </c>
      <c r="B4586" t="s">
        <v>4473</v>
      </c>
      <c r="C4586">
        <v>7751068</v>
      </c>
      <c r="D4586" t="str">
        <f>"2049-8608"</f>
        <v>2049-8608</v>
      </c>
      <c r="E4586" t="s">
        <v>8</v>
      </c>
      <c r="F4586" t="s">
        <v>4595</v>
      </c>
      <c r="G4586">
        <v>1</v>
      </c>
    </row>
    <row r="4587" spans="1:7" x14ac:dyDescent="0.25">
      <c r="A4587">
        <v>21</v>
      </c>
      <c r="B4587" t="s">
        <v>4473</v>
      </c>
      <c r="C4587">
        <v>5933</v>
      </c>
      <c r="D4587" t="str">
        <f>"0896-9205"</f>
        <v>0896-9205</v>
      </c>
      <c r="E4587" t="s">
        <v>8</v>
      </c>
      <c r="F4587" t="s">
        <v>4596</v>
      </c>
      <c r="G4587">
        <v>1</v>
      </c>
    </row>
    <row r="4588" spans="1:7" x14ac:dyDescent="0.25">
      <c r="A4588">
        <v>21</v>
      </c>
      <c r="B4588" t="s">
        <v>4473</v>
      </c>
      <c r="C4588">
        <v>22671</v>
      </c>
      <c r="D4588" t="str">
        <f>"1743-2197"</f>
        <v>1743-2197</v>
      </c>
      <c r="E4588" t="s">
        <v>8</v>
      </c>
      <c r="F4588" t="s">
        <v>4597</v>
      </c>
      <c r="G4588">
        <v>1</v>
      </c>
    </row>
    <row r="4589" spans="1:7" x14ac:dyDescent="0.25">
      <c r="A4589">
        <v>21</v>
      </c>
      <c r="B4589" t="s">
        <v>4473</v>
      </c>
      <c r="C4589">
        <v>5425</v>
      </c>
      <c r="D4589" t="str">
        <f>"1369-1058"</f>
        <v>1369-1058</v>
      </c>
      <c r="E4589" t="s">
        <v>8</v>
      </c>
      <c r="F4589" t="s">
        <v>4598</v>
      </c>
      <c r="G4589">
        <v>1</v>
      </c>
    </row>
    <row r="4590" spans="1:7" x14ac:dyDescent="0.25">
      <c r="A4590">
        <v>21</v>
      </c>
      <c r="B4590" t="s">
        <v>4473</v>
      </c>
      <c r="C4590">
        <v>8782615</v>
      </c>
      <c r="D4590" t="str">
        <f>"2566-7742"</f>
        <v>2566-7742</v>
      </c>
      <c r="E4590" t="s">
        <v>8</v>
      </c>
      <c r="F4590" t="s">
        <v>4599</v>
      </c>
      <c r="G4590">
        <v>1</v>
      </c>
    </row>
    <row r="4591" spans="1:7" x14ac:dyDescent="0.25">
      <c r="A4591">
        <v>21</v>
      </c>
      <c r="B4591" t="s">
        <v>4473</v>
      </c>
      <c r="C4591">
        <v>25257</v>
      </c>
      <c r="D4591" t="str">
        <f>"0278-1204"</f>
        <v>0278-1204</v>
      </c>
      <c r="E4591" t="s">
        <v>15</v>
      </c>
      <c r="F4591" t="s">
        <v>4600</v>
      </c>
      <c r="G4591">
        <v>1</v>
      </c>
    </row>
    <row r="4592" spans="1:7" x14ac:dyDescent="0.25">
      <c r="A4592">
        <v>21</v>
      </c>
      <c r="B4592" t="s">
        <v>4473</v>
      </c>
      <c r="C4592">
        <v>12567</v>
      </c>
      <c r="D4592" t="str">
        <f>"0011-5258"</f>
        <v>0011-5258</v>
      </c>
      <c r="E4592" t="s">
        <v>8</v>
      </c>
      <c r="F4592" t="s">
        <v>4601</v>
      </c>
      <c r="G4592">
        <v>1</v>
      </c>
    </row>
    <row r="4593" spans="1:7" x14ac:dyDescent="0.25">
      <c r="A4593">
        <v>21</v>
      </c>
      <c r="B4593" t="s">
        <v>4473</v>
      </c>
      <c r="C4593">
        <v>15749</v>
      </c>
      <c r="D4593" t="str">
        <f>"0905-5908"</f>
        <v>0905-5908</v>
      </c>
      <c r="E4593" t="s">
        <v>8</v>
      </c>
      <c r="F4593" t="s">
        <v>4602</v>
      </c>
      <c r="G4593">
        <v>1</v>
      </c>
    </row>
    <row r="4594" spans="1:7" x14ac:dyDescent="0.25">
      <c r="A4594">
        <v>21</v>
      </c>
      <c r="B4594" t="s">
        <v>4473</v>
      </c>
      <c r="C4594">
        <v>170107</v>
      </c>
      <c r="E4594" t="s">
        <v>15</v>
      </c>
      <c r="F4594" t="s">
        <v>4603</v>
      </c>
      <c r="G4594">
        <v>1</v>
      </c>
    </row>
    <row r="4595" spans="1:7" x14ac:dyDescent="0.25">
      <c r="A4595">
        <v>21</v>
      </c>
      <c r="B4595" t="s">
        <v>4473</v>
      </c>
      <c r="C4595">
        <v>17751</v>
      </c>
      <c r="D4595" t="str">
        <f>"0378-7931"</f>
        <v>0378-7931</v>
      </c>
      <c r="E4595" t="s">
        <v>8</v>
      </c>
      <c r="F4595" t="s">
        <v>4604</v>
      </c>
      <c r="G4595">
        <v>1</v>
      </c>
    </row>
    <row r="4596" spans="1:7" x14ac:dyDescent="0.25">
      <c r="A4596">
        <v>21</v>
      </c>
      <c r="B4596" t="s">
        <v>4473</v>
      </c>
      <c r="C4596">
        <v>27343</v>
      </c>
      <c r="D4596" t="str">
        <f>"0417-8106"</f>
        <v>0417-8106</v>
      </c>
      <c r="E4596" t="s">
        <v>15</v>
      </c>
      <c r="F4596" t="s">
        <v>4605</v>
      </c>
      <c r="G4596">
        <v>1</v>
      </c>
    </row>
    <row r="4597" spans="1:7" x14ac:dyDescent="0.25">
      <c r="A4597">
        <v>21</v>
      </c>
      <c r="B4597" t="s">
        <v>4473</v>
      </c>
      <c r="C4597">
        <v>13066</v>
      </c>
      <c r="D4597" t="str">
        <f>"1330-0288"</f>
        <v>1330-0288</v>
      </c>
      <c r="E4597" t="s">
        <v>8</v>
      </c>
      <c r="F4597" t="s">
        <v>4606</v>
      </c>
      <c r="G4597">
        <v>1</v>
      </c>
    </row>
    <row r="4598" spans="1:7" x14ac:dyDescent="0.25">
      <c r="A4598">
        <v>21</v>
      </c>
      <c r="B4598" t="s">
        <v>4473</v>
      </c>
      <c r="C4598">
        <v>27169</v>
      </c>
      <c r="D4598" t="str">
        <f>"1362-024X"</f>
        <v>1362-024X</v>
      </c>
      <c r="E4598" t="s">
        <v>8</v>
      </c>
      <c r="F4598" t="s">
        <v>4607</v>
      </c>
      <c r="G4598">
        <v>1</v>
      </c>
    </row>
    <row r="4599" spans="1:7" x14ac:dyDescent="0.25">
      <c r="A4599">
        <v>21</v>
      </c>
      <c r="B4599" t="s">
        <v>4473</v>
      </c>
      <c r="C4599">
        <v>16024</v>
      </c>
      <c r="D4599" t="str">
        <f>"1027-1775"</f>
        <v>1027-1775</v>
      </c>
      <c r="E4599" t="s">
        <v>8</v>
      </c>
      <c r="F4599" t="s">
        <v>4608</v>
      </c>
      <c r="G4599">
        <v>1</v>
      </c>
    </row>
    <row r="4600" spans="1:7" x14ac:dyDescent="0.25">
      <c r="A4600">
        <v>21</v>
      </c>
      <c r="B4600" t="s">
        <v>4473</v>
      </c>
      <c r="C4600">
        <v>7729911</v>
      </c>
      <c r="D4600" t="str">
        <f>"2071-789X"</f>
        <v>2071-789X</v>
      </c>
      <c r="E4600" t="s">
        <v>8</v>
      </c>
      <c r="F4600" t="s">
        <v>4609</v>
      </c>
      <c r="G4600">
        <v>1</v>
      </c>
    </row>
    <row r="4601" spans="1:7" x14ac:dyDescent="0.25">
      <c r="A4601">
        <v>21</v>
      </c>
      <c r="B4601" t="s">
        <v>4473</v>
      </c>
      <c r="C4601">
        <v>2512</v>
      </c>
      <c r="D4601" t="str">
        <f>"1746-1979"</f>
        <v>1746-1979</v>
      </c>
      <c r="E4601" t="s">
        <v>8</v>
      </c>
      <c r="F4601" t="s">
        <v>4610</v>
      </c>
      <c r="G4601">
        <v>1</v>
      </c>
    </row>
    <row r="4602" spans="1:7" x14ac:dyDescent="0.25">
      <c r="A4602">
        <v>21</v>
      </c>
      <c r="B4602" t="s">
        <v>4473</v>
      </c>
      <c r="C4602">
        <v>27363</v>
      </c>
      <c r="D4602" t="str">
        <f>"1139-5737"</f>
        <v>1139-5737</v>
      </c>
      <c r="E4602" t="s">
        <v>8</v>
      </c>
      <c r="F4602" t="s">
        <v>4611</v>
      </c>
      <c r="G4602">
        <v>1</v>
      </c>
    </row>
    <row r="4603" spans="1:7" x14ac:dyDescent="0.25">
      <c r="A4603">
        <v>21</v>
      </c>
      <c r="B4603" t="s">
        <v>4473</v>
      </c>
      <c r="C4603">
        <v>15715</v>
      </c>
      <c r="D4603" t="str">
        <f>"0142-5455"</f>
        <v>0142-5455</v>
      </c>
      <c r="E4603" t="s">
        <v>8</v>
      </c>
      <c r="F4603" t="s">
        <v>4612</v>
      </c>
      <c r="G4603">
        <v>1</v>
      </c>
    </row>
    <row r="4604" spans="1:7" x14ac:dyDescent="0.25">
      <c r="A4604">
        <v>21</v>
      </c>
      <c r="B4604" t="s">
        <v>4473</v>
      </c>
      <c r="C4604">
        <v>27113</v>
      </c>
      <c r="D4604" t="str">
        <f>"2052-1499"</f>
        <v>2052-1499</v>
      </c>
      <c r="E4604" t="s">
        <v>8</v>
      </c>
      <c r="F4604" t="s">
        <v>4613</v>
      </c>
      <c r="G4604">
        <v>1</v>
      </c>
    </row>
    <row r="4605" spans="1:7" x14ac:dyDescent="0.25">
      <c r="A4605">
        <v>21</v>
      </c>
      <c r="B4605" t="s">
        <v>4473</v>
      </c>
      <c r="C4605">
        <v>74080</v>
      </c>
      <c r="D4605" t="str">
        <f>"0185-4186"</f>
        <v>0185-4186</v>
      </c>
      <c r="E4605" t="s">
        <v>8</v>
      </c>
      <c r="F4605" t="s">
        <v>4614</v>
      </c>
      <c r="G4605">
        <v>1</v>
      </c>
    </row>
    <row r="4606" spans="1:7" x14ac:dyDescent="0.25">
      <c r="A4606">
        <v>21</v>
      </c>
      <c r="B4606" t="s">
        <v>4473</v>
      </c>
      <c r="C4606">
        <v>142367</v>
      </c>
      <c r="D4606" t="str">
        <f>"1414-0144"</f>
        <v>1414-0144</v>
      </c>
      <c r="E4606" t="s">
        <v>8</v>
      </c>
      <c r="F4606" t="s">
        <v>4615</v>
      </c>
      <c r="G4606">
        <v>1</v>
      </c>
    </row>
    <row r="4607" spans="1:7" x14ac:dyDescent="0.25">
      <c r="A4607">
        <v>21</v>
      </c>
      <c r="B4607" t="s">
        <v>4473</v>
      </c>
      <c r="C4607">
        <v>22354</v>
      </c>
      <c r="D4607" t="str">
        <f>"0014-2182"</f>
        <v>0014-2182</v>
      </c>
      <c r="E4607" t="s">
        <v>8</v>
      </c>
      <c r="F4607" t="s">
        <v>4616</v>
      </c>
      <c r="G4607">
        <v>1</v>
      </c>
    </row>
    <row r="4608" spans="1:7" x14ac:dyDescent="0.25">
      <c r="A4608">
        <v>21</v>
      </c>
      <c r="B4608" t="s">
        <v>4473</v>
      </c>
      <c r="C4608">
        <v>8782567</v>
      </c>
      <c r="D4608" t="str">
        <f>"2325-4823"</f>
        <v>2325-4823</v>
      </c>
      <c r="E4608" t="s">
        <v>8</v>
      </c>
      <c r="F4608" t="s">
        <v>4617</v>
      </c>
      <c r="G4608">
        <v>1</v>
      </c>
    </row>
    <row r="4609" spans="1:7" x14ac:dyDescent="0.25">
      <c r="A4609">
        <v>21</v>
      </c>
      <c r="B4609" t="s">
        <v>4473</v>
      </c>
      <c r="C4609">
        <v>12703</v>
      </c>
      <c r="D4609" t="str">
        <f>"0149-7189"</f>
        <v>0149-7189</v>
      </c>
      <c r="E4609" t="s">
        <v>8</v>
      </c>
      <c r="F4609" t="s">
        <v>4618</v>
      </c>
      <c r="G4609">
        <v>1</v>
      </c>
    </row>
    <row r="4610" spans="1:7" x14ac:dyDescent="0.25">
      <c r="A4610">
        <v>21</v>
      </c>
      <c r="B4610" t="s">
        <v>4473</v>
      </c>
      <c r="C4610">
        <v>16710</v>
      </c>
      <c r="D4610" t="str">
        <f>"1044-3894"</f>
        <v>1044-3894</v>
      </c>
      <c r="E4610" t="s">
        <v>8</v>
      </c>
      <c r="F4610" t="s">
        <v>4619</v>
      </c>
      <c r="G4610">
        <v>1</v>
      </c>
    </row>
    <row r="4611" spans="1:7" x14ac:dyDescent="0.25">
      <c r="A4611">
        <v>21</v>
      </c>
      <c r="B4611" t="s">
        <v>4473</v>
      </c>
      <c r="C4611">
        <v>7718595</v>
      </c>
      <c r="D4611" t="str">
        <f>"2046-7435"</f>
        <v>2046-7435</v>
      </c>
      <c r="E4611" t="s">
        <v>8</v>
      </c>
      <c r="F4611" t="s">
        <v>4620</v>
      </c>
      <c r="G4611">
        <v>1</v>
      </c>
    </row>
    <row r="4612" spans="1:7" x14ac:dyDescent="0.25">
      <c r="A4612">
        <v>21</v>
      </c>
      <c r="B4612" t="s">
        <v>4473</v>
      </c>
      <c r="C4612">
        <v>1346</v>
      </c>
      <c r="D4612" t="str">
        <f>"0197-6664"</f>
        <v>0197-6664</v>
      </c>
      <c r="E4612" t="s">
        <v>8</v>
      </c>
      <c r="F4612" t="s">
        <v>4621</v>
      </c>
      <c r="G4612">
        <v>1</v>
      </c>
    </row>
    <row r="4613" spans="1:7" x14ac:dyDescent="0.25">
      <c r="A4613">
        <v>21</v>
      </c>
      <c r="B4613" t="s">
        <v>4473</v>
      </c>
      <c r="C4613">
        <v>9862</v>
      </c>
      <c r="D4613" t="str">
        <f>"1557-0851"</f>
        <v>1557-0851</v>
      </c>
      <c r="E4613" t="s">
        <v>8</v>
      </c>
      <c r="F4613" t="s">
        <v>4622</v>
      </c>
      <c r="G4613">
        <v>1</v>
      </c>
    </row>
    <row r="4614" spans="1:7" x14ac:dyDescent="0.25">
      <c r="A4614">
        <v>21</v>
      </c>
      <c r="B4614" t="s">
        <v>4473</v>
      </c>
      <c r="C4614">
        <v>112220</v>
      </c>
      <c r="D4614" t="str">
        <f>"0759-6340"</f>
        <v>0759-6340</v>
      </c>
      <c r="E4614" t="s">
        <v>8</v>
      </c>
      <c r="F4614" t="s">
        <v>4623</v>
      </c>
      <c r="G4614">
        <v>1</v>
      </c>
    </row>
    <row r="4615" spans="1:7" x14ac:dyDescent="0.25">
      <c r="A4615">
        <v>21</v>
      </c>
      <c r="B4615" t="s">
        <v>4473</v>
      </c>
      <c r="C4615">
        <v>8782695</v>
      </c>
      <c r="E4615" t="s">
        <v>8</v>
      </c>
      <c r="F4615" t="s">
        <v>4624</v>
      </c>
      <c r="G4615">
        <v>1</v>
      </c>
    </row>
    <row r="4616" spans="1:7" x14ac:dyDescent="0.25">
      <c r="A4616">
        <v>21</v>
      </c>
      <c r="B4616" t="s">
        <v>4473</v>
      </c>
      <c r="C4616">
        <v>12351</v>
      </c>
      <c r="D4616" t="str">
        <f>"1438-5627"</f>
        <v>1438-5627</v>
      </c>
      <c r="E4616" t="s">
        <v>8</v>
      </c>
      <c r="F4616" t="s">
        <v>4625</v>
      </c>
      <c r="G4616">
        <v>1</v>
      </c>
    </row>
    <row r="4617" spans="1:7" x14ac:dyDescent="0.25">
      <c r="A4617">
        <v>21</v>
      </c>
      <c r="B4617" t="s">
        <v>4473</v>
      </c>
      <c r="C4617">
        <v>27723</v>
      </c>
      <c r="D4617" t="str">
        <f>"1155-3219"</f>
        <v>1155-3219</v>
      </c>
      <c r="E4617" t="s">
        <v>8</v>
      </c>
      <c r="F4617" t="s">
        <v>4626</v>
      </c>
      <c r="G4617">
        <v>1</v>
      </c>
    </row>
    <row r="4618" spans="1:7" x14ac:dyDescent="0.25">
      <c r="A4618">
        <v>21</v>
      </c>
      <c r="B4618" t="s">
        <v>4473</v>
      </c>
      <c r="C4618">
        <v>8783517</v>
      </c>
      <c r="E4618" t="s">
        <v>15</v>
      </c>
      <c r="F4618" t="s">
        <v>4627</v>
      </c>
      <c r="G4618">
        <v>1</v>
      </c>
    </row>
    <row r="4619" spans="1:7" x14ac:dyDescent="0.25">
      <c r="A4619">
        <v>21</v>
      </c>
      <c r="B4619" t="s">
        <v>4473</v>
      </c>
      <c r="C4619">
        <v>7959</v>
      </c>
      <c r="D4619" t="str">
        <f>"0951-824X"</f>
        <v>0951-824X</v>
      </c>
      <c r="E4619" t="s">
        <v>8</v>
      </c>
      <c r="F4619" t="s">
        <v>4628</v>
      </c>
      <c r="G4619">
        <v>1</v>
      </c>
    </row>
    <row r="4620" spans="1:7" x14ac:dyDescent="0.25">
      <c r="A4620">
        <v>21</v>
      </c>
      <c r="B4620" t="s">
        <v>4473</v>
      </c>
      <c r="C4620">
        <v>3728</v>
      </c>
      <c r="D4620" t="str">
        <f>"0360-7283"</f>
        <v>0360-7283</v>
      </c>
      <c r="E4620" t="s">
        <v>8</v>
      </c>
      <c r="F4620" t="s">
        <v>4629</v>
      </c>
      <c r="G4620">
        <v>1</v>
      </c>
    </row>
    <row r="4621" spans="1:7" x14ac:dyDescent="0.25">
      <c r="A4621">
        <v>21</v>
      </c>
      <c r="B4621" t="s">
        <v>4473</v>
      </c>
      <c r="C4621">
        <v>7500</v>
      </c>
      <c r="D4621" t="str">
        <f>"1446-1242"</f>
        <v>1446-1242</v>
      </c>
      <c r="E4621" t="s">
        <v>8</v>
      </c>
      <c r="F4621" t="s">
        <v>4630</v>
      </c>
      <c r="G4621">
        <v>1</v>
      </c>
    </row>
    <row r="4622" spans="1:7" x14ac:dyDescent="0.25">
      <c r="A4622">
        <v>21</v>
      </c>
      <c r="B4622" t="s">
        <v>4473</v>
      </c>
      <c r="C4622">
        <v>7735019</v>
      </c>
      <c r="D4622" t="str">
        <f>"2166-6644"</f>
        <v>2166-6644</v>
      </c>
      <c r="E4622" t="s">
        <v>8</v>
      </c>
      <c r="F4622" t="s">
        <v>4631</v>
      </c>
      <c r="G4622">
        <v>1</v>
      </c>
    </row>
    <row r="4623" spans="1:7" x14ac:dyDescent="0.25">
      <c r="A4623">
        <v>21</v>
      </c>
      <c r="B4623" t="s">
        <v>4473</v>
      </c>
      <c r="C4623">
        <v>8782003</v>
      </c>
      <c r="D4623" t="str">
        <f>"2330-3131"</f>
        <v>2330-3131</v>
      </c>
      <c r="E4623" t="s">
        <v>8</v>
      </c>
      <c r="F4623" t="s">
        <v>4632</v>
      </c>
      <c r="G4623">
        <v>1</v>
      </c>
    </row>
    <row r="4624" spans="1:7" x14ac:dyDescent="0.25">
      <c r="A4624">
        <v>21</v>
      </c>
      <c r="B4624" t="s">
        <v>4473</v>
      </c>
      <c r="C4624">
        <v>3181</v>
      </c>
      <c r="D4624" t="str">
        <f>"0163-8548"</f>
        <v>0163-8548</v>
      </c>
      <c r="E4624" t="s">
        <v>8</v>
      </c>
      <c r="F4624" t="s">
        <v>4633</v>
      </c>
      <c r="G4624">
        <v>1</v>
      </c>
    </row>
    <row r="4625" spans="1:7" x14ac:dyDescent="0.25">
      <c r="A4625">
        <v>21</v>
      </c>
      <c r="B4625" t="s">
        <v>4473</v>
      </c>
      <c r="C4625">
        <v>22118</v>
      </c>
      <c r="D4625" t="str">
        <f>"0160-5976"</f>
        <v>0160-5976</v>
      </c>
      <c r="E4625" t="s">
        <v>8</v>
      </c>
      <c r="F4625" t="s">
        <v>4634</v>
      </c>
      <c r="G4625">
        <v>1</v>
      </c>
    </row>
    <row r="4626" spans="1:7" x14ac:dyDescent="0.25">
      <c r="A4626">
        <v>21</v>
      </c>
      <c r="B4626" t="s">
        <v>4473</v>
      </c>
      <c r="C4626">
        <v>27787</v>
      </c>
      <c r="D4626" t="str">
        <f>"0160-4341"</f>
        <v>0160-4341</v>
      </c>
      <c r="E4626" t="s">
        <v>8</v>
      </c>
      <c r="F4626" t="s">
        <v>4635</v>
      </c>
      <c r="G4626">
        <v>1</v>
      </c>
    </row>
    <row r="4627" spans="1:7" x14ac:dyDescent="0.25">
      <c r="A4627">
        <v>21</v>
      </c>
      <c r="B4627" t="s">
        <v>4473</v>
      </c>
      <c r="C4627">
        <v>8991</v>
      </c>
      <c r="D4627" t="str">
        <f>"0019-5634"</f>
        <v>0019-5634</v>
      </c>
      <c r="E4627" t="s">
        <v>8</v>
      </c>
      <c r="F4627" t="s">
        <v>4636</v>
      </c>
      <c r="G4627">
        <v>1</v>
      </c>
    </row>
    <row r="4628" spans="1:7" x14ac:dyDescent="0.25">
      <c r="A4628">
        <v>21</v>
      </c>
      <c r="B4628" t="s">
        <v>4473</v>
      </c>
      <c r="C4628">
        <v>11849</v>
      </c>
      <c r="D4628" t="str">
        <f>"1351-1610"</f>
        <v>1351-1610</v>
      </c>
      <c r="E4628" t="s">
        <v>8</v>
      </c>
      <c r="F4628" t="s">
        <v>4637</v>
      </c>
      <c r="G4628">
        <v>1</v>
      </c>
    </row>
    <row r="4629" spans="1:7" x14ac:dyDescent="0.25">
      <c r="A4629">
        <v>21</v>
      </c>
      <c r="B4629" t="s">
        <v>4473</v>
      </c>
      <c r="C4629">
        <v>7982</v>
      </c>
      <c r="D4629" t="str">
        <f>"0308-0188"</f>
        <v>0308-0188</v>
      </c>
      <c r="E4629" t="s">
        <v>8</v>
      </c>
      <c r="F4629" t="s">
        <v>4638</v>
      </c>
      <c r="G4629">
        <v>1</v>
      </c>
    </row>
    <row r="4630" spans="1:7" x14ac:dyDescent="0.25">
      <c r="A4630">
        <v>21</v>
      </c>
      <c r="B4630" t="s">
        <v>4473</v>
      </c>
      <c r="C4630">
        <v>7747328</v>
      </c>
      <c r="E4630" t="s">
        <v>8</v>
      </c>
      <c r="F4630" t="s">
        <v>4639</v>
      </c>
      <c r="G4630">
        <v>1</v>
      </c>
    </row>
    <row r="4631" spans="1:7" x14ac:dyDescent="0.25">
      <c r="A4631">
        <v>21</v>
      </c>
      <c r="B4631" t="s">
        <v>4473</v>
      </c>
      <c r="C4631">
        <v>2336</v>
      </c>
      <c r="D4631" t="str">
        <f>"1861-1303"</f>
        <v>1861-1303</v>
      </c>
      <c r="E4631" t="s">
        <v>8</v>
      </c>
      <c r="F4631" t="s">
        <v>4640</v>
      </c>
      <c r="G4631">
        <v>1</v>
      </c>
    </row>
    <row r="4632" spans="1:7" x14ac:dyDescent="0.25">
      <c r="A4632">
        <v>21</v>
      </c>
      <c r="B4632" t="s">
        <v>4473</v>
      </c>
      <c r="C4632">
        <v>27797</v>
      </c>
      <c r="D4632" t="str">
        <f>"1705-6411"</f>
        <v>1705-6411</v>
      </c>
      <c r="E4632" t="s">
        <v>8</v>
      </c>
      <c r="F4632" t="s">
        <v>4641</v>
      </c>
      <c r="G4632">
        <v>1</v>
      </c>
    </row>
    <row r="4633" spans="1:7" x14ac:dyDescent="0.25">
      <c r="A4633">
        <v>21</v>
      </c>
      <c r="B4633" t="s">
        <v>4473</v>
      </c>
      <c r="C4633">
        <v>8783318</v>
      </c>
      <c r="D4633" t="str">
        <f>"2397-8821"</f>
        <v>2397-8821</v>
      </c>
      <c r="E4633" t="s">
        <v>8</v>
      </c>
      <c r="F4633" t="s">
        <v>4642</v>
      </c>
      <c r="G4633">
        <v>1</v>
      </c>
    </row>
    <row r="4634" spans="1:7" x14ac:dyDescent="0.25">
      <c r="A4634">
        <v>21</v>
      </c>
      <c r="B4634" t="s">
        <v>4473</v>
      </c>
      <c r="C4634">
        <v>12134</v>
      </c>
      <c r="D4634" t="str">
        <f>"0020-7152"</f>
        <v>0020-7152</v>
      </c>
      <c r="E4634" t="s">
        <v>8</v>
      </c>
      <c r="F4634" t="s">
        <v>4643</v>
      </c>
      <c r="G4634">
        <v>1</v>
      </c>
    </row>
    <row r="4635" spans="1:7" x14ac:dyDescent="0.25">
      <c r="A4635">
        <v>21</v>
      </c>
      <c r="B4635" t="s">
        <v>4473</v>
      </c>
      <c r="C4635">
        <v>9024</v>
      </c>
      <c r="D4635" t="str">
        <f>"0019-6398"</f>
        <v>0019-6398</v>
      </c>
      <c r="E4635" t="s">
        <v>8</v>
      </c>
      <c r="F4635" t="s">
        <v>4644</v>
      </c>
      <c r="G4635">
        <v>1</v>
      </c>
    </row>
    <row r="4636" spans="1:7" x14ac:dyDescent="0.25">
      <c r="A4636">
        <v>21</v>
      </c>
      <c r="B4636" t="s">
        <v>4473</v>
      </c>
      <c r="C4636">
        <v>7709865</v>
      </c>
      <c r="D4636" t="str">
        <f>"2220-8488"</f>
        <v>2220-8488</v>
      </c>
      <c r="E4636" t="s">
        <v>8</v>
      </c>
      <c r="F4636" t="s">
        <v>4645</v>
      </c>
      <c r="G4636">
        <v>1</v>
      </c>
    </row>
    <row r="4637" spans="1:7" x14ac:dyDescent="0.25">
      <c r="A4637">
        <v>21</v>
      </c>
      <c r="B4637" t="s">
        <v>4473</v>
      </c>
      <c r="C4637">
        <v>6230</v>
      </c>
      <c r="D4637" t="str">
        <f>"0147-1767"</f>
        <v>0147-1767</v>
      </c>
      <c r="E4637" t="s">
        <v>8</v>
      </c>
      <c r="F4637" t="s">
        <v>4646</v>
      </c>
      <c r="G4637">
        <v>1</v>
      </c>
    </row>
    <row r="4638" spans="1:7" x14ac:dyDescent="0.25">
      <c r="A4638">
        <v>21</v>
      </c>
      <c r="B4638" t="s">
        <v>4473</v>
      </c>
      <c r="C4638">
        <v>3197</v>
      </c>
      <c r="D4638" t="str">
        <f>"0918-7545"</f>
        <v>0918-7545</v>
      </c>
      <c r="E4638" t="s">
        <v>8</v>
      </c>
      <c r="F4638" t="s">
        <v>4647</v>
      </c>
      <c r="G4638">
        <v>1</v>
      </c>
    </row>
    <row r="4639" spans="1:7" x14ac:dyDescent="0.25">
      <c r="A4639">
        <v>21</v>
      </c>
      <c r="B4639" t="s">
        <v>4473</v>
      </c>
      <c r="C4639">
        <v>7509</v>
      </c>
      <c r="E4639" t="s">
        <v>8</v>
      </c>
      <c r="F4639" t="s">
        <v>4648</v>
      </c>
      <c r="G4639">
        <v>1</v>
      </c>
    </row>
    <row r="4640" spans="1:7" x14ac:dyDescent="0.25">
      <c r="A4640">
        <v>21</v>
      </c>
      <c r="B4640" t="s">
        <v>4473</v>
      </c>
      <c r="C4640">
        <v>15220</v>
      </c>
      <c r="D4640" t="str">
        <f>"1364-5579"</f>
        <v>1364-5579</v>
      </c>
      <c r="E4640" t="s">
        <v>8</v>
      </c>
      <c r="F4640" t="s">
        <v>4649</v>
      </c>
      <c r="G4640">
        <v>1</v>
      </c>
    </row>
    <row r="4641" spans="1:7" x14ac:dyDescent="0.25">
      <c r="A4641">
        <v>21</v>
      </c>
      <c r="B4641" t="s">
        <v>4473</v>
      </c>
      <c r="C4641">
        <v>7205</v>
      </c>
      <c r="D4641" t="str">
        <f>"0020-7659"</f>
        <v>0020-7659</v>
      </c>
      <c r="E4641" t="s">
        <v>8</v>
      </c>
      <c r="F4641" t="s">
        <v>4650</v>
      </c>
      <c r="G4641">
        <v>1</v>
      </c>
    </row>
    <row r="4642" spans="1:7" x14ac:dyDescent="0.25">
      <c r="A4642">
        <v>21</v>
      </c>
      <c r="B4642" t="s">
        <v>4473</v>
      </c>
      <c r="C4642">
        <v>6787</v>
      </c>
      <c r="D4642" t="str">
        <f>"0144-333X"</f>
        <v>0144-333X</v>
      </c>
      <c r="E4642" t="s">
        <v>8</v>
      </c>
      <c r="F4642" t="s">
        <v>4651</v>
      </c>
      <c r="G4642">
        <v>1</v>
      </c>
    </row>
    <row r="4643" spans="1:7" x14ac:dyDescent="0.25">
      <c r="A4643">
        <v>21</v>
      </c>
      <c r="B4643" t="s">
        <v>4473</v>
      </c>
      <c r="C4643">
        <v>13237</v>
      </c>
      <c r="D4643" t="str">
        <f>"0798-1759"</f>
        <v>0798-1759</v>
      </c>
      <c r="E4643" t="s">
        <v>8</v>
      </c>
      <c r="F4643" t="s">
        <v>4652</v>
      </c>
      <c r="G4643">
        <v>1</v>
      </c>
    </row>
    <row r="4644" spans="1:7" x14ac:dyDescent="0.25">
      <c r="A4644">
        <v>21</v>
      </c>
      <c r="B4644" t="s">
        <v>4473</v>
      </c>
      <c r="C4644">
        <v>4988</v>
      </c>
      <c r="D4644" t="str">
        <f>"0272-684X"</f>
        <v>0272-684X</v>
      </c>
      <c r="E4644" t="s">
        <v>8</v>
      </c>
      <c r="F4644" t="s">
        <v>4653</v>
      </c>
      <c r="G4644">
        <v>1</v>
      </c>
    </row>
    <row r="4645" spans="1:7" x14ac:dyDescent="0.25">
      <c r="A4645">
        <v>21</v>
      </c>
      <c r="B4645" t="s">
        <v>4473</v>
      </c>
      <c r="C4645">
        <v>14080</v>
      </c>
      <c r="D4645" t="str">
        <f>"0390-6701"</f>
        <v>0390-6701</v>
      </c>
      <c r="E4645" t="s">
        <v>8</v>
      </c>
      <c r="F4645" t="s">
        <v>4654</v>
      </c>
      <c r="G4645">
        <v>1</v>
      </c>
    </row>
    <row r="4646" spans="1:7" x14ac:dyDescent="0.25">
      <c r="A4646">
        <v>21</v>
      </c>
      <c r="B4646" t="s">
        <v>4473</v>
      </c>
      <c r="C4646">
        <v>3793</v>
      </c>
      <c r="D4646" t="str">
        <f>"0020-8701"</f>
        <v>0020-8701</v>
      </c>
      <c r="E4646" t="s">
        <v>8</v>
      </c>
      <c r="F4646" t="s">
        <v>4655</v>
      </c>
      <c r="G4646">
        <v>1</v>
      </c>
    </row>
    <row r="4647" spans="1:7" x14ac:dyDescent="0.25">
      <c r="A4647">
        <v>21</v>
      </c>
      <c r="B4647" t="s">
        <v>4473</v>
      </c>
      <c r="C4647">
        <v>18323</v>
      </c>
      <c r="D4647" t="str">
        <f>"0278-2308"</f>
        <v>0278-2308</v>
      </c>
      <c r="E4647" t="s">
        <v>8</v>
      </c>
      <c r="F4647" t="s">
        <v>4656</v>
      </c>
      <c r="G4647">
        <v>1</v>
      </c>
    </row>
    <row r="4648" spans="1:7" x14ac:dyDescent="0.25">
      <c r="A4648">
        <v>21</v>
      </c>
      <c r="B4648" t="s">
        <v>4473</v>
      </c>
      <c r="C4648">
        <v>6096</v>
      </c>
      <c r="D4648" t="str">
        <f>"0074-8684"</f>
        <v>0074-8684</v>
      </c>
      <c r="E4648" t="s">
        <v>15</v>
      </c>
      <c r="F4648" t="s">
        <v>4657</v>
      </c>
      <c r="G4648">
        <v>1</v>
      </c>
    </row>
    <row r="4649" spans="1:7" x14ac:dyDescent="0.25">
      <c r="A4649">
        <v>21</v>
      </c>
      <c r="B4649" t="s">
        <v>4473</v>
      </c>
      <c r="C4649">
        <v>7751627</v>
      </c>
      <c r="D4649" t="str">
        <f>"1925-1270"</f>
        <v>1925-1270</v>
      </c>
      <c r="E4649" t="s">
        <v>8</v>
      </c>
      <c r="F4649" t="s">
        <v>4658</v>
      </c>
      <c r="G4649">
        <v>1</v>
      </c>
    </row>
    <row r="4650" spans="1:7" x14ac:dyDescent="0.25">
      <c r="A4650">
        <v>21</v>
      </c>
      <c r="B4650" t="s">
        <v>4473</v>
      </c>
      <c r="C4650">
        <v>6522</v>
      </c>
      <c r="D4650" t="str">
        <f>"0791-6035"</f>
        <v>0791-6035</v>
      </c>
      <c r="E4650" t="s">
        <v>8</v>
      </c>
      <c r="F4650" t="s">
        <v>4659</v>
      </c>
      <c r="G4650">
        <v>1</v>
      </c>
    </row>
    <row r="4651" spans="1:7" x14ac:dyDescent="0.25">
      <c r="A4651">
        <v>21</v>
      </c>
      <c r="B4651" t="s">
        <v>4473</v>
      </c>
      <c r="C4651">
        <v>8782532</v>
      </c>
      <c r="D4651" t="str">
        <f>"2510-5019"</f>
        <v>2510-5019</v>
      </c>
      <c r="E4651" t="s">
        <v>8</v>
      </c>
      <c r="F4651" t="s">
        <v>4660</v>
      </c>
      <c r="G4651">
        <v>1</v>
      </c>
    </row>
    <row r="4652" spans="1:7" x14ac:dyDescent="0.25">
      <c r="A4652">
        <v>21</v>
      </c>
      <c r="B4652" t="s">
        <v>4473</v>
      </c>
      <c r="C4652">
        <v>27882</v>
      </c>
      <c r="D4652" t="str">
        <f>"1930-1189"</f>
        <v>1930-1189</v>
      </c>
      <c r="E4652" t="s">
        <v>8</v>
      </c>
      <c r="F4652" t="s">
        <v>4661</v>
      </c>
      <c r="G4652">
        <v>1</v>
      </c>
    </row>
    <row r="4653" spans="1:7" x14ac:dyDescent="0.25">
      <c r="A4653">
        <v>21</v>
      </c>
      <c r="B4653" t="s">
        <v>4473</v>
      </c>
      <c r="C4653">
        <v>10555</v>
      </c>
      <c r="D4653" t="str">
        <f>"0021-8308"</f>
        <v>0021-8308</v>
      </c>
      <c r="E4653" t="s">
        <v>8</v>
      </c>
      <c r="F4653" t="s">
        <v>4662</v>
      </c>
      <c r="G4653">
        <v>1</v>
      </c>
    </row>
    <row r="4654" spans="1:7" x14ac:dyDescent="0.25">
      <c r="A4654">
        <v>21</v>
      </c>
      <c r="B4654" t="s">
        <v>4473</v>
      </c>
      <c r="C4654">
        <v>4119</v>
      </c>
      <c r="D4654" t="str">
        <f>"0895-9420"</f>
        <v>0895-9420</v>
      </c>
      <c r="E4654" t="s">
        <v>8</v>
      </c>
      <c r="F4654" t="s">
        <v>4663</v>
      </c>
      <c r="G4654">
        <v>1</v>
      </c>
    </row>
    <row r="4655" spans="1:7" x14ac:dyDescent="0.25">
      <c r="A4655">
        <v>21</v>
      </c>
      <c r="B4655" t="s">
        <v>4473</v>
      </c>
      <c r="C4655">
        <v>26356</v>
      </c>
      <c r="D4655" t="str">
        <f>"1936-7244"</f>
        <v>1936-7244</v>
      </c>
      <c r="E4655" t="s">
        <v>8</v>
      </c>
      <c r="F4655" t="s">
        <v>4664</v>
      </c>
      <c r="G4655">
        <v>1</v>
      </c>
    </row>
    <row r="4656" spans="1:7" x14ac:dyDescent="0.25">
      <c r="A4656">
        <v>21</v>
      </c>
      <c r="B4656" t="s">
        <v>4473</v>
      </c>
      <c r="C4656">
        <v>7544</v>
      </c>
      <c r="D4656" t="str">
        <f>"1062-1024"</f>
        <v>1062-1024</v>
      </c>
      <c r="E4656" t="s">
        <v>8</v>
      </c>
      <c r="F4656" t="s">
        <v>4665</v>
      </c>
      <c r="G4656">
        <v>1</v>
      </c>
    </row>
    <row r="4657" spans="1:7" x14ac:dyDescent="0.25">
      <c r="A4657">
        <v>21</v>
      </c>
      <c r="B4657" t="s">
        <v>4473</v>
      </c>
      <c r="C4657">
        <v>16637</v>
      </c>
      <c r="D4657" t="str">
        <f>"1079-6126"</f>
        <v>1079-6126</v>
      </c>
      <c r="E4657" t="s">
        <v>8</v>
      </c>
      <c r="F4657" t="s">
        <v>4666</v>
      </c>
      <c r="G4657">
        <v>1</v>
      </c>
    </row>
    <row r="4658" spans="1:7" x14ac:dyDescent="0.25">
      <c r="A4658">
        <v>21</v>
      </c>
      <c r="B4658" t="s">
        <v>4473</v>
      </c>
      <c r="C4658">
        <v>1650</v>
      </c>
      <c r="D4658" t="str">
        <f>"1746-6660"</f>
        <v>1746-6660</v>
      </c>
      <c r="E4658" t="s">
        <v>8</v>
      </c>
      <c r="F4658" t="s">
        <v>4667</v>
      </c>
      <c r="G4658">
        <v>1</v>
      </c>
    </row>
    <row r="4659" spans="1:7" x14ac:dyDescent="0.25">
      <c r="A4659">
        <v>21</v>
      </c>
      <c r="B4659" t="s">
        <v>4473</v>
      </c>
      <c r="C4659">
        <v>9091</v>
      </c>
      <c r="D4659" t="str">
        <f>"1744-8689"</f>
        <v>1744-8689</v>
      </c>
      <c r="E4659" t="s">
        <v>8</v>
      </c>
      <c r="F4659" t="s">
        <v>4668</v>
      </c>
      <c r="G4659">
        <v>1</v>
      </c>
    </row>
    <row r="4660" spans="1:7" x14ac:dyDescent="0.25">
      <c r="A4660">
        <v>21</v>
      </c>
      <c r="B4660" t="s">
        <v>4473</v>
      </c>
      <c r="C4660">
        <v>8348</v>
      </c>
      <c r="D4660" t="str">
        <f>"0047-2328"</f>
        <v>0047-2328</v>
      </c>
      <c r="E4660" t="s">
        <v>8</v>
      </c>
      <c r="F4660" t="s">
        <v>4669</v>
      </c>
      <c r="G4660">
        <v>1</v>
      </c>
    </row>
    <row r="4661" spans="1:7" x14ac:dyDescent="0.25">
      <c r="A4661">
        <v>21</v>
      </c>
      <c r="B4661" t="s">
        <v>4473</v>
      </c>
      <c r="C4661">
        <v>5944</v>
      </c>
      <c r="E4661" t="s">
        <v>8</v>
      </c>
      <c r="F4661" t="s">
        <v>4670</v>
      </c>
      <c r="G4661">
        <v>1</v>
      </c>
    </row>
    <row r="4662" spans="1:7" x14ac:dyDescent="0.25">
      <c r="A4662">
        <v>21</v>
      </c>
      <c r="B4662" t="s">
        <v>4473</v>
      </c>
      <c r="C4662">
        <v>7175</v>
      </c>
      <c r="D4662" t="str">
        <f>"1476-7430"</f>
        <v>1476-7430</v>
      </c>
      <c r="E4662" t="s">
        <v>8</v>
      </c>
      <c r="F4662" t="s">
        <v>4671</v>
      </c>
      <c r="G4662">
        <v>1</v>
      </c>
    </row>
    <row r="4663" spans="1:7" x14ac:dyDescent="0.25">
      <c r="A4663">
        <v>21</v>
      </c>
      <c r="B4663" t="s">
        <v>4473</v>
      </c>
      <c r="C4663">
        <v>20332</v>
      </c>
      <c r="D4663" t="str">
        <f>"1753-0350"</f>
        <v>1753-0350</v>
      </c>
      <c r="E4663" t="s">
        <v>8</v>
      </c>
      <c r="F4663" t="s">
        <v>4672</v>
      </c>
      <c r="G4663">
        <v>1</v>
      </c>
    </row>
    <row r="4664" spans="1:7" x14ac:dyDescent="0.25">
      <c r="A4664">
        <v>21</v>
      </c>
      <c r="B4664" t="s">
        <v>4473</v>
      </c>
      <c r="C4664">
        <v>11250</v>
      </c>
      <c r="D4664" t="str">
        <f>"1044-2073"</f>
        <v>1044-2073</v>
      </c>
      <c r="E4664" t="s">
        <v>8</v>
      </c>
      <c r="F4664" t="s">
        <v>4673</v>
      </c>
      <c r="G4664">
        <v>1</v>
      </c>
    </row>
    <row r="4665" spans="1:7" x14ac:dyDescent="0.25">
      <c r="A4665">
        <v>21</v>
      </c>
      <c r="B4665" t="s">
        <v>4473</v>
      </c>
      <c r="C4665">
        <v>10730</v>
      </c>
      <c r="D4665" t="str">
        <f>"1050-2556"</f>
        <v>1050-2556</v>
      </c>
      <c r="E4665" t="s">
        <v>8</v>
      </c>
      <c r="F4665" t="s">
        <v>4674</v>
      </c>
      <c r="G4665">
        <v>1</v>
      </c>
    </row>
    <row r="4666" spans="1:7" x14ac:dyDescent="0.25">
      <c r="A4666">
        <v>21</v>
      </c>
      <c r="B4666" t="s">
        <v>4473</v>
      </c>
      <c r="C4666">
        <v>5276</v>
      </c>
      <c r="D4666" t="str">
        <f>"1523-908X"</f>
        <v>1523-908X</v>
      </c>
      <c r="E4666" t="s">
        <v>8</v>
      </c>
      <c r="F4666" t="s">
        <v>4675</v>
      </c>
      <c r="G4666">
        <v>1</v>
      </c>
    </row>
    <row r="4667" spans="1:7" x14ac:dyDescent="0.25">
      <c r="A4667">
        <v>21</v>
      </c>
      <c r="B4667" t="s">
        <v>4473</v>
      </c>
      <c r="C4667">
        <v>15590</v>
      </c>
      <c r="D4667" t="str">
        <f>"1531-3204"</f>
        <v>1531-3204</v>
      </c>
      <c r="E4667" t="s">
        <v>8</v>
      </c>
      <c r="F4667" t="s">
        <v>4676</v>
      </c>
      <c r="G4667">
        <v>1</v>
      </c>
    </row>
    <row r="4668" spans="1:7" x14ac:dyDescent="0.25">
      <c r="A4668">
        <v>21</v>
      </c>
      <c r="B4668" t="s">
        <v>4473</v>
      </c>
      <c r="C4668">
        <v>23415</v>
      </c>
      <c r="D4668" t="str">
        <f>"1543-3714"</f>
        <v>1543-3714</v>
      </c>
      <c r="E4668" t="s">
        <v>8</v>
      </c>
      <c r="F4668" t="s">
        <v>4677</v>
      </c>
      <c r="G4668">
        <v>1</v>
      </c>
    </row>
    <row r="4669" spans="1:7" x14ac:dyDescent="0.25">
      <c r="A4669">
        <v>21</v>
      </c>
      <c r="B4669" t="s">
        <v>4473</v>
      </c>
      <c r="C4669">
        <v>21323</v>
      </c>
      <c r="D4669" t="str">
        <f>"1573-3750"</f>
        <v>1573-3750</v>
      </c>
      <c r="E4669" t="s">
        <v>8</v>
      </c>
      <c r="F4669" t="s">
        <v>4678</v>
      </c>
      <c r="G4669">
        <v>1</v>
      </c>
    </row>
    <row r="4670" spans="1:7" x14ac:dyDescent="0.25">
      <c r="A4670">
        <v>21</v>
      </c>
      <c r="B4670" t="s">
        <v>4473</v>
      </c>
      <c r="C4670">
        <v>13001</v>
      </c>
      <c r="D4670" t="str">
        <f>"1052-2158"</f>
        <v>1052-2158</v>
      </c>
      <c r="E4670" t="s">
        <v>8</v>
      </c>
      <c r="F4670" t="s">
        <v>4679</v>
      </c>
      <c r="G4670">
        <v>1</v>
      </c>
    </row>
    <row r="4671" spans="1:7" x14ac:dyDescent="0.25">
      <c r="A4671">
        <v>21</v>
      </c>
      <c r="B4671" t="s">
        <v>4473</v>
      </c>
      <c r="C4671">
        <v>78321</v>
      </c>
      <c r="D4671" t="str">
        <f>"1910-7595"</f>
        <v>1910-7595</v>
      </c>
      <c r="E4671" t="s">
        <v>8</v>
      </c>
      <c r="F4671" t="s">
        <v>4680</v>
      </c>
      <c r="G4671">
        <v>1</v>
      </c>
    </row>
    <row r="4672" spans="1:7" x14ac:dyDescent="0.25">
      <c r="A4672">
        <v>21</v>
      </c>
      <c r="B4672" t="s">
        <v>4473</v>
      </c>
      <c r="C4672">
        <v>1691</v>
      </c>
      <c r="D4672" t="str">
        <f>"1079-3062"</f>
        <v>1079-3062</v>
      </c>
      <c r="E4672" t="s">
        <v>8</v>
      </c>
      <c r="F4672" t="s">
        <v>4681</v>
      </c>
      <c r="G4672">
        <v>1</v>
      </c>
    </row>
    <row r="4673" spans="1:7" x14ac:dyDescent="0.25">
      <c r="A4673">
        <v>21</v>
      </c>
      <c r="B4673" t="s">
        <v>4473</v>
      </c>
      <c r="C4673">
        <v>13323</v>
      </c>
      <c r="D4673" t="str">
        <f>"1053-8720"</f>
        <v>1053-8720</v>
      </c>
      <c r="E4673" t="s">
        <v>8</v>
      </c>
      <c r="F4673" t="s">
        <v>4682</v>
      </c>
      <c r="G4673">
        <v>1</v>
      </c>
    </row>
    <row r="4674" spans="1:7" x14ac:dyDescent="0.25">
      <c r="A4674">
        <v>21</v>
      </c>
      <c r="B4674" t="s">
        <v>4473</v>
      </c>
      <c r="C4674">
        <v>11079</v>
      </c>
      <c r="D4674" t="str">
        <f>"1538-1501"</f>
        <v>1538-1501</v>
      </c>
      <c r="E4674" t="s">
        <v>8</v>
      </c>
      <c r="F4674" t="s">
        <v>4683</v>
      </c>
      <c r="G4674">
        <v>1</v>
      </c>
    </row>
    <row r="4675" spans="1:7" x14ac:dyDescent="0.25">
      <c r="A4675">
        <v>21</v>
      </c>
      <c r="B4675" t="s">
        <v>4473</v>
      </c>
      <c r="C4675">
        <v>14256</v>
      </c>
      <c r="D4675" t="str">
        <f>"1556-2948"</f>
        <v>1556-2948</v>
      </c>
      <c r="E4675" t="s">
        <v>8</v>
      </c>
      <c r="F4675" t="s">
        <v>4684</v>
      </c>
      <c r="G4675">
        <v>1</v>
      </c>
    </row>
    <row r="4676" spans="1:7" x14ac:dyDescent="0.25">
      <c r="A4676">
        <v>21</v>
      </c>
      <c r="B4676" t="s">
        <v>4473</v>
      </c>
      <c r="C4676">
        <v>15083</v>
      </c>
      <c r="D4676" t="str">
        <f>"0022-250X"</f>
        <v>0022-250X</v>
      </c>
      <c r="E4676" t="s">
        <v>8</v>
      </c>
      <c r="F4676" t="s">
        <v>4685</v>
      </c>
      <c r="G4676">
        <v>1</v>
      </c>
    </row>
    <row r="4677" spans="1:7" x14ac:dyDescent="0.25">
      <c r="A4677">
        <v>21</v>
      </c>
      <c r="B4677" t="s">
        <v>4473</v>
      </c>
      <c r="C4677">
        <v>10269</v>
      </c>
      <c r="D4677" t="str">
        <f>"0047-2697"</f>
        <v>0047-2697</v>
      </c>
      <c r="E4677" t="s">
        <v>8</v>
      </c>
      <c r="F4677" t="s">
        <v>4686</v>
      </c>
      <c r="G4677">
        <v>1</v>
      </c>
    </row>
    <row r="4678" spans="1:7" x14ac:dyDescent="0.25">
      <c r="A4678">
        <v>21</v>
      </c>
      <c r="B4678" t="s">
        <v>4473</v>
      </c>
      <c r="C4678">
        <v>24881</v>
      </c>
      <c r="D4678" t="str">
        <f>"2158-379X"</f>
        <v>2158-379X</v>
      </c>
      <c r="E4678" t="s">
        <v>8</v>
      </c>
      <c r="F4678" t="s">
        <v>4687</v>
      </c>
      <c r="G4678">
        <v>1</v>
      </c>
    </row>
    <row r="4679" spans="1:7" x14ac:dyDescent="0.25">
      <c r="A4679">
        <v>21</v>
      </c>
      <c r="B4679" t="s">
        <v>4473</v>
      </c>
      <c r="C4679">
        <v>14431</v>
      </c>
      <c r="D4679" t="str">
        <f>"1042-8232"</f>
        <v>1042-8232</v>
      </c>
      <c r="E4679" t="s">
        <v>8</v>
      </c>
      <c r="F4679" t="s">
        <v>4688</v>
      </c>
      <c r="G4679">
        <v>1</v>
      </c>
    </row>
    <row r="4680" spans="1:7" x14ac:dyDescent="0.25">
      <c r="A4680">
        <v>21</v>
      </c>
      <c r="B4680" t="s">
        <v>4473</v>
      </c>
      <c r="C4680">
        <v>1441</v>
      </c>
      <c r="D4680" t="str">
        <f>"1542-6432"</f>
        <v>1542-6432</v>
      </c>
      <c r="E4680" t="s">
        <v>8</v>
      </c>
      <c r="F4680" t="s">
        <v>4689</v>
      </c>
      <c r="G4680">
        <v>1</v>
      </c>
    </row>
    <row r="4681" spans="1:7" x14ac:dyDescent="0.25">
      <c r="A4681">
        <v>21</v>
      </c>
      <c r="B4681" t="s">
        <v>4473</v>
      </c>
      <c r="C4681">
        <v>8598</v>
      </c>
      <c r="D4681" t="str">
        <f>"1366-9877"</f>
        <v>1366-9877</v>
      </c>
      <c r="E4681" t="s">
        <v>8</v>
      </c>
      <c r="F4681" t="s">
        <v>4690</v>
      </c>
      <c r="G4681">
        <v>1</v>
      </c>
    </row>
    <row r="4682" spans="1:7" x14ac:dyDescent="0.25">
      <c r="A4682">
        <v>21</v>
      </c>
      <c r="B4682" t="s">
        <v>4473</v>
      </c>
      <c r="C4682">
        <v>7652770</v>
      </c>
      <c r="D4682" t="str">
        <f>"2151-4178"</f>
        <v>2151-4178</v>
      </c>
      <c r="E4682" t="s">
        <v>8</v>
      </c>
      <c r="F4682" t="s">
        <v>4691</v>
      </c>
      <c r="G4682">
        <v>1</v>
      </c>
    </row>
    <row r="4683" spans="1:7" x14ac:dyDescent="0.25">
      <c r="A4683">
        <v>21</v>
      </c>
      <c r="B4683" t="s">
        <v>4473</v>
      </c>
      <c r="C4683">
        <v>14275</v>
      </c>
      <c r="D4683" t="str">
        <f>"0148-8376"</f>
        <v>0148-8376</v>
      </c>
      <c r="E4683" t="s">
        <v>8</v>
      </c>
      <c r="F4683" t="s">
        <v>4692</v>
      </c>
      <c r="G4683">
        <v>1</v>
      </c>
    </row>
    <row r="4684" spans="1:7" x14ac:dyDescent="0.25">
      <c r="A4684">
        <v>21</v>
      </c>
      <c r="B4684" t="s">
        <v>4473</v>
      </c>
      <c r="C4684">
        <v>291</v>
      </c>
      <c r="E4684" t="s">
        <v>8</v>
      </c>
      <c r="F4684" t="s">
        <v>4693</v>
      </c>
      <c r="G4684">
        <v>1</v>
      </c>
    </row>
    <row r="4685" spans="1:7" x14ac:dyDescent="0.25">
      <c r="A4685">
        <v>21</v>
      </c>
      <c r="B4685" t="s">
        <v>4473</v>
      </c>
      <c r="C4685">
        <v>7</v>
      </c>
      <c r="D4685" t="str">
        <f>"1468-0173"</f>
        <v>1468-0173</v>
      </c>
      <c r="E4685" t="s">
        <v>8</v>
      </c>
      <c r="F4685" t="s">
        <v>4694</v>
      </c>
      <c r="G4685">
        <v>1</v>
      </c>
    </row>
    <row r="4686" spans="1:7" x14ac:dyDescent="0.25">
      <c r="A4686">
        <v>21</v>
      </c>
      <c r="B4686" t="s">
        <v>4473</v>
      </c>
      <c r="C4686">
        <v>14720</v>
      </c>
      <c r="D4686" t="str">
        <f>"1536-710X"</f>
        <v>1536-710X</v>
      </c>
      <c r="E4686" t="s">
        <v>8</v>
      </c>
      <c r="F4686" t="s">
        <v>4695</v>
      </c>
      <c r="G4686">
        <v>1</v>
      </c>
    </row>
    <row r="4687" spans="1:7" x14ac:dyDescent="0.25">
      <c r="A4687">
        <v>21</v>
      </c>
      <c r="B4687" t="s">
        <v>4473</v>
      </c>
      <c r="C4687">
        <v>1142</v>
      </c>
      <c r="D4687" t="str">
        <f>"1552-4256"</f>
        <v>1552-4256</v>
      </c>
      <c r="E4687" t="s">
        <v>8</v>
      </c>
      <c r="F4687" t="s">
        <v>4696</v>
      </c>
      <c r="G4687">
        <v>1</v>
      </c>
    </row>
    <row r="4688" spans="1:7" x14ac:dyDescent="0.25">
      <c r="A4688">
        <v>21</v>
      </c>
      <c r="B4688" t="s">
        <v>4473</v>
      </c>
      <c r="C4688">
        <v>8187</v>
      </c>
      <c r="D4688" t="str">
        <f>"0265-0533"</f>
        <v>0265-0533</v>
      </c>
      <c r="E4688" t="s">
        <v>8</v>
      </c>
      <c r="F4688" t="s">
        <v>4697</v>
      </c>
      <c r="G4688">
        <v>1</v>
      </c>
    </row>
    <row r="4689" spans="1:7" x14ac:dyDescent="0.25">
      <c r="A4689">
        <v>21</v>
      </c>
      <c r="B4689" t="s">
        <v>4473</v>
      </c>
      <c r="C4689">
        <v>1568</v>
      </c>
      <c r="D4689" t="str">
        <f>"1533-256X"</f>
        <v>1533-256X</v>
      </c>
      <c r="E4689" t="s">
        <v>8</v>
      </c>
      <c r="F4689" t="s">
        <v>4698</v>
      </c>
      <c r="G4689">
        <v>1</v>
      </c>
    </row>
    <row r="4690" spans="1:7" x14ac:dyDescent="0.25">
      <c r="A4690">
        <v>21</v>
      </c>
      <c r="B4690" t="s">
        <v>4473</v>
      </c>
      <c r="C4690">
        <v>61937</v>
      </c>
      <c r="E4690" t="s">
        <v>8</v>
      </c>
      <c r="F4690" t="s">
        <v>4699</v>
      </c>
      <c r="G4690">
        <v>1</v>
      </c>
    </row>
    <row r="4691" spans="1:7" x14ac:dyDescent="0.25">
      <c r="A4691">
        <v>21</v>
      </c>
      <c r="B4691" t="s">
        <v>4473</v>
      </c>
      <c r="C4691">
        <v>4200</v>
      </c>
      <c r="D4691" t="str">
        <f>"1440-7833"</f>
        <v>1440-7833</v>
      </c>
      <c r="E4691" t="s">
        <v>8</v>
      </c>
      <c r="F4691" t="s">
        <v>4700</v>
      </c>
      <c r="G4691">
        <v>1</v>
      </c>
    </row>
    <row r="4692" spans="1:7" x14ac:dyDescent="0.25">
      <c r="A4692">
        <v>21</v>
      </c>
      <c r="B4692" t="s">
        <v>4473</v>
      </c>
      <c r="C4692">
        <v>12272</v>
      </c>
      <c r="D4692" t="str">
        <f>"0191-5096"</f>
        <v>0191-5096</v>
      </c>
      <c r="E4692" t="s">
        <v>8</v>
      </c>
      <c r="F4692" t="s">
        <v>4701</v>
      </c>
      <c r="G4692">
        <v>1</v>
      </c>
    </row>
    <row r="4693" spans="1:7" x14ac:dyDescent="0.25">
      <c r="A4693">
        <v>21</v>
      </c>
      <c r="B4693" t="s">
        <v>4473</v>
      </c>
      <c r="C4693">
        <v>3250</v>
      </c>
      <c r="D4693" t="str">
        <f>"1937-1888"</f>
        <v>1937-1888</v>
      </c>
      <c r="E4693" t="s">
        <v>8</v>
      </c>
      <c r="F4693" t="s">
        <v>4702</v>
      </c>
      <c r="G4693">
        <v>1</v>
      </c>
    </row>
    <row r="4694" spans="1:7" x14ac:dyDescent="0.25">
      <c r="A4694">
        <v>21</v>
      </c>
      <c r="B4694" t="s">
        <v>4473</v>
      </c>
      <c r="C4694">
        <v>3280</v>
      </c>
      <c r="D4694" t="str">
        <f>"0884-1233"</f>
        <v>0884-1233</v>
      </c>
      <c r="E4694" t="s">
        <v>8</v>
      </c>
      <c r="F4694" t="s">
        <v>4703</v>
      </c>
      <c r="G4694">
        <v>1</v>
      </c>
    </row>
    <row r="4695" spans="1:7" x14ac:dyDescent="0.25">
      <c r="A4695">
        <v>21</v>
      </c>
      <c r="B4695" t="s">
        <v>4473</v>
      </c>
      <c r="C4695">
        <v>27606</v>
      </c>
      <c r="D4695" t="str">
        <f>"0253-1097"</f>
        <v>0253-1097</v>
      </c>
      <c r="E4695" t="s">
        <v>8</v>
      </c>
      <c r="F4695" t="s">
        <v>4704</v>
      </c>
      <c r="G4695">
        <v>1</v>
      </c>
    </row>
    <row r="4696" spans="1:7" x14ac:dyDescent="0.25">
      <c r="A4696">
        <v>21</v>
      </c>
      <c r="B4696" t="s">
        <v>4473</v>
      </c>
      <c r="C4696">
        <v>72271</v>
      </c>
      <c r="D4696" t="str">
        <f>"1176-5119"</f>
        <v>1176-5119</v>
      </c>
      <c r="E4696" t="s">
        <v>8</v>
      </c>
      <c r="F4696" t="s">
        <v>4705</v>
      </c>
      <c r="G4696">
        <v>1</v>
      </c>
    </row>
    <row r="4697" spans="1:7" x14ac:dyDescent="0.25">
      <c r="A4697">
        <v>21</v>
      </c>
      <c r="B4697" t="s">
        <v>4473</v>
      </c>
      <c r="C4697">
        <v>15173</v>
      </c>
      <c r="D4697" t="str">
        <f>"0160-449X"</f>
        <v>0160-449X</v>
      </c>
      <c r="E4697" t="s">
        <v>8</v>
      </c>
      <c r="F4697" t="s">
        <v>4706</v>
      </c>
      <c r="G4697">
        <v>1</v>
      </c>
    </row>
    <row r="4698" spans="1:7" x14ac:dyDescent="0.25">
      <c r="A4698">
        <v>21</v>
      </c>
      <c r="B4698" t="s">
        <v>4473</v>
      </c>
      <c r="C4698">
        <v>19841</v>
      </c>
      <c r="D4698" t="str">
        <f>"1030-1763"</f>
        <v>1030-1763</v>
      </c>
      <c r="E4698" t="s">
        <v>8</v>
      </c>
      <c r="F4698" t="s">
        <v>4707</v>
      </c>
      <c r="G4698">
        <v>1</v>
      </c>
    </row>
    <row r="4699" spans="1:7" x14ac:dyDescent="0.25">
      <c r="A4699">
        <v>21</v>
      </c>
      <c r="B4699" t="s">
        <v>4473</v>
      </c>
      <c r="C4699">
        <v>55710</v>
      </c>
      <c r="D4699" t="str">
        <f>"0066-2399"</f>
        <v>0066-2399</v>
      </c>
      <c r="E4699" t="s">
        <v>8</v>
      </c>
      <c r="F4699" t="s">
        <v>4708</v>
      </c>
      <c r="G4699">
        <v>1</v>
      </c>
    </row>
    <row r="4700" spans="1:7" x14ac:dyDescent="0.25">
      <c r="A4700">
        <v>21</v>
      </c>
      <c r="B4700" t="s">
        <v>4473</v>
      </c>
      <c r="C4700">
        <v>8783320</v>
      </c>
      <c r="E4700" t="s">
        <v>8</v>
      </c>
      <c r="F4700" t="s">
        <v>4709</v>
      </c>
      <c r="G4700">
        <v>1</v>
      </c>
    </row>
    <row r="4701" spans="1:7" x14ac:dyDescent="0.25">
      <c r="A4701">
        <v>21</v>
      </c>
      <c r="B4701" t="s">
        <v>4473</v>
      </c>
      <c r="C4701">
        <v>4774</v>
      </c>
      <c r="D4701" t="str">
        <f>"0261-4367"</f>
        <v>0261-4367</v>
      </c>
      <c r="E4701" t="s">
        <v>8</v>
      </c>
      <c r="F4701" t="s">
        <v>4710</v>
      </c>
      <c r="G4701">
        <v>1</v>
      </c>
    </row>
    <row r="4702" spans="1:7" x14ac:dyDescent="0.25">
      <c r="A4702">
        <v>21</v>
      </c>
      <c r="B4702" t="s">
        <v>4473</v>
      </c>
      <c r="C4702">
        <v>11708</v>
      </c>
      <c r="D4702" t="str">
        <f>"0705-3436"</f>
        <v>0705-3436</v>
      </c>
      <c r="E4702" t="s">
        <v>8</v>
      </c>
      <c r="F4702" t="s">
        <v>4711</v>
      </c>
      <c r="G4702">
        <v>1</v>
      </c>
    </row>
    <row r="4703" spans="1:7" x14ac:dyDescent="0.25">
      <c r="A4703">
        <v>21</v>
      </c>
      <c r="B4703" t="s">
        <v>4473</v>
      </c>
      <c r="C4703">
        <v>8754</v>
      </c>
      <c r="D4703" t="str">
        <f>"0149-4929"</f>
        <v>0149-4929</v>
      </c>
      <c r="E4703" t="s">
        <v>8</v>
      </c>
      <c r="F4703" t="s">
        <v>4712</v>
      </c>
      <c r="G4703">
        <v>1</v>
      </c>
    </row>
    <row r="4704" spans="1:7" x14ac:dyDescent="0.25">
      <c r="A4704">
        <v>21</v>
      </c>
      <c r="B4704" t="s">
        <v>4473</v>
      </c>
      <c r="C4704">
        <v>27317</v>
      </c>
      <c r="D4704" t="str">
        <f>"1470-8078"</f>
        <v>1470-8078</v>
      </c>
      <c r="E4704" t="s">
        <v>8</v>
      </c>
      <c r="F4704" t="s">
        <v>4713</v>
      </c>
      <c r="G4704">
        <v>1</v>
      </c>
    </row>
    <row r="4705" spans="1:7" x14ac:dyDescent="0.25">
      <c r="A4705">
        <v>21</v>
      </c>
      <c r="B4705" t="s">
        <v>4473</v>
      </c>
      <c r="C4705">
        <v>10626</v>
      </c>
      <c r="D4705" t="str">
        <f>"1536-6367"</f>
        <v>1536-6367</v>
      </c>
      <c r="E4705" t="s">
        <v>8</v>
      </c>
      <c r="F4705" t="s">
        <v>4714</v>
      </c>
      <c r="G4705">
        <v>1</v>
      </c>
    </row>
    <row r="4706" spans="1:7" x14ac:dyDescent="0.25">
      <c r="A4706">
        <v>21</v>
      </c>
      <c r="B4706" t="s">
        <v>4473</v>
      </c>
      <c r="C4706">
        <v>39343</v>
      </c>
      <c r="D4706" t="str">
        <f>"1748-0612"</f>
        <v>1748-0612</v>
      </c>
      <c r="E4706" t="s">
        <v>8</v>
      </c>
      <c r="F4706" t="s">
        <v>4715</v>
      </c>
      <c r="G4706">
        <v>1</v>
      </c>
    </row>
    <row r="4707" spans="1:7" x14ac:dyDescent="0.25">
      <c r="A4707">
        <v>21</v>
      </c>
      <c r="B4707" t="s">
        <v>4473</v>
      </c>
      <c r="C4707">
        <v>28562</v>
      </c>
      <c r="E4707" t="s">
        <v>8</v>
      </c>
      <c r="F4707" t="s">
        <v>4716</v>
      </c>
      <c r="G4707">
        <v>1</v>
      </c>
    </row>
    <row r="4708" spans="1:7" x14ac:dyDescent="0.25">
      <c r="A4708">
        <v>21</v>
      </c>
      <c r="B4708" t="s">
        <v>4473</v>
      </c>
      <c r="C4708">
        <v>8782520</v>
      </c>
      <c r="D4708" t="str">
        <f>"2446-0710"</f>
        <v>2446-0710</v>
      </c>
      <c r="E4708" t="s">
        <v>15</v>
      </c>
      <c r="F4708" t="s">
        <v>4717</v>
      </c>
      <c r="G4708">
        <v>1</v>
      </c>
    </row>
    <row r="4709" spans="1:7" x14ac:dyDescent="0.25">
      <c r="A4709">
        <v>21</v>
      </c>
      <c r="B4709" t="s">
        <v>4473</v>
      </c>
      <c r="C4709">
        <v>13799</v>
      </c>
      <c r="D4709" t="str">
        <f>"1086-671X"</f>
        <v>1086-671X</v>
      </c>
      <c r="E4709" t="s">
        <v>8</v>
      </c>
      <c r="F4709" t="s">
        <v>4718</v>
      </c>
      <c r="G4709">
        <v>1</v>
      </c>
    </row>
    <row r="4710" spans="1:7" x14ac:dyDescent="0.25">
      <c r="A4710">
        <v>21</v>
      </c>
      <c r="B4710" t="s">
        <v>4473</v>
      </c>
      <c r="C4710">
        <v>27129</v>
      </c>
      <c r="D4710" t="str">
        <f>"1558-6073"</f>
        <v>1558-6073</v>
      </c>
      <c r="E4710" t="s">
        <v>8</v>
      </c>
      <c r="F4710" t="s">
        <v>4719</v>
      </c>
      <c r="G4710">
        <v>1</v>
      </c>
    </row>
    <row r="4711" spans="1:7" x14ac:dyDescent="0.25">
      <c r="A4711">
        <v>21</v>
      </c>
      <c r="B4711" t="s">
        <v>4473</v>
      </c>
      <c r="C4711">
        <v>1306</v>
      </c>
      <c r="D4711" t="str">
        <f>"1520-3247"</f>
        <v>1520-3247</v>
      </c>
      <c r="E4711" t="s">
        <v>8</v>
      </c>
      <c r="F4711" t="s">
        <v>4720</v>
      </c>
      <c r="G4711">
        <v>1</v>
      </c>
    </row>
    <row r="4712" spans="1:7" x14ac:dyDescent="0.25">
      <c r="A4712">
        <v>21</v>
      </c>
      <c r="B4712" t="s">
        <v>4473</v>
      </c>
      <c r="C4712">
        <v>170272</v>
      </c>
      <c r="E4712" t="s">
        <v>15</v>
      </c>
      <c r="F4712" t="s">
        <v>4721</v>
      </c>
      <c r="G4712">
        <v>1</v>
      </c>
    </row>
    <row r="4713" spans="1:7" x14ac:dyDescent="0.25">
      <c r="A4713">
        <v>21</v>
      </c>
      <c r="B4713" t="s">
        <v>4473</v>
      </c>
      <c r="C4713">
        <v>13597</v>
      </c>
      <c r="D4713" t="str">
        <f>"0268-1072"</f>
        <v>0268-1072</v>
      </c>
      <c r="E4713" t="s">
        <v>8</v>
      </c>
      <c r="F4713" t="s">
        <v>4722</v>
      </c>
      <c r="G4713">
        <v>1</v>
      </c>
    </row>
    <row r="4714" spans="1:7" x14ac:dyDescent="0.25">
      <c r="A4714">
        <v>21</v>
      </c>
      <c r="B4714" t="s">
        <v>4473</v>
      </c>
      <c r="C4714">
        <v>43471</v>
      </c>
      <c r="D4714" t="str">
        <f>"0112-921X"</f>
        <v>0112-921X</v>
      </c>
      <c r="E4714" t="s">
        <v>8</v>
      </c>
      <c r="F4714" t="s">
        <v>4723</v>
      </c>
      <c r="G4714">
        <v>1</v>
      </c>
    </row>
    <row r="4715" spans="1:7" x14ac:dyDescent="0.25">
      <c r="A4715">
        <v>21</v>
      </c>
      <c r="B4715" t="s">
        <v>4473</v>
      </c>
      <c r="C4715">
        <v>1672</v>
      </c>
      <c r="D4715" t="str">
        <f>"0899-7640"</f>
        <v>0899-7640</v>
      </c>
      <c r="E4715" t="s">
        <v>8</v>
      </c>
      <c r="F4715" t="s">
        <v>4724</v>
      </c>
      <c r="G4715">
        <v>1</v>
      </c>
    </row>
    <row r="4716" spans="1:7" x14ac:dyDescent="0.25">
      <c r="A4716">
        <v>21</v>
      </c>
      <c r="B4716" t="s">
        <v>4473</v>
      </c>
      <c r="C4716">
        <v>7882</v>
      </c>
      <c r="D4716" t="str">
        <f>"2578-983x"</f>
        <v>2578-983x</v>
      </c>
      <c r="E4716" t="s">
        <v>8</v>
      </c>
      <c r="F4716" t="s">
        <v>4725</v>
      </c>
      <c r="G4716">
        <v>1</v>
      </c>
    </row>
    <row r="4717" spans="1:7" x14ac:dyDescent="0.25">
      <c r="A4717">
        <v>21</v>
      </c>
      <c r="B4717" t="s">
        <v>4473</v>
      </c>
      <c r="C4717">
        <v>170433</v>
      </c>
      <c r="E4717" t="s">
        <v>8</v>
      </c>
      <c r="F4717" t="s">
        <v>4726</v>
      </c>
      <c r="G4717">
        <v>1</v>
      </c>
    </row>
    <row r="4718" spans="1:7" x14ac:dyDescent="0.25">
      <c r="A4718">
        <v>21</v>
      </c>
      <c r="B4718" t="s">
        <v>4473</v>
      </c>
      <c r="C4718">
        <v>170432</v>
      </c>
      <c r="E4718" t="s">
        <v>8</v>
      </c>
      <c r="F4718" t="s">
        <v>4727</v>
      </c>
      <c r="G4718">
        <v>1</v>
      </c>
    </row>
    <row r="4719" spans="1:7" x14ac:dyDescent="0.25">
      <c r="A4719">
        <v>21</v>
      </c>
      <c r="B4719" t="s">
        <v>4473</v>
      </c>
      <c r="C4719">
        <v>7728303</v>
      </c>
      <c r="D4719" t="str">
        <f>"2156-857X"</f>
        <v>2156-857X</v>
      </c>
      <c r="E4719" t="s">
        <v>8</v>
      </c>
      <c r="F4719" t="s">
        <v>4728</v>
      </c>
      <c r="G4719">
        <v>1</v>
      </c>
    </row>
    <row r="4720" spans="1:7" x14ac:dyDescent="0.25">
      <c r="A4720">
        <v>21</v>
      </c>
      <c r="B4720" t="s">
        <v>4473</v>
      </c>
      <c r="C4720">
        <v>81070</v>
      </c>
      <c r="E4720" t="s">
        <v>8</v>
      </c>
      <c r="F4720" t="s">
        <v>4729</v>
      </c>
      <c r="G4720">
        <v>1</v>
      </c>
    </row>
    <row r="4721" spans="1:7" x14ac:dyDescent="0.25">
      <c r="A4721">
        <v>21</v>
      </c>
      <c r="B4721" t="s">
        <v>4473</v>
      </c>
      <c r="C4721">
        <v>8783368</v>
      </c>
      <c r="E4721" t="s">
        <v>8</v>
      </c>
      <c r="F4721" t="s">
        <v>4730</v>
      </c>
      <c r="G4721">
        <v>1</v>
      </c>
    </row>
    <row r="4722" spans="1:7" x14ac:dyDescent="0.25">
      <c r="A4722">
        <v>21</v>
      </c>
      <c r="B4722" t="s">
        <v>4473</v>
      </c>
      <c r="C4722">
        <v>5950</v>
      </c>
      <c r="E4722" t="s">
        <v>8</v>
      </c>
      <c r="F4722" t="s">
        <v>4731</v>
      </c>
      <c r="G4722">
        <v>1</v>
      </c>
    </row>
    <row r="4723" spans="1:7" x14ac:dyDescent="0.25">
      <c r="A4723">
        <v>21</v>
      </c>
      <c r="B4723" t="s">
        <v>4473</v>
      </c>
      <c r="C4723">
        <v>8782665</v>
      </c>
      <c r="E4723" t="s">
        <v>8</v>
      </c>
      <c r="F4723" t="s">
        <v>4732</v>
      </c>
      <c r="G4723">
        <v>1</v>
      </c>
    </row>
    <row r="4724" spans="1:7" x14ac:dyDescent="0.25">
      <c r="A4724">
        <v>21</v>
      </c>
      <c r="B4724" t="s">
        <v>4473</v>
      </c>
      <c r="C4724">
        <v>2706</v>
      </c>
      <c r="D4724" t="str">
        <f>"1396-3953"</f>
        <v>1396-3953</v>
      </c>
      <c r="E4724" t="s">
        <v>8</v>
      </c>
      <c r="F4724" t="s">
        <v>4733</v>
      </c>
      <c r="G4724">
        <v>1</v>
      </c>
    </row>
    <row r="4725" spans="1:7" x14ac:dyDescent="0.25">
      <c r="A4725">
        <v>21</v>
      </c>
      <c r="B4725" t="s">
        <v>4473</v>
      </c>
      <c r="C4725">
        <v>8782717</v>
      </c>
      <c r="E4725" t="s">
        <v>8</v>
      </c>
      <c r="F4725" t="s">
        <v>4734</v>
      </c>
      <c r="G4725">
        <v>1</v>
      </c>
    </row>
    <row r="4726" spans="1:7" x14ac:dyDescent="0.25">
      <c r="A4726">
        <v>21</v>
      </c>
      <c r="B4726" t="s">
        <v>4473</v>
      </c>
      <c r="C4726">
        <v>11512</v>
      </c>
      <c r="D4726" t="str">
        <f>"0800-336X"</f>
        <v>0800-336X</v>
      </c>
      <c r="E4726" t="s">
        <v>8</v>
      </c>
      <c r="F4726" t="s">
        <v>4735</v>
      </c>
      <c r="G4726">
        <v>1</v>
      </c>
    </row>
    <row r="4727" spans="1:7" x14ac:dyDescent="0.25">
      <c r="A4727">
        <v>21</v>
      </c>
      <c r="B4727" t="s">
        <v>4473</v>
      </c>
      <c r="C4727">
        <v>26852</v>
      </c>
      <c r="D4727" t="str">
        <f>"1011-0070"</f>
        <v>1011-0070</v>
      </c>
      <c r="E4727" t="s">
        <v>8</v>
      </c>
      <c r="F4727" t="s">
        <v>4736</v>
      </c>
      <c r="G4727">
        <v>1</v>
      </c>
    </row>
    <row r="4728" spans="1:7" x14ac:dyDescent="0.25">
      <c r="A4728">
        <v>21</v>
      </c>
      <c r="B4728" t="s">
        <v>4473</v>
      </c>
      <c r="C4728">
        <v>7688388</v>
      </c>
      <c r="D4728" t="str">
        <f>"1904-0210"</f>
        <v>1904-0210</v>
      </c>
      <c r="E4728" t="s">
        <v>8</v>
      </c>
      <c r="F4728" t="s">
        <v>4737</v>
      </c>
      <c r="G4728">
        <v>1</v>
      </c>
    </row>
    <row r="4729" spans="1:7" x14ac:dyDescent="0.25">
      <c r="A4729">
        <v>21</v>
      </c>
      <c r="B4729" t="s">
        <v>4473</v>
      </c>
      <c r="C4729">
        <v>8783518</v>
      </c>
      <c r="E4729" t="s">
        <v>15</v>
      </c>
      <c r="F4729" t="s">
        <v>4738</v>
      </c>
      <c r="G4729">
        <v>1</v>
      </c>
    </row>
    <row r="4730" spans="1:7" x14ac:dyDescent="0.25">
      <c r="A4730">
        <v>21</v>
      </c>
      <c r="B4730" t="s">
        <v>4473</v>
      </c>
      <c r="C4730">
        <v>2</v>
      </c>
      <c r="D4730" t="str">
        <f>"1021-5573"</f>
        <v>1021-5573</v>
      </c>
      <c r="E4730" t="s">
        <v>8</v>
      </c>
      <c r="F4730" t="s">
        <v>4739</v>
      </c>
      <c r="G4730">
        <v>1</v>
      </c>
    </row>
    <row r="4731" spans="1:7" x14ac:dyDescent="0.25">
      <c r="A4731">
        <v>21</v>
      </c>
      <c r="B4731" t="s">
        <v>4473</v>
      </c>
      <c r="C4731">
        <v>58574</v>
      </c>
      <c r="D4731" t="str">
        <f>"0210-2862"</f>
        <v>0210-2862</v>
      </c>
      <c r="E4731" t="s">
        <v>8</v>
      </c>
      <c r="F4731" t="s">
        <v>4740</v>
      </c>
      <c r="G4731">
        <v>1</v>
      </c>
    </row>
    <row r="4732" spans="1:7" x14ac:dyDescent="0.25">
      <c r="A4732">
        <v>21</v>
      </c>
      <c r="B4732" t="s">
        <v>4473</v>
      </c>
      <c r="C4732">
        <v>5840</v>
      </c>
      <c r="D4732" t="str">
        <f>"0031-322X"</f>
        <v>0031-322X</v>
      </c>
      <c r="E4732" t="s">
        <v>8</v>
      </c>
      <c r="F4732" t="s">
        <v>4741</v>
      </c>
      <c r="G4732">
        <v>1</v>
      </c>
    </row>
    <row r="4733" spans="1:7" x14ac:dyDescent="0.25">
      <c r="A4733">
        <v>21</v>
      </c>
      <c r="B4733" t="s">
        <v>4473</v>
      </c>
      <c r="C4733">
        <v>6237655</v>
      </c>
      <c r="D4733" t="str">
        <f>"2151-0806"</f>
        <v>2151-0806</v>
      </c>
      <c r="E4733" t="s">
        <v>8</v>
      </c>
      <c r="F4733" t="s">
        <v>4742</v>
      </c>
      <c r="G4733">
        <v>1</v>
      </c>
    </row>
    <row r="4734" spans="1:7" x14ac:dyDescent="0.25">
      <c r="A4734">
        <v>21</v>
      </c>
      <c r="B4734" t="s">
        <v>4473</v>
      </c>
      <c r="C4734">
        <v>15496</v>
      </c>
      <c r="D4734" t="str">
        <f>"1538-6341"</f>
        <v>1538-6341</v>
      </c>
      <c r="E4734" t="s">
        <v>8</v>
      </c>
      <c r="F4734" t="s">
        <v>4743</v>
      </c>
      <c r="G4734">
        <v>1</v>
      </c>
    </row>
    <row r="4735" spans="1:7" x14ac:dyDescent="0.25">
      <c r="A4735">
        <v>21</v>
      </c>
      <c r="B4735" t="s">
        <v>4473</v>
      </c>
      <c r="C4735">
        <v>17578</v>
      </c>
      <c r="D4735" t="str">
        <f>"1231-1413"</f>
        <v>1231-1413</v>
      </c>
      <c r="E4735" t="s">
        <v>8</v>
      </c>
      <c r="F4735" t="s">
        <v>4744</v>
      </c>
      <c r="G4735">
        <v>1</v>
      </c>
    </row>
    <row r="4736" spans="1:7" x14ac:dyDescent="0.25">
      <c r="A4736">
        <v>21</v>
      </c>
      <c r="B4736" t="s">
        <v>4473</v>
      </c>
      <c r="C4736">
        <v>27589</v>
      </c>
      <c r="D4736" t="str">
        <f>"1902-2271"</f>
        <v>1902-2271</v>
      </c>
      <c r="E4736" t="s">
        <v>8</v>
      </c>
      <c r="F4736" t="s">
        <v>4745</v>
      </c>
      <c r="G4736">
        <v>1</v>
      </c>
    </row>
    <row r="4737" spans="1:7" x14ac:dyDescent="0.25">
      <c r="A4737">
        <v>21</v>
      </c>
      <c r="B4737" t="s">
        <v>4473</v>
      </c>
      <c r="C4737">
        <v>8783519</v>
      </c>
      <c r="E4737" t="s">
        <v>15</v>
      </c>
      <c r="F4737" t="s">
        <v>4746</v>
      </c>
      <c r="G4737">
        <v>1</v>
      </c>
    </row>
    <row r="4738" spans="1:7" x14ac:dyDescent="0.25">
      <c r="A4738">
        <v>21</v>
      </c>
      <c r="B4738" t="s">
        <v>4473</v>
      </c>
      <c r="C4738">
        <v>8783319</v>
      </c>
      <c r="E4738" t="s">
        <v>8</v>
      </c>
      <c r="F4738" t="s">
        <v>4747</v>
      </c>
      <c r="G4738">
        <v>1</v>
      </c>
    </row>
    <row r="4739" spans="1:7" x14ac:dyDescent="0.25">
      <c r="A4739">
        <v>21</v>
      </c>
      <c r="B4739" t="s">
        <v>4473</v>
      </c>
      <c r="C4739">
        <v>180182</v>
      </c>
      <c r="E4739" t="s">
        <v>8</v>
      </c>
      <c r="F4739" t="s">
        <v>4748</v>
      </c>
      <c r="G4739">
        <v>1</v>
      </c>
    </row>
    <row r="4740" spans="1:7" x14ac:dyDescent="0.25">
      <c r="A4740">
        <v>21</v>
      </c>
      <c r="B4740" t="s">
        <v>4473</v>
      </c>
      <c r="C4740">
        <v>16462</v>
      </c>
      <c r="D4740" t="str">
        <f>"1522-8878"</f>
        <v>1522-8878</v>
      </c>
      <c r="E4740" t="s">
        <v>8</v>
      </c>
      <c r="F4740" t="s">
        <v>4749</v>
      </c>
      <c r="G4740">
        <v>1</v>
      </c>
    </row>
    <row r="4741" spans="1:7" x14ac:dyDescent="0.25">
      <c r="A4741">
        <v>21</v>
      </c>
      <c r="B4741" t="s">
        <v>4473</v>
      </c>
      <c r="C4741">
        <v>8782640</v>
      </c>
      <c r="E4741" t="s">
        <v>8</v>
      </c>
      <c r="F4741" t="s">
        <v>4750</v>
      </c>
      <c r="G4741">
        <v>1</v>
      </c>
    </row>
    <row r="4742" spans="1:7" x14ac:dyDescent="0.25">
      <c r="A4742">
        <v>21</v>
      </c>
      <c r="B4742" t="s">
        <v>4473</v>
      </c>
      <c r="C4742">
        <v>19934</v>
      </c>
      <c r="D4742" t="str">
        <f>"1746-5648"</f>
        <v>1746-5648</v>
      </c>
      <c r="E4742" t="s">
        <v>8</v>
      </c>
      <c r="F4742" t="s">
        <v>4751</v>
      </c>
      <c r="G4742">
        <v>1</v>
      </c>
    </row>
    <row r="4743" spans="1:7" x14ac:dyDescent="0.25">
      <c r="A4743">
        <v>21</v>
      </c>
      <c r="B4743" t="s">
        <v>4473</v>
      </c>
      <c r="C4743">
        <v>2670</v>
      </c>
      <c r="D4743" t="str">
        <f>"1473-3250"</f>
        <v>1473-3250</v>
      </c>
      <c r="E4743" t="s">
        <v>8</v>
      </c>
      <c r="F4743" t="s">
        <v>4752</v>
      </c>
      <c r="G4743">
        <v>1</v>
      </c>
    </row>
    <row r="4744" spans="1:7" x14ac:dyDescent="0.25">
      <c r="A4744">
        <v>21</v>
      </c>
      <c r="B4744" t="s">
        <v>4473</v>
      </c>
      <c r="C4744">
        <v>4802</v>
      </c>
      <c r="D4744" t="str">
        <f>"0162-0436"</f>
        <v>0162-0436</v>
      </c>
      <c r="E4744" t="s">
        <v>8</v>
      </c>
      <c r="F4744" t="s">
        <v>4753</v>
      </c>
      <c r="G4744">
        <v>1</v>
      </c>
    </row>
    <row r="4745" spans="1:7" x14ac:dyDescent="0.25">
      <c r="A4745">
        <v>21</v>
      </c>
      <c r="B4745" t="s">
        <v>4473</v>
      </c>
      <c r="C4745">
        <v>27692</v>
      </c>
      <c r="E4745" t="s">
        <v>8</v>
      </c>
      <c r="F4745" t="s">
        <v>4754</v>
      </c>
      <c r="G4745">
        <v>1</v>
      </c>
    </row>
    <row r="4746" spans="1:7" x14ac:dyDescent="0.25">
      <c r="A4746">
        <v>21</v>
      </c>
      <c r="B4746" t="s">
        <v>4473</v>
      </c>
      <c r="C4746">
        <v>20036</v>
      </c>
      <c r="D4746" t="str">
        <f>"1082-8354"</f>
        <v>1082-8354</v>
      </c>
      <c r="E4746" t="s">
        <v>8</v>
      </c>
      <c r="F4746" t="s">
        <v>4755</v>
      </c>
      <c r="G4746">
        <v>1</v>
      </c>
    </row>
    <row r="4747" spans="1:7" x14ac:dyDescent="0.25">
      <c r="A4747">
        <v>21</v>
      </c>
      <c r="B4747" t="s">
        <v>4473</v>
      </c>
      <c r="C4747">
        <v>32455</v>
      </c>
      <c r="D4747" t="str">
        <f>"0034-1282"</f>
        <v>0034-1282</v>
      </c>
      <c r="E4747" t="s">
        <v>8</v>
      </c>
      <c r="F4747" t="s">
        <v>4756</v>
      </c>
      <c r="G4747">
        <v>1</v>
      </c>
    </row>
    <row r="4748" spans="1:7" x14ac:dyDescent="0.25">
      <c r="A4748">
        <v>21</v>
      </c>
      <c r="B4748" t="s">
        <v>4473</v>
      </c>
      <c r="C4748">
        <v>44457</v>
      </c>
      <c r="D4748" t="str">
        <f>"1782-1592"</f>
        <v>1782-1592</v>
      </c>
      <c r="E4748" t="s">
        <v>8</v>
      </c>
      <c r="F4748" t="s">
        <v>4757</v>
      </c>
      <c r="G4748">
        <v>1</v>
      </c>
    </row>
    <row r="4749" spans="1:7" x14ac:dyDescent="0.25">
      <c r="A4749">
        <v>21</v>
      </c>
      <c r="B4749" t="s">
        <v>4473</v>
      </c>
      <c r="C4749">
        <v>42097</v>
      </c>
      <c r="D4749" t="str">
        <f>"0895-9935"</f>
        <v>0895-9935</v>
      </c>
      <c r="E4749" t="s">
        <v>15</v>
      </c>
      <c r="F4749" t="s">
        <v>4758</v>
      </c>
      <c r="G4749">
        <v>1</v>
      </c>
    </row>
    <row r="4750" spans="1:7" x14ac:dyDescent="0.25">
      <c r="A4750">
        <v>21</v>
      </c>
      <c r="B4750" t="s">
        <v>4473</v>
      </c>
      <c r="C4750">
        <v>9094</v>
      </c>
      <c r="D4750" t="str">
        <f>"1057-1922"</f>
        <v>1057-1922</v>
      </c>
      <c r="E4750" t="s">
        <v>15</v>
      </c>
      <c r="F4750" t="s">
        <v>4759</v>
      </c>
      <c r="G4750">
        <v>1</v>
      </c>
    </row>
    <row r="4751" spans="1:7" x14ac:dyDescent="0.25">
      <c r="A4751">
        <v>21</v>
      </c>
      <c r="B4751" t="s">
        <v>4473</v>
      </c>
      <c r="C4751">
        <v>108480</v>
      </c>
      <c r="D4751" t="str">
        <f>"0275-4959"</f>
        <v>0275-4959</v>
      </c>
      <c r="E4751" t="s">
        <v>15</v>
      </c>
      <c r="F4751" t="s">
        <v>4760</v>
      </c>
      <c r="G4751">
        <v>1</v>
      </c>
    </row>
    <row r="4752" spans="1:7" x14ac:dyDescent="0.25">
      <c r="A4752">
        <v>21</v>
      </c>
      <c r="B4752" t="s">
        <v>4473</v>
      </c>
      <c r="C4752">
        <v>27318</v>
      </c>
      <c r="D4752" t="str">
        <f>"0733-558X"</f>
        <v>0733-558X</v>
      </c>
      <c r="E4752" t="s">
        <v>15</v>
      </c>
      <c r="F4752" t="s">
        <v>4761</v>
      </c>
      <c r="G4752">
        <v>1</v>
      </c>
    </row>
    <row r="4753" spans="1:7" x14ac:dyDescent="0.25">
      <c r="A4753">
        <v>21</v>
      </c>
      <c r="B4753" t="s">
        <v>4473</v>
      </c>
      <c r="C4753">
        <v>63349</v>
      </c>
      <c r="D4753" t="str">
        <f>"0277-2833"</f>
        <v>0277-2833</v>
      </c>
      <c r="E4753" t="s">
        <v>15</v>
      </c>
      <c r="F4753" t="s">
        <v>4762</v>
      </c>
      <c r="G4753">
        <v>1</v>
      </c>
    </row>
    <row r="4754" spans="1:7" x14ac:dyDescent="0.25">
      <c r="A4754">
        <v>21</v>
      </c>
      <c r="B4754" t="s">
        <v>4473</v>
      </c>
      <c r="C4754">
        <v>27534</v>
      </c>
      <c r="D4754" t="str">
        <f>"1047-0042"</f>
        <v>1047-0042</v>
      </c>
      <c r="E4754" t="s">
        <v>15</v>
      </c>
      <c r="F4754" t="s">
        <v>4763</v>
      </c>
      <c r="G4754">
        <v>1</v>
      </c>
    </row>
    <row r="4755" spans="1:7" x14ac:dyDescent="0.25">
      <c r="A4755">
        <v>21</v>
      </c>
      <c r="B4755" t="s">
        <v>4473</v>
      </c>
      <c r="C4755">
        <v>14454</v>
      </c>
      <c r="D4755" t="str">
        <f>"1049-7315"</f>
        <v>1049-7315</v>
      </c>
      <c r="E4755" t="s">
        <v>8</v>
      </c>
      <c r="F4755" t="s">
        <v>4764</v>
      </c>
      <c r="G4755">
        <v>1</v>
      </c>
    </row>
    <row r="4756" spans="1:7" x14ac:dyDescent="0.25">
      <c r="A4756">
        <v>21</v>
      </c>
      <c r="B4756" t="s">
        <v>4473</v>
      </c>
      <c r="C4756">
        <v>54936</v>
      </c>
      <c r="D4756" t="str">
        <f>"0254-1106"</f>
        <v>0254-1106</v>
      </c>
      <c r="E4756" t="s">
        <v>8</v>
      </c>
      <c r="F4756" t="s">
        <v>4765</v>
      </c>
      <c r="G4756">
        <v>1</v>
      </c>
    </row>
    <row r="4757" spans="1:7" x14ac:dyDescent="0.25">
      <c r="A4757">
        <v>21</v>
      </c>
      <c r="B4757" t="s">
        <v>4473</v>
      </c>
      <c r="C4757">
        <v>26973</v>
      </c>
      <c r="D4757" t="str">
        <f>"0717-2257"</f>
        <v>0717-2257</v>
      </c>
      <c r="E4757" t="s">
        <v>8</v>
      </c>
      <c r="F4757" t="s">
        <v>4766</v>
      </c>
      <c r="G4757">
        <v>1</v>
      </c>
    </row>
    <row r="4758" spans="1:7" x14ac:dyDescent="0.25">
      <c r="A4758">
        <v>21</v>
      </c>
      <c r="B4758" t="s">
        <v>4473</v>
      </c>
      <c r="C4758">
        <v>107493</v>
      </c>
      <c r="D4758" t="str">
        <f>"0104-4478"</f>
        <v>0104-4478</v>
      </c>
      <c r="E4758" t="s">
        <v>8</v>
      </c>
      <c r="F4758" t="s">
        <v>4767</v>
      </c>
      <c r="G4758">
        <v>1</v>
      </c>
    </row>
    <row r="4759" spans="1:7" x14ac:dyDescent="0.25">
      <c r="A4759">
        <v>21</v>
      </c>
      <c r="B4759" t="s">
        <v>4473</v>
      </c>
      <c r="C4759">
        <v>21037</v>
      </c>
      <c r="D4759" t="str">
        <f>"0210-5233"</f>
        <v>0210-5233</v>
      </c>
      <c r="E4759" t="s">
        <v>8</v>
      </c>
      <c r="F4759" t="s">
        <v>4768</v>
      </c>
      <c r="G4759">
        <v>1</v>
      </c>
    </row>
    <row r="4760" spans="1:7" x14ac:dyDescent="0.25">
      <c r="A4760">
        <v>21</v>
      </c>
      <c r="B4760" t="s">
        <v>4473</v>
      </c>
      <c r="C4760">
        <v>27096</v>
      </c>
      <c r="D4760" t="str">
        <f>"0034-9712"</f>
        <v>0034-9712</v>
      </c>
      <c r="E4760" t="s">
        <v>8</v>
      </c>
      <c r="F4760" t="s">
        <v>4769</v>
      </c>
      <c r="G4760">
        <v>1</v>
      </c>
    </row>
    <row r="4761" spans="1:7" x14ac:dyDescent="0.25">
      <c r="A4761">
        <v>21</v>
      </c>
      <c r="B4761" t="s">
        <v>4473</v>
      </c>
      <c r="C4761">
        <v>27062</v>
      </c>
      <c r="D4761" t="str">
        <f>"1966-9607"</f>
        <v>1966-9607</v>
      </c>
      <c r="E4761" t="s">
        <v>8</v>
      </c>
      <c r="F4761" t="s">
        <v>4770</v>
      </c>
      <c r="G4761">
        <v>1</v>
      </c>
    </row>
    <row r="4762" spans="1:7" x14ac:dyDescent="0.25">
      <c r="A4762">
        <v>21</v>
      </c>
      <c r="B4762" t="s">
        <v>4473</v>
      </c>
      <c r="C4762">
        <v>180061</v>
      </c>
      <c r="D4762" t="str">
        <f>"0779-1674"</f>
        <v>0779-1674</v>
      </c>
      <c r="E4762" t="s">
        <v>8</v>
      </c>
      <c r="F4762" t="s">
        <v>4771</v>
      </c>
      <c r="G4762">
        <v>1</v>
      </c>
    </row>
    <row r="4763" spans="1:7" x14ac:dyDescent="0.25">
      <c r="A4763">
        <v>21</v>
      </c>
      <c r="B4763" t="s">
        <v>4473</v>
      </c>
      <c r="C4763">
        <v>16428</v>
      </c>
      <c r="D4763" t="str">
        <f>"0913-1442"</f>
        <v>0913-1442</v>
      </c>
      <c r="E4763" t="s">
        <v>8</v>
      </c>
      <c r="F4763" t="s">
        <v>4772</v>
      </c>
      <c r="G4763">
        <v>1</v>
      </c>
    </row>
    <row r="4764" spans="1:7" x14ac:dyDescent="0.25">
      <c r="A4764">
        <v>21</v>
      </c>
      <c r="B4764" t="s">
        <v>4473</v>
      </c>
      <c r="C4764">
        <v>2490</v>
      </c>
      <c r="D4764" t="str">
        <f>"0035-676X"</f>
        <v>0035-676X</v>
      </c>
      <c r="E4764" t="s">
        <v>8</v>
      </c>
      <c r="F4764" t="s">
        <v>4773</v>
      </c>
      <c r="G4764">
        <v>1</v>
      </c>
    </row>
    <row r="4765" spans="1:7" x14ac:dyDescent="0.25">
      <c r="A4765">
        <v>21</v>
      </c>
      <c r="B4765" t="s">
        <v>4473</v>
      </c>
      <c r="C4765">
        <v>8783520</v>
      </c>
      <c r="E4765" t="s">
        <v>15</v>
      </c>
      <c r="F4765" t="s">
        <v>4774</v>
      </c>
      <c r="G4765">
        <v>1</v>
      </c>
    </row>
    <row r="4766" spans="1:7" x14ac:dyDescent="0.25">
      <c r="A4766">
        <v>21</v>
      </c>
      <c r="B4766" t="s">
        <v>4473</v>
      </c>
      <c r="C4766">
        <v>8783524</v>
      </c>
      <c r="E4766" t="s">
        <v>15</v>
      </c>
      <c r="F4766" t="s">
        <v>4775</v>
      </c>
      <c r="G4766">
        <v>1</v>
      </c>
    </row>
    <row r="4767" spans="1:7" x14ac:dyDescent="0.25">
      <c r="A4767">
        <v>21</v>
      </c>
      <c r="B4767" t="s">
        <v>4473</v>
      </c>
      <c r="C4767">
        <v>8783525</v>
      </c>
      <c r="E4767" t="s">
        <v>15</v>
      </c>
      <c r="F4767" t="s">
        <v>4776</v>
      </c>
      <c r="G4767">
        <v>1</v>
      </c>
    </row>
    <row r="4768" spans="1:7" x14ac:dyDescent="0.25">
      <c r="A4768">
        <v>21</v>
      </c>
      <c r="B4768" t="s">
        <v>4473</v>
      </c>
      <c r="C4768">
        <v>6267370</v>
      </c>
      <c r="E4768" t="s">
        <v>15</v>
      </c>
      <c r="F4768" t="s">
        <v>4777</v>
      </c>
      <c r="G4768">
        <v>1</v>
      </c>
    </row>
    <row r="4769" spans="1:7" x14ac:dyDescent="0.25">
      <c r="A4769">
        <v>21</v>
      </c>
      <c r="B4769" t="s">
        <v>4473</v>
      </c>
      <c r="C4769">
        <v>8783526</v>
      </c>
      <c r="E4769" t="s">
        <v>15</v>
      </c>
      <c r="F4769" t="s">
        <v>4778</v>
      </c>
      <c r="G4769">
        <v>1</v>
      </c>
    </row>
    <row r="4770" spans="1:7" x14ac:dyDescent="0.25">
      <c r="A4770">
        <v>21</v>
      </c>
      <c r="B4770" t="s">
        <v>4473</v>
      </c>
      <c r="C4770">
        <v>15365</v>
      </c>
      <c r="D4770" t="str">
        <f>"1443-8844"</f>
        <v>1443-8844</v>
      </c>
      <c r="E4770" t="s">
        <v>8</v>
      </c>
      <c r="F4770" t="s">
        <v>4779</v>
      </c>
      <c r="G4770">
        <v>1</v>
      </c>
    </row>
    <row r="4771" spans="1:7" x14ac:dyDescent="0.25">
      <c r="A4771">
        <v>21</v>
      </c>
      <c r="B4771" t="s">
        <v>4473</v>
      </c>
      <c r="C4771">
        <v>7718834</v>
      </c>
      <c r="E4771" t="s">
        <v>8</v>
      </c>
      <c r="F4771" t="s">
        <v>4780</v>
      </c>
      <c r="G4771">
        <v>1</v>
      </c>
    </row>
    <row r="4772" spans="1:7" x14ac:dyDescent="0.25">
      <c r="A4772">
        <v>21</v>
      </c>
      <c r="B4772" t="s">
        <v>4473</v>
      </c>
      <c r="C4772">
        <v>170431</v>
      </c>
      <c r="E4772" t="s">
        <v>15</v>
      </c>
      <c r="F4772" t="s">
        <v>4781</v>
      </c>
      <c r="G4772">
        <v>1</v>
      </c>
    </row>
    <row r="4773" spans="1:7" x14ac:dyDescent="0.25">
      <c r="A4773">
        <v>21</v>
      </c>
      <c r="B4773" t="s">
        <v>4473</v>
      </c>
      <c r="C4773">
        <v>18528</v>
      </c>
      <c r="D4773" t="str">
        <f>"0379-3664"</f>
        <v>0379-3664</v>
      </c>
      <c r="E4773" t="s">
        <v>8</v>
      </c>
      <c r="F4773" t="s">
        <v>4782</v>
      </c>
      <c r="G4773">
        <v>1</v>
      </c>
    </row>
    <row r="4774" spans="1:7" x14ac:dyDescent="0.25">
      <c r="A4774">
        <v>21</v>
      </c>
      <c r="B4774" t="s">
        <v>4473</v>
      </c>
      <c r="C4774">
        <v>8782641</v>
      </c>
      <c r="E4774" t="s">
        <v>8</v>
      </c>
      <c r="F4774" t="s">
        <v>4783</v>
      </c>
      <c r="G4774">
        <v>1</v>
      </c>
    </row>
    <row r="4775" spans="1:7" x14ac:dyDescent="0.25">
      <c r="A4775">
        <v>21</v>
      </c>
      <c r="B4775" t="s">
        <v>4473</v>
      </c>
      <c r="C4775">
        <v>6534</v>
      </c>
      <c r="D4775" t="str">
        <f>"1868-9884"</f>
        <v>1868-9884</v>
      </c>
      <c r="E4775" t="s">
        <v>8</v>
      </c>
      <c r="F4775" t="s">
        <v>4784</v>
      </c>
      <c r="G4775">
        <v>1</v>
      </c>
    </row>
    <row r="4776" spans="1:7" x14ac:dyDescent="0.25">
      <c r="A4776">
        <v>21</v>
      </c>
      <c r="B4776" t="s">
        <v>4473</v>
      </c>
      <c r="C4776">
        <v>13691</v>
      </c>
      <c r="D4776" t="str">
        <f>"0037-7317"</f>
        <v>0037-7317</v>
      </c>
      <c r="E4776" t="s">
        <v>8</v>
      </c>
      <c r="F4776" t="s">
        <v>4785</v>
      </c>
      <c r="G4776">
        <v>1</v>
      </c>
    </row>
    <row r="4777" spans="1:7" x14ac:dyDescent="0.25">
      <c r="A4777">
        <v>21</v>
      </c>
      <c r="B4777" t="s">
        <v>4473</v>
      </c>
      <c r="C4777">
        <v>5995</v>
      </c>
      <c r="D4777" t="str">
        <f>"1572-459X"</f>
        <v>1572-459X</v>
      </c>
      <c r="E4777" t="s">
        <v>15</v>
      </c>
      <c r="F4777" t="s">
        <v>4786</v>
      </c>
      <c r="G4777">
        <v>1</v>
      </c>
    </row>
    <row r="4778" spans="1:7" x14ac:dyDescent="0.25">
      <c r="A4778">
        <v>21</v>
      </c>
      <c r="B4778" t="s">
        <v>4473</v>
      </c>
      <c r="C4778">
        <v>7745437</v>
      </c>
      <c r="E4778" t="s">
        <v>8</v>
      </c>
      <c r="F4778" t="s">
        <v>4787</v>
      </c>
      <c r="G4778">
        <v>1</v>
      </c>
    </row>
    <row r="4779" spans="1:7" x14ac:dyDescent="0.25">
      <c r="A4779">
        <v>21</v>
      </c>
      <c r="B4779" t="s">
        <v>4473</v>
      </c>
      <c r="C4779">
        <v>7756442</v>
      </c>
      <c r="D4779" t="str">
        <f>"1387-6570"</f>
        <v>1387-6570</v>
      </c>
      <c r="E4779" t="s">
        <v>15</v>
      </c>
      <c r="F4779" t="s">
        <v>4788</v>
      </c>
      <c r="G4779">
        <v>1</v>
      </c>
    </row>
    <row r="4780" spans="1:7" x14ac:dyDescent="0.25">
      <c r="A4780">
        <v>21</v>
      </c>
      <c r="B4780" t="s">
        <v>4473</v>
      </c>
      <c r="C4780">
        <v>12630</v>
      </c>
      <c r="D4780" t="str">
        <f>"1553-4510"</f>
        <v>1553-4510</v>
      </c>
      <c r="E4780" t="s">
        <v>8</v>
      </c>
      <c r="F4780" t="s">
        <v>4789</v>
      </c>
      <c r="G4780">
        <v>1</v>
      </c>
    </row>
    <row r="4781" spans="1:7" x14ac:dyDescent="0.25">
      <c r="A4781">
        <v>21</v>
      </c>
      <c r="B4781" t="s">
        <v>4473</v>
      </c>
      <c r="C4781">
        <v>2581</v>
      </c>
      <c r="D4781" t="str">
        <f>"0885-7466"</f>
        <v>0885-7466</v>
      </c>
      <c r="E4781" t="s">
        <v>8</v>
      </c>
      <c r="F4781" t="s">
        <v>4790</v>
      </c>
      <c r="G4781">
        <v>1</v>
      </c>
    </row>
    <row r="4782" spans="1:7" x14ac:dyDescent="0.25">
      <c r="A4782">
        <v>21</v>
      </c>
      <c r="B4782" t="s">
        <v>4473</v>
      </c>
      <c r="C4782">
        <v>20525</v>
      </c>
      <c r="D4782" t="str">
        <f>"1043-1578"</f>
        <v>1043-1578</v>
      </c>
      <c r="E4782" t="s">
        <v>8</v>
      </c>
      <c r="F4782" t="s">
        <v>4791</v>
      </c>
      <c r="G4782">
        <v>1</v>
      </c>
    </row>
    <row r="4783" spans="1:7" x14ac:dyDescent="0.25">
      <c r="A4783">
        <v>21</v>
      </c>
      <c r="B4783" t="s">
        <v>4473</v>
      </c>
      <c r="C4783">
        <v>5633</v>
      </c>
      <c r="D4783" t="str">
        <f>"0904-3535"</f>
        <v>0904-3535</v>
      </c>
      <c r="E4783" t="s">
        <v>8</v>
      </c>
      <c r="F4783" t="s">
        <v>4792</v>
      </c>
      <c r="G4783">
        <v>1</v>
      </c>
    </row>
    <row r="4784" spans="1:7" x14ac:dyDescent="0.25">
      <c r="A4784">
        <v>21</v>
      </c>
      <c r="B4784" t="s">
        <v>4473</v>
      </c>
      <c r="C4784">
        <v>4039</v>
      </c>
      <c r="D4784" t="str">
        <f>"0037-783X"</f>
        <v>0037-783X</v>
      </c>
      <c r="E4784" t="s">
        <v>8</v>
      </c>
      <c r="F4784" t="s">
        <v>4793</v>
      </c>
      <c r="G4784">
        <v>1</v>
      </c>
    </row>
    <row r="4785" spans="1:7" x14ac:dyDescent="0.25">
      <c r="A4785">
        <v>21</v>
      </c>
      <c r="B4785" t="s">
        <v>4473</v>
      </c>
      <c r="C4785">
        <v>8783369</v>
      </c>
      <c r="D4785" t="str">
        <f>"0037-783X"</f>
        <v>0037-783X</v>
      </c>
      <c r="E4785" t="s">
        <v>8</v>
      </c>
      <c r="F4785" t="s">
        <v>4794</v>
      </c>
      <c r="G4785">
        <v>1</v>
      </c>
    </row>
    <row r="4786" spans="1:7" x14ac:dyDescent="0.25">
      <c r="A4786">
        <v>21</v>
      </c>
      <c r="B4786" t="s">
        <v>4473</v>
      </c>
      <c r="C4786">
        <v>27719</v>
      </c>
      <c r="D4786" t="str">
        <f>"1747-1117"</f>
        <v>1747-1117</v>
      </c>
      <c r="E4786" t="s">
        <v>8</v>
      </c>
      <c r="F4786" t="s">
        <v>4795</v>
      </c>
      <c r="G4786">
        <v>1</v>
      </c>
    </row>
    <row r="4787" spans="1:7" x14ac:dyDescent="0.25">
      <c r="A4787">
        <v>21</v>
      </c>
      <c r="B4787" t="s">
        <v>4473</v>
      </c>
      <c r="C4787">
        <v>13784</v>
      </c>
      <c r="D4787" t="str">
        <f>"1369-1465"</f>
        <v>1369-1465</v>
      </c>
      <c r="E4787" t="s">
        <v>8</v>
      </c>
      <c r="F4787" t="s">
        <v>4796</v>
      </c>
      <c r="G4787">
        <v>1</v>
      </c>
    </row>
    <row r="4788" spans="1:7" x14ac:dyDescent="0.25">
      <c r="A4788">
        <v>21</v>
      </c>
      <c r="B4788" t="s">
        <v>4473</v>
      </c>
      <c r="C4788">
        <v>2632</v>
      </c>
      <c r="D4788" t="str">
        <f>"0038-4941"</f>
        <v>0038-4941</v>
      </c>
      <c r="E4788" t="s">
        <v>8</v>
      </c>
      <c r="F4788" t="s">
        <v>4797</v>
      </c>
      <c r="G4788">
        <v>1</v>
      </c>
    </row>
    <row r="4789" spans="1:7" x14ac:dyDescent="0.25">
      <c r="A4789">
        <v>21</v>
      </c>
      <c r="B4789" t="s">
        <v>4473</v>
      </c>
      <c r="C4789">
        <v>7714504</v>
      </c>
      <c r="E4789" t="s">
        <v>8</v>
      </c>
      <c r="F4789" t="s">
        <v>4798</v>
      </c>
      <c r="G4789">
        <v>1</v>
      </c>
    </row>
    <row r="4790" spans="1:7" x14ac:dyDescent="0.25">
      <c r="A4790">
        <v>21</v>
      </c>
      <c r="B4790" t="s">
        <v>4473</v>
      </c>
      <c r="C4790">
        <v>7714504</v>
      </c>
      <c r="E4790" t="s">
        <v>8</v>
      </c>
      <c r="F4790" t="s">
        <v>4798</v>
      </c>
      <c r="G4790">
        <v>1</v>
      </c>
    </row>
    <row r="4791" spans="1:7" x14ac:dyDescent="0.25">
      <c r="A4791">
        <v>21</v>
      </c>
      <c r="B4791" t="s">
        <v>4473</v>
      </c>
      <c r="C4791">
        <v>13515</v>
      </c>
      <c r="D4791" t="str">
        <f>"1567-2794"</f>
        <v>1567-2794</v>
      </c>
      <c r="E4791" t="s">
        <v>15</v>
      </c>
      <c r="F4791" t="s">
        <v>4799</v>
      </c>
      <c r="G4791">
        <v>1</v>
      </c>
    </row>
    <row r="4792" spans="1:7" x14ac:dyDescent="0.25">
      <c r="A4792">
        <v>21</v>
      </c>
      <c r="B4792" t="s">
        <v>4473</v>
      </c>
      <c r="C4792">
        <v>1380</v>
      </c>
      <c r="D4792" t="str">
        <f>"1477-8211"</f>
        <v>1477-8211</v>
      </c>
      <c r="E4792" t="s">
        <v>8</v>
      </c>
      <c r="F4792" t="s">
        <v>4800</v>
      </c>
      <c r="G4792">
        <v>1</v>
      </c>
    </row>
    <row r="4793" spans="1:7" x14ac:dyDescent="0.25">
      <c r="A4793">
        <v>21</v>
      </c>
      <c r="B4793" t="s">
        <v>4473</v>
      </c>
      <c r="C4793">
        <v>5406</v>
      </c>
      <c r="E4793" t="s">
        <v>8</v>
      </c>
      <c r="F4793" t="s">
        <v>4801</v>
      </c>
      <c r="G4793">
        <v>1</v>
      </c>
    </row>
    <row r="4794" spans="1:7" x14ac:dyDescent="0.25">
      <c r="A4794">
        <v>21</v>
      </c>
      <c r="B4794" t="s">
        <v>4473</v>
      </c>
      <c r="C4794">
        <v>11943</v>
      </c>
      <c r="D4794" t="str">
        <f>"0261-5479"</f>
        <v>0261-5479</v>
      </c>
      <c r="E4794" t="s">
        <v>8</v>
      </c>
      <c r="F4794" t="s">
        <v>4802</v>
      </c>
      <c r="G4794">
        <v>1</v>
      </c>
    </row>
    <row r="4795" spans="1:7" x14ac:dyDescent="0.25">
      <c r="A4795">
        <v>21</v>
      </c>
      <c r="B4795" t="s">
        <v>4473</v>
      </c>
      <c r="C4795">
        <v>2179</v>
      </c>
      <c r="D4795" t="str">
        <f>"0098-1389"</f>
        <v>0098-1389</v>
      </c>
      <c r="E4795" t="s">
        <v>8</v>
      </c>
      <c r="F4795" t="s">
        <v>4803</v>
      </c>
      <c r="G4795">
        <v>1</v>
      </c>
    </row>
    <row r="4796" spans="1:7" x14ac:dyDescent="0.25">
      <c r="A4796">
        <v>21</v>
      </c>
      <c r="B4796" t="s">
        <v>4473</v>
      </c>
      <c r="C4796">
        <v>11089</v>
      </c>
      <c r="D4796" t="str">
        <f>"1533-2985"</f>
        <v>1533-2985</v>
      </c>
      <c r="E4796" t="s">
        <v>8</v>
      </c>
      <c r="F4796" t="s">
        <v>4804</v>
      </c>
      <c r="G4796">
        <v>1</v>
      </c>
    </row>
    <row r="4797" spans="1:7" x14ac:dyDescent="0.25">
      <c r="A4797">
        <v>21</v>
      </c>
      <c r="B4797" t="s">
        <v>4473</v>
      </c>
      <c r="C4797">
        <v>5826</v>
      </c>
      <c r="D4797" t="str">
        <f>"0160-9513"</f>
        <v>0160-9513</v>
      </c>
      <c r="E4797" t="s">
        <v>8</v>
      </c>
      <c r="F4797" t="s">
        <v>4805</v>
      </c>
      <c r="G4797">
        <v>1</v>
      </c>
    </row>
    <row r="4798" spans="1:7" x14ac:dyDescent="0.25">
      <c r="A4798">
        <v>21</v>
      </c>
      <c r="B4798" t="s">
        <v>4473</v>
      </c>
      <c r="C4798">
        <v>27721</v>
      </c>
      <c r="D4798" t="str">
        <f>"1104-1420"</f>
        <v>1104-1420</v>
      </c>
      <c r="E4798" t="s">
        <v>8</v>
      </c>
      <c r="F4798" t="s">
        <v>4806</v>
      </c>
      <c r="G4798">
        <v>1</v>
      </c>
    </row>
    <row r="4799" spans="1:7" x14ac:dyDescent="0.25">
      <c r="A4799">
        <v>21</v>
      </c>
      <c r="B4799" t="s">
        <v>4473</v>
      </c>
      <c r="C4799">
        <v>10440</v>
      </c>
      <c r="D4799" t="str">
        <f>"0765-3697"</f>
        <v>0765-3697</v>
      </c>
      <c r="E4799" t="s">
        <v>8</v>
      </c>
      <c r="F4799" t="s">
        <v>4807</v>
      </c>
      <c r="G4799">
        <v>1</v>
      </c>
    </row>
    <row r="4800" spans="1:7" x14ac:dyDescent="0.25">
      <c r="A4800">
        <v>21</v>
      </c>
      <c r="B4800" t="s">
        <v>4473</v>
      </c>
      <c r="C4800">
        <v>10127</v>
      </c>
      <c r="D4800" t="str">
        <f>"1262-2966"</f>
        <v>1262-2966</v>
      </c>
      <c r="E4800" t="s">
        <v>8</v>
      </c>
      <c r="F4800" t="s">
        <v>4808</v>
      </c>
      <c r="G4800">
        <v>1</v>
      </c>
    </row>
    <row r="4801" spans="1:7" x14ac:dyDescent="0.25">
      <c r="A4801">
        <v>21</v>
      </c>
      <c r="B4801" t="s">
        <v>4473</v>
      </c>
      <c r="C4801">
        <v>7714423</v>
      </c>
      <c r="E4801" t="s">
        <v>8</v>
      </c>
      <c r="F4801" t="s">
        <v>4809</v>
      </c>
      <c r="G4801">
        <v>1</v>
      </c>
    </row>
    <row r="4802" spans="1:7" x14ac:dyDescent="0.25">
      <c r="A4802">
        <v>21</v>
      </c>
      <c r="B4802" t="s">
        <v>4473</v>
      </c>
      <c r="C4802">
        <v>15531</v>
      </c>
      <c r="D4802" t="str">
        <f>"0147-2011"</f>
        <v>0147-2011</v>
      </c>
      <c r="E4802" t="s">
        <v>8</v>
      </c>
      <c r="F4802" t="s">
        <v>4810</v>
      </c>
      <c r="G4802">
        <v>1</v>
      </c>
    </row>
    <row r="4803" spans="1:7" x14ac:dyDescent="0.25">
      <c r="A4803">
        <v>21</v>
      </c>
      <c r="B4803" t="s">
        <v>4473</v>
      </c>
      <c r="C4803">
        <v>16982</v>
      </c>
      <c r="D4803" t="str">
        <f>"1063-1119"</f>
        <v>1063-1119</v>
      </c>
      <c r="E4803" t="s">
        <v>8</v>
      </c>
      <c r="F4803" t="s">
        <v>4811</v>
      </c>
      <c r="G4803">
        <v>1</v>
      </c>
    </row>
    <row r="4804" spans="1:7" x14ac:dyDescent="0.25">
      <c r="A4804">
        <v>21</v>
      </c>
      <c r="B4804" t="s">
        <v>4473</v>
      </c>
      <c r="C4804">
        <v>7700311</v>
      </c>
      <c r="D4804" t="str">
        <f>"2156-8693"</f>
        <v>2156-8693</v>
      </c>
      <c r="E4804" t="s">
        <v>8</v>
      </c>
      <c r="F4804" t="s">
        <v>4812</v>
      </c>
      <c r="G4804">
        <v>1</v>
      </c>
    </row>
    <row r="4805" spans="1:7" x14ac:dyDescent="0.25">
      <c r="A4805">
        <v>21</v>
      </c>
      <c r="B4805" t="s">
        <v>4473</v>
      </c>
      <c r="C4805">
        <v>8782568</v>
      </c>
      <c r="D4805" t="str">
        <f>"2245-8581"</f>
        <v>2245-8581</v>
      </c>
      <c r="E4805" t="s">
        <v>15</v>
      </c>
      <c r="F4805" t="s">
        <v>4473</v>
      </c>
      <c r="G4805">
        <v>1</v>
      </c>
    </row>
    <row r="4806" spans="1:7" x14ac:dyDescent="0.25">
      <c r="A4806">
        <v>21</v>
      </c>
      <c r="B4806" t="s">
        <v>4473</v>
      </c>
      <c r="C4806">
        <v>398</v>
      </c>
      <c r="D4806" t="str">
        <f>"0049-1225"</f>
        <v>0049-1225</v>
      </c>
      <c r="E4806" t="s">
        <v>8</v>
      </c>
      <c r="F4806" t="s">
        <v>4813</v>
      </c>
      <c r="G4806">
        <v>1</v>
      </c>
    </row>
    <row r="4807" spans="1:7" x14ac:dyDescent="0.25">
      <c r="A4807">
        <v>21</v>
      </c>
      <c r="B4807" t="s">
        <v>4473</v>
      </c>
      <c r="C4807">
        <v>24253</v>
      </c>
      <c r="D4807" t="str">
        <f>"0390-0851"</f>
        <v>0390-0851</v>
      </c>
      <c r="E4807" t="s">
        <v>8</v>
      </c>
      <c r="F4807" t="s">
        <v>4814</v>
      </c>
      <c r="G4807">
        <v>1</v>
      </c>
    </row>
    <row r="4808" spans="1:7" x14ac:dyDescent="0.25">
      <c r="A4808">
        <v>21</v>
      </c>
      <c r="B4808" t="s">
        <v>4473</v>
      </c>
      <c r="C4808">
        <v>135984</v>
      </c>
      <c r="D4808" t="str">
        <f>"0392-5048"</f>
        <v>0392-5048</v>
      </c>
      <c r="E4808" t="s">
        <v>8</v>
      </c>
      <c r="F4808" t="s">
        <v>4815</v>
      </c>
      <c r="G4808">
        <v>1</v>
      </c>
    </row>
    <row r="4809" spans="1:7" x14ac:dyDescent="0.25">
      <c r="A4809">
        <v>21</v>
      </c>
      <c r="B4809" t="s">
        <v>4473</v>
      </c>
      <c r="C4809">
        <v>125598</v>
      </c>
      <c r="D4809" t="str">
        <f>"0210-8364"</f>
        <v>0210-8364</v>
      </c>
      <c r="E4809" t="s">
        <v>8</v>
      </c>
      <c r="F4809" t="s">
        <v>4816</v>
      </c>
      <c r="G4809">
        <v>1</v>
      </c>
    </row>
    <row r="4810" spans="1:7" x14ac:dyDescent="0.25">
      <c r="A4810">
        <v>21</v>
      </c>
      <c r="B4810" t="s">
        <v>4473</v>
      </c>
      <c r="C4810">
        <v>48240</v>
      </c>
      <c r="D4810" t="str">
        <f>"1591-2027"</f>
        <v>1591-2027</v>
      </c>
      <c r="E4810" t="s">
        <v>8</v>
      </c>
      <c r="F4810" t="s">
        <v>4817</v>
      </c>
      <c r="G4810">
        <v>1</v>
      </c>
    </row>
    <row r="4811" spans="1:7" x14ac:dyDescent="0.25">
      <c r="A4811">
        <v>21</v>
      </c>
      <c r="B4811" t="s">
        <v>4473</v>
      </c>
      <c r="C4811">
        <v>77739</v>
      </c>
      <c r="D4811" t="str">
        <f>"1121-1148"</f>
        <v>1121-1148</v>
      </c>
      <c r="E4811" t="s">
        <v>8</v>
      </c>
      <c r="F4811" t="s">
        <v>4818</v>
      </c>
      <c r="G4811">
        <v>1</v>
      </c>
    </row>
    <row r="4812" spans="1:7" x14ac:dyDescent="0.25">
      <c r="A4812">
        <v>21</v>
      </c>
      <c r="B4812" t="s">
        <v>4473</v>
      </c>
      <c r="C4812">
        <v>27758</v>
      </c>
      <c r="D4812" t="str">
        <f>"0873-6529"</f>
        <v>0873-6529</v>
      </c>
      <c r="E4812" t="s">
        <v>8</v>
      </c>
      <c r="F4812" t="s">
        <v>4819</v>
      </c>
      <c r="G4812">
        <v>1</v>
      </c>
    </row>
    <row r="4813" spans="1:7" x14ac:dyDescent="0.25">
      <c r="A4813">
        <v>21</v>
      </c>
      <c r="B4813" t="s">
        <v>4473</v>
      </c>
      <c r="C4813">
        <v>3426</v>
      </c>
      <c r="D4813" t="str">
        <f>"0038-0199"</f>
        <v>0038-0199</v>
      </c>
      <c r="E4813" t="s">
        <v>8</v>
      </c>
      <c r="F4813" t="s">
        <v>4820</v>
      </c>
      <c r="G4813">
        <v>1</v>
      </c>
    </row>
    <row r="4814" spans="1:7" x14ac:dyDescent="0.25">
      <c r="A4814">
        <v>21</v>
      </c>
      <c r="B4814" t="s">
        <v>4473</v>
      </c>
      <c r="C4814">
        <v>27508</v>
      </c>
      <c r="D4814" t="str">
        <f>"1517-4522"</f>
        <v>1517-4522</v>
      </c>
      <c r="E4814" t="s">
        <v>8</v>
      </c>
      <c r="F4814" t="s">
        <v>4821</v>
      </c>
      <c r="G4814">
        <v>1</v>
      </c>
    </row>
    <row r="4815" spans="1:7" x14ac:dyDescent="0.25">
      <c r="A4815">
        <v>21</v>
      </c>
      <c r="B4815" t="s">
        <v>4473</v>
      </c>
      <c r="C4815">
        <v>79730</v>
      </c>
      <c r="D4815" t="str">
        <f>"0187-0173"</f>
        <v>0187-0173</v>
      </c>
      <c r="E4815" t="s">
        <v>8</v>
      </c>
      <c r="F4815" t="s">
        <v>4822</v>
      </c>
      <c r="G4815">
        <v>1</v>
      </c>
    </row>
    <row r="4816" spans="1:7" x14ac:dyDescent="0.25">
      <c r="A4816">
        <v>21</v>
      </c>
      <c r="B4816" t="s">
        <v>4473</v>
      </c>
      <c r="C4816">
        <v>25979</v>
      </c>
      <c r="D4816" t="str">
        <f>"0038-0229"</f>
        <v>0038-0229</v>
      </c>
      <c r="E4816" t="s">
        <v>8</v>
      </c>
      <c r="F4816" t="s">
        <v>4823</v>
      </c>
      <c r="G4816">
        <v>1</v>
      </c>
    </row>
    <row r="4817" spans="1:7" x14ac:dyDescent="0.25">
      <c r="A4817">
        <v>21</v>
      </c>
      <c r="B4817" t="s">
        <v>4473</v>
      </c>
      <c r="C4817">
        <v>23500</v>
      </c>
      <c r="D4817" t="str">
        <f>"0038-0237"</f>
        <v>0038-0237</v>
      </c>
      <c r="E4817" t="s">
        <v>8</v>
      </c>
      <c r="F4817" t="s">
        <v>4824</v>
      </c>
      <c r="G4817">
        <v>1</v>
      </c>
    </row>
    <row r="4818" spans="1:7" x14ac:dyDescent="0.25">
      <c r="A4818">
        <v>21</v>
      </c>
      <c r="B4818" t="s">
        <v>4473</v>
      </c>
      <c r="C4818">
        <v>2559</v>
      </c>
      <c r="D4818" t="str">
        <f>"0884-8971"</f>
        <v>0884-8971</v>
      </c>
      <c r="E4818" t="s">
        <v>8</v>
      </c>
      <c r="F4818" t="s">
        <v>4825</v>
      </c>
      <c r="G4818">
        <v>1</v>
      </c>
    </row>
    <row r="4819" spans="1:7" x14ac:dyDescent="0.25">
      <c r="A4819">
        <v>21</v>
      </c>
      <c r="B4819" t="s">
        <v>4473</v>
      </c>
      <c r="C4819">
        <v>5166</v>
      </c>
      <c r="D4819" t="str">
        <f>"0038-0245"</f>
        <v>0038-0245</v>
      </c>
      <c r="E4819" t="s">
        <v>8</v>
      </c>
      <c r="F4819" t="s">
        <v>4826</v>
      </c>
      <c r="G4819">
        <v>1</v>
      </c>
    </row>
    <row r="4820" spans="1:7" x14ac:dyDescent="0.25">
      <c r="A4820">
        <v>21</v>
      </c>
      <c r="B4820" t="s">
        <v>4473</v>
      </c>
      <c r="C4820">
        <v>16941</v>
      </c>
      <c r="D4820" t="str">
        <f>"0731-1214"</f>
        <v>0731-1214</v>
      </c>
      <c r="E4820" t="s">
        <v>8</v>
      </c>
      <c r="F4820" t="s">
        <v>4827</v>
      </c>
      <c r="G4820">
        <v>1</v>
      </c>
    </row>
    <row r="4821" spans="1:7" x14ac:dyDescent="0.25">
      <c r="A4821">
        <v>21</v>
      </c>
      <c r="B4821" t="s">
        <v>4473</v>
      </c>
      <c r="C4821">
        <v>6151</v>
      </c>
      <c r="E4821" t="s">
        <v>8</v>
      </c>
      <c r="F4821" t="s">
        <v>4828</v>
      </c>
      <c r="G4821">
        <v>1</v>
      </c>
    </row>
    <row r="4822" spans="1:7" x14ac:dyDescent="0.25">
      <c r="A4822">
        <v>21</v>
      </c>
      <c r="B4822" t="s">
        <v>4473</v>
      </c>
      <c r="C4822">
        <v>180058</v>
      </c>
      <c r="E4822" t="s">
        <v>8</v>
      </c>
      <c r="F4822" t="s">
        <v>4829</v>
      </c>
      <c r="G4822">
        <v>1</v>
      </c>
    </row>
    <row r="4823" spans="1:7" x14ac:dyDescent="0.25">
      <c r="A4823">
        <v>21</v>
      </c>
      <c r="B4823" t="s">
        <v>4473</v>
      </c>
      <c r="C4823">
        <v>834</v>
      </c>
      <c r="D4823" t="str">
        <f>"0273-2173"</f>
        <v>0273-2173</v>
      </c>
      <c r="E4823" t="s">
        <v>8</v>
      </c>
      <c r="F4823" t="s">
        <v>4830</v>
      </c>
      <c r="G4823">
        <v>1</v>
      </c>
    </row>
    <row r="4824" spans="1:7" x14ac:dyDescent="0.25">
      <c r="A4824">
        <v>21</v>
      </c>
      <c r="B4824" t="s">
        <v>4473</v>
      </c>
      <c r="C4824">
        <v>27336</v>
      </c>
      <c r="D4824" t="str">
        <f>"1537-4661"</f>
        <v>1537-4661</v>
      </c>
      <c r="E4824" t="s">
        <v>15</v>
      </c>
      <c r="F4824" t="s">
        <v>4831</v>
      </c>
      <c r="G4824">
        <v>1</v>
      </c>
    </row>
    <row r="4825" spans="1:7" x14ac:dyDescent="0.25">
      <c r="A4825">
        <v>21</v>
      </c>
      <c r="B4825" t="s">
        <v>4473</v>
      </c>
      <c r="C4825">
        <v>4382</v>
      </c>
      <c r="D4825" t="str">
        <f>"0038-0288"</f>
        <v>0038-0288</v>
      </c>
      <c r="E4825" t="s">
        <v>8</v>
      </c>
      <c r="F4825" t="s">
        <v>4832</v>
      </c>
      <c r="G4825">
        <v>1</v>
      </c>
    </row>
    <row r="4826" spans="1:7" x14ac:dyDescent="0.25">
      <c r="A4826">
        <v>21</v>
      </c>
      <c r="B4826" t="s">
        <v>4473</v>
      </c>
      <c r="C4826">
        <v>26782</v>
      </c>
      <c r="D4826" t="str">
        <f>"1574-3314"</f>
        <v>1574-3314</v>
      </c>
      <c r="E4826" t="s">
        <v>8</v>
      </c>
      <c r="F4826" t="s">
        <v>4833</v>
      </c>
      <c r="G4826">
        <v>1</v>
      </c>
    </row>
    <row r="4827" spans="1:7" x14ac:dyDescent="0.25">
      <c r="A4827">
        <v>21</v>
      </c>
      <c r="B4827" t="s">
        <v>4473</v>
      </c>
      <c r="C4827">
        <v>13467</v>
      </c>
      <c r="D4827" t="str">
        <f>"0038-0296"</f>
        <v>0038-0296</v>
      </c>
      <c r="E4827" t="s">
        <v>8</v>
      </c>
      <c r="F4827" t="s">
        <v>4834</v>
      </c>
      <c r="G4827">
        <v>1</v>
      </c>
    </row>
    <row r="4828" spans="1:7" x14ac:dyDescent="0.25">
      <c r="A4828">
        <v>21</v>
      </c>
      <c r="B4828" t="s">
        <v>4473</v>
      </c>
      <c r="C4828">
        <v>20572</v>
      </c>
      <c r="D4828" t="str">
        <f>"0038-030X"</f>
        <v>0038-030X</v>
      </c>
      <c r="E4828" t="s">
        <v>8</v>
      </c>
      <c r="F4828" t="s">
        <v>4835</v>
      </c>
      <c r="G4828">
        <v>1</v>
      </c>
    </row>
    <row r="4829" spans="1:7" x14ac:dyDescent="0.25">
      <c r="A4829">
        <v>21</v>
      </c>
      <c r="B4829" t="s">
        <v>4473</v>
      </c>
      <c r="C4829">
        <v>87478</v>
      </c>
      <c r="D4829" t="str">
        <f>"0038-0318"</f>
        <v>0038-0318</v>
      </c>
      <c r="E4829" t="s">
        <v>8</v>
      </c>
      <c r="F4829" t="s">
        <v>4836</v>
      </c>
      <c r="G4829">
        <v>1</v>
      </c>
    </row>
    <row r="4830" spans="1:7" x14ac:dyDescent="0.25">
      <c r="A4830">
        <v>21</v>
      </c>
      <c r="B4830" t="s">
        <v>4473</v>
      </c>
      <c r="C4830">
        <v>5535</v>
      </c>
      <c r="D4830" t="str">
        <f>"0038-0342"</f>
        <v>0038-0342</v>
      </c>
      <c r="E4830" t="s">
        <v>8</v>
      </c>
      <c r="F4830" t="s">
        <v>4837</v>
      </c>
      <c r="G4830">
        <v>1</v>
      </c>
    </row>
    <row r="4831" spans="1:7" x14ac:dyDescent="0.25">
      <c r="A4831">
        <v>21</v>
      </c>
      <c r="B4831" t="s">
        <v>4473</v>
      </c>
      <c r="C4831">
        <v>170108</v>
      </c>
      <c r="E4831" t="s">
        <v>15</v>
      </c>
      <c r="F4831" t="s">
        <v>4838</v>
      </c>
      <c r="G4831">
        <v>1</v>
      </c>
    </row>
    <row r="4832" spans="1:7" x14ac:dyDescent="0.25">
      <c r="A4832">
        <v>21</v>
      </c>
      <c r="B4832" t="s">
        <v>4473</v>
      </c>
      <c r="C4832">
        <v>26401</v>
      </c>
      <c r="D4832" t="str">
        <f>"0038-0377"</f>
        <v>0038-0377</v>
      </c>
      <c r="E4832" t="s">
        <v>8</v>
      </c>
      <c r="F4832" t="s">
        <v>4839</v>
      </c>
      <c r="G4832">
        <v>1</v>
      </c>
    </row>
    <row r="4833" spans="1:7" x14ac:dyDescent="0.25">
      <c r="A4833">
        <v>21</v>
      </c>
      <c r="B4833" t="s">
        <v>4473</v>
      </c>
      <c r="C4833">
        <v>27051</v>
      </c>
      <c r="D4833" t="str">
        <f>"1751-9020"</f>
        <v>1751-9020</v>
      </c>
      <c r="E4833" t="s">
        <v>8</v>
      </c>
      <c r="F4833" t="s">
        <v>4840</v>
      </c>
      <c r="G4833">
        <v>1</v>
      </c>
    </row>
    <row r="4834" spans="1:7" x14ac:dyDescent="0.25">
      <c r="A4834">
        <v>21</v>
      </c>
      <c r="B4834" t="s">
        <v>4473</v>
      </c>
      <c r="C4834">
        <v>7711841</v>
      </c>
      <c r="D4834" t="str">
        <f>"2160-083X"</f>
        <v>2160-083X</v>
      </c>
      <c r="E4834" t="s">
        <v>8</v>
      </c>
      <c r="F4834" t="s">
        <v>4841</v>
      </c>
      <c r="G4834">
        <v>1</v>
      </c>
    </row>
    <row r="4835" spans="1:7" x14ac:dyDescent="0.25">
      <c r="A4835">
        <v>21</v>
      </c>
      <c r="B4835" t="s">
        <v>4473</v>
      </c>
      <c r="C4835">
        <v>56465</v>
      </c>
      <c r="D4835" t="str">
        <f>"1521-6136"</f>
        <v>1521-6136</v>
      </c>
      <c r="E4835" t="s">
        <v>15</v>
      </c>
      <c r="F4835" t="s">
        <v>4842</v>
      </c>
      <c r="G4835">
        <v>1</v>
      </c>
    </row>
    <row r="4836" spans="1:7" x14ac:dyDescent="0.25">
      <c r="A4836">
        <v>21</v>
      </c>
      <c r="B4836" t="s">
        <v>4473</v>
      </c>
      <c r="C4836">
        <v>27474</v>
      </c>
      <c r="D4836" t="str">
        <f>"0038-1640"</f>
        <v>0038-1640</v>
      </c>
      <c r="E4836" t="s">
        <v>8</v>
      </c>
      <c r="F4836" t="s">
        <v>4843</v>
      </c>
      <c r="G4836">
        <v>1</v>
      </c>
    </row>
    <row r="4837" spans="1:7" x14ac:dyDescent="0.25">
      <c r="A4837">
        <v>21</v>
      </c>
      <c r="B4837" t="s">
        <v>4473</v>
      </c>
      <c r="C4837">
        <v>8697</v>
      </c>
      <c r="D4837" t="str">
        <f>"0808-288X"</f>
        <v>0808-288X</v>
      </c>
      <c r="E4837" t="s">
        <v>8</v>
      </c>
      <c r="F4837" t="s">
        <v>4844</v>
      </c>
      <c r="G4837">
        <v>1</v>
      </c>
    </row>
    <row r="4838" spans="1:7" x14ac:dyDescent="0.25">
      <c r="A4838">
        <v>21</v>
      </c>
      <c r="B4838" t="s">
        <v>4473</v>
      </c>
      <c r="C4838">
        <v>8660</v>
      </c>
      <c r="D4838" t="str">
        <f>"0132-1625"</f>
        <v>0132-1625</v>
      </c>
      <c r="E4838" t="s">
        <v>8</v>
      </c>
      <c r="F4838" t="s">
        <v>4845</v>
      </c>
      <c r="G4838">
        <v>1</v>
      </c>
    </row>
    <row r="4839" spans="1:7" x14ac:dyDescent="0.25">
      <c r="A4839">
        <v>21</v>
      </c>
      <c r="B4839" t="s">
        <v>4473</v>
      </c>
      <c r="C4839">
        <v>1986</v>
      </c>
      <c r="D4839" t="str">
        <f>"1099-9949"</f>
        <v>1099-9949</v>
      </c>
      <c r="E4839" t="s">
        <v>8</v>
      </c>
      <c r="F4839" t="s">
        <v>4846</v>
      </c>
      <c r="G4839">
        <v>1</v>
      </c>
    </row>
    <row r="4840" spans="1:7" x14ac:dyDescent="0.25">
      <c r="A4840">
        <v>21</v>
      </c>
      <c r="B4840" t="s">
        <v>4473</v>
      </c>
      <c r="C4840">
        <v>70188</v>
      </c>
      <c r="D4840" t="str">
        <f>"0948-423X"</f>
        <v>0948-423X</v>
      </c>
      <c r="E4840" t="s">
        <v>8</v>
      </c>
      <c r="F4840" t="s">
        <v>4847</v>
      </c>
      <c r="G4840">
        <v>1</v>
      </c>
    </row>
    <row r="4841" spans="1:7" x14ac:dyDescent="0.25">
      <c r="A4841">
        <v>21</v>
      </c>
      <c r="B4841" t="s">
        <v>4473</v>
      </c>
      <c r="C4841">
        <v>953</v>
      </c>
      <c r="D4841" t="str">
        <f>"0038-6073"</f>
        <v>0038-6073</v>
      </c>
      <c r="E4841" t="s">
        <v>8</v>
      </c>
      <c r="F4841" t="s">
        <v>4848</v>
      </c>
      <c r="G4841">
        <v>1</v>
      </c>
    </row>
    <row r="4842" spans="1:7" x14ac:dyDescent="0.25">
      <c r="A4842">
        <v>21</v>
      </c>
      <c r="B4842" t="s">
        <v>4473</v>
      </c>
      <c r="C4842">
        <v>27749</v>
      </c>
      <c r="D4842" t="str">
        <f>"1439-9326"</f>
        <v>1439-9326</v>
      </c>
      <c r="E4842" t="s">
        <v>8</v>
      </c>
      <c r="F4842" t="s">
        <v>4849</v>
      </c>
      <c r="G4842">
        <v>1</v>
      </c>
    </row>
    <row r="4843" spans="1:7" x14ac:dyDescent="0.25">
      <c r="A4843">
        <v>21</v>
      </c>
      <c r="B4843" t="s">
        <v>4473</v>
      </c>
      <c r="C4843">
        <v>7706436</v>
      </c>
      <c r="E4843" t="s">
        <v>8</v>
      </c>
      <c r="F4843" t="s">
        <v>4850</v>
      </c>
      <c r="G4843">
        <v>1</v>
      </c>
    </row>
    <row r="4844" spans="1:7" x14ac:dyDescent="0.25">
      <c r="A4844">
        <v>21</v>
      </c>
      <c r="B4844" t="s">
        <v>4473</v>
      </c>
      <c r="C4844">
        <v>39384</v>
      </c>
      <c r="D4844" t="str">
        <f>"0039-291X"</f>
        <v>0039-291X</v>
      </c>
      <c r="E4844" t="s">
        <v>8</v>
      </c>
      <c r="F4844" t="s">
        <v>4851</v>
      </c>
      <c r="G4844">
        <v>1</v>
      </c>
    </row>
    <row r="4845" spans="1:7" x14ac:dyDescent="0.25">
      <c r="A4845">
        <v>21</v>
      </c>
      <c r="B4845" t="s">
        <v>4473</v>
      </c>
      <c r="C4845">
        <v>38801</v>
      </c>
      <c r="D4845" t="str">
        <f>"0039-3371"</f>
        <v>0039-3371</v>
      </c>
      <c r="E4845" t="s">
        <v>8</v>
      </c>
      <c r="F4845" t="s">
        <v>4852</v>
      </c>
      <c r="G4845">
        <v>1</v>
      </c>
    </row>
    <row r="4846" spans="1:7" x14ac:dyDescent="0.25">
      <c r="A4846">
        <v>21</v>
      </c>
      <c r="B4846" t="s">
        <v>4473</v>
      </c>
      <c r="C4846">
        <v>7571</v>
      </c>
      <c r="D4846" t="str">
        <f>"1573-4234"</f>
        <v>1573-4234</v>
      </c>
      <c r="E4846" t="s">
        <v>15</v>
      </c>
      <c r="F4846" t="s">
        <v>4853</v>
      </c>
      <c r="G4846">
        <v>1</v>
      </c>
    </row>
    <row r="4847" spans="1:7" x14ac:dyDescent="0.25">
      <c r="A4847">
        <v>21</v>
      </c>
      <c r="B4847" t="s">
        <v>4473</v>
      </c>
      <c r="C4847">
        <v>8783527</v>
      </c>
      <c r="E4847" t="s">
        <v>15</v>
      </c>
      <c r="F4847" t="s">
        <v>4854</v>
      </c>
      <c r="G4847">
        <v>1</v>
      </c>
    </row>
    <row r="4848" spans="1:7" x14ac:dyDescent="0.25">
      <c r="A4848">
        <v>21</v>
      </c>
      <c r="B4848" t="s">
        <v>4473</v>
      </c>
      <c r="C4848">
        <v>8783521</v>
      </c>
      <c r="E4848" t="s">
        <v>15</v>
      </c>
      <c r="F4848" t="s">
        <v>4855</v>
      </c>
      <c r="G4848">
        <v>1</v>
      </c>
    </row>
    <row r="4849" spans="1:7" x14ac:dyDescent="0.25">
      <c r="A4849">
        <v>21</v>
      </c>
      <c r="B4849" t="s">
        <v>4473</v>
      </c>
      <c r="C4849">
        <v>8783317</v>
      </c>
      <c r="E4849" t="s">
        <v>8</v>
      </c>
      <c r="F4849" t="s">
        <v>4856</v>
      </c>
      <c r="G4849">
        <v>1</v>
      </c>
    </row>
    <row r="4850" spans="1:7" x14ac:dyDescent="0.25">
      <c r="A4850">
        <v>21</v>
      </c>
      <c r="B4850" t="s">
        <v>4473</v>
      </c>
      <c r="C4850">
        <v>27457</v>
      </c>
      <c r="E4850" t="s">
        <v>8</v>
      </c>
      <c r="F4850" t="s">
        <v>4857</v>
      </c>
      <c r="G4850">
        <v>1</v>
      </c>
    </row>
    <row r="4851" spans="1:7" x14ac:dyDescent="0.25">
      <c r="A4851">
        <v>21</v>
      </c>
      <c r="B4851" t="s">
        <v>4473</v>
      </c>
      <c r="C4851">
        <v>130435</v>
      </c>
      <c r="D4851" t="str">
        <f>"1504-8004"</f>
        <v>1504-8004</v>
      </c>
      <c r="E4851" t="s">
        <v>8</v>
      </c>
      <c r="F4851" t="s">
        <v>4858</v>
      </c>
      <c r="G4851">
        <v>1</v>
      </c>
    </row>
    <row r="4852" spans="1:7" x14ac:dyDescent="0.25">
      <c r="A4852">
        <v>21</v>
      </c>
      <c r="B4852" t="s">
        <v>4473</v>
      </c>
      <c r="C4852">
        <v>27711</v>
      </c>
      <c r="D4852" t="str">
        <f>"1532-5555"</f>
        <v>1532-5555</v>
      </c>
      <c r="E4852" t="s">
        <v>8</v>
      </c>
      <c r="F4852" t="s">
        <v>4859</v>
      </c>
      <c r="G4852">
        <v>1</v>
      </c>
    </row>
    <row r="4853" spans="1:7" x14ac:dyDescent="0.25">
      <c r="A4853">
        <v>21</v>
      </c>
      <c r="B4853" t="s">
        <v>4473</v>
      </c>
      <c r="C4853">
        <v>15932</v>
      </c>
      <c r="D4853" t="str">
        <f>"0092-055X"</f>
        <v>0092-055X</v>
      </c>
      <c r="E4853" t="s">
        <v>8</v>
      </c>
      <c r="F4853" t="s">
        <v>4860</v>
      </c>
      <c r="G4853">
        <v>1</v>
      </c>
    </row>
    <row r="4854" spans="1:7" x14ac:dyDescent="0.25">
      <c r="A4854">
        <v>21</v>
      </c>
      <c r="B4854" t="s">
        <v>4473</v>
      </c>
      <c r="C4854">
        <v>3355</v>
      </c>
      <c r="D4854" t="str">
        <f>"0003-1232"</f>
        <v>0003-1232</v>
      </c>
      <c r="E4854" t="s">
        <v>8</v>
      </c>
      <c r="F4854" t="s">
        <v>4861</v>
      </c>
      <c r="G4854">
        <v>1</v>
      </c>
    </row>
    <row r="4855" spans="1:7" x14ac:dyDescent="0.25">
      <c r="A4855">
        <v>21</v>
      </c>
      <c r="B4855" t="s">
        <v>4473</v>
      </c>
      <c r="C4855">
        <v>4081</v>
      </c>
      <c r="D4855" t="str">
        <f>"0007-0955"</f>
        <v>0007-0955</v>
      </c>
      <c r="E4855" t="s">
        <v>8</v>
      </c>
      <c r="F4855" t="s">
        <v>4862</v>
      </c>
      <c r="G4855">
        <v>1</v>
      </c>
    </row>
    <row r="4856" spans="1:7" x14ac:dyDescent="0.25">
      <c r="A4856">
        <v>21</v>
      </c>
      <c r="B4856" t="s">
        <v>4473</v>
      </c>
      <c r="C4856">
        <v>8339</v>
      </c>
      <c r="D4856" t="str">
        <f>"1066-4807"</f>
        <v>1066-4807</v>
      </c>
      <c r="E4856" t="s">
        <v>8</v>
      </c>
      <c r="F4856" t="s">
        <v>4863</v>
      </c>
      <c r="G4856">
        <v>1</v>
      </c>
    </row>
    <row r="4857" spans="1:7" x14ac:dyDescent="0.25">
      <c r="A4857">
        <v>21</v>
      </c>
      <c r="B4857" t="s">
        <v>4473</v>
      </c>
      <c r="C4857">
        <v>9000</v>
      </c>
      <c r="D4857" t="str">
        <f>"1054-8289"</f>
        <v>1054-8289</v>
      </c>
      <c r="E4857" t="s">
        <v>8</v>
      </c>
      <c r="F4857" t="s">
        <v>4864</v>
      </c>
      <c r="G4857">
        <v>1</v>
      </c>
    </row>
    <row r="4858" spans="1:7" x14ac:dyDescent="0.25">
      <c r="A4858">
        <v>21</v>
      </c>
      <c r="B4858" t="s">
        <v>4473</v>
      </c>
      <c r="C4858">
        <v>89295</v>
      </c>
      <c r="D4858" t="str">
        <f>"1556-1542"</f>
        <v>1556-1542</v>
      </c>
      <c r="E4858" t="s">
        <v>8</v>
      </c>
      <c r="F4858" t="s">
        <v>4865</v>
      </c>
      <c r="G4858">
        <v>1</v>
      </c>
    </row>
    <row r="4859" spans="1:7" x14ac:dyDescent="0.25">
      <c r="A4859">
        <v>21</v>
      </c>
      <c r="B4859" t="s">
        <v>4473</v>
      </c>
      <c r="C4859">
        <v>7747249</v>
      </c>
      <c r="D4859" t="str">
        <f>"2160-1909"</f>
        <v>2160-1909</v>
      </c>
      <c r="E4859" t="s">
        <v>8</v>
      </c>
      <c r="F4859" t="s">
        <v>4866</v>
      </c>
      <c r="G4859">
        <v>1</v>
      </c>
    </row>
    <row r="4860" spans="1:7" x14ac:dyDescent="0.25">
      <c r="A4860">
        <v>21</v>
      </c>
      <c r="B4860" t="s">
        <v>4473</v>
      </c>
      <c r="C4860">
        <v>25792</v>
      </c>
      <c r="D4860" t="str">
        <f>"1757-0344"</f>
        <v>1757-0344</v>
      </c>
      <c r="E4860" t="s">
        <v>8</v>
      </c>
      <c r="F4860" t="s">
        <v>4867</v>
      </c>
      <c r="G4860">
        <v>1</v>
      </c>
    </row>
    <row r="4861" spans="1:7" x14ac:dyDescent="0.25">
      <c r="A4861">
        <v>21</v>
      </c>
      <c r="B4861" t="s">
        <v>4473</v>
      </c>
      <c r="C4861">
        <v>8198</v>
      </c>
      <c r="D4861" t="str">
        <f>"1466-8203"</f>
        <v>1466-8203</v>
      </c>
      <c r="E4861" t="s">
        <v>8</v>
      </c>
      <c r="F4861" t="s">
        <v>4868</v>
      </c>
      <c r="G4861">
        <v>1</v>
      </c>
    </row>
    <row r="4862" spans="1:7" x14ac:dyDescent="0.25">
      <c r="A4862">
        <v>21</v>
      </c>
      <c r="B4862" t="s">
        <v>4473</v>
      </c>
      <c r="C4862">
        <v>8783528</v>
      </c>
      <c r="E4862" t="s">
        <v>15</v>
      </c>
      <c r="F4862" t="s">
        <v>4869</v>
      </c>
      <c r="G4862">
        <v>1</v>
      </c>
    </row>
    <row r="4863" spans="1:7" x14ac:dyDescent="0.25">
      <c r="A4863">
        <v>21</v>
      </c>
      <c r="B4863" t="s">
        <v>4473</v>
      </c>
      <c r="C4863">
        <v>4246</v>
      </c>
      <c r="D4863" t="str">
        <f>"2160-3715"</f>
        <v>2160-3715</v>
      </c>
      <c r="E4863" t="s">
        <v>8</v>
      </c>
      <c r="F4863" t="s">
        <v>4870</v>
      </c>
      <c r="G4863">
        <v>1</v>
      </c>
    </row>
    <row r="4864" spans="1:7" x14ac:dyDescent="0.25">
      <c r="A4864">
        <v>21</v>
      </c>
      <c r="B4864" t="s">
        <v>4473</v>
      </c>
      <c r="C4864">
        <v>10774</v>
      </c>
      <c r="D4864" t="str">
        <f>"0362-3319"</f>
        <v>0362-3319</v>
      </c>
      <c r="E4864" t="s">
        <v>8</v>
      </c>
      <c r="F4864" t="s">
        <v>4871</v>
      </c>
      <c r="G4864">
        <v>1</v>
      </c>
    </row>
    <row r="4865" spans="1:7" x14ac:dyDescent="0.25">
      <c r="A4865">
        <v>21</v>
      </c>
      <c r="B4865" t="s">
        <v>4473</v>
      </c>
      <c r="C4865">
        <v>6288</v>
      </c>
      <c r="D4865" t="str">
        <f>"0038-0253"</f>
        <v>0038-0253</v>
      </c>
      <c r="E4865" t="s">
        <v>8</v>
      </c>
      <c r="F4865" t="s">
        <v>4872</v>
      </c>
      <c r="G4865">
        <v>1</v>
      </c>
    </row>
    <row r="4866" spans="1:7" x14ac:dyDescent="0.25">
      <c r="A4866">
        <v>21</v>
      </c>
      <c r="B4866" t="s">
        <v>4473</v>
      </c>
      <c r="C4866">
        <v>4681</v>
      </c>
      <c r="D4866" t="str">
        <f>"1399-1442"</f>
        <v>1399-1442</v>
      </c>
      <c r="E4866" t="s">
        <v>8</v>
      </c>
      <c r="F4866" t="s">
        <v>4873</v>
      </c>
      <c r="G4866">
        <v>1</v>
      </c>
    </row>
    <row r="4867" spans="1:7" x14ac:dyDescent="0.25">
      <c r="A4867">
        <v>21</v>
      </c>
      <c r="B4867" t="s">
        <v>4473</v>
      </c>
      <c r="C4867">
        <v>8783522</v>
      </c>
      <c r="E4867" t="s">
        <v>15</v>
      </c>
      <c r="F4867" t="s">
        <v>4874</v>
      </c>
      <c r="G4867">
        <v>1</v>
      </c>
    </row>
    <row r="4868" spans="1:7" x14ac:dyDescent="0.25">
      <c r="A4868">
        <v>21</v>
      </c>
      <c r="B4868" t="s">
        <v>4473</v>
      </c>
      <c r="C4868">
        <v>140474</v>
      </c>
      <c r="D4868" t="str">
        <f>"1600-888X"</f>
        <v>1600-888X</v>
      </c>
      <c r="E4868" t="s">
        <v>8</v>
      </c>
      <c r="F4868" t="s">
        <v>4875</v>
      </c>
      <c r="G4868">
        <v>1</v>
      </c>
    </row>
    <row r="4869" spans="1:7" x14ac:dyDescent="0.25">
      <c r="A4869">
        <v>21</v>
      </c>
      <c r="B4869" t="s">
        <v>4473</v>
      </c>
      <c r="C4869">
        <v>9952</v>
      </c>
      <c r="D4869" t="str">
        <f>"1045-991X"</f>
        <v>1045-991X</v>
      </c>
      <c r="E4869" t="s">
        <v>8</v>
      </c>
      <c r="F4869" t="s">
        <v>4876</v>
      </c>
      <c r="G4869">
        <v>1</v>
      </c>
    </row>
    <row r="4870" spans="1:7" x14ac:dyDescent="0.25">
      <c r="A4870">
        <v>21</v>
      </c>
      <c r="B4870" t="s">
        <v>4473</v>
      </c>
      <c r="C4870">
        <v>7748059</v>
      </c>
      <c r="D4870" t="str">
        <f>"2001-5992"</f>
        <v>2001-5992</v>
      </c>
      <c r="E4870" t="s">
        <v>8</v>
      </c>
      <c r="F4870" t="s">
        <v>4877</v>
      </c>
      <c r="G4870">
        <v>1</v>
      </c>
    </row>
    <row r="4871" spans="1:7" x14ac:dyDescent="0.25">
      <c r="A4871">
        <v>21</v>
      </c>
      <c r="B4871" t="s">
        <v>4473</v>
      </c>
      <c r="C4871">
        <v>3188</v>
      </c>
      <c r="D4871" t="str">
        <f>"1745-0128"</f>
        <v>1745-0128</v>
      </c>
      <c r="E4871" t="s">
        <v>8</v>
      </c>
      <c r="F4871" t="s">
        <v>4878</v>
      </c>
      <c r="G4871">
        <v>1</v>
      </c>
    </row>
    <row r="4872" spans="1:7" x14ac:dyDescent="0.25">
      <c r="A4872">
        <v>21</v>
      </c>
      <c r="B4872" t="s">
        <v>4473</v>
      </c>
      <c r="C4872">
        <v>8783523</v>
      </c>
      <c r="E4872" t="s">
        <v>15</v>
      </c>
      <c r="F4872" t="s">
        <v>4879</v>
      </c>
      <c r="G4872">
        <v>1</v>
      </c>
    </row>
    <row r="4873" spans="1:7" x14ac:dyDescent="0.25">
      <c r="A4873">
        <v>21</v>
      </c>
      <c r="B4873" t="s">
        <v>4473</v>
      </c>
      <c r="C4873">
        <v>6879</v>
      </c>
      <c r="D4873" t="str">
        <f>"1103-3088"</f>
        <v>1103-3088</v>
      </c>
      <c r="E4873" t="s">
        <v>8</v>
      </c>
      <c r="F4873" t="s">
        <v>4880</v>
      </c>
      <c r="G4873">
        <v>1</v>
      </c>
    </row>
    <row r="4874" spans="1:7" x14ac:dyDescent="0.25">
      <c r="A4874">
        <v>21</v>
      </c>
      <c r="B4874" t="s">
        <v>4473</v>
      </c>
      <c r="C4874">
        <v>23312</v>
      </c>
      <c r="D4874" t="str">
        <f>"0514-2776"</f>
        <v>0514-2776</v>
      </c>
      <c r="E4874" t="s">
        <v>8</v>
      </c>
      <c r="F4874" t="s">
        <v>4881</v>
      </c>
      <c r="G4874">
        <v>1</v>
      </c>
    </row>
    <row r="4875" spans="1:7" x14ac:dyDescent="0.25">
      <c r="A4875">
        <v>21</v>
      </c>
      <c r="B4875" t="s">
        <v>4473</v>
      </c>
      <c r="C4875">
        <v>7745059</v>
      </c>
      <c r="D4875" t="str">
        <f>"2195-867X"</f>
        <v>2195-867X</v>
      </c>
      <c r="E4875" t="s">
        <v>8</v>
      </c>
      <c r="F4875" t="s">
        <v>4882</v>
      </c>
      <c r="G4875">
        <v>1</v>
      </c>
    </row>
    <row r="4876" spans="1:7" x14ac:dyDescent="0.25">
      <c r="A4876">
        <v>22</v>
      </c>
      <c r="B4876" t="s">
        <v>4883</v>
      </c>
      <c r="C4876">
        <v>13729</v>
      </c>
      <c r="D4876" t="str">
        <f>"0001-6810"</f>
        <v>0001-6810</v>
      </c>
      <c r="E4876" t="s">
        <v>8</v>
      </c>
      <c r="F4876" t="s">
        <v>4884</v>
      </c>
      <c r="G4876">
        <v>2</v>
      </c>
    </row>
    <row r="4877" spans="1:7" x14ac:dyDescent="0.25">
      <c r="A4877">
        <v>22</v>
      </c>
      <c r="B4877" t="s">
        <v>4883</v>
      </c>
      <c r="C4877">
        <v>9768</v>
      </c>
      <c r="D4877" t="str">
        <f>"0095-3997"</f>
        <v>0095-3997</v>
      </c>
      <c r="E4877" t="s">
        <v>8</v>
      </c>
      <c r="F4877" t="s">
        <v>4885</v>
      </c>
      <c r="G4877">
        <v>2</v>
      </c>
    </row>
    <row r="4878" spans="1:7" x14ac:dyDescent="0.25">
      <c r="A4878">
        <v>22</v>
      </c>
      <c r="B4878" t="s">
        <v>4883</v>
      </c>
      <c r="C4878">
        <v>7048</v>
      </c>
      <c r="D4878" t="str">
        <f>"0144-686X"</f>
        <v>0144-686X</v>
      </c>
      <c r="E4878" t="s">
        <v>8</v>
      </c>
      <c r="F4878" t="s">
        <v>4886</v>
      </c>
      <c r="G4878">
        <v>2</v>
      </c>
    </row>
    <row r="4879" spans="1:7" x14ac:dyDescent="0.25">
      <c r="A4879">
        <v>22</v>
      </c>
      <c r="B4879" t="s">
        <v>4883</v>
      </c>
      <c r="C4879">
        <v>9039</v>
      </c>
      <c r="D4879" t="str">
        <f>"1098-2140"</f>
        <v>1098-2140</v>
      </c>
      <c r="E4879" t="s">
        <v>8</v>
      </c>
      <c r="F4879" t="s">
        <v>4887</v>
      </c>
      <c r="G4879">
        <v>2</v>
      </c>
    </row>
    <row r="4880" spans="1:7" x14ac:dyDescent="0.25">
      <c r="A4880">
        <v>22</v>
      </c>
      <c r="B4880" t="s">
        <v>4883</v>
      </c>
      <c r="C4880">
        <v>723</v>
      </c>
      <c r="D4880" t="str">
        <f>"0092-5853"</f>
        <v>0092-5853</v>
      </c>
      <c r="E4880" t="s">
        <v>8</v>
      </c>
      <c r="F4880" t="s">
        <v>4888</v>
      </c>
      <c r="G4880">
        <v>2</v>
      </c>
    </row>
    <row r="4881" spans="1:7" x14ac:dyDescent="0.25">
      <c r="A4881">
        <v>22</v>
      </c>
      <c r="B4881" t="s">
        <v>4883</v>
      </c>
      <c r="C4881">
        <v>12514</v>
      </c>
      <c r="D4881" t="str">
        <f>"0003-0554"</f>
        <v>0003-0554</v>
      </c>
      <c r="E4881" t="s">
        <v>8</v>
      </c>
      <c r="F4881" t="s">
        <v>4889</v>
      </c>
      <c r="G4881">
        <v>2</v>
      </c>
    </row>
    <row r="4882" spans="1:7" x14ac:dyDescent="0.25">
      <c r="A4882">
        <v>22</v>
      </c>
      <c r="B4882" t="s">
        <v>4883</v>
      </c>
      <c r="C4882">
        <v>11040</v>
      </c>
      <c r="D4882" t="str">
        <f>"0275-0740"</f>
        <v>0275-0740</v>
      </c>
      <c r="E4882" t="s">
        <v>8</v>
      </c>
      <c r="F4882" t="s">
        <v>4890</v>
      </c>
      <c r="G4882">
        <v>2</v>
      </c>
    </row>
    <row r="4883" spans="1:7" x14ac:dyDescent="0.25">
      <c r="A4883">
        <v>22</v>
      </c>
      <c r="B4883" t="s">
        <v>4883</v>
      </c>
      <c r="C4883">
        <v>170234</v>
      </c>
      <c r="E4883" t="s">
        <v>15</v>
      </c>
      <c r="F4883" t="s">
        <v>4891</v>
      </c>
      <c r="G4883">
        <v>2</v>
      </c>
    </row>
    <row r="4884" spans="1:7" x14ac:dyDescent="0.25">
      <c r="A4884">
        <v>22</v>
      </c>
      <c r="B4884" t="s">
        <v>4883</v>
      </c>
      <c r="C4884">
        <v>5199</v>
      </c>
      <c r="D4884" t="str">
        <f>"0007-1080"</f>
        <v>0007-1080</v>
      </c>
      <c r="E4884" t="s">
        <v>8</v>
      </c>
      <c r="F4884" t="s">
        <v>4892</v>
      </c>
      <c r="G4884">
        <v>2</v>
      </c>
    </row>
    <row r="4885" spans="1:7" x14ac:dyDescent="0.25">
      <c r="A4885">
        <v>22</v>
      </c>
      <c r="B4885" t="s">
        <v>4883</v>
      </c>
      <c r="C4885">
        <v>12650</v>
      </c>
      <c r="D4885" t="str">
        <f>"0007-1234"</f>
        <v>0007-1234</v>
      </c>
      <c r="E4885" t="s">
        <v>8</v>
      </c>
      <c r="F4885" t="s">
        <v>4893</v>
      </c>
      <c r="G4885">
        <v>2</v>
      </c>
    </row>
    <row r="4886" spans="1:7" x14ac:dyDescent="0.25">
      <c r="A4886">
        <v>22</v>
      </c>
      <c r="B4886" t="s">
        <v>4883</v>
      </c>
      <c r="C4886">
        <v>170147</v>
      </c>
      <c r="E4886" t="s">
        <v>15</v>
      </c>
      <c r="F4886" t="s">
        <v>4894</v>
      </c>
      <c r="G4886">
        <v>2</v>
      </c>
    </row>
    <row r="4887" spans="1:7" x14ac:dyDescent="0.25">
      <c r="A4887">
        <v>22</v>
      </c>
      <c r="B4887" t="s">
        <v>4883</v>
      </c>
      <c r="C4887">
        <v>137248</v>
      </c>
      <c r="D4887" t="str">
        <f>"0959-6844"</f>
        <v>0959-6844</v>
      </c>
      <c r="E4887" t="s">
        <v>15</v>
      </c>
      <c r="F4887" t="s">
        <v>4895</v>
      </c>
      <c r="G4887">
        <v>2</v>
      </c>
    </row>
    <row r="4888" spans="1:7" x14ac:dyDescent="0.25">
      <c r="A4888">
        <v>22</v>
      </c>
      <c r="B4888" t="s">
        <v>4883</v>
      </c>
      <c r="C4888">
        <v>170149</v>
      </c>
      <c r="E4888" t="s">
        <v>15</v>
      </c>
      <c r="F4888" t="s">
        <v>4896</v>
      </c>
      <c r="G4888">
        <v>2</v>
      </c>
    </row>
    <row r="4889" spans="1:7" x14ac:dyDescent="0.25">
      <c r="A4889">
        <v>22</v>
      </c>
      <c r="B4889" t="s">
        <v>4883</v>
      </c>
      <c r="C4889">
        <v>170310</v>
      </c>
      <c r="E4889" t="s">
        <v>15</v>
      </c>
      <c r="F4889" t="s">
        <v>4897</v>
      </c>
      <c r="G4889">
        <v>2</v>
      </c>
    </row>
    <row r="4890" spans="1:7" x14ac:dyDescent="0.25">
      <c r="A4890">
        <v>22</v>
      </c>
      <c r="B4890" t="s">
        <v>4883</v>
      </c>
      <c r="C4890">
        <v>15231</v>
      </c>
      <c r="D4890" t="str">
        <f>"1472-4790"</f>
        <v>1472-4790</v>
      </c>
      <c r="E4890" t="s">
        <v>8</v>
      </c>
      <c r="F4890" t="s">
        <v>4898</v>
      </c>
      <c r="G4890">
        <v>2</v>
      </c>
    </row>
    <row r="4891" spans="1:7" x14ac:dyDescent="0.25">
      <c r="A4891">
        <v>22</v>
      </c>
      <c r="B4891" t="s">
        <v>4883</v>
      </c>
      <c r="C4891">
        <v>10475</v>
      </c>
      <c r="D4891" t="str">
        <f>"0010-4140"</f>
        <v>0010-4140</v>
      </c>
      <c r="E4891" t="s">
        <v>8</v>
      </c>
      <c r="F4891" t="s">
        <v>4899</v>
      </c>
      <c r="G4891">
        <v>2</v>
      </c>
    </row>
    <row r="4892" spans="1:7" x14ac:dyDescent="0.25">
      <c r="A4892">
        <v>22</v>
      </c>
      <c r="B4892" t="s">
        <v>4883</v>
      </c>
      <c r="C4892">
        <v>10937</v>
      </c>
      <c r="D4892" t="str">
        <f>"0010-4159"</f>
        <v>0010-4159</v>
      </c>
      <c r="E4892" t="s">
        <v>8</v>
      </c>
      <c r="F4892" t="s">
        <v>4900</v>
      </c>
      <c r="G4892">
        <v>2</v>
      </c>
    </row>
    <row r="4893" spans="1:7" x14ac:dyDescent="0.25">
      <c r="A4893">
        <v>22</v>
      </c>
      <c r="B4893" t="s">
        <v>4883</v>
      </c>
      <c r="C4893">
        <v>170195</v>
      </c>
      <c r="E4893" t="s">
        <v>15</v>
      </c>
      <c r="F4893" t="s">
        <v>4901</v>
      </c>
      <c r="G4893">
        <v>2</v>
      </c>
    </row>
    <row r="4894" spans="1:7" x14ac:dyDescent="0.25">
      <c r="A4894">
        <v>22</v>
      </c>
      <c r="B4894" t="s">
        <v>4883</v>
      </c>
      <c r="C4894">
        <v>9514</v>
      </c>
      <c r="D4894" t="str">
        <f>"0738-8942"</f>
        <v>0738-8942</v>
      </c>
      <c r="E4894" t="s">
        <v>8</v>
      </c>
      <c r="F4894" t="s">
        <v>4902</v>
      </c>
      <c r="G4894">
        <v>2</v>
      </c>
    </row>
    <row r="4895" spans="1:7" x14ac:dyDescent="0.25">
      <c r="A4895">
        <v>22</v>
      </c>
      <c r="B4895" t="s">
        <v>4883</v>
      </c>
      <c r="C4895">
        <v>170314</v>
      </c>
      <c r="E4895" t="s">
        <v>15</v>
      </c>
      <c r="F4895" t="s">
        <v>4903</v>
      </c>
      <c r="G4895">
        <v>2</v>
      </c>
    </row>
    <row r="4896" spans="1:7" x14ac:dyDescent="0.25">
      <c r="A4896">
        <v>22</v>
      </c>
      <c r="B4896" t="s">
        <v>4883</v>
      </c>
      <c r="C4896">
        <v>5875</v>
      </c>
      <c r="D4896" t="str">
        <f>"0010-8367"</f>
        <v>0010-8367</v>
      </c>
      <c r="E4896" t="s">
        <v>8</v>
      </c>
      <c r="F4896" t="s">
        <v>4904</v>
      </c>
      <c r="G4896">
        <v>2</v>
      </c>
    </row>
    <row r="4897" spans="1:7" x14ac:dyDescent="0.25">
      <c r="A4897">
        <v>22</v>
      </c>
      <c r="B4897" t="s">
        <v>4883</v>
      </c>
      <c r="C4897">
        <v>170168</v>
      </c>
      <c r="E4897" t="s">
        <v>15</v>
      </c>
      <c r="F4897" t="s">
        <v>4905</v>
      </c>
      <c r="G4897">
        <v>2</v>
      </c>
    </row>
    <row r="4898" spans="1:7" x14ac:dyDescent="0.25">
      <c r="A4898">
        <v>22</v>
      </c>
      <c r="B4898" t="s">
        <v>4883</v>
      </c>
      <c r="C4898">
        <v>14997</v>
      </c>
      <c r="D4898" t="str">
        <f>"0308-5147"</f>
        <v>0308-5147</v>
      </c>
      <c r="E4898" t="s">
        <v>8</v>
      </c>
      <c r="F4898" t="s">
        <v>4906</v>
      </c>
      <c r="G4898">
        <v>2</v>
      </c>
    </row>
    <row r="4899" spans="1:7" x14ac:dyDescent="0.25">
      <c r="A4899">
        <v>22</v>
      </c>
      <c r="B4899" t="s">
        <v>4883</v>
      </c>
      <c r="C4899">
        <v>14660</v>
      </c>
      <c r="D4899" t="str">
        <f>"0261-3794"</f>
        <v>0261-3794</v>
      </c>
      <c r="E4899" t="s">
        <v>8</v>
      </c>
      <c r="F4899" t="s">
        <v>4907</v>
      </c>
      <c r="G4899">
        <v>2</v>
      </c>
    </row>
    <row r="4900" spans="1:7" x14ac:dyDescent="0.25">
      <c r="A4900">
        <v>22</v>
      </c>
      <c r="B4900" t="s">
        <v>4883</v>
      </c>
      <c r="C4900">
        <v>8782531</v>
      </c>
      <c r="D4900" t="str">
        <f>"2399-6544"</f>
        <v>2399-6544</v>
      </c>
      <c r="E4900" t="s">
        <v>8</v>
      </c>
      <c r="F4900" t="s">
        <v>4908</v>
      </c>
      <c r="G4900">
        <v>2</v>
      </c>
    </row>
    <row r="4901" spans="1:7" x14ac:dyDescent="0.25">
      <c r="A4901">
        <v>22</v>
      </c>
      <c r="B4901" t="s">
        <v>4883</v>
      </c>
      <c r="C4901">
        <v>5144</v>
      </c>
      <c r="D4901" t="str">
        <f>"0964-4016"</f>
        <v>0964-4016</v>
      </c>
      <c r="E4901" t="s">
        <v>8</v>
      </c>
      <c r="F4901" t="s">
        <v>4909</v>
      </c>
      <c r="G4901">
        <v>2</v>
      </c>
    </row>
    <row r="4902" spans="1:7" x14ac:dyDescent="0.25">
      <c r="A4902">
        <v>22</v>
      </c>
      <c r="B4902" t="s">
        <v>4883</v>
      </c>
      <c r="C4902">
        <v>3232</v>
      </c>
      <c r="D4902" t="str">
        <f>"0959-6801"</f>
        <v>0959-6801</v>
      </c>
      <c r="E4902" t="s">
        <v>8</v>
      </c>
      <c r="F4902" t="s">
        <v>4910</v>
      </c>
      <c r="G4902">
        <v>2</v>
      </c>
    </row>
    <row r="4903" spans="1:7" x14ac:dyDescent="0.25">
      <c r="A4903">
        <v>22</v>
      </c>
      <c r="B4903" t="s">
        <v>4883</v>
      </c>
      <c r="C4903">
        <v>11595</v>
      </c>
      <c r="D4903" t="str">
        <f>"1354-0661"</f>
        <v>1354-0661</v>
      </c>
      <c r="E4903" t="s">
        <v>8</v>
      </c>
      <c r="F4903" t="s">
        <v>4911</v>
      </c>
      <c r="G4903">
        <v>2</v>
      </c>
    </row>
    <row r="4904" spans="1:7" x14ac:dyDescent="0.25">
      <c r="A4904">
        <v>22</v>
      </c>
      <c r="B4904" t="s">
        <v>4883</v>
      </c>
      <c r="C4904">
        <v>864</v>
      </c>
      <c r="D4904" t="str">
        <f>"0304-4130"</f>
        <v>0304-4130</v>
      </c>
      <c r="E4904" t="s">
        <v>8</v>
      </c>
      <c r="F4904" t="s">
        <v>4912</v>
      </c>
      <c r="G4904">
        <v>2</v>
      </c>
    </row>
    <row r="4905" spans="1:7" x14ac:dyDescent="0.25">
      <c r="A4905">
        <v>22</v>
      </c>
      <c r="B4905" t="s">
        <v>4883</v>
      </c>
      <c r="C4905">
        <v>156014</v>
      </c>
      <c r="D4905" t="str">
        <f>"1755-7739"</f>
        <v>1755-7739</v>
      </c>
      <c r="E4905" t="s">
        <v>8</v>
      </c>
      <c r="F4905" t="s">
        <v>4913</v>
      </c>
      <c r="G4905">
        <v>2</v>
      </c>
    </row>
    <row r="4906" spans="1:7" x14ac:dyDescent="0.25">
      <c r="A4906">
        <v>22</v>
      </c>
      <c r="B4906" t="s">
        <v>4883</v>
      </c>
      <c r="C4906">
        <v>14012</v>
      </c>
      <c r="D4906" t="str">
        <f>"1465-1165"</f>
        <v>1465-1165</v>
      </c>
      <c r="E4906" t="s">
        <v>8</v>
      </c>
      <c r="F4906" t="s">
        <v>4914</v>
      </c>
      <c r="G4906">
        <v>2</v>
      </c>
    </row>
    <row r="4907" spans="1:7" x14ac:dyDescent="0.25">
      <c r="A4907">
        <v>22</v>
      </c>
      <c r="B4907" t="s">
        <v>4883</v>
      </c>
      <c r="C4907">
        <v>14046</v>
      </c>
      <c r="D4907" t="str">
        <f>"1356-3890"</f>
        <v>1356-3890</v>
      </c>
      <c r="E4907" t="s">
        <v>8</v>
      </c>
      <c r="F4907" t="s">
        <v>4915</v>
      </c>
      <c r="G4907">
        <v>2</v>
      </c>
    </row>
    <row r="4908" spans="1:7" x14ac:dyDescent="0.25">
      <c r="A4908">
        <v>22</v>
      </c>
      <c r="B4908" t="s">
        <v>4883</v>
      </c>
      <c r="C4908">
        <v>24913</v>
      </c>
      <c r="D4908" t="str">
        <f>"1744-2648"</f>
        <v>1744-2648</v>
      </c>
      <c r="E4908" t="s">
        <v>8</v>
      </c>
      <c r="F4908" t="s">
        <v>4916</v>
      </c>
      <c r="G4908">
        <v>2</v>
      </c>
    </row>
    <row r="4909" spans="1:7" x14ac:dyDescent="0.25">
      <c r="A4909">
        <v>22</v>
      </c>
      <c r="B4909" t="s">
        <v>4883</v>
      </c>
      <c r="C4909">
        <v>170213</v>
      </c>
      <c r="E4909" t="s">
        <v>15</v>
      </c>
      <c r="F4909" t="s">
        <v>4917</v>
      </c>
      <c r="G4909">
        <v>2</v>
      </c>
    </row>
    <row r="4910" spans="1:7" x14ac:dyDescent="0.25">
      <c r="A4910">
        <v>22</v>
      </c>
      <c r="B4910" t="s">
        <v>4883</v>
      </c>
      <c r="C4910">
        <v>16287</v>
      </c>
      <c r="D4910" t="str">
        <f>"0952-1895"</f>
        <v>0952-1895</v>
      </c>
      <c r="E4910" t="s">
        <v>8</v>
      </c>
      <c r="F4910" t="s">
        <v>4918</v>
      </c>
      <c r="G4910">
        <v>2</v>
      </c>
    </row>
    <row r="4911" spans="1:7" x14ac:dyDescent="0.25">
      <c r="A4911">
        <v>22</v>
      </c>
      <c r="B4911" t="s">
        <v>4883</v>
      </c>
      <c r="C4911">
        <v>14171</v>
      </c>
      <c r="D4911" t="str">
        <f>"0017-257X"</f>
        <v>0017-257X</v>
      </c>
      <c r="E4911" t="s">
        <v>8</v>
      </c>
      <c r="F4911" t="s">
        <v>4919</v>
      </c>
      <c r="G4911">
        <v>2</v>
      </c>
    </row>
    <row r="4912" spans="1:7" x14ac:dyDescent="0.25">
      <c r="A4912">
        <v>22</v>
      </c>
      <c r="B4912" t="s">
        <v>4883</v>
      </c>
      <c r="C4912">
        <v>5409</v>
      </c>
      <c r="D4912" t="str">
        <f>"0019-7939"</f>
        <v>0019-7939</v>
      </c>
      <c r="E4912" t="s">
        <v>8</v>
      </c>
      <c r="F4912" t="s">
        <v>4920</v>
      </c>
      <c r="G4912">
        <v>2</v>
      </c>
    </row>
    <row r="4913" spans="1:7" x14ac:dyDescent="0.25">
      <c r="A4913">
        <v>22</v>
      </c>
      <c r="B4913" t="s">
        <v>4883</v>
      </c>
      <c r="C4913">
        <v>13622</v>
      </c>
      <c r="D4913" t="str">
        <f>"0019-8676"</f>
        <v>0019-8676</v>
      </c>
      <c r="E4913" t="s">
        <v>8</v>
      </c>
      <c r="F4913" t="s">
        <v>4921</v>
      </c>
      <c r="G4913">
        <v>2</v>
      </c>
    </row>
    <row r="4914" spans="1:7" x14ac:dyDescent="0.25">
      <c r="A4914">
        <v>22</v>
      </c>
      <c r="B4914" t="s">
        <v>4883</v>
      </c>
      <c r="C4914">
        <v>12345</v>
      </c>
      <c r="D4914" t="str">
        <f>"0020-5850"</f>
        <v>0020-5850</v>
      </c>
      <c r="E4914" t="s">
        <v>8</v>
      </c>
      <c r="F4914" t="s">
        <v>4922</v>
      </c>
      <c r="G4914">
        <v>2</v>
      </c>
    </row>
    <row r="4915" spans="1:7" x14ac:dyDescent="0.25">
      <c r="A4915">
        <v>22</v>
      </c>
      <c r="B4915" t="s">
        <v>4883</v>
      </c>
      <c r="C4915">
        <v>1227</v>
      </c>
      <c r="D4915" t="str">
        <f>"0954-2892"</f>
        <v>0954-2892</v>
      </c>
      <c r="E4915" t="s">
        <v>8</v>
      </c>
      <c r="F4915" t="s">
        <v>4923</v>
      </c>
      <c r="G4915">
        <v>2</v>
      </c>
    </row>
    <row r="4916" spans="1:7" x14ac:dyDescent="0.25">
      <c r="A4916">
        <v>22</v>
      </c>
      <c r="B4916" t="s">
        <v>4883</v>
      </c>
      <c r="C4916">
        <v>1838</v>
      </c>
      <c r="D4916" t="str">
        <f>"0020-8183"</f>
        <v>0020-8183</v>
      </c>
      <c r="E4916" t="s">
        <v>8</v>
      </c>
      <c r="F4916" t="s">
        <v>4924</v>
      </c>
      <c r="G4916">
        <v>2</v>
      </c>
    </row>
    <row r="4917" spans="1:7" x14ac:dyDescent="0.25">
      <c r="A4917">
        <v>22</v>
      </c>
      <c r="B4917" t="s">
        <v>4883</v>
      </c>
      <c r="C4917">
        <v>14369</v>
      </c>
      <c r="D4917" t="str">
        <f>"0192-5121"</f>
        <v>0192-5121</v>
      </c>
      <c r="E4917" t="s">
        <v>8</v>
      </c>
      <c r="F4917" t="s">
        <v>4925</v>
      </c>
      <c r="G4917">
        <v>2</v>
      </c>
    </row>
    <row r="4918" spans="1:7" x14ac:dyDescent="0.25">
      <c r="A4918">
        <v>22</v>
      </c>
      <c r="B4918" t="s">
        <v>4883</v>
      </c>
      <c r="C4918">
        <v>5521</v>
      </c>
      <c r="D4918" t="str">
        <f>"1749-5679"</f>
        <v>1749-5679</v>
      </c>
      <c r="E4918" t="s">
        <v>8</v>
      </c>
      <c r="F4918" t="s">
        <v>4926</v>
      </c>
      <c r="G4918">
        <v>2</v>
      </c>
    </row>
    <row r="4919" spans="1:7" x14ac:dyDescent="0.25">
      <c r="A4919">
        <v>22</v>
      </c>
      <c r="B4919" t="s">
        <v>4883</v>
      </c>
      <c r="C4919">
        <v>6022</v>
      </c>
      <c r="D4919" t="str">
        <f>"1096-7494"</f>
        <v>1096-7494</v>
      </c>
      <c r="E4919" t="s">
        <v>8</v>
      </c>
      <c r="F4919" t="s">
        <v>4927</v>
      </c>
      <c r="G4919">
        <v>2</v>
      </c>
    </row>
    <row r="4920" spans="1:7" x14ac:dyDescent="0.25">
      <c r="A4920">
        <v>22</v>
      </c>
      <c r="B4920" t="s">
        <v>4883</v>
      </c>
      <c r="C4920">
        <v>150943</v>
      </c>
      <c r="D4920" t="str">
        <f>"1229-4659"</f>
        <v>1229-4659</v>
      </c>
      <c r="E4920" t="s">
        <v>8</v>
      </c>
      <c r="F4920" t="s">
        <v>4928</v>
      </c>
      <c r="G4920">
        <v>2</v>
      </c>
    </row>
    <row r="4921" spans="1:7" x14ac:dyDescent="0.25">
      <c r="A4921">
        <v>22</v>
      </c>
      <c r="B4921" t="s">
        <v>4883</v>
      </c>
      <c r="C4921">
        <v>2012</v>
      </c>
      <c r="D4921" t="str">
        <f>"0162-2889"</f>
        <v>0162-2889</v>
      </c>
      <c r="E4921" t="s">
        <v>8</v>
      </c>
      <c r="F4921" t="s">
        <v>4929</v>
      </c>
      <c r="G4921">
        <v>2</v>
      </c>
    </row>
    <row r="4922" spans="1:7" x14ac:dyDescent="0.25">
      <c r="A4922">
        <v>22</v>
      </c>
      <c r="B4922" t="s">
        <v>4883</v>
      </c>
      <c r="C4922">
        <v>4669</v>
      </c>
      <c r="D4922" t="str">
        <f>"0020-8833"</f>
        <v>0020-8833</v>
      </c>
      <c r="E4922" t="s">
        <v>8</v>
      </c>
      <c r="F4922" t="s">
        <v>4930</v>
      </c>
      <c r="G4922">
        <v>2</v>
      </c>
    </row>
    <row r="4923" spans="1:7" x14ac:dyDescent="0.25">
      <c r="A4923">
        <v>22</v>
      </c>
      <c r="B4923" t="s">
        <v>4883</v>
      </c>
      <c r="C4923">
        <v>15309</v>
      </c>
      <c r="D4923" t="str">
        <f>"1521-9488"</f>
        <v>1521-9488</v>
      </c>
      <c r="E4923" t="s">
        <v>8</v>
      </c>
      <c r="F4923" t="s">
        <v>4931</v>
      </c>
      <c r="G4923">
        <v>2</v>
      </c>
    </row>
    <row r="4924" spans="1:7" x14ac:dyDescent="0.25">
      <c r="A4924">
        <v>22</v>
      </c>
      <c r="B4924" t="s">
        <v>4883</v>
      </c>
      <c r="C4924">
        <v>156028</v>
      </c>
      <c r="D4924" t="str">
        <f>"1752-9719"</f>
        <v>1752-9719</v>
      </c>
      <c r="E4924" t="s">
        <v>8</v>
      </c>
      <c r="F4924" t="s">
        <v>4932</v>
      </c>
      <c r="G4924">
        <v>2</v>
      </c>
    </row>
    <row r="4925" spans="1:7" x14ac:dyDescent="0.25">
      <c r="A4925">
        <v>22</v>
      </c>
      <c r="B4925" t="s">
        <v>4883</v>
      </c>
      <c r="C4925">
        <v>1833</v>
      </c>
      <c r="D4925" t="str">
        <f>"0021-9886"</f>
        <v>0021-9886</v>
      </c>
      <c r="E4925" t="s">
        <v>8</v>
      </c>
      <c r="F4925" t="s">
        <v>4933</v>
      </c>
      <c r="G4925">
        <v>2</v>
      </c>
    </row>
    <row r="4926" spans="1:7" x14ac:dyDescent="0.25">
      <c r="A4926">
        <v>22</v>
      </c>
      <c r="B4926" t="s">
        <v>4883</v>
      </c>
      <c r="C4926">
        <v>16649</v>
      </c>
      <c r="D4926" t="str">
        <f>"0022-0027"</f>
        <v>0022-0027</v>
      </c>
      <c r="E4926" t="s">
        <v>8</v>
      </c>
      <c r="F4926" t="s">
        <v>4934</v>
      </c>
      <c r="G4926">
        <v>2</v>
      </c>
    </row>
    <row r="4927" spans="1:7" x14ac:dyDescent="0.25">
      <c r="A4927">
        <v>22</v>
      </c>
      <c r="B4927" t="s">
        <v>4883</v>
      </c>
      <c r="C4927">
        <v>2936</v>
      </c>
      <c r="D4927" t="str">
        <f>"1045-5736"</f>
        <v>1045-5736</v>
      </c>
      <c r="E4927" t="s">
        <v>8</v>
      </c>
      <c r="F4927" t="s">
        <v>4935</v>
      </c>
      <c r="G4927">
        <v>2</v>
      </c>
    </row>
    <row r="4928" spans="1:7" x14ac:dyDescent="0.25">
      <c r="A4928">
        <v>22</v>
      </c>
      <c r="B4928" t="s">
        <v>4883</v>
      </c>
      <c r="C4928">
        <v>14751</v>
      </c>
      <c r="D4928" t="str">
        <f>"1745-7289"</f>
        <v>1745-7289</v>
      </c>
      <c r="E4928" t="s">
        <v>8</v>
      </c>
      <c r="F4928" t="s">
        <v>4936</v>
      </c>
      <c r="G4928">
        <v>2</v>
      </c>
    </row>
    <row r="4929" spans="1:7" x14ac:dyDescent="0.25">
      <c r="A4929">
        <v>22</v>
      </c>
      <c r="B4929" t="s">
        <v>4883</v>
      </c>
      <c r="C4929">
        <v>36</v>
      </c>
      <c r="D4929" t="str">
        <f>"1350-1763"</f>
        <v>1350-1763</v>
      </c>
      <c r="E4929" t="s">
        <v>8</v>
      </c>
      <c r="F4929" t="s">
        <v>4937</v>
      </c>
      <c r="G4929">
        <v>2</v>
      </c>
    </row>
    <row r="4930" spans="1:7" x14ac:dyDescent="0.25">
      <c r="A4930">
        <v>22</v>
      </c>
      <c r="B4930" t="s">
        <v>4883</v>
      </c>
      <c r="C4930">
        <v>11898</v>
      </c>
      <c r="D4930" t="str">
        <f>"0958-9287"</f>
        <v>0958-9287</v>
      </c>
      <c r="E4930" t="s">
        <v>8</v>
      </c>
      <c r="F4930" t="s">
        <v>4938</v>
      </c>
      <c r="G4930">
        <v>2</v>
      </c>
    </row>
    <row r="4931" spans="1:7" x14ac:dyDescent="0.25">
      <c r="A4931">
        <v>22</v>
      </c>
      <c r="B4931" t="s">
        <v>4883</v>
      </c>
      <c r="C4931">
        <v>10573</v>
      </c>
      <c r="D4931" t="str">
        <f>"0022-3433"</f>
        <v>0022-3433</v>
      </c>
      <c r="E4931" t="s">
        <v>8</v>
      </c>
      <c r="F4931" t="s">
        <v>4939</v>
      </c>
      <c r="G4931">
        <v>2</v>
      </c>
    </row>
    <row r="4932" spans="1:7" x14ac:dyDescent="0.25">
      <c r="A4932">
        <v>22</v>
      </c>
      <c r="B4932" t="s">
        <v>4883</v>
      </c>
      <c r="C4932">
        <v>7294</v>
      </c>
      <c r="D4932" t="str">
        <f>"0276-8739"</f>
        <v>0276-8739</v>
      </c>
      <c r="E4932" t="s">
        <v>8</v>
      </c>
      <c r="F4932" t="s">
        <v>4940</v>
      </c>
      <c r="G4932">
        <v>2</v>
      </c>
    </row>
    <row r="4933" spans="1:7" x14ac:dyDescent="0.25">
      <c r="A4933">
        <v>22</v>
      </c>
      <c r="B4933" t="s">
        <v>4883</v>
      </c>
      <c r="C4933">
        <v>8674</v>
      </c>
      <c r="D4933" t="str">
        <f>"1053-1858"</f>
        <v>1053-1858</v>
      </c>
      <c r="E4933" t="s">
        <v>8</v>
      </c>
      <c r="F4933" t="s">
        <v>4941</v>
      </c>
      <c r="G4933">
        <v>2</v>
      </c>
    </row>
    <row r="4934" spans="1:7" x14ac:dyDescent="0.25">
      <c r="A4934">
        <v>22</v>
      </c>
      <c r="B4934" t="s">
        <v>4883</v>
      </c>
      <c r="C4934">
        <v>712</v>
      </c>
      <c r="D4934" t="str">
        <f>"0143-814X"</f>
        <v>0143-814X</v>
      </c>
      <c r="E4934" t="s">
        <v>8</v>
      </c>
      <c r="F4934" t="s">
        <v>4942</v>
      </c>
      <c r="G4934">
        <v>2</v>
      </c>
    </row>
    <row r="4935" spans="1:7" x14ac:dyDescent="0.25">
      <c r="A4935">
        <v>22</v>
      </c>
      <c r="B4935" t="s">
        <v>4883</v>
      </c>
      <c r="C4935">
        <v>4565</v>
      </c>
      <c r="D4935" t="str">
        <f>"0047-2794"</f>
        <v>0047-2794</v>
      </c>
      <c r="E4935" t="s">
        <v>8</v>
      </c>
      <c r="F4935" t="s">
        <v>4943</v>
      </c>
      <c r="G4935">
        <v>2</v>
      </c>
    </row>
    <row r="4936" spans="1:7" x14ac:dyDescent="0.25">
      <c r="A4936">
        <v>22</v>
      </c>
      <c r="B4936" t="s">
        <v>4883</v>
      </c>
      <c r="C4936">
        <v>170311</v>
      </c>
      <c r="E4936" t="s">
        <v>15</v>
      </c>
      <c r="F4936" t="s">
        <v>4944</v>
      </c>
      <c r="G4936">
        <v>2</v>
      </c>
    </row>
    <row r="4937" spans="1:7" x14ac:dyDescent="0.25">
      <c r="A4937">
        <v>22</v>
      </c>
      <c r="B4937" t="s">
        <v>4883</v>
      </c>
      <c r="C4937">
        <v>170315</v>
      </c>
      <c r="E4937" t="s">
        <v>15</v>
      </c>
      <c r="F4937" t="s">
        <v>4945</v>
      </c>
      <c r="G4937">
        <v>2</v>
      </c>
    </row>
    <row r="4938" spans="1:7" x14ac:dyDescent="0.25">
      <c r="A4938">
        <v>22</v>
      </c>
      <c r="B4938" t="s">
        <v>4883</v>
      </c>
      <c r="C4938">
        <v>14841</v>
      </c>
      <c r="D4938" t="str">
        <f>"0362-9805"</f>
        <v>0362-9805</v>
      </c>
      <c r="E4938" t="s">
        <v>8</v>
      </c>
      <c r="F4938" t="s">
        <v>4946</v>
      </c>
      <c r="G4938">
        <v>2</v>
      </c>
    </row>
    <row r="4939" spans="1:7" x14ac:dyDescent="0.25">
      <c r="A4939">
        <v>22</v>
      </c>
      <c r="B4939" t="s">
        <v>4883</v>
      </c>
      <c r="C4939">
        <v>10177</v>
      </c>
      <c r="D4939" t="str">
        <f>"0300-3930"</f>
        <v>0300-3930</v>
      </c>
      <c r="E4939" t="s">
        <v>8</v>
      </c>
      <c r="F4939" t="s">
        <v>4947</v>
      </c>
      <c r="G4939">
        <v>2</v>
      </c>
    </row>
    <row r="4940" spans="1:7" x14ac:dyDescent="0.25">
      <c r="A4940">
        <v>22</v>
      </c>
      <c r="B4940" t="s">
        <v>4883</v>
      </c>
      <c r="C4940">
        <v>7505</v>
      </c>
      <c r="D4940" t="str">
        <f>"1362-9395"</f>
        <v>1362-9395</v>
      </c>
      <c r="E4940" t="s">
        <v>8</v>
      </c>
      <c r="F4940" t="s">
        <v>4948</v>
      </c>
      <c r="G4940">
        <v>2</v>
      </c>
    </row>
    <row r="4941" spans="1:7" x14ac:dyDescent="0.25">
      <c r="A4941">
        <v>22</v>
      </c>
      <c r="B4941" t="s">
        <v>4883</v>
      </c>
      <c r="C4941">
        <v>170316</v>
      </c>
      <c r="E4941" t="s">
        <v>15</v>
      </c>
      <c r="F4941" t="s">
        <v>4949</v>
      </c>
      <c r="G4941">
        <v>2</v>
      </c>
    </row>
    <row r="4942" spans="1:7" x14ac:dyDescent="0.25">
      <c r="A4942">
        <v>22</v>
      </c>
      <c r="B4942" t="s">
        <v>4883</v>
      </c>
      <c r="C4942">
        <v>170317</v>
      </c>
      <c r="E4942" t="s">
        <v>15</v>
      </c>
      <c r="F4942" t="s">
        <v>4950</v>
      </c>
      <c r="G4942">
        <v>2</v>
      </c>
    </row>
    <row r="4943" spans="1:7" x14ac:dyDescent="0.25">
      <c r="A4943">
        <v>22</v>
      </c>
      <c r="B4943" t="s">
        <v>4883</v>
      </c>
      <c r="C4943">
        <v>15397</v>
      </c>
      <c r="D4943" t="str">
        <f>"0305-8298"</f>
        <v>0305-8298</v>
      </c>
      <c r="E4943" t="s">
        <v>8</v>
      </c>
      <c r="F4943" t="s">
        <v>4951</v>
      </c>
      <c r="G4943">
        <v>2</v>
      </c>
    </row>
    <row r="4944" spans="1:7" x14ac:dyDescent="0.25">
      <c r="A4944">
        <v>22</v>
      </c>
      <c r="B4944" t="s">
        <v>4883</v>
      </c>
      <c r="C4944">
        <v>170318</v>
      </c>
      <c r="E4944" t="s">
        <v>15</v>
      </c>
      <c r="F4944" t="s">
        <v>4952</v>
      </c>
      <c r="G4944">
        <v>2</v>
      </c>
    </row>
    <row r="4945" spans="1:7" x14ac:dyDescent="0.25">
      <c r="A4945">
        <v>22</v>
      </c>
      <c r="B4945" t="s">
        <v>4883</v>
      </c>
      <c r="C4945">
        <v>6069</v>
      </c>
      <c r="D4945" t="str">
        <f>"0028-6060"</f>
        <v>0028-6060</v>
      </c>
      <c r="E4945" t="s">
        <v>8</v>
      </c>
      <c r="F4945" t="s">
        <v>4953</v>
      </c>
      <c r="G4945">
        <v>2</v>
      </c>
    </row>
    <row r="4946" spans="1:7" x14ac:dyDescent="0.25">
      <c r="A4946">
        <v>22</v>
      </c>
      <c r="B4946" t="s">
        <v>4883</v>
      </c>
      <c r="C4946">
        <v>2880</v>
      </c>
      <c r="D4946" t="str">
        <f>"1356-3467"</f>
        <v>1356-3467</v>
      </c>
      <c r="E4946" t="s">
        <v>8</v>
      </c>
      <c r="F4946" t="s">
        <v>4954</v>
      </c>
      <c r="G4946">
        <v>2</v>
      </c>
    </row>
    <row r="4947" spans="1:7" x14ac:dyDescent="0.25">
      <c r="A4947">
        <v>22</v>
      </c>
      <c r="B4947" t="s">
        <v>4883</v>
      </c>
      <c r="C4947">
        <v>170198</v>
      </c>
      <c r="E4947" t="s">
        <v>15</v>
      </c>
      <c r="F4947" t="s">
        <v>4955</v>
      </c>
      <c r="G4947">
        <v>2</v>
      </c>
    </row>
    <row r="4948" spans="1:7" x14ac:dyDescent="0.25">
      <c r="A4948">
        <v>22</v>
      </c>
      <c r="B4948" t="s">
        <v>4883</v>
      </c>
      <c r="C4948">
        <v>170199</v>
      </c>
      <c r="E4948" t="s">
        <v>15</v>
      </c>
      <c r="F4948" t="s">
        <v>4956</v>
      </c>
      <c r="G4948">
        <v>2</v>
      </c>
    </row>
    <row r="4949" spans="1:7" x14ac:dyDescent="0.25">
      <c r="A4949">
        <v>22</v>
      </c>
      <c r="B4949" t="s">
        <v>4883</v>
      </c>
      <c r="C4949">
        <v>170200</v>
      </c>
      <c r="E4949" t="s">
        <v>15</v>
      </c>
      <c r="F4949" t="s">
        <v>4957</v>
      </c>
      <c r="G4949">
        <v>2</v>
      </c>
    </row>
    <row r="4950" spans="1:7" x14ac:dyDescent="0.25">
      <c r="A4950">
        <v>22</v>
      </c>
      <c r="B4950" t="s">
        <v>4883</v>
      </c>
      <c r="C4950">
        <v>170219</v>
      </c>
      <c r="E4950" t="s">
        <v>15</v>
      </c>
      <c r="F4950" t="s">
        <v>4958</v>
      </c>
      <c r="G4950">
        <v>2</v>
      </c>
    </row>
    <row r="4951" spans="1:7" x14ac:dyDescent="0.25">
      <c r="A4951">
        <v>22</v>
      </c>
      <c r="B4951" t="s">
        <v>4883</v>
      </c>
      <c r="C4951">
        <v>170220</v>
      </c>
      <c r="E4951" t="s">
        <v>15</v>
      </c>
      <c r="F4951" t="s">
        <v>4959</v>
      </c>
      <c r="G4951">
        <v>2</v>
      </c>
    </row>
    <row r="4952" spans="1:7" x14ac:dyDescent="0.25">
      <c r="A4952">
        <v>22</v>
      </c>
      <c r="B4952" t="s">
        <v>4883</v>
      </c>
      <c r="C4952">
        <v>5814</v>
      </c>
      <c r="D4952" t="str">
        <f>"1354-0688"</f>
        <v>1354-0688</v>
      </c>
      <c r="E4952" t="s">
        <v>8</v>
      </c>
      <c r="F4952" t="s">
        <v>4960</v>
      </c>
      <c r="G4952">
        <v>2</v>
      </c>
    </row>
    <row r="4953" spans="1:7" x14ac:dyDescent="0.25">
      <c r="A4953">
        <v>22</v>
      </c>
      <c r="B4953" t="s">
        <v>4883</v>
      </c>
      <c r="C4953">
        <v>663</v>
      </c>
      <c r="D4953" t="str">
        <f>"1537-5927"</f>
        <v>1537-5927</v>
      </c>
      <c r="E4953" t="s">
        <v>8</v>
      </c>
      <c r="F4953" t="s">
        <v>4961</v>
      </c>
      <c r="G4953">
        <v>2</v>
      </c>
    </row>
    <row r="4954" spans="1:7" x14ac:dyDescent="0.25">
      <c r="A4954">
        <v>22</v>
      </c>
      <c r="B4954" t="s">
        <v>4883</v>
      </c>
      <c r="C4954">
        <v>1900</v>
      </c>
      <c r="D4954" t="str">
        <f>"0305-5736"</f>
        <v>0305-5736</v>
      </c>
      <c r="E4954" t="s">
        <v>8</v>
      </c>
      <c r="F4954" t="s">
        <v>4962</v>
      </c>
      <c r="G4954">
        <v>2</v>
      </c>
    </row>
    <row r="4955" spans="1:7" x14ac:dyDescent="0.25">
      <c r="A4955">
        <v>22</v>
      </c>
      <c r="B4955" t="s">
        <v>4883</v>
      </c>
      <c r="C4955">
        <v>6674</v>
      </c>
      <c r="D4955" t="str">
        <f>"0032-2687"</f>
        <v>0032-2687</v>
      </c>
      <c r="E4955" t="s">
        <v>8</v>
      </c>
      <c r="F4955" t="s">
        <v>4963</v>
      </c>
      <c r="G4955">
        <v>2</v>
      </c>
    </row>
    <row r="4956" spans="1:7" x14ac:dyDescent="0.25">
      <c r="A4956">
        <v>22</v>
      </c>
      <c r="B4956" t="s">
        <v>4883</v>
      </c>
      <c r="C4956">
        <v>8414</v>
      </c>
      <c r="D4956" t="str">
        <f>"0190-292X"</f>
        <v>0190-292X</v>
      </c>
      <c r="E4956" t="s">
        <v>8</v>
      </c>
      <c r="F4956" t="s">
        <v>4964</v>
      </c>
      <c r="G4956">
        <v>2</v>
      </c>
    </row>
    <row r="4957" spans="1:7" x14ac:dyDescent="0.25">
      <c r="A4957">
        <v>22</v>
      </c>
      <c r="B4957" t="s">
        <v>4883</v>
      </c>
      <c r="C4957">
        <v>14980</v>
      </c>
      <c r="D4957" t="str">
        <f>"1047-1987"</f>
        <v>1047-1987</v>
      </c>
      <c r="E4957" t="s">
        <v>8</v>
      </c>
      <c r="F4957" t="s">
        <v>4965</v>
      </c>
      <c r="G4957">
        <v>2</v>
      </c>
    </row>
    <row r="4958" spans="1:7" x14ac:dyDescent="0.25">
      <c r="A4958">
        <v>22</v>
      </c>
      <c r="B4958" t="s">
        <v>4883</v>
      </c>
      <c r="C4958">
        <v>15888</v>
      </c>
      <c r="D4958" t="str">
        <f>"0190-9320"</f>
        <v>0190-9320</v>
      </c>
      <c r="E4958" t="s">
        <v>8</v>
      </c>
      <c r="F4958" t="s">
        <v>4966</v>
      </c>
      <c r="G4958">
        <v>2</v>
      </c>
    </row>
    <row r="4959" spans="1:7" x14ac:dyDescent="0.25">
      <c r="A4959">
        <v>22</v>
      </c>
      <c r="B4959" t="s">
        <v>4883</v>
      </c>
      <c r="C4959">
        <v>7120</v>
      </c>
      <c r="D4959" t="str">
        <f>"0162-895X"</f>
        <v>0162-895X</v>
      </c>
      <c r="E4959" t="s">
        <v>8</v>
      </c>
      <c r="F4959" t="s">
        <v>4967</v>
      </c>
      <c r="G4959">
        <v>2</v>
      </c>
    </row>
    <row r="4960" spans="1:7" x14ac:dyDescent="0.25">
      <c r="A4960">
        <v>22</v>
      </c>
      <c r="B4960" t="s">
        <v>4883</v>
      </c>
      <c r="C4960">
        <v>12107</v>
      </c>
      <c r="D4960" t="str">
        <f>"1065-9129"</f>
        <v>1065-9129</v>
      </c>
      <c r="E4960" t="s">
        <v>8</v>
      </c>
      <c r="F4960" t="s">
        <v>4968</v>
      </c>
      <c r="G4960">
        <v>2</v>
      </c>
    </row>
    <row r="4961" spans="1:7" x14ac:dyDescent="0.25">
      <c r="A4961">
        <v>22</v>
      </c>
      <c r="B4961" t="s">
        <v>4883</v>
      </c>
      <c r="C4961">
        <v>7737643</v>
      </c>
      <c r="D4961" t="str">
        <f>"2049-8470"</f>
        <v>2049-8470</v>
      </c>
      <c r="E4961" t="s">
        <v>8</v>
      </c>
      <c r="F4961" t="s">
        <v>4969</v>
      </c>
      <c r="G4961">
        <v>2</v>
      </c>
    </row>
    <row r="4962" spans="1:7" x14ac:dyDescent="0.25">
      <c r="A4962">
        <v>22</v>
      </c>
      <c r="B4962" t="s">
        <v>4883</v>
      </c>
      <c r="C4962">
        <v>11126</v>
      </c>
      <c r="D4962" t="str">
        <f>"0032-3217"</f>
        <v>0032-3217</v>
      </c>
      <c r="E4962" t="s">
        <v>8</v>
      </c>
      <c r="F4962" t="s">
        <v>4970</v>
      </c>
      <c r="G4962">
        <v>2</v>
      </c>
    </row>
    <row r="4963" spans="1:7" x14ac:dyDescent="0.25">
      <c r="A4963">
        <v>22</v>
      </c>
      <c r="B4963" t="s">
        <v>4883</v>
      </c>
      <c r="C4963">
        <v>4122</v>
      </c>
      <c r="D4963" t="str">
        <f>"0090-5917"</f>
        <v>0090-5917</v>
      </c>
      <c r="E4963" t="s">
        <v>8</v>
      </c>
      <c r="F4963" t="s">
        <v>4971</v>
      </c>
      <c r="G4963">
        <v>2</v>
      </c>
    </row>
    <row r="4964" spans="1:7" x14ac:dyDescent="0.25">
      <c r="A4964">
        <v>22</v>
      </c>
      <c r="B4964" t="s">
        <v>4883</v>
      </c>
      <c r="C4964">
        <v>1535</v>
      </c>
      <c r="D4964" t="str">
        <f>"0032-3292"</f>
        <v>0032-3292</v>
      </c>
      <c r="E4964" t="s">
        <v>8</v>
      </c>
      <c r="F4964" t="s">
        <v>4972</v>
      </c>
      <c r="G4964">
        <v>2</v>
      </c>
    </row>
    <row r="4965" spans="1:7" x14ac:dyDescent="0.25">
      <c r="A4965">
        <v>22</v>
      </c>
      <c r="B4965" t="s">
        <v>4883</v>
      </c>
      <c r="C4965">
        <v>8639</v>
      </c>
      <c r="D4965" t="str">
        <f>"0033-3298"</f>
        <v>0033-3298</v>
      </c>
      <c r="E4965" t="s">
        <v>8</v>
      </c>
      <c r="F4965" t="s">
        <v>4973</v>
      </c>
      <c r="G4965">
        <v>2</v>
      </c>
    </row>
    <row r="4966" spans="1:7" x14ac:dyDescent="0.25">
      <c r="A4966">
        <v>22</v>
      </c>
      <c r="B4966" t="s">
        <v>4883</v>
      </c>
      <c r="C4966">
        <v>657</v>
      </c>
      <c r="D4966" t="str">
        <f>"0033-3352"</f>
        <v>0033-3352</v>
      </c>
      <c r="E4966" t="s">
        <v>8</v>
      </c>
      <c r="F4966" t="s">
        <v>4974</v>
      </c>
      <c r="G4966">
        <v>2</v>
      </c>
    </row>
    <row r="4967" spans="1:7" x14ac:dyDescent="0.25">
      <c r="A4967">
        <v>22</v>
      </c>
      <c r="B4967" t="s">
        <v>4883</v>
      </c>
      <c r="C4967">
        <v>6621</v>
      </c>
      <c r="D4967" t="str">
        <f>"0048-5829"</f>
        <v>0048-5829</v>
      </c>
      <c r="E4967" t="s">
        <v>8</v>
      </c>
      <c r="F4967" t="s">
        <v>4975</v>
      </c>
      <c r="G4967">
        <v>2</v>
      </c>
    </row>
    <row r="4968" spans="1:7" x14ac:dyDescent="0.25">
      <c r="A4968">
        <v>22</v>
      </c>
      <c r="B4968" t="s">
        <v>4883</v>
      </c>
      <c r="C4968">
        <v>1193</v>
      </c>
      <c r="D4968" t="str">
        <f>"1471-9037"</f>
        <v>1471-9037</v>
      </c>
      <c r="E4968" t="s">
        <v>8</v>
      </c>
      <c r="F4968" t="s">
        <v>4976</v>
      </c>
      <c r="G4968">
        <v>2</v>
      </c>
    </row>
    <row r="4969" spans="1:7" x14ac:dyDescent="0.25">
      <c r="A4969">
        <v>22</v>
      </c>
      <c r="B4969" t="s">
        <v>4883</v>
      </c>
      <c r="C4969">
        <v>16424</v>
      </c>
      <c r="D4969" t="str">
        <f>"0033-362X"</f>
        <v>0033-362X</v>
      </c>
      <c r="E4969" t="s">
        <v>8</v>
      </c>
      <c r="F4969" t="s">
        <v>4977</v>
      </c>
      <c r="G4969">
        <v>2</v>
      </c>
    </row>
    <row r="4970" spans="1:7" x14ac:dyDescent="0.25">
      <c r="A4970">
        <v>22</v>
      </c>
      <c r="B4970" t="s">
        <v>4883</v>
      </c>
      <c r="C4970">
        <v>93447</v>
      </c>
      <c r="D4970" t="str">
        <f>"1754-9590"</f>
        <v>1754-9590</v>
      </c>
      <c r="E4970" t="s">
        <v>15</v>
      </c>
      <c r="F4970" t="s">
        <v>4978</v>
      </c>
      <c r="G4970">
        <v>2</v>
      </c>
    </row>
    <row r="4971" spans="1:7" x14ac:dyDescent="0.25">
      <c r="A4971">
        <v>22</v>
      </c>
      <c r="B4971" t="s">
        <v>4883</v>
      </c>
      <c r="C4971">
        <v>170125</v>
      </c>
      <c r="E4971" t="s">
        <v>15</v>
      </c>
      <c r="F4971" t="s">
        <v>4979</v>
      </c>
      <c r="G4971">
        <v>2</v>
      </c>
    </row>
    <row r="4972" spans="1:7" x14ac:dyDescent="0.25">
      <c r="A4972">
        <v>22</v>
      </c>
      <c r="B4972" t="s">
        <v>4883</v>
      </c>
      <c r="C4972">
        <v>10801</v>
      </c>
      <c r="D4972" t="str">
        <f>"1554-0626"</f>
        <v>1554-0626</v>
      </c>
      <c r="E4972" t="s">
        <v>8</v>
      </c>
      <c r="F4972" t="s">
        <v>4980</v>
      </c>
      <c r="G4972">
        <v>2</v>
      </c>
    </row>
    <row r="4973" spans="1:7" x14ac:dyDescent="0.25">
      <c r="A4973">
        <v>22</v>
      </c>
      <c r="B4973" t="s">
        <v>4883</v>
      </c>
      <c r="C4973">
        <v>11866</v>
      </c>
      <c r="D4973" t="str">
        <f>"1748-5983"</f>
        <v>1748-5983</v>
      </c>
      <c r="E4973" t="s">
        <v>8</v>
      </c>
      <c r="F4973" t="s">
        <v>4981</v>
      </c>
      <c r="G4973">
        <v>2</v>
      </c>
    </row>
    <row r="4974" spans="1:7" x14ac:dyDescent="0.25">
      <c r="A4974">
        <v>22</v>
      </c>
      <c r="B4974" t="s">
        <v>4883</v>
      </c>
      <c r="C4974">
        <v>6111</v>
      </c>
      <c r="D4974" t="str">
        <f>"0969-2290"</f>
        <v>0969-2290</v>
      </c>
      <c r="E4974" t="s">
        <v>8</v>
      </c>
      <c r="F4974" t="s">
        <v>4982</v>
      </c>
      <c r="G4974">
        <v>2</v>
      </c>
    </row>
    <row r="4975" spans="1:7" x14ac:dyDescent="0.25">
      <c r="A4975">
        <v>22</v>
      </c>
      <c r="B4975" t="s">
        <v>4883</v>
      </c>
      <c r="C4975">
        <v>7370</v>
      </c>
      <c r="D4975" t="str">
        <f>"0260-2105"</f>
        <v>0260-2105</v>
      </c>
      <c r="E4975" t="s">
        <v>8</v>
      </c>
      <c r="F4975" t="s">
        <v>4983</v>
      </c>
      <c r="G4975">
        <v>2</v>
      </c>
    </row>
    <row r="4976" spans="1:7" x14ac:dyDescent="0.25">
      <c r="A4976">
        <v>22</v>
      </c>
      <c r="B4976" t="s">
        <v>4883</v>
      </c>
      <c r="C4976">
        <v>170252</v>
      </c>
      <c r="E4976" t="s">
        <v>15</v>
      </c>
      <c r="F4976" t="s">
        <v>4984</v>
      </c>
      <c r="G4976">
        <v>2</v>
      </c>
    </row>
    <row r="4977" spans="1:7" x14ac:dyDescent="0.25">
      <c r="A4977">
        <v>22</v>
      </c>
      <c r="B4977" t="s">
        <v>4883</v>
      </c>
      <c r="C4977">
        <v>170253</v>
      </c>
      <c r="E4977" t="s">
        <v>15</v>
      </c>
      <c r="F4977" t="s">
        <v>4985</v>
      </c>
      <c r="G4977">
        <v>2</v>
      </c>
    </row>
    <row r="4978" spans="1:7" x14ac:dyDescent="0.25">
      <c r="A4978">
        <v>22</v>
      </c>
      <c r="B4978" t="s">
        <v>4883</v>
      </c>
      <c r="C4978">
        <v>170254</v>
      </c>
      <c r="E4978" t="s">
        <v>15</v>
      </c>
      <c r="F4978" t="s">
        <v>4986</v>
      </c>
      <c r="G4978">
        <v>2</v>
      </c>
    </row>
    <row r="4979" spans="1:7" x14ac:dyDescent="0.25">
      <c r="A4979">
        <v>22</v>
      </c>
      <c r="B4979" t="s">
        <v>4883</v>
      </c>
      <c r="C4979">
        <v>170255</v>
      </c>
      <c r="E4979" t="s">
        <v>15</v>
      </c>
      <c r="F4979" t="s">
        <v>4987</v>
      </c>
      <c r="G4979">
        <v>2</v>
      </c>
    </row>
    <row r="4980" spans="1:7" x14ac:dyDescent="0.25">
      <c r="A4980">
        <v>22</v>
      </c>
      <c r="B4980" t="s">
        <v>4883</v>
      </c>
      <c r="C4980">
        <v>170256</v>
      </c>
      <c r="E4980" t="s">
        <v>15</v>
      </c>
      <c r="F4980" t="s">
        <v>4988</v>
      </c>
      <c r="G4980">
        <v>2</v>
      </c>
    </row>
    <row r="4981" spans="1:7" x14ac:dyDescent="0.25">
      <c r="A4981">
        <v>22</v>
      </c>
      <c r="B4981" t="s">
        <v>4883</v>
      </c>
      <c r="C4981">
        <v>170257</v>
      </c>
      <c r="E4981" t="s">
        <v>15</v>
      </c>
      <c r="F4981" t="s">
        <v>4989</v>
      </c>
      <c r="G4981">
        <v>2</v>
      </c>
    </row>
    <row r="4982" spans="1:7" x14ac:dyDescent="0.25">
      <c r="A4982">
        <v>22</v>
      </c>
      <c r="B4982" t="s">
        <v>4883</v>
      </c>
      <c r="C4982">
        <v>170258</v>
      </c>
      <c r="E4982" t="s">
        <v>15</v>
      </c>
      <c r="F4982" t="s">
        <v>4990</v>
      </c>
      <c r="G4982">
        <v>2</v>
      </c>
    </row>
    <row r="4983" spans="1:7" x14ac:dyDescent="0.25">
      <c r="A4983">
        <v>22</v>
      </c>
      <c r="B4983" t="s">
        <v>4883</v>
      </c>
      <c r="C4983">
        <v>170259</v>
      </c>
      <c r="E4983" t="s">
        <v>15</v>
      </c>
      <c r="F4983" t="s">
        <v>4991</v>
      </c>
      <c r="G4983">
        <v>2</v>
      </c>
    </row>
    <row r="4984" spans="1:7" x14ac:dyDescent="0.25">
      <c r="A4984">
        <v>22</v>
      </c>
      <c r="B4984" t="s">
        <v>4883</v>
      </c>
      <c r="C4984">
        <v>170260</v>
      </c>
      <c r="E4984" t="s">
        <v>15</v>
      </c>
      <c r="F4984" t="s">
        <v>4992</v>
      </c>
      <c r="G4984">
        <v>2</v>
      </c>
    </row>
    <row r="4985" spans="1:7" x14ac:dyDescent="0.25">
      <c r="A4985">
        <v>22</v>
      </c>
      <c r="B4985" t="s">
        <v>4883</v>
      </c>
      <c r="C4985">
        <v>170261</v>
      </c>
      <c r="E4985" t="s">
        <v>15</v>
      </c>
      <c r="F4985" t="s">
        <v>4993</v>
      </c>
      <c r="G4985">
        <v>2</v>
      </c>
    </row>
    <row r="4986" spans="1:7" x14ac:dyDescent="0.25">
      <c r="A4986">
        <v>22</v>
      </c>
      <c r="B4986" t="s">
        <v>4883</v>
      </c>
      <c r="C4986">
        <v>170262</v>
      </c>
      <c r="E4986" t="s">
        <v>15</v>
      </c>
      <c r="F4986" t="s">
        <v>4994</v>
      </c>
      <c r="G4986">
        <v>2</v>
      </c>
    </row>
    <row r="4987" spans="1:7" x14ac:dyDescent="0.25">
      <c r="A4987">
        <v>22</v>
      </c>
      <c r="B4987" t="s">
        <v>4883</v>
      </c>
      <c r="C4987">
        <v>170263</v>
      </c>
      <c r="E4987" t="s">
        <v>15</v>
      </c>
      <c r="F4987" t="s">
        <v>4995</v>
      </c>
      <c r="G4987">
        <v>2</v>
      </c>
    </row>
    <row r="4988" spans="1:7" x14ac:dyDescent="0.25">
      <c r="A4988">
        <v>22</v>
      </c>
      <c r="B4988" t="s">
        <v>4883</v>
      </c>
      <c r="C4988">
        <v>170264</v>
      </c>
      <c r="E4988" t="s">
        <v>15</v>
      </c>
      <c r="F4988" t="s">
        <v>4996</v>
      </c>
      <c r="G4988">
        <v>2</v>
      </c>
    </row>
    <row r="4989" spans="1:7" x14ac:dyDescent="0.25">
      <c r="A4989">
        <v>22</v>
      </c>
      <c r="B4989" t="s">
        <v>4883</v>
      </c>
      <c r="C4989">
        <v>170265</v>
      </c>
      <c r="E4989" t="s">
        <v>15</v>
      </c>
      <c r="F4989" t="s">
        <v>4997</v>
      </c>
      <c r="G4989">
        <v>2</v>
      </c>
    </row>
    <row r="4990" spans="1:7" x14ac:dyDescent="0.25">
      <c r="A4990">
        <v>22</v>
      </c>
      <c r="B4990" t="s">
        <v>4883</v>
      </c>
      <c r="C4990">
        <v>170266</v>
      </c>
      <c r="E4990" t="s">
        <v>15</v>
      </c>
      <c r="F4990" t="s">
        <v>4998</v>
      </c>
      <c r="G4990">
        <v>2</v>
      </c>
    </row>
    <row r="4991" spans="1:7" x14ac:dyDescent="0.25">
      <c r="A4991">
        <v>22</v>
      </c>
      <c r="B4991" t="s">
        <v>4883</v>
      </c>
      <c r="C4991">
        <v>170267</v>
      </c>
      <c r="E4991" t="s">
        <v>15</v>
      </c>
      <c r="F4991" t="s">
        <v>4999</v>
      </c>
      <c r="G4991">
        <v>2</v>
      </c>
    </row>
    <row r="4992" spans="1:7" x14ac:dyDescent="0.25">
      <c r="A4992">
        <v>22</v>
      </c>
      <c r="B4992" t="s">
        <v>4883</v>
      </c>
      <c r="C4992">
        <v>170268</v>
      </c>
      <c r="E4992" t="s">
        <v>15</v>
      </c>
      <c r="F4992" t="s">
        <v>5000</v>
      </c>
      <c r="G4992">
        <v>2</v>
      </c>
    </row>
    <row r="4993" spans="1:7" x14ac:dyDescent="0.25">
      <c r="A4993">
        <v>22</v>
      </c>
      <c r="B4993" t="s">
        <v>4883</v>
      </c>
      <c r="C4993">
        <v>16308</v>
      </c>
      <c r="D4993" t="str">
        <f>"0080-6757"</f>
        <v>0080-6757</v>
      </c>
      <c r="E4993" t="s">
        <v>8</v>
      </c>
      <c r="F4993" t="s">
        <v>5001</v>
      </c>
      <c r="G4993">
        <v>2</v>
      </c>
    </row>
    <row r="4994" spans="1:7" x14ac:dyDescent="0.25">
      <c r="A4994">
        <v>22</v>
      </c>
      <c r="B4994" t="s">
        <v>4883</v>
      </c>
      <c r="C4994">
        <v>13936</v>
      </c>
      <c r="D4994" t="str">
        <f>"0967-0106"</f>
        <v>0967-0106</v>
      </c>
      <c r="E4994" t="s">
        <v>8</v>
      </c>
      <c r="F4994" t="s">
        <v>5002</v>
      </c>
      <c r="G4994">
        <v>2</v>
      </c>
    </row>
    <row r="4995" spans="1:7" x14ac:dyDescent="0.25">
      <c r="A4995">
        <v>22</v>
      </c>
      <c r="B4995" t="s">
        <v>4883</v>
      </c>
      <c r="C4995">
        <v>7438</v>
      </c>
      <c r="D4995" t="str">
        <f>"0963-6412"</f>
        <v>0963-6412</v>
      </c>
      <c r="E4995" t="s">
        <v>8</v>
      </c>
      <c r="F4995" t="s">
        <v>5003</v>
      </c>
      <c r="G4995">
        <v>2</v>
      </c>
    </row>
    <row r="4996" spans="1:7" x14ac:dyDescent="0.25">
      <c r="A4996">
        <v>22</v>
      </c>
      <c r="B4996" t="s">
        <v>4883</v>
      </c>
      <c r="C4996">
        <v>15570</v>
      </c>
      <c r="D4996" t="str">
        <f>"0144-5596"</f>
        <v>0144-5596</v>
      </c>
      <c r="E4996" t="s">
        <v>8</v>
      </c>
      <c r="F4996" t="s">
        <v>5004</v>
      </c>
      <c r="G4996">
        <v>2</v>
      </c>
    </row>
    <row r="4997" spans="1:7" x14ac:dyDescent="0.25">
      <c r="A4997">
        <v>22</v>
      </c>
      <c r="B4997" t="s">
        <v>4883</v>
      </c>
      <c r="C4997">
        <v>8475</v>
      </c>
      <c r="D4997" t="str">
        <f>"1475-1461"</f>
        <v>1475-1461</v>
      </c>
      <c r="E4997" t="s">
        <v>8</v>
      </c>
      <c r="F4997" t="s">
        <v>5005</v>
      </c>
      <c r="G4997">
        <v>2</v>
      </c>
    </row>
    <row r="4998" spans="1:7" x14ac:dyDescent="0.25">
      <c r="A4998">
        <v>22</v>
      </c>
      <c r="B4998" t="s">
        <v>4883</v>
      </c>
      <c r="C4998">
        <v>4101</v>
      </c>
      <c r="D4998" t="str">
        <f>"0002-7162"</f>
        <v>0002-7162</v>
      </c>
      <c r="E4998" t="s">
        <v>8</v>
      </c>
      <c r="F4998" t="s">
        <v>5006</v>
      </c>
      <c r="G4998">
        <v>2</v>
      </c>
    </row>
    <row r="4999" spans="1:7" x14ac:dyDescent="0.25">
      <c r="A4999">
        <v>22</v>
      </c>
      <c r="B4999" t="s">
        <v>4883</v>
      </c>
      <c r="C4999">
        <v>10938</v>
      </c>
      <c r="D4999" t="str">
        <f>"1369-1481"</f>
        <v>1369-1481</v>
      </c>
      <c r="E4999" t="s">
        <v>8</v>
      </c>
      <c r="F4999" t="s">
        <v>5007</v>
      </c>
      <c r="G4999">
        <v>2</v>
      </c>
    </row>
    <row r="5000" spans="1:7" x14ac:dyDescent="0.25">
      <c r="A5000">
        <v>22</v>
      </c>
      <c r="B5000" t="s">
        <v>4883</v>
      </c>
      <c r="C5000">
        <v>200</v>
      </c>
      <c r="D5000" t="str">
        <f>"8756-6222"</f>
        <v>8756-6222</v>
      </c>
      <c r="E5000" t="s">
        <v>8</v>
      </c>
      <c r="F5000" t="s">
        <v>5008</v>
      </c>
      <c r="G5000">
        <v>2</v>
      </c>
    </row>
    <row r="5001" spans="1:7" x14ac:dyDescent="0.25">
      <c r="A5001">
        <v>22</v>
      </c>
      <c r="B5001" t="s">
        <v>4883</v>
      </c>
      <c r="C5001">
        <v>12638</v>
      </c>
      <c r="D5001" t="str">
        <f>"0022-3816"</f>
        <v>0022-3816</v>
      </c>
      <c r="E5001" t="s">
        <v>8</v>
      </c>
      <c r="F5001" t="s">
        <v>5009</v>
      </c>
      <c r="G5001">
        <v>2</v>
      </c>
    </row>
    <row r="5002" spans="1:7" x14ac:dyDescent="0.25">
      <c r="A5002">
        <v>22</v>
      </c>
      <c r="B5002" t="s">
        <v>4883</v>
      </c>
      <c r="C5002">
        <v>170201</v>
      </c>
      <c r="E5002" t="s">
        <v>15</v>
      </c>
      <c r="F5002" t="s">
        <v>5010</v>
      </c>
      <c r="G5002">
        <v>2</v>
      </c>
    </row>
    <row r="5003" spans="1:7" x14ac:dyDescent="0.25">
      <c r="A5003">
        <v>22</v>
      </c>
      <c r="B5003" t="s">
        <v>4883</v>
      </c>
      <c r="C5003">
        <v>22790</v>
      </c>
      <c r="D5003" t="str">
        <f>"1559-7431"</f>
        <v>1559-7431</v>
      </c>
      <c r="E5003" t="s">
        <v>8</v>
      </c>
      <c r="F5003" t="s">
        <v>5011</v>
      </c>
      <c r="G5003">
        <v>2</v>
      </c>
    </row>
    <row r="5004" spans="1:7" x14ac:dyDescent="0.25">
      <c r="A5004">
        <v>22</v>
      </c>
      <c r="B5004" t="s">
        <v>4883</v>
      </c>
      <c r="C5004">
        <v>170153</v>
      </c>
      <c r="E5004" t="s">
        <v>15</v>
      </c>
      <c r="F5004" t="s">
        <v>5012</v>
      </c>
      <c r="G5004">
        <v>2</v>
      </c>
    </row>
    <row r="5005" spans="1:7" x14ac:dyDescent="0.25">
      <c r="A5005">
        <v>22</v>
      </c>
      <c r="B5005" t="s">
        <v>4883</v>
      </c>
      <c r="C5005">
        <v>170154</v>
      </c>
      <c r="E5005" t="s">
        <v>15</v>
      </c>
      <c r="F5005" t="s">
        <v>5013</v>
      </c>
      <c r="G5005">
        <v>2</v>
      </c>
    </row>
    <row r="5006" spans="1:7" x14ac:dyDescent="0.25">
      <c r="A5006">
        <v>22</v>
      </c>
      <c r="B5006" t="s">
        <v>4883</v>
      </c>
      <c r="C5006">
        <v>170126</v>
      </c>
      <c r="E5006" t="s">
        <v>15</v>
      </c>
      <c r="F5006" t="s">
        <v>5014</v>
      </c>
      <c r="G5006">
        <v>2</v>
      </c>
    </row>
    <row r="5007" spans="1:7" x14ac:dyDescent="0.25">
      <c r="A5007">
        <v>22</v>
      </c>
      <c r="B5007" t="s">
        <v>4883</v>
      </c>
      <c r="C5007">
        <v>16501</v>
      </c>
      <c r="D5007" t="str">
        <f>"0140-2382"</f>
        <v>0140-2382</v>
      </c>
      <c r="E5007" t="s">
        <v>8</v>
      </c>
      <c r="F5007" t="s">
        <v>5015</v>
      </c>
      <c r="G5007">
        <v>2</v>
      </c>
    </row>
    <row r="5008" spans="1:7" x14ac:dyDescent="0.25">
      <c r="A5008">
        <v>22</v>
      </c>
      <c r="B5008" t="s">
        <v>4883</v>
      </c>
      <c r="C5008">
        <v>170271</v>
      </c>
      <c r="E5008" t="s">
        <v>15</v>
      </c>
      <c r="F5008" t="s">
        <v>5016</v>
      </c>
      <c r="G5008">
        <v>2</v>
      </c>
    </row>
    <row r="5009" spans="1:7" x14ac:dyDescent="0.25">
      <c r="A5009">
        <v>22</v>
      </c>
      <c r="B5009" t="s">
        <v>4883</v>
      </c>
      <c r="C5009">
        <v>170229</v>
      </c>
      <c r="E5009" t="s">
        <v>15</v>
      </c>
      <c r="F5009" t="s">
        <v>5017</v>
      </c>
      <c r="G5009">
        <v>2</v>
      </c>
    </row>
    <row r="5010" spans="1:7" x14ac:dyDescent="0.25">
      <c r="A5010">
        <v>22</v>
      </c>
      <c r="B5010" t="s">
        <v>4883</v>
      </c>
      <c r="C5010">
        <v>9292</v>
      </c>
      <c r="D5010" t="str">
        <f>"0043-8871"</f>
        <v>0043-8871</v>
      </c>
      <c r="E5010" t="s">
        <v>8</v>
      </c>
      <c r="F5010" t="s">
        <v>5018</v>
      </c>
      <c r="G5010">
        <v>2</v>
      </c>
    </row>
    <row r="5011" spans="1:7" x14ac:dyDescent="0.25">
      <c r="A5011">
        <v>22</v>
      </c>
      <c r="B5011" t="s">
        <v>4883</v>
      </c>
      <c r="C5011">
        <v>7755163</v>
      </c>
      <c r="D5011" t="str">
        <f>"1804-1302"</f>
        <v>1804-1302</v>
      </c>
      <c r="E5011" t="s">
        <v>8</v>
      </c>
      <c r="F5011" t="s">
        <v>5019</v>
      </c>
      <c r="G5011">
        <v>1</v>
      </c>
    </row>
    <row r="5012" spans="1:7" x14ac:dyDescent="0.25">
      <c r="A5012">
        <v>22</v>
      </c>
      <c r="B5012" t="s">
        <v>4883</v>
      </c>
      <c r="C5012">
        <v>6005869</v>
      </c>
      <c r="D5012" t="str">
        <f>"1783-6077"</f>
        <v>1783-6077</v>
      </c>
      <c r="E5012" t="s">
        <v>15</v>
      </c>
      <c r="F5012" t="s">
        <v>5020</v>
      </c>
      <c r="G5012">
        <v>1</v>
      </c>
    </row>
    <row r="5013" spans="1:7" x14ac:dyDescent="0.25">
      <c r="A5013">
        <v>22</v>
      </c>
      <c r="B5013" t="s">
        <v>4883</v>
      </c>
      <c r="C5013">
        <v>6334</v>
      </c>
      <c r="D5013" t="str">
        <f>"1944-5571"</f>
        <v>1944-5571</v>
      </c>
      <c r="E5013" t="s">
        <v>8</v>
      </c>
      <c r="F5013" t="s">
        <v>5021</v>
      </c>
      <c r="G5013">
        <v>1</v>
      </c>
    </row>
    <row r="5014" spans="1:7" x14ac:dyDescent="0.25">
      <c r="A5014">
        <v>22</v>
      </c>
      <c r="B5014" t="s">
        <v>4883</v>
      </c>
      <c r="C5014">
        <v>21522</v>
      </c>
      <c r="D5014" t="str">
        <f>"1084-1806"</f>
        <v>1084-1806</v>
      </c>
      <c r="E5014" t="s">
        <v>8</v>
      </c>
      <c r="F5014" t="s">
        <v>5022</v>
      </c>
      <c r="G5014">
        <v>1</v>
      </c>
    </row>
    <row r="5015" spans="1:7" x14ac:dyDescent="0.25">
      <c r="A5015">
        <v>22</v>
      </c>
      <c r="B5015" t="s">
        <v>4883</v>
      </c>
      <c r="C5015">
        <v>11694</v>
      </c>
      <c r="D5015" t="str">
        <f>"1024-6029"</f>
        <v>1024-6029</v>
      </c>
      <c r="E5015" t="s">
        <v>15</v>
      </c>
      <c r="F5015" t="s">
        <v>5023</v>
      </c>
      <c r="G5015">
        <v>1</v>
      </c>
    </row>
    <row r="5016" spans="1:7" x14ac:dyDescent="0.25">
      <c r="A5016">
        <v>22</v>
      </c>
      <c r="B5016" t="s">
        <v>4883</v>
      </c>
      <c r="C5016">
        <v>153404</v>
      </c>
      <c r="D5016" t="str">
        <f>"1322-1833"</f>
        <v>1322-1833</v>
      </c>
      <c r="E5016" t="s">
        <v>8</v>
      </c>
      <c r="F5016" t="s">
        <v>5024</v>
      </c>
      <c r="G5016">
        <v>1</v>
      </c>
    </row>
    <row r="5017" spans="1:7" x14ac:dyDescent="0.25">
      <c r="A5017">
        <v>22</v>
      </c>
      <c r="B5017" t="s">
        <v>4883</v>
      </c>
      <c r="C5017">
        <v>3546</v>
      </c>
      <c r="D5017" t="str">
        <f>"0304-3754"</f>
        <v>0304-3754</v>
      </c>
      <c r="E5017" t="s">
        <v>8</v>
      </c>
      <c r="F5017" t="s">
        <v>5025</v>
      </c>
      <c r="G5017">
        <v>1</v>
      </c>
    </row>
    <row r="5018" spans="1:7" x14ac:dyDescent="0.25">
      <c r="A5018">
        <v>22</v>
      </c>
      <c r="B5018" t="s">
        <v>4883</v>
      </c>
      <c r="C5018">
        <v>10206</v>
      </c>
      <c r="D5018" t="str">
        <f>"1532-673X"</f>
        <v>1532-673X</v>
      </c>
      <c r="E5018" t="s">
        <v>8</v>
      </c>
      <c r="F5018" t="s">
        <v>5026</v>
      </c>
      <c r="G5018">
        <v>1</v>
      </c>
    </row>
    <row r="5019" spans="1:7" x14ac:dyDescent="0.25">
      <c r="A5019">
        <v>22</v>
      </c>
      <c r="B5019" t="s">
        <v>4883</v>
      </c>
      <c r="C5019">
        <v>13286</v>
      </c>
      <c r="D5019" t="str">
        <f>"1529-7489"</f>
        <v>1529-7489</v>
      </c>
      <c r="E5019" t="s">
        <v>8</v>
      </c>
      <c r="F5019" t="s">
        <v>5027</v>
      </c>
      <c r="G5019">
        <v>1</v>
      </c>
    </row>
    <row r="5020" spans="1:7" x14ac:dyDescent="0.25">
      <c r="A5020">
        <v>22</v>
      </c>
      <c r="B5020" t="s">
        <v>4883</v>
      </c>
      <c r="C5020">
        <v>25088</v>
      </c>
      <c r="D5020" t="str">
        <f>"1550-3585"</f>
        <v>1550-3585</v>
      </c>
      <c r="E5020" t="s">
        <v>8</v>
      </c>
      <c r="F5020" t="s">
        <v>5028</v>
      </c>
      <c r="G5020">
        <v>1</v>
      </c>
    </row>
    <row r="5021" spans="1:7" x14ac:dyDescent="0.25">
      <c r="A5021">
        <v>22</v>
      </c>
      <c r="B5021" t="s">
        <v>4883</v>
      </c>
      <c r="C5021">
        <v>2113</v>
      </c>
      <c r="D5021" t="str">
        <f>"1094-2939"</f>
        <v>1094-2939</v>
      </c>
      <c r="E5021" t="s">
        <v>8</v>
      </c>
      <c r="F5021" t="s">
        <v>5029</v>
      </c>
      <c r="G5021">
        <v>1</v>
      </c>
    </row>
    <row r="5022" spans="1:7" x14ac:dyDescent="0.25">
      <c r="A5022">
        <v>22</v>
      </c>
      <c r="B5022" t="s">
        <v>4883</v>
      </c>
      <c r="C5022">
        <v>170112</v>
      </c>
      <c r="E5022" t="s">
        <v>15</v>
      </c>
      <c r="F5022" t="s">
        <v>5030</v>
      </c>
      <c r="G5022">
        <v>1</v>
      </c>
    </row>
    <row r="5023" spans="1:7" x14ac:dyDescent="0.25">
      <c r="A5023">
        <v>22</v>
      </c>
      <c r="B5023" t="s">
        <v>4883</v>
      </c>
      <c r="C5023">
        <v>170113</v>
      </c>
      <c r="E5023" t="s">
        <v>15</v>
      </c>
      <c r="F5023" t="s">
        <v>5031</v>
      </c>
      <c r="G5023">
        <v>1</v>
      </c>
    </row>
    <row r="5024" spans="1:7" x14ac:dyDescent="0.25">
      <c r="A5024">
        <v>22</v>
      </c>
      <c r="B5024" t="s">
        <v>4883</v>
      </c>
      <c r="C5024">
        <v>170292</v>
      </c>
      <c r="E5024" t="s">
        <v>15</v>
      </c>
      <c r="F5024" t="s">
        <v>5032</v>
      </c>
      <c r="G5024">
        <v>1</v>
      </c>
    </row>
    <row r="5025" spans="1:7" x14ac:dyDescent="0.25">
      <c r="A5025">
        <v>22</v>
      </c>
      <c r="B5025" t="s">
        <v>4883</v>
      </c>
      <c r="C5025">
        <v>6019751</v>
      </c>
      <c r="D5025" t="str">
        <f>"2040-5790"</f>
        <v>2040-5790</v>
      </c>
      <c r="E5025" t="s">
        <v>8</v>
      </c>
      <c r="F5025" t="s">
        <v>5033</v>
      </c>
      <c r="G5025">
        <v>1</v>
      </c>
    </row>
    <row r="5026" spans="1:7" x14ac:dyDescent="0.25">
      <c r="A5026">
        <v>22</v>
      </c>
      <c r="B5026" t="s">
        <v>4883</v>
      </c>
      <c r="C5026">
        <v>7693532</v>
      </c>
      <c r="D5026" t="str">
        <f>"1864-2659"</f>
        <v>1864-2659</v>
      </c>
      <c r="E5026" t="s">
        <v>15</v>
      </c>
      <c r="F5026" t="s">
        <v>5034</v>
      </c>
      <c r="G5026">
        <v>1</v>
      </c>
    </row>
    <row r="5027" spans="1:7" x14ac:dyDescent="0.25">
      <c r="A5027">
        <v>22</v>
      </c>
      <c r="B5027" t="s">
        <v>4883</v>
      </c>
      <c r="C5027">
        <v>7693749</v>
      </c>
      <c r="D5027" t="str">
        <f>"1861-647X"</f>
        <v>1861-647X</v>
      </c>
      <c r="E5027" t="s">
        <v>15</v>
      </c>
      <c r="F5027" t="s">
        <v>5035</v>
      </c>
      <c r="G5027">
        <v>1</v>
      </c>
    </row>
    <row r="5028" spans="1:7" x14ac:dyDescent="0.25">
      <c r="A5028">
        <v>22</v>
      </c>
      <c r="B5028" t="s">
        <v>4883</v>
      </c>
      <c r="C5028">
        <v>180063</v>
      </c>
      <c r="D5028" t="str">
        <f>"2246-3690"</f>
        <v>2246-3690</v>
      </c>
      <c r="E5028" t="s">
        <v>15</v>
      </c>
      <c r="F5028" t="s">
        <v>5036</v>
      </c>
      <c r="G5028">
        <v>1</v>
      </c>
    </row>
    <row r="5029" spans="1:7" x14ac:dyDescent="0.25">
      <c r="A5029">
        <v>22</v>
      </c>
      <c r="B5029" t="s">
        <v>4883</v>
      </c>
      <c r="C5029">
        <v>180067</v>
      </c>
      <c r="D5029" t="str">
        <f>"2246-3577"</f>
        <v>2246-3577</v>
      </c>
      <c r="E5029" t="s">
        <v>15</v>
      </c>
      <c r="F5029" t="s">
        <v>5037</v>
      </c>
      <c r="G5029">
        <v>1</v>
      </c>
    </row>
    <row r="5030" spans="1:7" x14ac:dyDescent="0.25">
      <c r="A5030">
        <v>22</v>
      </c>
      <c r="B5030" t="s">
        <v>4883</v>
      </c>
      <c r="C5030">
        <v>93804</v>
      </c>
      <c r="D5030" t="str">
        <f>"1559-0968"</f>
        <v>1559-0968</v>
      </c>
      <c r="E5030" t="s">
        <v>8</v>
      </c>
      <c r="F5030" t="s">
        <v>5038</v>
      </c>
      <c r="G5030">
        <v>1</v>
      </c>
    </row>
    <row r="5031" spans="1:7" x14ac:dyDescent="0.25">
      <c r="A5031">
        <v>22</v>
      </c>
      <c r="B5031" t="s">
        <v>4883</v>
      </c>
      <c r="C5031">
        <v>23408</v>
      </c>
      <c r="D5031" t="str">
        <f>"0092-7678"</f>
        <v>0092-7678</v>
      </c>
      <c r="E5031" t="s">
        <v>8</v>
      </c>
      <c r="F5031" t="s">
        <v>5039</v>
      </c>
      <c r="G5031">
        <v>1</v>
      </c>
    </row>
    <row r="5032" spans="1:7" x14ac:dyDescent="0.25">
      <c r="A5032">
        <v>22</v>
      </c>
      <c r="B5032" t="s">
        <v>4883</v>
      </c>
      <c r="C5032">
        <v>112385</v>
      </c>
      <c r="D5032" t="str">
        <f>"1062-1830"</f>
        <v>1062-1830</v>
      </c>
      <c r="E5032" t="s">
        <v>8</v>
      </c>
      <c r="F5032" t="s">
        <v>5040</v>
      </c>
      <c r="G5032">
        <v>1</v>
      </c>
    </row>
    <row r="5033" spans="1:7" x14ac:dyDescent="0.25">
      <c r="A5033">
        <v>22</v>
      </c>
      <c r="B5033" t="s">
        <v>4883</v>
      </c>
      <c r="C5033">
        <v>19046</v>
      </c>
      <c r="D5033" t="str">
        <f>"0218-5377"</f>
        <v>0218-5377</v>
      </c>
      <c r="E5033" t="s">
        <v>8</v>
      </c>
      <c r="F5033" t="s">
        <v>5041</v>
      </c>
      <c r="G5033">
        <v>1</v>
      </c>
    </row>
    <row r="5034" spans="1:7" x14ac:dyDescent="0.25">
      <c r="A5034">
        <v>22</v>
      </c>
      <c r="B5034" t="s">
        <v>4883</v>
      </c>
      <c r="C5034">
        <v>25559</v>
      </c>
      <c r="D5034" t="str">
        <f>"0258-9184"</f>
        <v>0258-9184</v>
      </c>
      <c r="E5034" t="s">
        <v>8</v>
      </c>
      <c r="F5034" t="s">
        <v>5042</v>
      </c>
      <c r="G5034">
        <v>1</v>
      </c>
    </row>
    <row r="5035" spans="1:7" x14ac:dyDescent="0.25">
      <c r="A5035">
        <v>22</v>
      </c>
      <c r="B5035" t="s">
        <v>4883</v>
      </c>
      <c r="C5035">
        <v>154520</v>
      </c>
      <c r="D5035" t="str">
        <f>"1943-0779"</f>
        <v>1943-0779</v>
      </c>
      <c r="E5035" t="s">
        <v>8</v>
      </c>
      <c r="F5035" t="s">
        <v>5043</v>
      </c>
      <c r="G5035">
        <v>1</v>
      </c>
    </row>
    <row r="5036" spans="1:7" x14ac:dyDescent="0.25">
      <c r="A5036">
        <v>22</v>
      </c>
      <c r="B5036" t="s">
        <v>4883</v>
      </c>
      <c r="C5036">
        <v>20839</v>
      </c>
      <c r="D5036" t="str">
        <f>"1753-1403"</f>
        <v>1753-1403</v>
      </c>
      <c r="E5036" t="s">
        <v>8</v>
      </c>
      <c r="F5036" t="s">
        <v>5044</v>
      </c>
      <c r="G5036">
        <v>1</v>
      </c>
    </row>
    <row r="5037" spans="1:7" x14ac:dyDescent="0.25">
      <c r="A5037">
        <v>22</v>
      </c>
      <c r="B5037" t="s">
        <v>4883</v>
      </c>
      <c r="C5037">
        <v>170248</v>
      </c>
      <c r="E5037" t="s">
        <v>15</v>
      </c>
      <c r="F5037" t="s">
        <v>5045</v>
      </c>
      <c r="G5037">
        <v>1</v>
      </c>
    </row>
    <row r="5038" spans="1:7" x14ac:dyDescent="0.25">
      <c r="A5038">
        <v>22</v>
      </c>
      <c r="B5038" t="s">
        <v>4883</v>
      </c>
      <c r="C5038">
        <v>6774</v>
      </c>
      <c r="D5038" t="str">
        <f>"1477-7622"</f>
        <v>1477-7622</v>
      </c>
      <c r="E5038" t="s">
        <v>8</v>
      </c>
      <c r="F5038" t="s">
        <v>5046</v>
      </c>
      <c r="G5038">
        <v>1</v>
      </c>
    </row>
    <row r="5039" spans="1:7" x14ac:dyDescent="0.25">
      <c r="A5039">
        <v>22</v>
      </c>
      <c r="B5039" t="s">
        <v>4883</v>
      </c>
      <c r="C5039">
        <v>19371</v>
      </c>
      <c r="D5039" t="str">
        <f>"1441-7847"</f>
        <v>1441-7847</v>
      </c>
      <c r="E5039" t="s">
        <v>8</v>
      </c>
      <c r="F5039" t="s">
        <v>5047</v>
      </c>
      <c r="G5039">
        <v>1</v>
      </c>
    </row>
    <row r="5040" spans="1:7" x14ac:dyDescent="0.25">
      <c r="A5040">
        <v>22</v>
      </c>
      <c r="B5040" t="s">
        <v>4883</v>
      </c>
      <c r="C5040">
        <v>14705</v>
      </c>
      <c r="D5040" t="str">
        <f>"1035-7718"</f>
        <v>1035-7718</v>
      </c>
      <c r="E5040" t="s">
        <v>8</v>
      </c>
      <c r="F5040" t="s">
        <v>5048</v>
      </c>
      <c r="G5040">
        <v>1</v>
      </c>
    </row>
    <row r="5041" spans="1:7" x14ac:dyDescent="0.25">
      <c r="A5041">
        <v>22</v>
      </c>
      <c r="B5041" t="s">
        <v>4883</v>
      </c>
      <c r="C5041">
        <v>123555</v>
      </c>
      <c r="D5041" t="str">
        <f>"1328-1143"</f>
        <v>1328-1143</v>
      </c>
      <c r="E5041" t="s">
        <v>8</v>
      </c>
      <c r="F5041" t="s">
        <v>5049</v>
      </c>
      <c r="G5041">
        <v>1</v>
      </c>
    </row>
    <row r="5042" spans="1:7" x14ac:dyDescent="0.25">
      <c r="A5042">
        <v>22</v>
      </c>
      <c r="B5042" t="s">
        <v>4883</v>
      </c>
      <c r="C5042">
        <v>10198</v>
      </c>
      <c r="D5042" t="str">
        <f>"1036-1146"</f>
        <v>1036-1146</v>
      </c>
      <c r="E5042" t="s">
        <v>8</v>
      </c>
      <c r="F5042" t="s">
        <v>5050</v>
      </c>
      <c r="G5042">
        <v>1</v>
      </c>
    </row>
    <row r="5043" spans="1:7" x14ac:dyDescent="0.25">
      <c r="A5043">
        <v>22</v>
      </c>
      <c r="B5043" t="s">
        <v>4883</v>
      </c>
      <c r="C5043">
        <v>3782</v>
      </c>
      <c r="D5043" t="str">
        <f>"0313-6647"</f>
        <v>0313-6647</v>
      </c>
      <c r="E5043" t="s">
        <v>8</v>
      </c>
      <c r="F5043" t="s">
        <v>5051</v>
      </c>
      <c r="G5043">
        <v>1</v>
      </c>
    </row>
    <row r="5044" spans="1:7" x14ac:dyDescent="0.25">
      <c r="A5044">
        <v>22</v>
      </c>
      <c r="B5044" t="s">
        <v>4883</v>
      </c>
      <c r="C5044">
        <v>27058</v>
      </c>
      <c r="E5044" t="s">
        <v>8</v>
      </c>
      <c r="F5044" t="s">
        <v>5052</v>
      </c>
      <c r="G5044">
        <v>1</v>
      </c>
    </row>
    <row r="5045" spans="1:7" x14ac:dyDescent="0.25">
      <c r="A5045">
        <v>22</v>
      </c>
      <c r="B5045" t="s">
        <v>4883</v>
      </c>
      <c r="C5045">
        <v>6035587</v>
      </c>
      <c r="D5045" t="str">
        <f>"1943-4472"</f>
        <v>1943-4472</v>
      </c>
      <c r="E5045" t="s">
        <v>8</v>
      </c>
      <c r="F5045" t="s">
        <v>5053</v>
      </c>
      <c r="G5045">
        <v>1</v>
      </c>
    </row>
    <row r="5046" spans="1:7" x14ac:dyDescent="0.25">
      <c r="A5046">
        <v>22</v>
      </c>
      <c r="B5046" t="s">
        <v>4883</v>
      </c>
      <c r="C5046">
        <v>7708167</v>
      </c>
      <c r="D5046" t="str">
        <f>"2159-4627"</f>
        <v>2159-4627</v>
      </c>
      <c r="E5046" t="s">
        <v>8</v>
      </c>
      <c r="F5046" t="s">
        <v>5054</v>
      </c>
      <c r="G5046">
        <v>1</v>
      </c>
    </row>
    <row r="5047" spans="1:7" x14ac:dyDescent="0.25">
      <c r="A5047">
        <v>22</v>
      </c>
      <c r="B5047" t="s">
        <v>4883</v>
      </c>
      <c r="C5047">
        <v>15135</v>
      </c>
      <c r="D5047" t="str">
        <f>"0006-4416"</f>
        <v>0006-4416</v>
      </c>
      <c r="E5047" t="s">
        <v>8</v>
      </c>
      <c r="F5047" t="s">
        <v>5055</v>
      </c>
      <c r="G5047">
        <v>1</v>
      </c>
    </row>
    <row r="5048" spans="1:7" x14ac:dyDescent="0.25">
      <c r="A5048">
        <v>22</v>
      </c>
      <c r="B5048" t="s">
        <v>4883</v>
      </c>
      <c r="C5048">
        <v>3726</v>
      </c>
      <c r="D5048" t="str">
        <f>"1746-918X"</f>
        <v>1746-918X</v>
      </c>
      <c r="E5048" t="s">
        <v>8</v>
      </c>
      <c r="F5048" t="s">
        <v>5056</v>
      </c>
      <c r="G5048">
        <v>1</v>
      </c>
    </row>
    <row r="5049" spans="1:7" x14ac:dyDescent="0.25">
      <c r="A5049">
        <v>22</v>
      </c>
      <c r="B5049" t="s">
        <v>4883</v>
      </c>
      <c r="C5049">
        <v>170146</v>
      </c>
      <c r="E5049" t="s">
        <v>15</v>
      </c>
      <c r="F5049" t="s">
        <v>5057</v>
      </c>
      <c r="G5049">
        <v>1</v>
      </c>
    </row>
    <row r="5050" spans="1:7" x14ac:dyDescent="0.25">
      <c r="A5050">
        <v>22</v>
      </c>
      <c r="B5050" t="s">
        <v>4883</v>
      </c>
      <c r="C5050">
        <v>151855</v>
      </c>
      <c r="D5050" t="str">
        <f>"1146-7924"</f>
        <v>1146-7924</v>
      </c>
      <c r="E5050" t="s">
        <v>8</v>
      </c>
      <c r="F5050" t="s">
        <v>5058</v>
      </c>
      <c r="G5050">
        <v>1</v>
      </c>
    </row>
    <row r="5051" spans="1:7" x14ac:dyDescent="0.25">
      <c r="A5051">
        <v>22</v>
      </c>
      <c r="B5051" t="s">
        <v>4883</v>
      </c>
      <c r="C5051">
        <v>156020</v>
      </c>
      <c r="D5051" t="str">
        <f>"1944-4370"</f>
        <v>1944-4370</v>
      </c>
      <c r="E5051" t="s">
        <v>8</v>
      </c>
      <c r="F5051" t="s">
        <v>5059</v>
      </c>
      <c r="G5051">
        <v>1</v>
      </c>
    </row>
    <row r="5052" spans="1:7" x14ac:dyDescent="0.25">
      <c r="A5052">
        <v>22</v>
      </c>
      <c r="B5052" t="s">
        <v>4883</v>
      </c>
      <c r="C5052">
        <v>6053179</v>
      </c>
      <c r="E5052" t="s">
        <v>15</v>
      </c>
      <c r="F5052" t="s">
        <v>5060</v>
      </c>
      <c r="G5052">
        <v>1</v>
      </c>
    </row>
    <row r="5053" spans="1:7" x14ac:dyDescent="0.25">
      <c r="A5053">
        <v>22</v>
      </c>
      <c r="B5053" t="s">
        <v>4883</v>
      </c>
      <c r="C5053">
        <v>170155</v>
      </c>
      <c r="E5053" t="s">
        <v>15</v>
      </c>
      <c r="F5053" t="s">
        <v>5061</v>
      </c>
      <c r="G5053">
        <v>1</v>
      </c>
    </row>
    <row r="5054" spans="1:7" x14ac:dyDescent="0.25">
      <c r="A5054">
        <v>22</v>
      </c>
      <c r="B5054" t="s">
        <v>4883</v>
      </c>
      <c r="C5054">
        <v>15964</v>
      </c>
      <c r="D5054" t="str">
        <f>"0955-7571"</f>
        <v>0955-7571</v>
      </c>
      <c r="E5054" t="s">
        <v>8</v>
      </c>
      <c r="F5054" t="s">
        <v>5062</v>
      </c>
      <c r="G5054">
        <v>1</v>
      </c>
    </row>
    <row r="5055" spans="1:7" x14ac:dyDescent="0.25">
      <c r="A5055">
        <v>22</v>
      </c>
      <c r="B5055" t="s">
        <v>4883</v>
      </c>
      <c r="C5055">
        <v>170148</v>
      </c>
      <c r="E5055" t="s">
        <v>15</v>
      </c>
      <c r="F5055" t="s">
        <v>5063</v>
      </c>
      <c r="G5055">
        <v>1</v>
      </c>
    </row>
    <row r="5056" spans="1:7" x14ac:dyDescent="0.25">
      <c r="A5056">
        <v>22</v>
      </c>
      <c r="B5056" t="s">
        <v>4883</v>
      </c>
      <c r="C5056">
        <v>170156</v>
      </c>
      <c r="E5056" t="s">
        <v>15</v>
      </c>
      <c r="F5056" t="s">
        <v>5064</v>
      </c>
      <c r="G5056">
        <v>1</v>
      </c>
    </row>
    <row r="5057" spans="1:7" x14ac:dyDescent="0.25">
      <c r="A5057">
        <v>22</v>
      </c>
      <c r="B5057" t="s">
        <v>4883</v>
      </c>
      <c r="C5057">
        <v>170150</v>
      </c>
      <c r="E5057" t="s">
        <v>15</v>
      </c>
      <c r="F5057" t="s">
        <v>5065</v>
      </c>
      <c r="G5057">
        <v>1</v>
      </c>
    </row>
    <row r="5058" spans="1:7" x14ac:dyDescent="0.25">
      <c r="A5058">
        <v>22</v>
      </c>
      <c r="B5058" t="s">
        <v>4883</v>
      </c>
      <c r="C5058">
        <v>4775</v>
      </c>
      <c r="D5058" t="str">
        <f>"1192-6422"</f>
        <v>1192-6422</v>
      </c>
      <c r="E5058" t="s">
        <v>8</v>
      </c>
      <c r="F5058" t="s">
        <v>5066</v>
      </c>
      <c r="G5058">
        <v>1</v>
      </c>
    </row>
    <row r="5059" spans="1:7" x14ac:dyDescent="0.25">
      <c r="A5059">
        <v>22</v>
      </c>
      <c r="B5059" t="s">
        <v>4883</v>
      </c>
      <c r="C5059">
        <v>7754</v>
      </c>
      <c r="D5059" t="str">
        <f>"0008-4239"</f>
        <v>0008-4239</v>
      </c>
      <c r="E5059" t="s">
        <v>8</v>
      </c>
      <c r="F5059" t="s">
        <v>5067</v>
      </c>
      <c r="G5059">
        <v>1</v>
      </c>
    </row>
    <row r="5060" spans="1:7" x14ac:dyDescent="0.25">
      <c r="A5060">
        <v>22</v>
      </c>
      <c r="B5060" t="s">
        <v>4883</v>
      </c>
      <c r="C5060">
        <v>79192</v>
      </c>
      <c r="D5060" t="str">
        <f>"1911-4125"</f>
        <v>1911-4125</v>
      </c>
      <c r="E5060" t="s">
        <v>8</v>
      </c>
      <c r="F5060" t="s">
        <v>5068</v>
      </c>
      <c r="G5060">
        <v>1</v>
      </c>
    </row>
    <row r="5061" spans="1:7" x14ac:dyDescent="0.25">
      <c r="A5061">
        <v>22</v>
      </c>
      <c r="B5061" t="s">
        <v>4883</v>
      </c>
      <c r="C5061">
        <v>9264</v>
      </c>
      <c r="D5061" t="str">
        <f>"0008-4840"</f>
        <v>0008-4840</v>
      </c>
      <c r="E5061" t="s">
        <v>8</v>
      </c>
      <c r="F5061" t="s">
        <v>5069</v>
      </c>
      <c r="G5061">
        <v>1</v>
      </c>
    </row>
    <row r="5062" spans="1:7" x14ac:dyDescent="0.25">
      <c r="A5062">
        <v>22</v>
      </c>
      <c r="B5062" t="s">
        <v>4883</v>
      </c>
      <c r="C5062">
        <v>16157</v>
      </c>
      <c r="D5062" t="str">
        <f>"0317-0861"</f>
        <v>0317-0861</v>
      </c>
      <c r="E5062" t="s">
        <v>8</v>
      </c>
      <c r="F5062" t="s">
        <v>5070</v>
      </c>
      <c r="G5062">
        <v>1</v>
      </c>
    </row>
    <row r="5063" spans="1:7" x14ac:dyDescent="0.25">
      <c r="A5063">
        <v>22</v>
      </c>
      <c r="B5063" t="s">
        <v>4883</v>
      </c>
      <c r="C5063">
        <v>8781936</v>
      </c>
      <c r="D5063" t="str">
        <f>"1802-548X"</f>
        <v>1802-548X</v>
      </c>
      <c r="E5063" t="s">
        <v>8</v>
      </c>
      <c r="F5063" t="s">
        <v>5071</v>
      </c>
      <c r="G5063">
        <v>1</v>
      </c>
    </row>
    <row r="5064" spans="1:7" x14ac:dyDescent="0.25">
      <c r="A5064">
        <v>22</v>
      </c>
      <c r="B5064" t="s">
        <v>4883</v>
      </c>
      <c r="C5064">
        <v>94219</v>
      </c>
      <c r="D5064" t="str">
        <f>"1802-4866"</f>
        <v>1802-4866</v>
      </c>
      <c r="E5064" t="s">
        <v>8</v>
      </c>
      <c r="F5064" t="s">
        <v>5072</v>
      </c>
      <c r="G5064">
        <v>1</v>
      </c>
    </row>
    <row r="5065" spans="1:7" x14ac:dyDescent="0.25">
      <c r="A5065">
        <v>22</v>
      </c>
      <c r="B5065" t="s">
        <v>4883</v>
      </c>
      <c r="C5065">
        <v>6059283</v>
      </c>
      <c r="D5065" t="str">
        <f>"2352-2364"</f>
        <v>2352-2364</v>
      </c>
      <c r="E5065" t="s">
        <v>15</v>
      </c>
      <c r="F5065" t="s">
        <v>5073</v>
      </c>
      <c r="G5065">
        <v>1</v>
      </c>
    </row>
    <row r="5066" spans="1:7" x14ac:dyDescent="0.25">
      <c r="A5066">
        <v>22</v>
      </c>
      <c r="B5066" t="s">
        <v>4883</v>
      </c>
      <c r="C5066">
        <v>170249</v>
      </c>
      <c r="E5066" t="s">
        <v>15</v>
      </c>
      <c r="F5066" t="s">
        <v>5074</v>
      </c>
      <c r="G5066">
        <v>1</v>
      </c>
    </row>
    <row r="5067" spans="1:7" x14ac:dyDescent="0.25">
      <c r="A5067">
        <v>22</v>
      </c>
      <c r="B5067" t="s">
        <v>4883</v>
      </c>
      <c r="C5067">
        <v>170207</v>
      </c>
      <c r="E5067" t="s">
        <v>15</v>
      </c>
      <c r="F5067" t="s">
        <v>5075</v>
      </c>
      <c r="G5067">
        <v>1</v>
      </c>
    </row>
    <row r="5068" spans="1:7" x14ac:dyDescent="0.25">
      <c r="A5068">
        <v>22</v>
      </c>
      <c r="B5068" t="s">
        <v>4883</v>
      </c>
      <c r="C5068">
        <v>4817</v>
      </c>
      <c r="D5068" t="str">
        <f>"0009-4609"</f>
        <v>0009-4609</v>
      </c>
      <c r="E5068" t="s">
        <v>8</v>
      </c>
      <c r="F5068" t="s">
        <v>5076</v>
      </c>
      <c r="G5068">
        <v>1</v>
      </c>
    </row>
    <row r="5069" spans="1:7" x14ac:dyDescent="0.25">
      <c r="A5069">
        <v>22</v>
      </c>
      <c r="B5069" t="s">
        <v>4883</v>
      </c>
      <c r="C5069">
        <v>170190</v>
      </c>
      <c r="E5069" t="s">
        <v>15</v>
      </c>
      <c r="F5069" t="s">
        <v>5077</v>
      </c>
      <c r="G5069">
        <v>1</v>
      </c>
    </row>
    <row r="5070" spans="1:7" x14ac:dyDescent="0.25">
      <c r="A5070">
        <v>22</v>
      </c>
      <c r="B5070" t="s">
        <v>4883</v>
      </c>
      <c r="C5070">
        <v>7428</v>
      </c>
      <c r="D5070" t="str">
        <f>"1362-1025"</f>
        <v>1362-1025</v>
      </c>
      <c r="E5070" t="s">
        <v>8</v>
      </c>
      <c r="F5070" t="s">
        <v>5078</v>
      </c>
      <c r="G5070">
        <v>1</v>
      </c>
    </row>
    <row r="5071" spans="1:7" x14ac:dyDescent="0.25">
      <c r="A5071">
        <v>22</v>
      </c>
      <c r="B5071" t="s">
        <v>4883</v>
      </c>
      <c r="C5071">
        <v>6730</v>
      </c>
      <c r="D5071" t="str">
        <f>"1751-1917"</f>
        <v>1751-1917</v>
      </c>
      <c r="E5071" t="s">
        <v>8</v>
      </c>
      <c r="F5071" t="s">
        <v>5079</v>
      </c>
      <c r="G5071">
        <v>1</v>
      </c>
    </row>
    <row r="5072" spans="1:7" x14ac:dyDescent="0.25">
      <c r="A5072">
        <v>22</v>
      </c>
      <c r="B5072" t="s">
        <v>4883</v>
      </c>
      <c r="C5072">
        <v>3751</v>
      </c>
      <c r="D5072" t="str">
        <f>"1369-8249"</f>
        <v>1369-8249</v>
      </c>
      <c r="E5072" t="s">
        <v>8</v>
      </c>
      <c r="F5072" t="s">
        <v>5080</v>
      </c>
      <c r="G5072">
        <v>1</v>
      </c>
    </row>
    <row r="5073" spans="1:7" x14ac:dyDescent="0.25">
      <c r="A5073">
        <v>22</v>
      </c>
      <c r="B5073" t="s">
        <v>4883</v>
      </c>
      <c r="C5073">
        <v>16472</v>
      </c>
      <c r="D5073" t="str">
        <f>"1469-3062"</f>
        <v>1469-3062</v>
      </c>
      <c r="E5073" t="s">
        <v>8</v>
      </c>
      <c r="F5073" t="s">
        <v>5081</v>
      </c>
      <c r="G5073">
        <v>1</v>
      </c>
    </row>
    <row r="5074" spans="1:7" x14ac:dyDescent="0.25">
      <c r="A5074">
        <v>22</v>
      </c>
      <c r="B5074" t="s">
        <v>4883</v>
      </c>
      <c r="C5074">
        <v>170242</v>
      </c>
      <c r="E5074" t="s">
        <v>15</v>
      </c>
      <c r="F5074" t="s">
        <v>5082</v>
      </c>
      <c r="G5074">
        <v>1</v>
      </c>
    </row>
    <row r="5075" spans="1:7" x14ac:dyDescent="0.25">
      <c r="A5075">
        <v>22</v>
      </c>
      <c r="B5075" t="s">
        <v>4883</v>
      </c>
      <c r="C5075">
        <v>170160</v>
      </c>
      <c r="D5075" t="str">
        <f>"1559-1409"</f>
        <v>1559-1409</v>
      </c>
      <c r="E5075" t="s">
        <v>15</v>
      </c>
      <c r="F5075" t="s">
        <v>5083</v>
      </c>
      <c r="G5075">
        <v>1</v>
      </c>
    </row>
    <row r="5076" spans="1:7" x14ac:dyDescent="0.25">
      <c r="A5076">
        <v>22</v>
      </c>
      <c r="B5076" t="s">
        <v>4883</v>
      </c>
      <c r="C5076">
        <v>4990</v>
      </c>
      <c r="D5076" t="str">
        <f>"1466-2043"</f>
        <v>1466-2043</v>
      </c>
      <c r="E5076" t="s">
        <v>8</v>
      </c>
      <c r="F5076" t="s">
        <v>5084</v>
      </c>
      <c r="G5076">
        <v>1</v>
      </c>
    </row>
    <row r="5077" spans="1:7" x14ac:dyDescent="0.25">
      <c r="A5077">
        <v>22</v>
      </c>
      <c r="B5077" t="s">
        <v>4883</v>
      </c>
      <c r="C5077">
        <v>5973</v>
      </c>
      <c r="D5077" t="str">
        <f>"0967-067X"</f>
        <v>0967-067X</v>
      </c>
      <c r="E5077" t="s">
        <v>8</v>
      </c>
      <c r="F5077" t="s">
        <v>5085</v>
      </c>
      <c r="G5077">
        <v>1</v>
      </c>
    </row>
    <row r="5078" spans="1:7" x14ac:dyDescent="0.25">
      <c r="A5078">
        <v>22</v>
      </c>
      <c r="B5078" t="s">
        <v>4883</v>
      </c>
      <c r="C5078">
        <v>8758263</v>
      </c>
      <c r="E5078" t="s">
        <v>8</v>
      </c>
      <c r="F5078" t="s">
        <v>5086</v>
      </c>
      <c r="G5078">
        <v>1</v>
      </c>
    </row>
    <row r="5079" spans="1:7" x14ac:dyDescent="0.25">
      <c r="A5079">
        <v>22</v>
      </c>
      <c r="B5079" t="s">
        <v>4883</v>
      </c>
      <c r="C5079">
        <v>170301</v>
      </c>
      <c r="E5079" t="s">
        <v>15</v>
      </c>
      <c r="F5079" t="s">
        <v>5087</v>
      </c>
      <c r="G5079">
        <v>1</v>
      </c>
    </row>
    <row r="5080" spans="1:7" x14ac:dyDescent="0.25">
      <c r="A5080">
        <v>22</v>
      </c>
      <c r="B5080" t="s">
        <v>4883</v>
      </c>
      <c r="C5080">
        <v>170194</v>
      </c>
      <c r="E5080" t="s">
        <v>15</v>
      </c>
      <c r="F5080" t="s">
        <v>4900</v>
      </c>
      <c r="G5080">
        <v>1</v>
      </c>
    </row>
    <row r="5081" spans="1:7" x14ac:dyDescent="0.25">
      <c r="A5081">
        <v>22</v>
      </c>
      <c r="B5081" t="s">
        <v>4883</v>
      </c>
      <c r="C5081">
        <v>5852</v>
      </c>
      <c r="D5081" t="str">
        <f>"0149-5933"</f>
        <v>0149-5933</v>
      </c>
      <c r="E5081" t="s">
        <v>8</v>
      </c>
      <c r="F5081" t="s">
        <v>5088</v>
      </c>
      <c r="G5081">
        <v>1</v>
      </c>
    </row>
    <row r="5082" spans="1:7" x14ac:dyDescent="0.25">
      <c r="A5082">
        <v>22</v>
      </c>
      <c r="B5082" t="s">
        <v>4883</v>
      </c>
      <c r="C5082">
        <v>8783529</v>
      </c>
      <c r="E5082" t="s">
        <v>15</v>
      </c>
      <c r="F5082" t="s">
        <v>5089</v>
      </c>
      <c r="G5082">
        <v>1</v>
      </c>
    </row>
    <row r="5083" spans="1:7" x14ac:dyDescent="0.25">
      <c r="A5083">
        <v>22</v>
      </c>
      <c r="B5083" t="s">
        <v>4883</v>
      </c>
      <c r="C5083">
        <v>3873</v>
      </c>
      <c r="D5083" t="str">
        <f>"1536-5581"</f>
        <v>1536-5581</v>
      </c>
      <c r="E5083" t="s">
        <v>8</v>
      </c>
      <c r="F5083" t="s">
        <v>5090</v>
      </c>
      <c r="G5083">
        <v>1</v>
      </c>
    </row>
    <row r="5084" spans="1:7" x14ac:dyDescent="0.25">
      <c r="A5084">
        <v>22</v>
      </c>
      <c r="B5084" t="s">
        <v>4883</v>
      </c>
      <c r="C5084">
        <v>9929</v>
      </c>
      <c r="D5084" t="str">
        <f>"1467-8802"</f>
        <v>1467-8802</v>
      </c>
      <c r="E5084" t="s">
        <v>8</v>
      </c>
      <c r="F5084" t="s">
        <v>5091</v>
      </c>
      <c r="G5084">
        <v>1</v>
      </c>
    </row>
    <row r="5085" spans="1:7" x14ac:dyDescent="0.25">
      <c r="A5085">
        <v>22</v>
      </c>
      <c r="B5085" t="s">
        <v>4883</v>
      </c>
      <c r="C5085">
        <v>170163</v>
      </c>
      <c r="E5085" t="s">
        <v>15</v>
      </c>
      <c r="F5085" t="s">
        <v>5092</v>
      </c>
      <c r="G5085">
        <v>1</v>
      </c>
    </row>
    <row r="5086" spans="1:7" x14ac:dyDescent="0.25">
      <c r="A5086">
        <v>22</v>
      </c>
      <c r="B5086" t="s">
        <v>4883</v>
      </c>
      <c r="C5086">
        <v>170138</v>
      </c>
      <c r="E5086" t="s">
        <v>15</v>
      </c>
      <c r="F5086" t="s">
        <v>1688</v>
      </c>
      <c r="G5086">
        <v>1</v>
      </c>
    </row>
    <row r="5087" spans="1:7" x14ac:dyDescent="0.25">
      <c r="A5087">
        <v>22</v>
      </c>
      <c r="B5087" t="s">
        <v>4883</v>
      </c>
      <c r="C5087">
        <v>6073506</v>
      </c>
      <c r="E5087" t="s">
        <v>15</v>
      </c>
      <c r="F5087" t="s">
        <v>5093</v>
      </c>
      <c r="G5087">
        <v>1</v>
      </c>
    </row>
    <row r="5088" spans="1:7" x14ac:dyDescent="0.25">
      <c r="A5088">
        <v>22</v>
      </c>
      <c r="B5088" t="s">
        <v>4883</v>
      </c>
      <c r="C5088">
        <v>7039</v>
      </c>
      <c r="D5088" t="str">
        <f>"1470-8914"</f>
        <v>1470-8914</v>
      </c>
      <c r="E5088" t="s">
        <v>8</v>
      </c>
      <c r="F5088" t="s">
        <v>5094</v>
      </c>
      <c r="G5088">
        <v>1</v>
      </c>
    </row>
    <row r="5089" spans="1:7" x14ac:dyDescent="0.25">
      <c r="A5089">
        <v>22</v>
      </c>
      <c r="B5089" t="s">
        <v>4883</v>
      </c>
      <c r="C5089">
        <v>5470</v>
      </c>
      <c r="D5089" t="str">
        <f>"1356-9775"</f>
        <v>1356-9775</v>
      </c>
      <c r="E5089" t="s">
        <v>8</v>
      </c>
      <c r="F5089" t="s">
        <v>5095</v>
      </c>
      <c r="G5089">
        <v>1</v>
      </c>
    </row>
    <row r="5090" spans="1:7" x14ac:dyDescent="0.25">
      <c r="A5090">
        <v>22</v>
      </c>
      <c r="B5090" t="s">
        <v>4883</v>
      </c>
      <c r="C5090">
        <v>14922</v>
      </c>
      <c r="D5090" t="str">
        <f>"1352-3260"</f>
        <v>1352-3260</v>
      </c>
      <c r="E5090" t="s">
        <v>8</v>
      </c>
      <c r="F5090" t="s">
        <v>5096</v>
      </c>
      <c r="G5090">
        <v>1</v>
      </c>
    </row>
    <row r="5091" spans="1:7" x14ac:dyDescent="0.25">
      <c r="A5091">
        <v>22</v>
      </c>
      <c r="B5091" t="s">
        <v>4883</v>
      </c>
      <c r="C5091">
        <v>170122</v>
      </c>
      <c r="E5091" t="s">
        <v>15</v>
      </c>
      <c r="F5091" t="s">
        <v>5097</v>
      </c>
      <c r="G5091">
        <v>1</v>
      </c>
    </row>
    <row r="5092" spans="1:7" x14ac:dyDescent="0.25">
      <c r="A5092">
        <v>22</v>
      </c>
      <c r="B5092" t="s">
        <v>4883</v>
      </c>
      <c r="C5092">
        <v>170273</v>
      </c>
      <c r="E5092" t="s">
        <v>15</v>
      </c>
      <c r="F5092" t="s">
        <v>5098</v>
      </c>
      <c r="G5092">
        <v>1</v>
      </c>
    </row>
    <row r="5093" spans="1:7" x14ac:dyDescent="0.25">
      <c r="A5093">
        <v>22</v>
      </c>
      <c r="B5093" t="s">
        <v>4883</v>
      </c>
      <c r="C5093">
        <v>170293</v>
      </c>
      <c r="E5093" t="s">
        <v>15</v>
      </c>
      <c r="F5093" t="s">
        <v>5099</v>
      </c>
      <c r="G5093">
        <v>1</v>
      </c>
    </row>
    <row r="5094" spans="1:7" x14ac:dyDescent="0.25">
      <c r="A5094">
        <v>22</v>
      </c>
      <c r="B5094" t="s">
        <v>4883</v>
      </c>
      <c r="C5094">
        <v>170127</v>
      </c>
      <c r="E5094" t="s">
        <v>15</v>
      </c>
      <c r="F5094" t="s">
        <v>5100</v>
      </c>
      <c r="G5094">
        <v>1</v>
      </c>
    </row>
    <row r="5095" spans="1:7" x14ac:dyDescent="0.25">
      <c r="A5095">
        <v>22</v>
      </c>
      <c r="B5095" t="s">
        <v>4883</v>
      </c>
      <c r="C5095">
        <v>170170</v>
      </c>
      <c r="E5095" t="s">
        <v>15</v>
      </c>
      <c r="F5095" t="s">
        <v>5101</v>
      </c>
      <c r="G5095">
        <v>1</v>
      </c>
    </row>
    <row r="5096" spans="1:7" x14ac:dyDescent="0.25">
      <c r="A5096">
        <v>22</v>
      </c>
      <c r="B5096" t="s">
        <v>4883</v>
      </c>
      <c r="C5096">
        <v>170192</v>
      </c>
      <c r="E5096" t="s">
        <v>15</v>
      </c>
      <c r="F5096" t="s">
        <v>5102</v>
      </c>
      <c r="G5096">
        <v>1</v>
      </c>
    </row>
    <row r="5097" spans="1:7" x14ac:dyDescent="0.25">
      <c r="A5097">
        <v>22</v>
      </c>
      <c r="B5097" t="s">
        <v>4883</v>
      </c>
      <c r="C5097">
        <v>8783530</v>
      </c>
      <c r="E5097" t="s">
        <v>15</v>
      </c>
      <c r="F5097" t="s">
        <v>5103</v>
      </c>
      <c r="G5097">
        <v>1</v>
      </c>
    </row>
    <row r="5098" spans="1:7" x14ac:dyDescent="0.25">
      <c r="A5098">
        <v>22</v>
      </c>
      <c r="B5098" t="s">
        <v>4883</v>
      </c>
      <c r="C5098">
        <v>170435</v>
      </c>
      <c r="E5098" t="s">
        <v>15</v>
      </c>
      <c r="F5098" t="s">
        <v>5104</v>
      </c>
      <c r="G5098">
        <v>1</v>
      </c>
    </row>
    <row r="5099" spans="1:7" x14ac:dyDescent="0.25">
      <c r="A5099">
        <v>22</v>
      </c>
      <c r="B5099" t="s">
        <v>4883</v>
      </c>
      <c r="C5099">
        <v>170139</v>
      </c>
      <c r="E5099" t="s">
        <v>15</v>
      </c>
      <c r="F5099" t="s">
        <v>5105</v>
      </c>
      <c r="G5099">
        <v>1</v>
      </c>
    </row>
    <row r="5100" spans="1:7" x14ac:dyDescent="0.25">
      <c r="A5100">
        <v>22</v>
      </c>
      <c r="B5100" t="s">
        <v>4883</v>
      </c>
      <c r="C5100">
        <v>8783531</v>
      </c>
      <c r="E5100" t="s">
        <v>15</v>
      </c>
      <c r="F5100" t="s">
        <v>5106</v>
      </c>
      <c r="G5100">
        <v>1</v>
      </c>
    </row>
    <row r="5101" spans="1:7" x14ac:dyDescent="0.25">
      <c r="A5101">
        <v>22</v>
      </c>
      <c r="B5101" t="s">
        <v>4883</v>
      </c>
      <c r="C5101">
        <v>6078333</v>
      </c>
      <c r="D5101" t="str">
        <f>"1946-0171"</f>
        <v>1946-0171</v>
      </c>
      <c r="E5101" t="s">
        <v>8</v>
      </c>
      <c r="F5101" t="s">
        <v>5107</v>
      </c>
      <c r="G5101">
        <v>1</v>
      </c>
    </row>
    <row r="5102" spans="1:7" x14ac:dyDescent="0.25">
      <c r="A5102">
        <v>22</v>
      </c>
      <c r="B5102" t="s">
        <v>4883</v>
      </c>
      <c r="C5102">
        <v>907</v>
      </c>
      <c r="D5102" t="str">
        <f>"0891-3811"</f>
        <v>0891-3811</v>
      </c>
      <c r="E5102" t="s">
        <v>8</v>
      </c>
      <c r="F5102" t="s">
        <v>5108</v>
      </c>
      <c r="G5102">
        <v>1</v>
      </c>
    </row>
    <row r="5103" spans="1:7" x14ac:dyDescent="0.25">
      <c r="A5103">
        <v>22</v>
      </c>
      <c r="B5103" t="s">
        <v>4883</v>
      </c>
      <c r="C5103">
        <v>7755071</v>
      </c>
      <c r="D5103" t="str">
        <f>"2162-4887"</f>
        <v>2162-4887</v>
      </c>
      <c r="E5103" t="s">
        <v>8</v>
      </c>
      <c r="F5103" t="s">
        <v>5109</v>
      </c>
      <c r="G5103">
        <v>1</v>
      </c>
    </row>
    <row r="5104" spans="1:7" x14ac:dyDescent="0.25">
      <c r="A5104">
        <v>22</v>
      </c>
      <c r="B5104" t="s">
        <v>4883</v>
      </c>
      <c r="C5104">
        <v>18510</v>
      </c>
      <c r="D5104" t="str">
        <f>"1753-9153"</f>
        <v>1753-9153</v>
      </c>
      <c r="E5104" t="s">
        <v>8</v>
      </c>
      <c r="F5104" t="s">
        <v>5110</v>
      </c>
      <c r="G5104">
        <v>1</v>
      </c>
    </row>
    <row r="5105" spans="1:7" x14ac:dyDescent="0.25">
      <c r="A5105">
        <v>22</v>
      </c>
      <c r="B5105" t="s">
        <v>4883</v>
      </c>
      <c r="C5105">
        <v>170164</v>
      </c>
      <c r="E5105" t="s">
        <v>15</v>
      </c>
      <c r="F5105" t="s">
        <v>5111</v>
      </c>
      <c r="G5105">
        <v>1</v>
      </c>
    </row>
    <row r="5106" spans="1:7" x14ac:dyDescent="0.25">
      <c r="A5106">
        <v>22</v>
      </c>
      <c r="B5106" t="s">
        <v>4883</v>
      </c>
      <c r="C5106">
        <v>12456</v>
      </c>
      <c r="D5106" t="str">
        <f>"1940-3062"</f>
        <v>1940-3062</v>
      </c>
      <c r="E5106" t="s">
        <v>8</v>
      </c>
      <c r="F5106" t="s">
        <v>5112</v>
      </c>
      <c r="G5106">
        <v>1</v>
      </c>
    </row>
    <row r="5107" spans="1:7" x14ac:dyDescent="0.25">
      <c r="A5107">
        <v>22</v>
      </c>
      <c r="B5107" t="s">
        <v>4883</v>
      </c>
      <c r="C5107">
        <v>8782815</v>
      </c>
      <c r="D5107" t="str">
        <f>"2196-7075"</f>
        <v>2196-7075</v>
      </c>
      <c r="E5107" t="s">
        <v>15</v>
      </c>
      <c r="F5107" t="s">
        <v>5113</v>
      </c>
      <c r="G5107">
        <v>1</v>
      </c>
    </row>
    <row r="5108" spans="1:7" x14ac:dyDescent="0.25">
      <c r="A5108">
        <v>22</v>
      </c>
      <c r="B5108" t="s">
        <v>4883</v>
      </c>
      <c r="C5108">
        <v>170169</v>
      </c>
      <c r="E5108" t="s">
        <v>15</v>
      </c>
      <c r="F5108" t="s">
        <v>5114</v>
      </c>
      <c r="G5108">
        <v>1</v>
      </c>
    </row>
    <row r="5109" spans="1:7" x14ac:dyDescent="0.25">
      <c r="A5109">
        <v>22</v>
      </c>
      <c r="B5109" t="s">
        <v>4883</v>
      </c>
      <c r="C5109">
        <v>14373</v>
      </c>
      <c r="D5109" t="str">
        <f>"1157-996X"</f>
        <v>1157-996X</v>
      </c>
      <c r="E5109" t="s">
        <v>8</v>
      </c>
      <c r="F5109" t="s">
        <v>5115</v>
      </c>
      <c r="G5109">
        <v>1</v>
      </c>
    </row>
    <row r="5110" spans="1:7" x14ac:dyDescent="0.25">
      <c r="A5110">
        <v>22</v>
      </c>
      <c r="B5110" t="s">
        <v>4883</v>
      </c>
      <c r="C5110">
        <v>2855</v>
      </c>
      <c r="D5110" t="str">
        <f>"0011-3530"</f>
        <v>0011-3530</v>
      </c>
      <c r="E5110" t="s">
        <v>8</v>
      </c>
      <c r="F5110" t="s">
        <v>5116</v>
      </c>
      <c r="G5110">
        <v>1</v>
      </c>
    </row>
    <row r="5111" spans="1:7" x14ac:dyDescent="0.25">
      <c r="A5111">
        <v>22</v>
      </c>
      <c r="B5111" t="s">
        <v>4883</v>
      </c>
      <c r="C5111">
        <v>7811</v>
      </c>
      <c r="D5111" t="str">
        <f>"1057-2309"</f>
        <v>1057-2309</v>
      </c>
      <c r="E5111" t="s">
        <v>8</v>
      </c>
      <c r="F5111" t="s">
        <v>5117</v>
      </c>
      <c r="G5111">
        <v>1</v>
      </c>
    </row>
    <row r="5112" spans="1:7" x14ac:dyDescent="0.25">
      <c r="A5112">
        <v>22</v>
      </c>
      <c r="B5112" t="s">
        <v>4883</v>
      </c>
      <c r="C5112">
        <v>82697</v>
      </c>
      <c r="E5112" t="s">
        <v>8</v>
      </c>
      <c r="F5112" t="s">
        <v>5118</v>
      </c>
      <c r="G5112">
        <v>1</v>
      </c>
    </row>
    <row r="5113" spans="1:7" x14ac:dyDescent="0.25">
      <c r="A5113">
        <v>22</v>
      </c>
      <c r="B5113" t="s">
        <v>4883</v>
      </c>
      <c r="C5113">
        <v>16882</v>
      </c>
      <c r="D5113" t="str">
        <f>"1470-2436"</f>
        <v>1470-2436</v>
      </c>
      <c r="E5113" t="s">
        <v>8</v>
      </c>
      <c r="F5113" t="s">
        <v>5119</v>
      </c>
      <c r="G5113">
        <v>1</v>
      </c>
    </row>
    <row r="5114" spans="1:7" x14ac:dyDescent="0.25">
      <c r="A5114">
        <v>22</v>
      </c>
      <c r="B5114" t="s">
        <v>4883</v>
      </c>
      <c r="C5114">
        <v>12878</v>
      </c>
      <c r="D5114" t="str">
        <f>"1475-1798"</f>
        <v>1475-1798</v>
      </c>
      <c r="E5114" t="s">
        <v>8</v>
      </c>
      <c r="F5114" t="s">
        <v>5120</v>
      </c>
      <c r="G5114">
        <v>1</v>
      </c>
    </row>
    <row r="5115" spans="1:7" x14ac:dyDescent="0.25">
      <c r="A5115">
        <v>22</v>
      </c>
      <c r="B5115" t="s">
        <v>4883</v>
      </c>
      <c r="C5115">
        <v>170321</v>
      </c>
      <c r="E5115" t="s">
        <v>15</v>
      </c>
      <c r="F5115" t="s">
        <v>5121</v>
      </c>
      <c r="G5115">
        <v>1</v>
      </c>
    </row>
    <row r="5116" spans="1:7" x14ac:dyDescent="0.25">
      <c r="A5116">
        <v>22</v>
      </c>
      <c r="B5116" t="s">
        <v>4883</v>
      </c>
      <c r="C5116">
        <v>8768027</v>
      </c>
      <c r="D5116" t="str">
        <f>"2332-8894"</f>
        <v>2332-8894</v>
      </c>
      <c r="E5116" t="s">
        <v>8</v>
      </c>
      <c r="F5116" t="s">
        <v>5122</v>
      </c>
      <c r="G5116">
        <v>1</v>
      </c>
    </row>
    <row r="5117" spans="1:7" x14ac:dyDescent="0.25">
      <c r="A5117">
        <v>22</v>
      </c>
      <c r="B5117" t="s">
        <v>4883</v>
      </c>
      <c r="C5117">
        <v>170238</v>
      </c>
      <c r="E5117" t="s">
        <v>15</v>
      </c>
      <c r="F5117" t="s">
        <v>5123</v>
      </c>
      <c r="G5117">
        <v>1</v>
      </c>
    </row>
    <row r="5118" spans="1:7" x14ac:dyDescent="0.25">
      <c r="A5118">
        <v>22</v>
      </c>
      <c r="B5118" t="s">
        <v>4883</v>
      </c>
      <c r="C5118">
        <v>1111</v>
      </c>
      <c r="D5118" t="str">
        <f>"1351-0347"</f>
        <v>1351-0347</v>
      </c>
      <c r="E5118" t="s">
        <v>8</v>
      </c>
      <c r="F5118" t="s">
        <v>5124</v>
      </c>
      <c r="G5118">
        <v>1</v>
      </c>
    </row>
    <row r="5119" spans="1:7" x14ac:dyDescent="0.25">
      <c r="A5119">
        <v>22</v>
      </c>
      <c r="B5119" t="s">
        <v>4883</v>
      </c>
      <c r="C5119">
        <v>170274</v>
      </c>
      <c r="E5119" t="s">
        <v>15</v>
      </c>
      <c r="F5119" t="s">
        <v>5125</v>
      </c>
      <c r="G5119">
        <v>1</v>
      </c>
    </row>
    <row r="5120" spans="1:7" x14ac:dyDescent="0.25">
      <c r="A5120">
        <v>22</v>
      </c>
      <c r="B5120" t="s">
        <v>4883</v>
      </c>
      <c r="C5120">
        <v>6769</v>
      </c>
      <c r="D5120" t="str">
        <f>"0007-3121"</f>
        <v>0007-3121</v>
      </c>
      <c r="E5120" t="s">
        <v>8</v>
      </c>
      <c r="F5120" t="s">
        <v>5126</v>
      </c>
      <c r="G5120">
        <v>1</v>
      </c>
    </row>
    <row r="5121" spans="1:7" x14ac:dyDescent="0.25">
      <c r="A5121">
        <v>22</v>
      </c>
      <c r="B5121" t="s">
        <v>4883</v>
      </c>
      <c r="C5121">
        <v>27862</v>
      </c>
      <c r="E5121" t="s">
        <v>8</v>
      </c>
      <c r="F5121" t="s">
        <v>5127</v>
      </c>
      <c r="G5121">
        <v>1</v>
      </c>
    </row>
    <row r="5122" spans="1:7" x14ac:dyDescent="0.25">
      <c r="A5122">
        <v>22</v>
      </c>
      <c r="B5122" t="s">
        <v>4883</v>
      </c>
      <c r="C5122">
        <v>69972</v>
      </c>
      <c r="D5122" t="str">
        <f>"1563-4604"</f>
        <v>1563-4604</v>
      </c>
      <c r="E5122" t="s">
        <v>8</v>
      </c>
      <c r="F5122" t="s">
        <v>5128</v>
      </c>
      <c r="G5122">
        <v>1</v>
      </c>
    </row>
    <row r="5123" spans="1:7" x14ac:dyDescent="0.25">
      <c r="A5123">
        <v>22</v>
      </c>
      <c r="B5123" t="s">
        <v>4883</v>
      </c>
      <c r="C5123">
        <v>16940</v>
      </c>
      <c r="D5123" t="str">
        <f>"0959-2296"</f>
        <v>0959-2296</v>
      </c>
      <c r="E5123" t="s">
        <v>8</v>
      </c>
      <c r="F5123" t="s">
        <v>5129</v>
      </c>
      <c r="G5123">
        <v>1</v>
      </c>
    </row>
    <row r="5124" spans="1:7" x14ac:dyDescent="0.25">
      <c r="A5124">
        <v>22</v>
      </c>
      <c r="B5124" t="s">
        <v>4883</v>
      </c>
      <c r="C5124">
        <v>12580</v>
      </c>
      <c r="D5124" t="str">
        <f>"0012-3846"</f>
        <v>0012-3846</v>
      </c>
      <c r="E5124" t="s">
        <v>8</v>
      </c>
      <c r="F5124" t="s">
        <v>5130</v>
      </c>
      <c r="G5124">
        <v>1</v>
      </c>
    </row>
    <row r="5125" spans="1:7" x14ac:dyDescent="0.25">
      <c r="A5125">
        <v>22</v>
      </c>
      <c r="B5125" t="s">
        <v>4883</v>
      </c>
      <c r="C5125">
        <v>8783532</v>
      </c>
      <c r="E5125" t="s">
        <v>15</v>
      </c>
      <c r="F5125" t="s">
        <v>5131</v>
      </c>
      <c r="G5125">
        <v>1</v>
      </c>
    </row>
    <row r="5126" spans="1:7" x14ac:dyDescent="0.25">
      <c r="A5126">
        <v>22</v>
      </c>
      <c r="B5126" t="s">
        <v>4883</v>
      </c>
      <c r="C5126">
        <v>8783533</v>
      </c>
      <c r="E5126" t="s">
        <v>15</v>
      </c>
      <c r="F5126" t="s">
        <v>5132</v>
      </c>
      <c r="G5126">
        <v>1</v>
      </c>
    </row>
    <row r="5127" spans="1:7" x14ac:dyDescent="0.25">
      <c r="A5127">
        <v>22</v>
      </c>
      <c r="B5127" t="s">
        <v>4883</v>
      </c>
      <c r="C5127">
        <v>5528</v>
      </c>
      <c r="D5127" t="str">
        <f>"0012-9976"</f>
        <v>0012-9976</v>
      </c>
      <c r="E5127" t="s">
        <v>8</v>
      </c>
      <c r="F5127" t="s">
        <v>5133</v>
      </c>
      <c r="G5127">
        <v>1</v>
      </c>
    </row>
    <row r="5128" spans="1:7" x14ac:dyDescent="0.25">
      <c r="A5128">
        <v>22</v>
      </c>
      <c r="B5128" t="s">
        <v>4883</v>
      </c>
      <c r="C5128">
        <v>10267</v>
      </c>
      <c r="D5128" t="str">
        <f>"0143-831X"</f>
        <v>0143-831X</v>
      </c>
      <c r="E5128" t="s">
        <v>8</v>
      </c>
      <c r="F5128" t="s">
        <v>5134</v>
      </c>
      <c r="G5128">
        <v>1</v>
      </c>
    </row>
    <row r="5129" spans="1:7" x14ac:dyDescent="0.25">
      <c r="A5129">
        <v>22</v>
      </c>
      <c r="B5129" t="s">
        <v>4883</v>
      </c>
      <c r="C5129">
        <v>462</v>
      </c>
      <c r="D5129" t="str">
        <f>"0954-1985"</f>
        <v>0954-1985</v>
      </c>
      <c r="E5129" t="s">
        <v>8</v>
      </c>
      <c r="F5129" t="s">
        <v>5135</v>
      </c>
      <c r="G5129">
        <v>1</v>
      </c>
    </row>
    <row r="5130" spans="1:7" x14ac:dyDescent="0.25">
      <c r="A5130">
        <v>22</v>
      </c>
      <c r="B5130" t="s">
        <v>4883</v>
      </c>
      <c r="C5130">
        <v>170174</v>
      </c>
      <c r="E5130" t="s">
        <v>15</v>
      </c>
      <c r="F5130" t="s">
        <v>5136</v>
      </c>
      <c r="G5130">
        <v>1</v>
      </c>
    </row>
    <row r="5131" spans="1:7" x14ac:dyDescent="0.25">
      <c r="A5131">
        <v>22</v>
      </c>
      <c r="B5131" t="s">
        <v>4883</v>
      </c>
      <c r="C5131">
        <v>170176</v>
      </c>
      <c r="E5131" t="s">
        <v>15</v>
      </c>
      <c r="F5131" t="s">
        <v>5137</v>
      </c>
      <c r="G5131">
        <v>1</v>
      </c>
    </row>
    <row r="5132" spans="1:7" x14ac:dyDescent="0.25">
      <c r="A5132">
        <v>22</v>
      </c>
      <c r="B5132" t="s">
        <v>4883</v>
      </c>
      <c r="C5132">
        <v>170332</v>
      </c>
      <c r="E5132" t="s">
        <v>8</v>
      </c>
      <c r="F5132" t="s">
        <v>5138</v>
      </c>
      <c r="G5132">
        <v>1</v>
      </c>
    </row>
    <row r="5133" spans="1:7" x14ac:dyDescent="0.25">
      <c r="A5133">
        <v>22</v>
      </c>
      <c r="B5133" t="s">
        <v>4883</v>
      </c>
      <c r="C5133">
        <v>14848</v>
      </c>
      <c r="D5133" t="str">
        <f>"1533-1296"</f>
        <v>1533-1296</v>
      </c>
      <c r="E5133" t="s">
        <v>8</v>
      </c>
      <c r="F5133" t="s">
        <v>5139</v>
      </c>
      <c r="G5133">
        <v>1</v>
      </c>
    </row>
    <row r="5134" spans="1:7" x14ac:dyDescent="0.25">
      <c r="A5134">
        <v>22</v>
      </c>
      <c r="B5134" t="s">
        <v>4883</v>
      </c>
      <c r="C5134">
        <v>170115</v>
      </c>
      <c r="E5134" t="s">
        <v>15</v>
      </c>
      <c r="F5134" t="s">
        <v>5140</v>
      </c>
      <c r="G5134">
        <v>1</v>
      </c>
    </row>
    <row r="5135" spans="1:7" x14ac:dyDescent="0.25">
      <c r="A5135">
        <v>22</v>
      </c>
      <c r="B5135" t="s">
        <v>4883</v>
      </c>
      <c r="C5135">
        <v>10591</v>
      </c>
      <c r="D5135" t="str">
        <f>"1740-7494"</f>
        <v>1740-7494</v>
      </c>
      <c r="E5135" t="s">
        <v>8</v>
      </c>
      <c r="F5135" t="s">
        <v>5141</v>
      </c>
      <c r="G5135">
        <v>1</v>
      </c>
    </row>
    <row r="5136" spans="1:7" x14ac:dyDescent="0.25">
      <c r="A5136">
        <v>22</v>
      </c>
      <c r="B5136" t="s">
        <v>4883</v>
      </c>
      <c r="C5136">
        <v>8861</v>
      </c>
      <c r="E5136" t="s">
        <v>8</v>
      </c>
      <c r="F5136" t="s">
        <v>5142</v>
      </c>
      <c r="G5136">
        <v>1</v>
      </c>
    </row>
    <row r="5137" spans="1:7" x14ac:dyDescent="0.25">
      <c r="A5137">
        <v>22</v>
      </c>
      <c r="B5137" t="s">
        <v>4883</v>
      </c>
      <c r="C5137">
        <v>11801</v>
      </c>
      <c r="E5137" t="s">
        <v>8</v>
      </c>
      <c r="F5137" t="s">
        <v>5143</v>
      </c>
      <c r="G5137">
        <v>1</v>
      </c>
    </row>
    <row r="5138" spans="1:7" x14ac:dyDescent="0.25">
      <c r="A5138">
        <v>22</v>
      </c>
      <c r="B5138" t="s">
        <v>4883</v>
      </c>
      <c r="C5138">
        <v>170282</v>
      </c>
      <c r="E5138" t="s">
        <v>15</v>
      </c>
      <c r="F5138" t="s">
        <v>5144</v>
      </c>
      <c r="G5138">
        <v>1</v>
      </c>
    </row>
    <row r="5139" spans="1:7" x14ac:dyDescent="0.25">
      <c r="A5139">
        <v>22</v>
      </c>
      <c r="B5139" t="s">
        <v>4883</v>
      </c>
      <c r="C5139">
        <v>8783395</v>
      </c>
      <c r="E5139" t="s">
        <v>15</v>
      </c>
      <c r="F5139" t="s">
        <v>5145</v>
      </c>
      <c r="G5139">
        <v>1</v>
      </c>
    </row>
    <row r="5140" spans="1:7" x14ac:dyDescent="0.25">
      <c r="A5140">
        <v>22</v>
      </c>
      <c r="B5140" t="s">
        <v>4883</v>
      </c>
      <c r="C5140">
        <v>8783534</v>
      </c>
      <c r="E5140" t="s">
        <v>15</v>
      </c>
      <c r="F5140" t="s">
        <v>5146</v>
      </c>
      <c r="G5140">
        <v>1</v>
      </c>
    </row>
    <row r="5141" spans="1:7" x14ac:dyDescent="0.25">
      <c r="A5141">
        <v>22</v>
      </c>
      <c r="B5141" t="s">
        <v>4883</v>
      </c>
      <c r="C5141">
        <v>170279</v>
      </c>
      <c r="E5141" t="s">
        <v>15</v>
      </c>
      <c r="F5141" t="s">
        <v>5147</v>
      </c>
      <c r="G5141">
        <v>1</v>
      </c>
    </row>
    <row r="5142" spans="1:7" x14ac:dyDescent="0.25">
      <c r="A5142">
        <v>22</v>
      </c>
      <c r="B5142" t="s">
        <v>4883</v>
      </c>
      <c r="C5142">
        <v>6100805</v>
      </c>
      <c r="E5142" t="s">
        <v>15</v>
      </c>
      <c r="F5142" t="s">
        <v>5148</v>
      </c>
      <c r="G5142">
        <v>1</v>
      </c>
    </row>
    <row r="5143" spans="1:7" x14ac:dyDescent="0.25">
      <c r="A5143">
        <v>22</v>
      </c>
      <c r="B5143" t="s">
        <v>4883</v>
      </c>
      <c r="C5143">
        <v>8781968</v>
      </c>
      <c r="D5143" t="str">
        <f>"2274-4673"</f>
        <v>2274-4673</v>
      </c>
      <c r="E5143" t="s">
        <v>15</v>
      </c>
      <c r="F5143" t="s">
        <v>5149</v>
      </c>
      <c r="G5143">
        <v>1</v>
      </c>
    </row>
    <row r="5144" spans="1:7" x14ac:dyDescent="0.25">
      <c r="A5144">
        <v>22</v>
      </c>
      <c r="B5144" t="s">
        <v>4883</v>
      </c>
      <c r="C5144">
        <v>11706</v>
      </c>
      <c r="D5144" t="str">
        <f>"1861-874X"</f>
        <v>1861-874X</v>
      </c>
      <c r="E5144" t="s">
        <v>8</v>
      </c>
      <c r="F5144" t="s">
        <v>5150</v>
      </c>
      <c r="G5144">
        <v>1</v>
      </c>
    </row>
    <row r="5145" spans="1:7" x14ac:dyDescent="0.25">
      <c r="A5145">
        <v>22</v>
      </c>
      <c r="B5145" t="s">
        <v>4883</v>
      </c>
      <c r="C5145">
        <v>170171</v>
      </c>
      <c r="E5145" t="s">
        <v>15</v>
      </c>
      <c r="F5145" t="s">
        <v>5151</v>
      </c>
      <c r="G5145">
        <v>1</v>
      </c>
    </row>
    <row r="5146" spans="1:7" x14ac:dyDescent="0.25">
      <c r="A5146">
        <v>22</v>
      </c>
      <c r="B5146" t="s">
        <v>4883</v>
      </c>
      <c r="C5146">
        <v>150046</v>
      </c>
      <c r="D5146" t="str">
        <f>"1764-3716"</f>
        <v>1764-3716</v>
      </c>
      <c r="E5146" t="s">
        <v>15</v>
      </c>
      <c r="F5146" t="s">
        <v>5152</v>
      </c>
      <c r="G5146">
        <v>1</v>
      </c>
    </row>
    <row r="5147" spans="1:7" x14ac:dyDescent="0.25">
      <c r="A5147">
        <v>22</v>
      </c>
      <c r="B5147" t="s">
        <v>4883</v>
      </c>
      <c r="C5147">
        <v>63984</v>
      </c>
      <c r="D5147" t="str">
        <f>"0718-0195"</f>
        <v>0718-0195</v>
      </c>
      <c r="E5147" t="s">
        <v>8</v>
      </c>
      <c r="F5147" t="s">
        <v>5153</v>
      </c>
      <c r="G5147">
        <v>1</v>
      </c>
    </row>
    <row r="5148" spans="1:7" x14ac:dyDescent="0.25">
      <c r="A5148">
        <v>22</v>
      </c>
      <c r="B5148" t="s">
        <v>4883</v>
      </c>
      <c r="C5148">
        <v>27199</v>
      </c>
      <c r="D5148" t="str">
        <f>"1654-4951"</f>
        <v>1654-4951</v>
      </c>
      <c r="E5148" t="s">
        <v>8</v>
      </c>
      <c r="F5148" t="s">
        <v>5154</v>
      </c>
      <c r="G5148">
        <v>1</v>
      </c>
    </row>
    <row r="5149" spans="1:7" x14ac:dyDescent="0.25">
      <c r="A5149">
        <v>22</v>
      </c>
      <c r="B5149" t="s">
        <v>4883</v>
      </c>
      <c r="C5149">
        <v>6646</v>
      </c>
      <c r="D5149" t="str">
        <f>"0892-6794"</f>
        <v>0892-6794</v>
      </c>
      <c r="E5149" t="s">
        <v>8</v>
      </c>
      <c r="F5149" t="s">
        <v>5155</v>
      </c>
      <c r="G5149">
        <v>1</v>
      </c>
    </row>
    <row r="5150" spans="1:7" x14ac:dyDescent="0.25">
      <c r="A5150">
        <v>22</v>
      </c>
      <c r="B5150" t="s">
        <v>4883</v>
      </c>
      <c r="C5150">
        <v>170116</v>
      </c>
      <c r="D5150" t="str">
        <f>"1654-4951"</f>
        <v>1654-4951</v>
      </c>
      <c r="E5150" t="s">
        <v>15</v>
      </c>
      <c r="F5150" t="s">
        <v>5156</v>
      </c>
      <c r="G5150">
        <v>1</v>
      </c>
    </row>
    <row r="5151" spans="1:7" x14ac:dyDescent="0.25">
      <c r="A5151">
        <v>22</v>
      </c>
      <c r="B5151" t="s">
        <v>4883</v>
      </c>
      <c r="C5151">
        <v>170302</v>
      </c>
      <c r="E5151" t="s">
        <v>15</v>
      </c>
      <c r="F5151" t="s">
        <v>5157</v>
      </c>
      <c r="G5151">
        <v>1</v>
      </c>
    </row>
    <row r="5152" spans="1:7" x14ac:dyDescent="0.25">
      <c r="A5152">
        <v>22</v>
      </c>
      <c r="B5152" t="s">
        <v>4883</v>
      </c>
      <c r="C5152">
        <v>170322</v>
      </c>
      <c r="E5152" t="s">
        <v>15</v>
      </c>
      <c r="F5152" t="s">
        <v>5158</v>
      </c>
      <c r="G5152">
        <v>1</v>
      </c>
    </row>
    <row r="5153" spans="1:7" x14ac:dyDescent="0.25">
      <c r="A5153">
        <v>22</v>
      </c>
      <c r="B5153" t="s">
        <v>4883</v>
      </c>
      <c r="C5153">
        <v>8783535</v>
      </c>
      <c r="E5153" t="s">
        <v>15</v>
      </c>
      <c r="F5153" t="s">
        <v>5159</v>
      </c>
      <c r="G5153">
        <v>1</v>
      </c>
    </row>
    <row r="5154" spans="1:7" x14ac:dyDescent="0.25">
      <c r="A5154">
        <v>22</v>
      </c>
      <c r="B5154" t="s">
        <v>4883</v>
      </c>
      <c r="C5154">
        <v>170209</v>
      </c>
      <c r="E5154" t="s">
        <v>15</v>
      </c>
      <c r="F5154" t="s">
        <v>5160</v>
      </c>
      <c r="G5154">
        <v>1</v>
      </c>
    </row>
    <row r="5155" spans="1:7" x14ac:dyDescent="0.25">
      <c r="A5155">
        <v>22</v>
      </c>
      <c r="B5155" t="s">
        <v>4883</v>
      </c>
      <c r="C5155">
        <v>8783536</v>
      </c>
      <c r="E5155" t="s">
        <v>15</v>
      </c>
      <c r="F5155" t="s">
        <v>5161</v>
      </c>
      <c r="G5155">
        <v>1</v>
      </c>
    </row>
    <row r="5156" spans="1:7" x14ac:dyDescent="0.25">
      <c r="A5156">
        <v>22</v>
      </c>
      <c r="B5156" t="s">
        <v>4883</v>
      </c>
      <c r="C5156">
        <v>13452</v>
      </c>
      <c r="D5156" t="str">
        <f>"1384-6299"</f>
        <v>1384-6299</v>
      </c>
      <c r="E5156" t="s">
        <v>8</v>
      </c>
      <c r="F5156" t="s">
        <v>5162</v>
      </c>
      <c r="G5156">
        <v>1</v>
      </c>
    </row>
    <row r="5157" spans="1:7" x14ac:dyDescent="0.25">
      <c r="A5157">
        <v>22</v>
      </c>
      <c r="B5157" t="s">
        <v>4883</v>
      </c>
      <c r="C5157">
        <v>8781938</v>
      </c>
      <c r="D5157" t="str">
        <f>"2057-5637"</f>
        <v>2057-5637</v>
      </c>
      <c r="E5157" t="s">
        <v>8</v>
      </c>
      <c r="F5157" t="s">
        <v>5163</v>
      </c>
      <c r="G5157">
        <v>1</v>
      </c>
    </row>
    <row r="5158" spans="1:7" x14ac:dyDescent="0.25">
      <c r="A5158">
        <v>22</v>
      </c>
      <c r="B5158" t="s">
        <v>4883</v>
      </c>
      <c r="C5158">
        <v>15989</v>
      </c>
      <c r="D5158" t="str">
        <f>"1474-8851"</f>
        <v>1474-8851</v>
      </c>
      <c r="E5158" t="s">
        <v>8</v>
      </c>
      <c r="F5158" t="s">
        <v>5164</v>
      </c>
      <c r="G5158">
        <v>1</v>
      </c>
    </row>
    <row r="5159" spans="1:7" x14ac:dyDescent="0.25">
      <c r="A5159">
        <v>22</v>
      </c>
      <c r="B5159" t="s">
        <v>4883</v>
      </c>
      <c r="C5159">
        <v>8758260</v>
      </c>
      <c r="E5159" t="s">
        <v>8</v>
      </c>
      <c r="F5159" t="s">
        <v>5165</v>
      </c>
      <c r="G5159">
        <v>1</v>
      </c>
    </row>
    <row r="5160" spans="1:7" x14ac:dyDescent="0.25">
      <c r="A5160">
        <v>22</v>
      </c>
      <c r="B5160" t="s">
        <v>4883</v>
      </c>
      <c r="C5160">
        <v>25697</v>
      </c>
      <c r="D5160" t="str">
        <f>"1680-4333"</f>
        <v>1680-4333</v>
      </c>
      <c r="E5160" t="s">
        <v>8</v>
      </c>
      <c r="F5160" t="s">
        <v>5166</v>
      </c>
      <c r="G5160">
        <v>1</v>
      </c>
    </row>
    <row r="5161" spans="1:7" x14ac:dyDescent="0.25">
      <c r="A5161">
        <v>22</v>
      </c>
      <c r="B5161" t="s">
        <v>4883</v>
      </c>
      <c r="C5161">
        <v>1438</v>
      </c>
      <c r="D5161" t="str">
        <f>"1062-7987"</f>
        <v>1062-7987</v>
      </c>
      <c r="E5161" t="s">
        <v>8</v>
      </c>
      <c r="F5161" t="s">
        <v>5167</v>
      </c>
      <c r="G5161">
        <v>1</v>
      </c>
    </row>
    <row r="5162" spans="1:7" x14ac:dyDescent="0.25">
      <c r="A5162">
        <v>22</v>
      </c>
      <c r="B5162" t="s">
        <v>4883</v>
      </c>
      <c r="C5162">
        <v>8761722</v>
      </c>
      <c r="D5162" t="str">
        <f>"2196-6923"</f>
        <v>2196-6923</v>
      </c>
      <c r="E5162" t="s">
        <v>8</v>
      </c>
      <c r="F5162" t="s">
        <v>5168</v>
      </c>
      <c r="G5162">
        <v>1</v>
      </c>
    </row>
    <row r="5163" spans="1:7" x14ac:dyDescent="0.25">
      <c r="A5163">
        <v>22</v>
      </c>
      <c r="B5163" t="s">
        <v>4883</v>
      </c>
      <c r="C5163">
        <v>7814</v>
      </c>
      <c r="D5163" t="str">
        <f>"0966-2839"</f>
        <v>0966-2839</v>
      </c>
      <c r="E5163" t="s">
        <v>8</v>
      </c>
      <c r="F5163" t="s">
        <v>5169</v>
      </c>
      <c r="G5163">
        <v>1</v>
      </c>
    </row>
    <row r="5164" spans="1:7" x14ac:dyDescent="0.25">
      <c r="A5164">
        <v>22</v>
      </c>
      <c r="B5164" t="s">
        <v>4883</v>
      </c>
      <c r="C5164">
        <v>170140</v>
      </c>
      <c r="E5164" t="s">
        <v>15</v>
      </c>
      <c r="F5164" t="s">
        <v>5170</v>
      </c>
      <c r="G5164">
        <v>1</v>
      </c>
    </row>
    <row r="5165" spans="1:7" x14ac:dyDescent="0.25">
      <c r="A5165">
        <v>22</v>
      </c>
      <c r="B5165" t="s">
        <v>4883</v>
      </c>
      <c r="C5165">
        <v>170128</v>
      </c>
      <c r="E5165" t="s">
        <v>15</v>
      </c>
      <c r="F5165" t="s">
        <v>5171</v>
      </c>
      <c r="G5165">
        <v>1</v>
      </c>
    </row>
    <row r="5166" spans="1:7" x14ac:dyDescent="0.25">
      <c r="A5166">
        <v>22</v>
      </c>
      <c r="B5166" t="s">
        <v>4883</v>
      </c>
      <c r="C5166">
        <v>170141</v>
      </c>
      <c r="E5166" t="s">
        <v>15</v>
      </c>
      <c r="F5166" t="s">
        <v>5172</v>
      </c>
      <c r="G5166">
        <v>1</v>
      </c>
    </row>
    <row r="5167" spans="1:7" x14ac:dyDescent="0.25">
      <c r="A5167">
        <v>22</v>
      </c>
      <c r="B5167" t="s">
        <v>4883</v>
      </c>
      <c r="C5167">
        <v>16974</v>
      </c>
      <c r="D5167" t="str">
        <f>"0015-7120"</f>
        <v>0015-7120</v>
      </c>
      <c r="E5167" t="s">
        <v>8</v>
      </c>
      <c r="F5167" t="s">
        <v>5173</v>
      </c>
      <c r="G5167">
        <v>1</v>
      </c>
    </row>
    <row r="5168" spans="1:7" x14ac:dyDescent="0.25">
      <c r="A5168">
        <v>22</v>
      </c>
      <c r="B5168" t="s">
        <v>4883</v>
      </c>
      <c r="C5168">
        <v>170250</v>
      </c>
      <c r="E5168" t="s">
        <v>15</v>
      </c>
      <c r="F5168" t="s">
        <v>5174</v>
      </c>
      <c r="G5168">
        <v>1</v>
      </c>
    </row>
    <row r="5169" spans="1:7" x14ac:dyDescent="0.25">
      <c r="A5169">
        <v>22</v>
      </c>
      <c r="B5169" t="s">
        <v>4883</v>
      </c>
      <c r="C5169">
        <v>9150</v>
      </c>
      <c r="D5169" t="str">
        <f>"1743-8586"</f>
        <v>1743-8586</v>
      </c>
      <c r="E5169" t="s">
        <v>8</v>
      </c>
      <c r="F5169" t="s">
        <v>5174</v>
      </c>
      <c r="G5169">
        <v>1</v>
      </c>
    </row>
    <row r="5170" spans="1:7" x14ac:dyDescent="0.25">
      <c r="A5170">
        <v>22</v>
      </c>
      <c r="B5170" t="s">
        <v>4883</v>
      </c>
      <c r="C5170">
        <v>1176</v>
      </c>
      <c r="D5170" t="str">
        <f>"0185-013X"</f>
        <v>0185-013X</v>
      </c>
      <c r="E5170" t="s">
        <v>8</v>
      </c>
      <c r="F5170" t="s">
        <v>5175</v>
      </c>
      <c r="G5170">
        <v>1</v>
      </c>
    </row>
    <row r="5171" spans="1:7" x14ac:dyDescent="0.25">
      <c r="A5171">
        <v>22</v>
      </c>
      <c r="B5171" t="s">
        <v>4883</v>
      </c>
      <c r="C5171">
        <v>7041</v>
      </c>
      <c r="D5171" t="str">
        <f>"1476-3419"</f>
        <v>1476-3419</v>
      </c>
      <c r="E5171" t="s">
        <v>8</v>
      </c>
      <c r="F5171" t="s">
        <v>5176</v>
      </c>
      <c r="G5171">
        <v>1</v>
      </c>
    </row>
    <row r="5172" spans="1:7" x14ac:dyDescent="0.25">
      <c r="A5172">
        <v>22</v>
      </c>
      <c r="B5172" t="s">
        <v>4883</v>
      </c>
      <c r="C5172">
        <v>8783537</v>
      </c>
      <c r="E5172" t="s">
        <v>15</v>
      </c>
      <c r="F5172" t="s">
        <v>5177</v>
      </c>
      <c r="G5172">
        <v>1</v>
      </c>
    </row>
    <row r="5173" spans="1:7" x14ac:dyDescent="0.25">
      <c r="A5173">
        <v>22</v>
      </c>
      <c r="B5173" t="s">
        <v>4883</v>
      </c>
      <c r="C5173">
        <v>170161</v>
      </c>
      <c r="E5173" t="s">
        <v>15</v>
      </c>
      <c r="F5173" t="s">
        <v>5178</v>
      </c>
      <c r="G5173">
        <v>1</v>
      </c>
    </row>
    <row r="5174" spans="1:7" x14ac:dyDescent="0.25">
      <c r="A5174">
        <v>22</v>
      </c>
      <c r="B5174" t="s">
        <v>4883</v>
      </c>
      <c r="C5174">
        <v>170123</v>
      </c>
      <c r="E5174" t="s">
        <v>15</v>
      </c>
      <c r="F5174" t="s">
        <v>5179</v>
      </c>
      <c r="G5174">
        <v>1</v>
      </c>
    </row>
    <row r="5175" spans="1:7" x14ac:dyDescent="0.25">
      <c r="A5175">
        <v>22</v>
      </c>
      <c r="B5175" t="s">
        <v>4883</v>
      </c>
      <c r="C5175">
        <v>170117</v>
      </c>
      <c r="E5175" t="s">
        <v>15</v>
      </c>
      <c r="F5175" t="s">
        <v>5180</v>
      </c>
      <c r="G5175">
        <v>1</v>
      </c>
    </row>
    <row r="5176" spans="1:7" x14ac:dyDescent="0.25">
      <c r="A5176">
        <v>22</v>
      </c>
      <c r="B5176" t="s">
        <v>4883</v>
      </c>
      <c r="C5176">
        <v>170118</v>
      </c>
      <c r="E5176" t="s">
        <v>15</v>
      </c>
      <c r="F5176" t="s">
        <v>5181</v>
      </c>
      <c r="G5176">
        <v>1</v>
      </c>
    </row>
    <row r="5177" spans="1:7" x14ac:dyDescent="0.25">
      <c r="A5177">
        <v>22</v>
      </c>
      <c r="B5177" t="s">
        <v>4883</v>
      </c>
      <c r="C5177">
        <v>170202</v>
      </c>
      <c r="E5177" t="s">
        <v>15</v>
      </c>
      <c r="F5177" t="s">
        <v>5182</v>
      </c>
      <c r="G5177">
        <v>1</v>
      </c>
    </row>
    <row r="5178" spans="1:7" x14ac:dyDescent="0.25">
      <c r="A5178">
        <v>22</v>
      </c>
      <c r="B5178" t="s">
        <v>4883</v>
      </c>
      <c r="C5178">
        <v>21130</v>
      </c>
      <c r="D5178" t="str">
        <f>"1911-0359"</f>
        <v>1911-0359</v>
      </c>
      <c r="E5178" t="s">
        <v>8</v>
      </c>
      <c r="F5178" t="s">
        <v>5183</v>
      </c>
      <c r="G5178">
        <v>1</v>
      </c>
    </row>
    <row r="5179" spans="1:7" x14ac:dyDescent="0.25">
      <c r="A5179">
        <v>22</v>
      </c>
      <c r="B5179" t="s">
        <v>4883</v>
      </c>
      <c r="C5179">
        <v>8783538</v>
      </c>
      <c r="E5179" t="s">
        <v>15</v>
      </c>
      <c r="F5179" t="s">
        <v>5184</v>
      </c>
      <c r="G5179">
        <v>1</v>
      </c>
    </row>
    <row r="5180" spans="1:7" x14ac:dyDescent="0.25">
      <c r="A5180">
        <v>22</v>
      </c>
      <c r="B5180" t="s">
        <v>4883</v>
      </c>
      <c r="C5180">
        <v>7689596</v>
      </c>
      <c r="D5180" t="str">
        <f>"2152-4130"</f>
        <v>2152-4130</v>
      </c>
      <c r="E5180" t="s">
        <v>8</v>
      </c>
      <c r="F5180" t="s">
        <v>5185</v>
      </c>
      <c r="G5180">
        <v>1</v>
      </c>
    </row>
    <row r="5181" spans="1:7" x14ac:dyDescent="0.25">
      <c r="A5181">
        <v>22</v>
      </c>
      <c r="B5181" t="s">
        <v>4883</v>
      </c>
      <c r="C5181">
        <v>134096</v>
      </c>
      <c r="D5181" t="str">
        <f>"1523-9764"</f>
        <v>1523-9764</v>
      </c>
      <c r="E5181" t="s">
        <v>8</v>
      </c>
      <c r="F5181" t="s">
        <v>5186</v>
      </c>
      <c r="G5181">
        <v>1</v>
      </c>
    </row>
    <row r="5182" spans="1:7" x14ac:dyDescent="0.25">
      <c r="A5182">
        <v>22</v>
      </c>
      <c r="B5182" t="s">
        <v>4883</v>
      </c>
      <c r="C5182">
        <v>10160</v>
      </c>
      <c r="D5182" t="str">
        <f>"0964-4008"</f>
        <v>0964-4008</v>
      </c>
      <c r="E5182" t="s">
        <v>8</v>
      </c>
      <c r="F5182" t="s">
        <v>5187</v>
      </c>
      <c r="G5182">
        <v>1</v>
      </c>
    </row>
    <row r="5183" spans="1:7" x14ac:dyDescent="0.25">
      <c r="A5183">
        <v>22</v>
      </c>
      <c r="B5183" t="s">
        <v>4883</v>
      </c>
      <c r="C5183">
        <v>9281</v>
      </c>
      <c r="D5183" t="str">
        <f>"1045-0300"</f>
        <v>1045-0300</v>
      </c>
      <c r="E5183" t="s">
        <v>8</v>
      </c>
      <c r="F5183" t="s">
        <v>5188</v>
      </c>
      <c r="G5183">
        <v>1</v>
      </c>
    </row>
    <row r="5184" spans="1:7" x14ac:dyDescent="0.25">
      <c r="A5184">
        <v>22</v>
      </c>
      <c r="B5184" t="s">
        <v>4883</v>
      </c>
      <c r="C5184">
        <v>108593</v>
      </c>
      <c r="D5184" t="str">
        <f>"1604-8644"</f>
        <v>1604-8644</v>
      </c>
      <c r="E5184" t="s">
        <v>8</v>
      </c>
      <c r="F5184" t="s">
        <v>5189</v>
      </c>
      <c r="G5184">
        <v>1</v>
      </c>
    </row>
    <row r="5185" spans="1:7" x14ac:dyDescent="0.25">
      <c r="A5185">
        <v>22</v>
      </c>
      <c r="B5185" t="s">
        <v>4883</v>
      </c>
      <c r="C5185">
        <v>8783539</v>
      </c>
      <c r="E5185" t="s">
        <v>15</v>
      </c>
      <c r="F5185" t="s">
        <v>5190</v>
      </c>
      <c r="G5185">
        <v>1</v>
      </c>
    </row>
    <row r="5186" spans="1:7" x14ac:dyDescent="0.25">
      <c r="A5186">
        <v>22</v>
      </c>
      <c r="B5186" t="s">
        <v>4883</v>
      </c>
      <c r="C5186">
        <v>170237</v>
      </c>
      <c r="E5186" t="s">
        <v>15</v>
      </c>
      <c r="F5186" t="s">
        <v>5191</v>
      </c>
      <c r="G5186">
        <v>1</v>
      </c>
    </row>
    <row r="5187" spans="1:7" x14ac:dyDescent="0.25">
      <c r="A5187">
        <v>22</v>
      </c>
      <c r="B5187" t="s">
        <v>4883</v>
      </c>
      <c r="C5187">
        <v>50375</v>
      </c>
      <c r="D5187" t="str">
        <f>"1134-6035"</f>
        <v>1134-6035</v>
      </c>
      <c r="E5187" t="s">
        <v>8</v>
      </c>
      <c r="F5187" t="s">
        <v>5192</v>
      </c>
      <c r="G5187">
        <v>1</v>
      </c>
    </row>
    <row r="5188" spans="1:7" x14ac:dyDescent="0.25">
      <c r="A5188">
        <v>22</v>
      </c>
      <c r="B5188" t="s">
        <v>4883</v>
      </c>
      <c r="C5188">
        <v>8781934</v>
      </c>
      <c r="D5188" t="str">
        <f>"2334-0460"</f>
        <v>2334-0460</v>
      </c>
      <c r="E5188" t="s">
        <v>8</v>
      </c>
      <c r="F5188" t="s">
        <v>5193</v>
      </c>
      <c r="G5188">
        <v>1</v>
      </c>
    </row>
    <row r="5189" spans="1:7" x14ac:dyDescent="0.25">
      <c r="A5189">
        <v>22</v>
      </c>
      <c r="B5189" t="s">
        <v>4883</v>
      </c>
      <c r="C5189">
        <v>13240</v>
      </c>
      <c r="D5189" t="str">
        <f>"1478-1158"</f>
        <v>1478-1158</v>
      </c>
      <c r="E5189" t="s">
        <v>8</v>
      </c>
      <c r="F5189" t="s">
        <v>5194</v>
      </c>
      <c r="G5189">
        <v>1</v>
      </c>
    </row>
    <row r="5190" spans="1:7" x14ac:dyDescent="0.25">
      <c r="A5190">
        <v>22</v>
      </c>
      <c r="B5190" t="s">
        <v>4883</v>
      </c>
      <c r="C5190">
        <v>7692280</v>
      </c>
      <c r="D5190" t="str">
        <f>"2326-9995"</f>
        <v>2326-9995</v>
      </c>
      <c r="E5190" t="s">
        <v>8</v>
      </c>
      <c r="F5190" t="s">
        <v>5195</v>
      </c>
      <c r="G5190">
        <v>1</v>
      </c>
    </row>
    <row r="5191" spans="1:7" x14ac:dyDescent="0.25">
      <c r="A5191">
        <v>22</v>
      </c>
      <c r="B5191" t="s">
        <v>4883</v>
      </c>
      <c r="C5191">
        <v>170129</v>
      </c>
      <c r="E5191" t="s">
        <v>15</v>
      </c>
      <c r="F5191" t="s">
        <v>5196</v>
      </c>
      <c r="G5191">
        <v>1</v>
      </c>
    </row>
    <row r="5192" spans="1:7" x14ac:dyDescent="0.25">
      <c r="A5192">
        <v>22</v>
      </c>
      <c r="B5192" t="s">
        <v>4883</v>
      </c>
      <c r="C5192">
        <v>170300</v>
      </c>
      <c r="E5192" t="s">
        <v>15</v>
      </c>
      <c r="F5192" t="s">
        <v>5197</v>
      </c>
      <c r="G5192">
        <v>1</v>
      </c>
    </row>
    <row r="5193" spans="1:7" x14ac:dyDescent="0.25">
      <c r="A5193">
        <v>22</v>
      </c>
      <c r="B5193" t="s">
        <v>4883</v>
      </c>
      <c r="C5193">
        <v>8783540</v>
      </c>
      <c r="E5193" t="s">
        <v>15</v>
      </c>
      <c r="F5193" t="s">
        <v>5198</v>
      </c>
      <c r="G5193">
        <v>1</v>
      </c>
    </row>
    <row r="5194" spans="1:7" x14ac:dyDescent="0.25">
      <c r="A5194">
        <v>22</v>
      </c>
      <c r="B5194" t="s">
        <v>4883</v>
      </c>
      <c r="C5194">
        <v>12671</v>
      </c>
      <c r="D5194" t="str">
        <f>"1075-2846"</f>
        <v>1075-2846</v>
      </c>
      <c r="E5194" t="s">
        <v>8</v>
      </c>
      <c r="F5194" t="s">
        <v>5199</v>
      </c>
      <c r="G5194">
        <v>1</v>
      </c>
    </row>
    <row r="5195" spans="1:7" x14ac:dyDescent="0.25">
      <c r="A5195">
        <v>22</v>
      </c>
      <c r="B5195" t="s">
        <v>4883</v>
      </c>
      <c r="C5195">
        <v>8783541</v>
      </c>
      <c r="E5195" t="s">
        <v>15</v>
      </c>
      <c r="F5195" t="s">
        <v>5200</v>
      </c>
      <c r="G5195">
        <v>1</v>
      </c>
    </row>
    <row r="5196" spans="1:7" x14ac:dyDescent="0.25">
      <c r="A5196">
        <v>22</v>
      </c>
      <c r="B5196" t="s">
        <v>4883</v>
      </c>
      <c r="C5196">
        <v>170211</v>
      </c>
      <c r="E5196" t="s">
        <v>15</v>
      </c>
      <c r="F5196" t="s">
        <v>5201</v>
      </c>
      <c r="G5196">
        <v>1</v>
      </c>
    </row>
    <row r="5197" spans="1:7" x14ac:dyDescent="0.25">
      <c r="A5197">
        <v>22</v>
      </c>
      <c r="B5197" t="s">
        <v>4883</v>
      </c>
      <c r="C5197">
        <v>170289</v>
      </c>
      <c r="D5197" t="str">
        <f>"2211-0631"</f>
        <v>2211-0631</v>
      </c>
      <c r="E5197" t="s">
        <v>15</v>
      </c>
      <c r="F5197" t="s">
        <v>5202</v>
      </c>
      <c r="G5197">
        <v>1</v>
      </c>
    </row>
    <row r="5198" spans="1:7" x14ac:dyDescent="0.25">
      <c r="A5198">
        <v>22</v>
      </c>
      <c r="B5198" t="s">
        <v>4883</v>
      </c>
      <c r="C5198">
        <v>156486</v>
      </c>
      <c r="D5198" t="str">
        <f>"1758-5880"</f>
        <v>1758-5880</v>
      </c>
      <c r="E5198" t="s">
        <v>8</v>
      </c>
      <c r="F5198" t="s">
        <v>5203</v>
      </c>
      <c r="G5198">
        <v>1</v>
      </c>
    </row>
    <row r="5199" spans="1:7" x14ac:dyDescent="0.25">
      <c r="A5199">
        <v>22</v>
      </c>
      <c r="B5199" t="s">
        <v>4883</v>
      </c>
      <c r="C5199">
        <v>6126947</v>
      </c>
      <c r="D5199" t="str">
        <f>"1875-9858"</f>
        <v>1875-9858</v>
      </c>
      <c r="E5199" t="s">
        <v>8</v>
      </c>
      <c r="F5199" t="s">
        <v>5204</v>
      </c>
      <c r="G5199">
        <v>1</v>
      </c>
    </row>
    <row r="5200" spans="1:7" x14ac:dyDescent="0.25">
      <c r="A5200">
        <v>22</v>
      </c>
      <c r="B5200" t="s">
        <v>4883</v>
      </c>
      <c r="C5200">
        <v>170130</v>
      </c>
      <c r="E5200" t="s">
        <v>15</v>
      </c>
      <c r="F5200" t="s">
        <v>5205</v>
      </c>
      <c r="G5200">
        <v>1</v>
      </c>
    </row>
    <row r="5201" spans="1:7" x14ac:dyDescent="0.25">
      <c r="A5201">
        <v>22</v>
      </c>
      <c r="B5201" t="s">
        <v>4883</v>
      </c>
      <c r="C5201">
        <v>2029</v>
      </c>
      <c r="D5201" t="str">
        <f>"1468-0181"</f>
        <v>1468-0181</v>
      </c>
      <c r="E5201" t="s">
        <v>8</v>
      </c>
      <c r="F5201" t="s">
        <v>5206</v>
      </c>
      <c r="G5201">
        <v>1</v>
      </c>
    </row>
    <row r="5202" spans="1:7" x14ac:dyDescent="0.25">
      <c r="A5202">
        <v>22</v>
      </c>
      <c r="B5202" t="s">
        <v>4883</v>
      </c>
      <c r="C5202">
        <v>8143</v>
      </c>
      <c r="D5202" t="str">
        <f>"1360-0826"</f>
        <v>1360-0826</v>
      </c>
      <c r="E5202" t="s">
        <v>8</v>
      </c>
      <c r="F5202" t="s">
        <v>5207</v>
      </c>
      <c r="G5202">
        <v>1</v>
      </c>
    </row>
    <row r="5203" spans="1:7" x14ac:dyDescent="0.25">
      <c r="A5203">
        <v>22</v>
      </c>
      <c r="B5203" t="s">
        <v>4883</v>
      </c>
      <c r="C5203">
        <v>170288</v>
      </c>
      <c r="E5203" t="s">
        <v>15</v>
      </c>
      <c r="F5203" t="s">
        <v>5208</v>
      </c>
      <c r="G5203">
        <v>1</v>
      </c>
    </row>
    <row r="5204" spans="1:7" x14ac:dyDescent="0.25">
      <c r="A5204">
        <v>22</v>
      </c>
      <c r="B5204" t="s">
        <v>4883</v>
      </c>
      <c r="C5204">
        <v>8783543</v>
      </c>
      <c r="E5204" t="s">
        <v>15</v>
      </c>
      <c r="F5204" t="s">
        <v>5209</v>
      </c>
      <c r="G5204">
        <v>1</v>
      </c>
    </row>
    <row r="5205" spans="1:7" x14ac:dyDescent="0.25">
      <c r="A5205">
        <v>22</v>
      </c>
      <c r="B5205" t="s">
        <v>4883</v>
      </c>
      <c r="C5205">
        <v>170439</v>
      </c>
      <c r="E5205" t="s">
        <v>15</v>
      </c>
      <c r="F5205" t="s">
        <v>5210</v>
      </c>
      <c r="G5205">
        <v>1</v>
      </c>
    </row>
    <row r="5206" spans="1:7" x14ac:dyDescent="0.25">
      <c r="A5206">
        <v>22</v>
      </c>
      <c r="B5206" t="s">
        <v>4883</v>
      </c>
      <c r="C5206">
        <v>170179</v>
      </c>
      <c r="E5206" t="s">
        <v>15</v>
      </c>
      <c r="F5206" t="s">
        <v>5211</v>
      </c>
      <c r="G5206">
        <v>1</v>
      </c>
    </row>
    <row r="5207" spans="1:7" x14ac:dyDescent="0.25">
      <c r="A5207">
        <v>22</v>
      </c>
      <c r="B5207" t="s">
        <v>4883</v>
      </c>
      <c r="C5207">
        <v>170239</v>
      </c>
      <c r="E5207" t="s">
        <v>15</v>
      </c>
      <c r="F5207" t="s">
        <v>5212</v>
      </c>
      <c r="G5207">
        <v>1</v>
      </c>
    </row>
    <row r="5208" spans="1:7" x14ac:dyDescent="0.25">
      <c r="A5208">
        <v>22</v>
      </c>
      <c r="B5208" t="s">
        <v>4883</v>
      </c>
      <c r="C5208">
        <v>170212</v>
      </c>
      <c r="E5208" t="s">
        <v>15</v>
      </c>
      <c r="F5208" t="s">
        <v>5213</v>
      </c>
      <c r="G5208">
        <v>1</v>
      </c>
    </row>
    <row r="5209" spans="1:7" x14ac:dyDescent="0.25">
      <c r="A5209">
        <v>22</v>
      </c>
      <c r="B5209" t="s">
        <v>4883</v>
      </c>
      <c r="C5209">
        <v>170214</v>
      </c>
      <c r="E5209" t="s">
        <v>15</v>
      </c>
      <c r="F5209" t="s">
        <v>5214</v>
      </c>
      <c r="G5209">
        <v>1</v>
      </c>
    </row>
    <row r="5210" spans="1:7" x14ac:dyDescent="0.25">
      <c r="A5210">
        <v>22</v>
      </c>
      <c r="B5210" t="s">
        <v>4883</v>
      </c>
      <c r="C5210">
        <v>170280</v>
      </c>
      <c r="E5210" t="s">
        <v>15</v>
      </c>
      <c r="F5210" t="s">
        <v>5215</v>
      </c>
      <c r="G5210">
        <v>1</v>
      </c>
    </row>
    <row r="5211" spans="1:7" x14ac:dyDescent="0.25">
      <c r="A5211">
        <v>22</v>
      </c>
      <c r="B5211" t="s">
        <v>4883</v>
      </c>
      <c r="C5211">
        <v>12421</v>
      </c>
      <c r="D5211" t="str">
        <f>"0984-2292"</f>
        <v>0984-2292</v>
      </c>
      <c r="E5211" t="s">
        <v>8</v>
      </c>
      <c r="F5211" t="s">
        <v>5216</v>
      </c>
      <c r="G5211">
        <v>1</v>
      </c>
    </row>
    <row r="5212" spans="1:7" x14ac:dyDescent="0.25">
      <c r="A5212">
        <v>22</v>
      </c>
      <c r="B5212" t="s">
        <v>4883</v>
      </c>
      <c r="C5212">
        <v>52055</v>
      </c>
      <c r="D5212" t="str">
        <f>"0169-7218"</f>
        <v>0169-7218</v>
      </c>
      <c r="E5212" t="s">
        <v>15</v>
      </c>
      <c r="F5212" t="s">
        <v>5217</v>
      </c>
      <c r="G5212">
        <v>1</v>
      </c>
    </row>
    <row r="5213" spans="1:7" x14ac:dyDescent="0.25">
      <c r="A5213">
        <v>22</v>
      </c>
      <c r="B5213" t="s">
        <v>4883</v>
      </c>
      <c r="C5213">
        <v>8783544</v>
      </c>
      <c r="E5213" t="s">
        <v>15</v>
      </c>
      <c r="F5213" t="s">
        <v>5218</v>
      </c>
      <c r="G5213">
        <v>1</v>
      </c>
    </row>
    <row r="5214" spans="1:7" x14ac:dyDescent="0.25">
      <c r="A5214">
        <v>22</v>
      </c>
      <c r="B5214" t="s">
        <v>4883</v>
      </c>
      <c r="C5214">
        <v>75256</v>
      </c>
      <c r="D5214" t="str">
        <f>"1081-0463"</f>
        <v>1081-0463</v>
      </c>
      <c r="E5214" t="s">
        <v>8</v>
      </c>
      <c r="F5214" t="s">
        <v>5219</v>
      </c>
      <c r="G5214">
        <v>1</v>
      </c>
    </row>
    <row r="5215" spans="1:7" x14ac:dyDescent="0.25">
      <c r="A5215">
        <v>22</v>
      </c>
      <c r="B5215" t="s">
        <v>4883</v>
      </c>
      <c r="C5215">
        <v>752</v>
      </c>
      <c r="D5215" t="str">
        <f>"1570-1522"</f>
        <v>1570-1522</v>
      </c>
      <c r="E5215" t="s">
        <v>15</v>
      </c>
      <c r="F5215" t="s">
        <v>5220</v>
      </c>
      <c r="G5215">
        <v>1</v>
      </c>
    </row>
    <row r="5216" spans="1:7" x14ac:dyDescent="0.25">
      <c r="A5216">
        <v>22</v>
      </c>
      <c r="B5216" t="s">
        <v>4883</v>
      </c>
      <c r="C5216">
        <v>4009</v>
      </c>
      <c r="D5216" t="str">
        <f>"0143-781X"</f>
        <v>0143-781X</v>
      </c>
      <c r="E5216" t="s">
        <v>8</v>
      </c>
      <c r="F5216" t="s">
        <v>5221</v>
      </c>
      <c r="G5216">
        <v>1</v>
      </c>
    </row>
    <row r="5217" spans="1:7" x14ac:dyDescent="0.25">
      <c r="A5217">
        <v>22</v>
      </c>
      <c r="B5217" t="s">
        <v>4883</v>
      </c>
      <c r="C5217">
        <v>170185</v>
      </c>
      <c r="D5217" t="str">
        <f>"0926-6240"</f>
        <v>0926-6240</v>
      </c>
      <c r="E5217" t="s">
        <v>15</v>
      </c>
      <c r="F5217" t="s">
        <v>5222</v>
      </c>
      <c r="G5217">
        <v>1</v>
      </c>
    </row>
    <row r="5218" spans="1:7" x14ac:dyDescent="0.25">
      <c r="A5218">
        <v>22</v>
      </c>
      <c r="B5218" t="s">
        <v>4883</v>
      </c>
      <c r="C5218">
        <v>170287</v>
      </c>
      <c r="E5218" t="s">
        <v>15</v>
      </c>
      <c r="F5218" t="s">
        <v>5223</v>
      </c>
      <c r="G5218">
        <v>1</v>
      </c>
    </row>
    <row r="5219" spans="1:7" x14ac:dyDescent="0.25">
      <c r="A5219">
        <v>22</v>
      </c>
      <c r="B5219" t="s">
        <v>4883</v>
      </c>
      <c r="C5219">
        <v>76319</v>
      </c>
      <c r="D5219" t="str">
        <f>"0019-5510"</f>
        <v>0019-5510</v>
      </c>
      <c r="E5219" t="s">
        <v>8</v>
      </c>
      <c r="F5219" t="s">
        <v>5224</v>
      </c>
      <c r="G5219">
        <v>1</v>
      </c>
    </row>
    <row r="5220" spans="1:7" x14ac:dyDescent="0.25">
      <c r="A5220">
        <v>22</v>
      </c>
      <c r="B5220" t="s">
        <v>4883</v>
      </c>
      <c r="C5220">
        <v>12233</v>
      </c>
      <c r="D5220" t="str">
        <f>"0019-8692"</f>
        <v>0019-8692</v>
      </c>
      <c r="E5220" t="s">
        <v>8</v>
      </c>
      <c r="F5220" t="s">
        <v>5225</v>
      </c>
      <c r="G5220">
        <v>1</v>
      </c>
    </row>
    <row r="5221" spans="1:7" x14ac:dyDescent="0.25">
      <c r="A5221">
        <v>22</v>
      </c>
      <c r="B5221" t="s">
        <v>4883</v>
      </c>
      <c r="C5221">
        <v>170188</v>
      </c>
      <c r="E5221" t="s">
        <v>15</v>
      </c>
      <c r="F5221" t="s">
        <v>5226</v>
      </c>
      <c r="G5221">
        <v>1</v>
      </c>
    </row>
    <row r="5222" spans="1:7" x14ac:dyDescent="0.25">
      <c r="A5222">
        <v>22</v>
      </c>
      <c r="B5222" t="s">
        <v>4883</v>
      </c>
      <c r="C5222">
        <v>170215</v>
      </c>
      <c r="E5222" t="s">
        <v>15</v>
      </c>
      <c r="F5222" t="s">
        <v>5227</v>
      </c>
      <c r="G5222">
        <v>1</v>
      </c>
    </row>
    <row r="5223" spans="1:7" x14ac:dyDescent="0.25">
      <c r="A5223">
        <v>22</v>
      </c>
      <c r="B5223" t="s">
        <v>4883</v>
      </c>
      <c r="C5223">
        <v>6151907</v>
      </c>
      <c r="D5223" t="str">
        <f>"1871-1073"</f>
        <v>1871-1073</v>
      </c>
      <c r="E5223" t="s">
        <v>15</v>
      </c>
      <c r="F5223" t="s">
        <v>5228</v>
      </c>
      <c r="G5223">
        <v>1</v>
      </c>
    </row>
    <row r="5224" spans="1:7" x14ac:dyDescent="0.25">
      <c r="A5224">
        <v>22</v>
      </c>
      <c r="B5224" t="s">
        <v>4883</v>
      </c>
      <c r="C5224">
        <v>170142</v>
      </c>
      <c r="E5224" t="s">
        <v>15</v>
      </c>
      <c r="F5224" t="s">
        <v>5229</v>
      </c>
      <c r="G5224">
        <v>1</v>
      </c>
    </row>
    <row r="5225" spans="1:7" x14ac:dyDescent="0.25">
      <c r="A5225">
        <v>22</v>
      </c>
      <c r="B5225" t="s">
        <v>4883</v>
      </c>
      <c r="C5225">
        <v>10671</v>
      </c>
      <c r="D5225" t="str">
        <f>"0268-4527"</f>
        <v>0268-4527</v>
      </c>
      <c r="E5225" t="s">
        <v>8</v>
      </c>
      <c r="F5225" t="s">
        <v>5230</v>
      </c>
      <c r="G5225">
        <v>1</v>
      </c>
    </row>
    <row r="5226" spans="1:7" x14ac:dyDescent="0.25">
      <c r="A5226">
        <v>22</v>
      </c>
      <c r="B5226" t="s">
        <v>4883</v>
      </c>
      <c r="C5226">
        <v>7711626</v>
      </c>
      <c r="D5226" t="str">
        <f>"2039-8573"</f>
        <v>2039-8573</v>
      </c>
      <c r="E5226" t="s">
        <v>8</v>
      </c>
      <c r="F5226" t="s">
        <v>5231</v>
      </c>
      <c r="G5226">
        <v>1</v>
      </c>
    </row>
    <row r="5227" spans="1:7" x14ac:dyDescent="0.25">
      <c r="A5227">
        <v>22</v>
      </c>
      <c r="B5227" t="s">
        <v>4883</v>
      </c>
      <c r="C5227">
        <v>170333</v>
      </c>
      <c r="D5227" t="str">
        <f>"2047-7414"</f>
        <v>2047-7414</v>
      </c>
      <c r="E5227" t="s">
        <v>8</v>
      </c>
      <c r="F5227" t="s">
        <v>5232</v>
      </c>
      <c r="G5227">
        <v>1</v>
      </c>
    </row>
    <row r="5228" spans="1:7" x14ac:dyDescent="0.25">
      <c r="A5228">
        <v>22</v>
      </c>
      <c r="B5228" t="s">
        <v>4883</v>
      </c>
      <c r="C5228">
        <v>13166</v>
      </c>
      <c r="D5228" t="str">
        <f>"0020-577X"</f>
        <v>0020-577X</v>
      </c>
      <c r="E5228" t="s">
        <v>8</v>
      </c>
      <c r="F5228" t="s">
        <v>5233</v>
      </c>
      <c r="G5228">
        <v>1</v>
      </c>
    </row>
    <row r="5229" spans="1:7" x14ac:dyDescent="0.25">
      <c r="A5229">
        <v>22</v>
      </c>
      <c r="B5229" t="s">
        <v>4883</v>
      </c>
      <c r="C5229">
        <v>8783315</v>
      </c>
      <c r="D5229" t="str">
        <f>"2679-3873 "</f>
        <v xml:space="preserve">2679-3873 </v>
      </c>
      <c r="E5229" t="s">
        <v>8</v>
      </c>
      <c r="F5229" t="s">
        <v>5234</v>
      </c>
      <c r="G5229">
        <v>1</v>
      </c>
    </row>
    <row r="5230" spans="1:7" x14ac:dyDescent="0.25">
      <c r="A5230">
        <v>22</v>
      </c>
      <c r="B5230" t="s">
        <v>4883</v>
      </c>
      <c r="C5230">
        <v>19956</v>
      </c>
      <c r="D5230" t="str">
        <f>"0130-9641"</f>
        <v>0130-9641</v>
      </c>
      <c r="E5230" t="s">
        <v>8</v>
      </c>
      <c r="F5230" t="s">
        <v>4922</v>
      </c>
      <c r="G5230">
        <v>1</v>
      </c>
    </row>
    <row r="5231" spans="1:7" x14ac:dyDescent="0.25">
      <c r="A5231">
        <v>22</v>
      </c>
      <c r="B5231" t="s">
        <v>4883</v>
      </c>
      <c r="C5231">
        <v>5092</v>
      </c>
      <c r="D5231" t="str">
        <f>"1567-9764"</f>
        <v>1567-9764</v>
      </c>
      <c r="E5231" t="s">
        <v>8</v>
      </c>
      <c r="F5231" t="s">
        <v>5235</v>
      </c>
      <c r="G5231">
        <v>1</v>
      </c>
    </row>
    <row r="5232" spans="1:7" x14ac:dyDescent="0.25">
      <c r="A5232">
        <v>22</v>
      </c>
      <c r="B5232" t="s">
        <v>4883</v>
      </c>
      <c r="C5232">
        <v>170180</v>
      </c>
      <c r="E5232" t="s">
        <v>15</v>
      </c>
      <c r="F5232" t="s">
        <v>5236</v>
      </c>
      <c r="G5232">
        <v>1</v>
      </c>
    </row>
    <row r="5233" spans="1:7" x14ac:dyDescent="0.25">
      <c r="A5233">
        <v>22</v>
      </c>
      <c r="B5233" t="s">
        <v>4883</v>
      </c>
      <c r="C5233">
        <v>14773</v>
      </c>
      <c r="D5233" t="str">
        <f>"0305-0629"</f>
        <v>0305-0629</v>
      </c>
      <c r="E5233" t="s">
        <v>8</v>
      </c>
      <c r="F5233" t="s">
        <v>5237</v>
      </c>
      <c r="G5233">
        <v>1</v>
      </c>
    </row>
    <row r="5234" spans="1:7" x14ac:dyDescent="0.25">
      <c r="A5234">
        <v>22</v>
      </c>
      <c r="B5234" t="s">
        <v>4883</v>
      </c>
      <c r="C5234">
        <v>8993</v>
      </c>
      <c r="D5234" t="str">
        <f>"0020-7020"</f>
        <v>0020-7020</v>
      </c>
      <c r="E5234" t="s">
        <v>8</v>
      </c>
      <c r="F5234" t="s">
        <v>5238</v>
      </c>
      <c r="G5234">
        <v>1</v>
      </c>
    </row>
    <row r="5235" spans="1:7" x14ac:dyDescent="0.25">
      <c r="A5235">
        <v>22</v>
      </c>
      <c r="B5235" t="s">
        <v>4883</v>
      </c>
      <c r="C5235">
        <v>15736</v>
      </c>
      <c r="E5235" t="s">
        <v>8</v>
      </c>
      <c r="F5235" t="s">
        <v>5239</v>
      </c>
      <c r="G5235">
        <v>1</v>
      </c>
    </row>
    <row r="5236" spans="1:7" x14ac:dyDescent="0.25">
      <c r="A5236">
        <v>22</v>
      </c>
      <c r="B5236" t="s">
        <v>4883</v>
      </c>
      <c r="C5236">
        <v>3324</v>
      </c>
      <c r="D5236" t="str">
        <f>"1044-4068"</f>
        <v>1044-4068</v>
      </c>
      <c r="E5236" t="s">
        <v>8</v>
      </c>
      <c r="F5236" t="s">
        <v>5240</v>
      </c>
      <c r="G5236">
        <v>1</v>
      </c>
    </row>
    <row r="5237" spans="1:7" x14ac:dyDescent="0.25">
      <c r="A5237">
        <v>22</v>
      </c>
      <c r="B5237" t="s">
        <v>4883</v>
      </c>
      <c r="C5237">
        <v>18349</v>
      </c>
      <c r="D5237" t="str">
        <f>"1548-3886"</f>
        <v>1548-3886</v>
      </c>
      <c r="E5237" t="s">
        <v>8</v>
      </c>
      <c r="F5237" t="s">
        <v>5241</v>
      </c>
      <c r="G5237">
        <v>1</v>
      </c>
    </row>
    <row r="5238" spans="1:7" x14ac:dyDescent="0.25">
      <c r="A5238">
        <v>22</v>
      </c>
      <c r="B5238" t="s">
        <v>4883</v>
      </c>
      <c r="C5238">
        <v>15597</v>
      </c>
      <c r="D5238" t="str">
        <f>"0885-0607"</f>
        <v>0885-0607</v>
      </c>
      <c r="E5238" t="s">
        <v>8</v>
      </c>
      <c r="F5238" t="s">
        <v>5242</v>
      </c>
      <c r="G5238">
        <v>1</v>
      </c>
    </row>
    <row r="5239" spans="1:7" x14ac:dyDescent="0.25">
      <c r="A5239">
        <v>22</v>
      </c>
      <c r="B5239" t="s">
        <v>4883</v>
      </c>
      <c r="C5239">
        <v>2066</v>
      </c>
      <c r="D5239" t="str">
        <f>"1755-2419"</f>
        <v>1755-2419</v>
      </c>
      <c r="E5239" t="s">
        <v>8</v>
      </c>
      <c r="F5239" t="s">
        <v>5243</v>
      </c>
      <c r="G5239">
        <v>1</v>
      </c>
    </row>
    <row r="5240" spans="1:7" x14ac:dyDescent="0.25">
      <c r="A5240">
        <v>22</v>
      </c>
      <c r="B5240" t="s">
        <v>4883</v>
      </c>
      <c r="C5240">
        <v>8944</v>
      </c>
      <c r="D5240" t="str">
        <f>"1085-7494"</f>
        <v>1085-7494</v>
      </c>
      <c r="E5240" t="s">
        <v>8</v>
      </c>
      <c r="F5240" t="s">
        <v>5244</v>
      </c>
      <c r="G5240">
        <v>1</v>
      </c>
    </row>
    <row r="5241" spans="1:7" x14ac:dyDescent="0.25">
      <c r="A5241">
        <v>22</v>
      </c>
      <c r="B5241" t="s">
        <v>4883</v>
      </c>
      <c r="C5241">
        <v>15937</v>
      </c>
      <c r="D5241" t="str">
        <f>"0891-1916"</f>
        <v>0891-1916</v>
      </c>
      <c r="E5241" t="s">
        <v>8</v>
      </c>
      <c r="F5241" t="s">
        <v>5245</v>
      </c>
      <c r="G5241">
        <v>1</v>
      </c>
    </row>
    <row r="5242" spans="1:7" x14ac:dyDescent="0.25">
      <c r="A5242">
        <v>22</v>
      </c>
      <c r="B5242" t="s">
        <v>4883</v>
      </c>
      <c r="C5242">
        <v>3248</v>
      </c>
      <c r="D5242" t="str">
        <f>"0190-0692"</f>
        <v>0190-0692</v>
      </c>
      <c r="E5242" t="s">
        <v>8</v>
      </c>
      <c r="F5242" t="s">
        <v>5246</v>
      </c>
      <c r="G5242">
        <v>1</v>
      </c>
    </row>
    <row r="5243" spans="1:7" x14ac:dyDescent="0.25">
      <c r="A5243">
        <v>22</v>
      </c>
      <c r="B5243" t="s">
        <v>4883</v>
      </c>
      <c r="C5243">
        <v>25333</v>
      </c>
      <c r="D5243" t="str">
        <f>"1740-0600"</f>
        <v>1740-0600</v>
      </c>
      <c r="E5243" t="s">
        <v>8</v>
      </c>
      <c r="F5243" t="s">
        <v>5247</v>
      </c>
      <c r="G5243">
        <v>1</v>
      </c>
    </row>
    <row r="5244" spans="1:7" x14ac:dyDescent="0.25">
      <c r="A5244">
        <v>22</v>
      </c>
      <c r="B5244" t="s">
        <v>4883</v>
      </c>
      <c r="C5244">
        <v>5537</v>
      </c>
      <c r="D5244" t="str">
        <f>"0951-3558"</f>
        <v>0951-3558</v>
      </c>
      <c r="E5244" t="s">
        <v>8</v>
      </c>
      <c r="F5244" t="s">
        <v>5248</v>
      </c>
      <c r="G5244">
        <v>1</v>
      </c>
    </row>
    <row r="5245" spans="1:7" x14ac:dyDescent="0.25">
      <c r="A5245">
        <v>22</v>
      </c>
      <c r="B5245" t="s">
        <v>4883</v>
      </c>
      <c r="C5245">
        <v>8758262</v>
      </c>
      <c r="D5245" t="str">
        <f>"1750-4090"</f>
        <v>1750-4090</v>
      </c>
      <c r="E5245" t="s">
        <v>8</v>
      </c>
      <c r="F5245" t="s">
        <v>5249</v>
      </c>
      <c r="G5245">
        <v>1</v>
      </c>
    </row>
    <row r="5246" spans="1:7" x14ac:dyDescent="0.25">
      <c r="A5246">
        <v>22</v>
      </c>
      <c r="B5246" t="s">
        <v>4883</v>
      </c>
      <c r="C5246">
        <v>7709947</v>
      </c>
      <c r="E5246" t="s">
        <v>8</v>
      </c>
      <c r="F5246" t="s">
        <v>5250</v>
      </c>
      <c r="G5246">
        <v>1</v>
      </c>
    </row>
    <row r="5247" spans="1:7" x14ac:dyDescent="0.25">
      <c r="A5247">
        <v>22</v>
      </c>
      <c r="B5247" t="s">
        <v>4883</v>
      </c>
      <c r="C5247">
        <v>2061</v>
      </c>
      <c r="D5247" t="str">
        <f>"1382-340X"</f>
        <v>1382-340X</v>
      </c>
      <c r="E5247" t="s">
        <v>8</v>
      </c>
      <c r="F5247" t="s">
        <v>5251</v>
      </c>
      <c r="G5247">
        <v>1</v>
      </c>
    </row>
    <row r="5248" spans="1:7" x14ac:dyDescent="0.25">
      <c r="A5248">
        <v>22</v>
      </c>
      <c r="B5248" t="s">
        <v>4883</v>
      </c>
      <c r="C5248">
        <v>13829</v>
      </c>
      <c r="D5248" t="str">
        <f>"1871-3319"</f>
        <v>1871-3319</v>
      </c>
      <c r="E5248" t="s">
        <v>15</v>
      </c>
      <c r="F5248" t="s">
        <v>5252</v>
      </c>
      <c r="G5248">
        <v>1</v>
      </c>
    </row>
    <row r="5249" spans="1:7" x14ac:dyDescent="0.25">
      <c r="A5249">
        <v>22</v>
      </c>
      <c r="B5249" t="s">
        <v>4883</v>
      </c>
      <c r="C5249">
        <v>170203</v>
      </c>
      <c r="E5249" t="s">
        <v>15</v>
      </c>
      <c r="F5249" t="s">
        <v>5253</v>
      </c>
      <c r="G5249">
        <v>1</v>
      </c>
    </row>
    <row r="5250" spans="1:7" x14ac:dyDescent="0.25">
      <c r="A5250">
        <v>22</v>
      </c>
      <c r="B5250" t="s">
        <v>4883</v>
      </c>
      <c r="C5250">
        <v>14799</v>
      </c>
      <c r="D5250" t="str">
        <f>"1353-3312"</f>
        <v>1353-3312</v>
      </c>
      <c r="E5250" t="s">
        <v>8</v>
      </c>
      <c r="F5250" t="s">
        <v>5254</v>
      </c>
      <c r="G5250">
        <v>1</v>
      </c>
    </row>
    <row r="5251" spans="1:7" x14ac:dyDescent="0.25">
      <c r="A5251">
        <v>22</v>
      </c>
      <c r="B5251" t="s">
        <v>4883</v>
      </c>
      <c r="C5251">
        <v>8782816</v>
      </c>
      <c r="D5251" t="str">
        <f>"2051-2333"</f>
        <v>2051-2333</v>
      </c>
      <c r="E5251" t="s">
        <v>15</v>
      </c>
      <c r="F5251" t="s">
        <v>5255</v>
      </c>
      <c r="G5251">
        <v>1</v>
      </c>
    </row>
    <row r="5252" spans="1:7" x14ac:dyDescent="0.25">
      <c r="A5252">
        <v>22</v>
      </c>
      <c r="B5252" t="s">
        <v>4883</v>
      </c>
      <c r="C5252">
        <v>170290</v>
      </c>
      <c r="E5252" t="s">
        <v>15</v>
      </c>
      <c r="F5252" t="s">
        <v>5256</v>
      </c>
      <c r="G5252">
        <v>1</v>
      </c>
    </row>
    <row r="5253" spans="1:7" x14ac:dyDescent="0.25">
      <c r="A5253">
        <v>22</v>
      </c>
      <c r="B5253" t="s">
        <v>4883</v>
      </c>
      <c r="C5253">
        <v>8783545</v>
      </c>
      <c r="E5253" t="s">
        <v>15</v>
      </c>
      <c r="F5253" t="s">
        <v>5257</v>
      </c>
      <c r="G5253">
        <v>1</v>
      </c>
    </row>
    <row r="5254" spans="1:7" x14ac:dyDescent="0.25">
      <c r="A5254">
        <v>22</v>
      </c>
      <c r="B5254" t="s">
        <v>4883</v>
      </c>
      <c r="C5254">
        <v>170204</v>
      </c>
      <c r="E5254" t="s">
        <v>15</v>
      </c>
      <c r="F5254" t="s">
        <v>5258</v>
      </c>
      <c r="G5254">
        <v>1</v>
      </c>
    </row>
    <row r="5255" spans="1:7" x14ac:dyDescent="0.25">
      <c r="A5255">
        <v>22</v>
      </c>
      <c r="B5255" t="s">
        <v>4883</v>
      </c>
      <c r="C5255">
        <v>170216</v>
      </c>
      <c r="E5255" t="s">
        <v>15</v>
      </c>
      <c r="F5255" t="s">
        <v>5259</v>
      </c>
      <c r="G5255">
        <v>1</v>
      </c>
    </row>
    <row r="5256" spans="1:7" x14ac:dyDescent="0.25">
      <c r="A5256">
        <v>22</v>
      </c>
      <c r="B5256" t="s">
        <v>4883</v>
      </c>
      <c r="C5256">
        <v>3863</v>
      </c>
      <c r="D5256" t="str">
        <f>"1384-5748"</f>
        <v>1384-5748</v>
      </c>
      <c r="E5256" t="s">
        <v>8</v>
      </c>
      <c r="F5256" t="s">
        <v>5260</v>
      </c>
      <c r="G5256">
        <v>1</v>
      </c>
    </row>
    <row r="5257" spans="1:7" x14ac:dyDescent="0.25">
      <c r="A5257">
        <v>22</v>
      </c>
      <c r="B5257" t="s">
        <v>4883</v>
      </c>
      <c r="C5257">
        <v>156487</v>
      </c>
      <c r="D5257" t="str">
        <f>"1662-1387"</f>
        <v>1662-1387</v>
      </c>
      <c r="E5257" t="s">
        <v>8</v>
      </c>
      <c r="F5257" t="s">
        <v>5261</v>
      </c>
      <c r="G5257">
        <v>1</v>
      </c>
    </row>
    <row r="5258" spans="1:7" x14ac:dyDescent="0.25">
      <c r="A5258">
        <v>22</v>
      </c>
      <c r="B5258" t="s">
        <v>4883</v>
      </c>
      <c r="C5258">
        <v>6668</v>
      </c>
      <c r="D5258" t="str">
        <f>"0047-1178"</f>
        <v>0047-1178</v>
      </c>
      <c r="E5258" t="s">
        <v>8</v>
      </c>
      <c r="F5258" t="s">
        <v>5262</v>
      </c>
      <c r="G5258">
        <v>1</v>
      </c>
    </row>
    <row r="5259" spans="1:7" x14ac:dyDescent="0.25">
      <c r="A5259">
        <v>22</v>
      </c>
      <c r="B5259" t="s">
        <v>4883</v>
      </c>
      <c r="C5259">
        <v>170205</v>
      </c>
      <c r="E5259" t="s">
        <v>15</v>
      </c>
      <c r="F5259" t="s">
        <v>5263</v>
      </c>
      <c r="G5259">
        <v>1</v>
      </c>
    </row>
    <row r="5260" spans="1:7" x14ac:dyDescent="0.25">
      <c r="A5260">
        <v>22</v>
      </c>
      <c r="B5260" t="s">
        <v>4883</v>
      </c>
      <c r="C5260">
        <v>170165</v>
      </c>
      <c r="E5260" t="s">
        <v>15</v>
      </c>
      <c r="F5260" t="s">
        <v>5264</v>
      </c>
      <c r="G5260">
        <v>1</v>
      </c>
    </row>
    <row r="5261" spans="1:7" x14ac:dyDescent="0.25">
      <c r="A5261">
        <v>22</v>
      </c>
      <c r="B5261" t="s">
        <v>4883</v>
      </c>
      <c r="C5261">
        <v>14523</v>
      </c>
      <c r="D5261" t="str">
        <f>"1470-482X"</f>
        <v>1470-482X</v>
      </c>
      <c r="E5261" t="s">
        <v>8</v>
      </c>
      <c r="F5261" t="s">
        <v>5265</v>
      </c>
      <c r="G5261">
        <v>1</v>
      </c>
    </row>
    <row r="5262" spans="1:7" x14ac:dyDescent="0.25">
      <c r="A5262">
        <v>22</v>
      </c>
      <c r="B5262" t="s">
        <v>4883</v>
      </c>
      <c r="C5262">
        <v>4965</v>
      </c>
      <c r="D5262" t="str">
        <f>"0020-8523"</f>
        <v>0020-8523</v>
      </c>
      <c r="E5262" t="s">
        <v>8</v>
      </c>
      <c r="F5262" t="s">
        <v>5266</v>
      </c>
      <c r="G5262">
        <v>1</v>
      </c>
    </row>
    <row r="5263" spans="1:7" x14ac:dyDescent="0.25">
      <c r="A5263">
        <v>22</v>
      </c>
      <c r="B5263" t="s">
        <v>4883</v>
      </c>
      <c r="C5263">
        <v>170189</v>
      </c>
      <c r="E5263" t="s">
        <v>15</v>
      </c>
      <c r="F5263" t="s">
        <v>5267</v>
      </c>
      <c r="G5263">
        <v>1</v>
      </c>
    </row>
    <row r="5264" spans="1:7" x14ac:dyDescent="0.25">
      <c r="A5264">
        <v>22</v>
      </c>
      <c r="B5264" t="s">
        <v>4883</v>
      </c>
      <c r="C5264">
        <v>2447</v>
      </c>
      <c r="E5264" t="s">
        <v>8</v>
      </c>
      <c r="F5264" t="s">
        <v>5268</v>
      </c>
      <c r="G5264">
        <v>1</v>
      </c>
    </row>
    <row r="5265" spans="1:7" x14ac:dyDescent="0.25">
      <c r="A5265">
        <v>22</v>
      </c>
      <c r="B5265" t="s">
        <v>4883</v>
      </c>
      <c r="C5265">
        <v>14266</v>
      </c>
      <c r="D5265" t="str">
        <f>"0020-8817"</f>
        <v>0020-8817</v>
      </c>
      <c r="E5265" t="s">
        <v>8</v>
      </c>
      <c r="F5265" t="s">
        <v>5269</v>
      </c>
      <c r="G5265">
        <v>1</v>
      </c>
    </row>
    <row r="5266" spans="1:7" x14ac:dyDescent="0.25">
      <c r="A5266">
        <v>22</v>
      </c>
      <c r="B5266" t="s">
        <v>4883</v>
      </c>
      <c r="C5266">
        <v>2906</v>
      </c>
      <c r="D5266" t="str">
        <f>"0924-4751"</f>
        <v>0924-4751</v>
      </c>
      <c r="E5266" t="s">
        <v>15</v>
      </c>
      <c r="F5266" t="s">
        <v>5270</v>
      </c>
      <c r="G5266">
        <v>1</v>
      </c>
    </row>
    <row r="5267" spans="1:7" x14ac:dyDescent="0.25">
      <c r="A5267">
        <v>22</v>
      </c>
      <c r="B5267" t="s">
        <v>4883</v>
      </c>
      <c r="C5267">
        <v>170143</v>
      </c>
      <c r="E5267" t="s">
        <v>15</v>
      </c>
      <c r="F5267" t="s">
        <v>5271</v>
      </c>
      <c r="G5267">
        <v>1</v>
      </c>
    </row>
    <row r="5268" spans="1:7" x14ac:dyDescent="0.25">
      <c r="A5268">
        <v>22</v>
      </c>
      <c r="B5268" t="s">
        <v>4883</v>
      </c>
      <c r="C5268">
        <v>16827</v>
      </c>
      <c r="D5268" t="str">
        <f>"1528-3577"</f>
        <v>1528-3577</v>
      </c>
      <c r="E5268" t="s">
        <v>8</v>
      </c>
      <c r="F5268" t="s">
        <v>5272</v>
      </c>
      <c r="G5268">
        <v>1</v>
      </c>
    </row>
    <row r="5269" spans="1:7" x14ac:dyDescent="0.25">
      <c r="A5269">
        <v>22</v>
      </c>
      <c r="B5269" t="s">
        <v>4883</v>
      </c>
      <c r="C5269">
        <v>99</v>
      </c>
      <c r="D5269" t="str">
        <f>"1430-175X"</f>
        <v>1430-175X</v>
      </c>
      <c r="E5269" t="s">
        <v>8</v>
      </c>
      <c r="F5269" t="s">
        <v>5273</v>
      </c>
      <c r="G5269">
        <v>1</v>
      </c>
    </row>
    <row r="5270" spans="1:7" x14ac:dyDescent="0.25">
      <c r="A5270">
        <v>22</v>
      </c>
      <c r="B5270" t="s">
        <v>4883</v>
      </c>
      <c r="C5270">
        <v>6160785</v>
      </c>
      <c r="E5270" t="s">
        <v>8</v>
      </c>
      <c r="F5270" t="s">
        <v>5274</v>
      </c>
      <c r="G5270">
        <v>1</v>
      </c>
    </row>
    <row r="5271" spans="1:7" x14ac:dyDescent="0.25">
      <c r="A5271">
        <v>22</v>
      </c>
      <c r="B5271" t="s">
        <v>4883</v>
      </c>
      <c r="C5271">
        <v>170197</v>
      </c>
      <c r="E5271" t="s">
        <v>15</v>
      </c>
      <c r="F5271" t="s">
        <v>5275</v>
      </c>
      <c r="G5271">
        <v>1</v>
      </c>
    </row>
    <row r="5272" spans="1:7" x14ac:dyDescent="0.25">
      <c r="A5272">
        <v>22</v>
      </c>
      <c r="B5272" t="s">
        <v>4883</v>
      </c>
      <c r="C5272">
        <v>65828</v>
      </c>
      <c r="D5272" t="str">
        <f>"1684-9787"</f>
        <v>1684-9787</v>
      </c>
      <c r="E5272" t="s">
        <v>8</v>
      </c>
      <c r="F5272" t="s">
        <v>5276</v>
      </c>
      <c r="G5272">
        <v>1</v>
      </c>
    </row>
    <row r="5273" spans="1:7" x14ac:dyDescent="0.25">
      <c r="A5273">
        <v>22</v>
      </c>
      <c r="B5273" t="s">
        <v>4883</v>
      </c>
      <c r="C5273">
        <v>8756</v>
      </c>
      <c r="D5273" t="str">
        <f>"0790-7184"</f>
        <v>0790-7184</v>
      </c>
      <c r="E5273" t="s">
        <v>8</v>
      </c>
      <c r="F5273" t="s">
        <v>5277</v>
      </c>
      <c r="G5273">
        <v>1</v>
      </c>
    </row>
    <row r="5274" spans="1:7" x14ac:dyDescent="0.25">
      <c r="A5274">
        <v>22</v>
      </c>
      <c r="B5274" t="s">
        <v>4883</v>
      </c>
      <c r="C5274">
        <v>18230</v>
      </c>
      <c r="D5274" t="str">
        <f>"0332-1460"</f>
        <v>0332-1460</v>
      </c>
      <c r="E5274" t="s">
        <v>8</v>
      </c>
      <c r="F5274" t="s">
        <v>5278</v>
      </c>
      <c r="G5274">
        <v>1</v>
      </c>
    </row>
    <row r="5275" spans="1:7" x14ac:dyDescent="0.25">
      <c r="A5275">
        <v>22</v>
      </c>
      <c r="B5275" t="s">
        <v>4883</v>
      </c>
      <c r="C5275">
        <v>8504</v>
      </c>
      <c r="D5275" t="str">
        <f>"1353-7121"</f>
        <v>1353-7121</v>
      </c>
      <c r="E5275" t="s">
        <v>8</v>
      </c>
      <c r="F5275" t="s">
        <v>5279</v>
      </c>
      <c r="G5275">
        <v>1</v>
      </c>
    </row>
    <row r="5276" spans="1:7" x14ac:dyDescent="0.25">
      <c r="A5276">
        <v>22</v>
      </c>
      <c r="B5276" t="s">
        <v>4883</v>
      </c>
      <c r="C5276">
        <v>14740</v>
      </c>
      <c r="D5276" t="str">
        <f>"1013-2511"</f>
        <v>1013-2511</v>
      </c>
      <c r="E5276" t="s">
        <v>8</v>
      </c>
      <c r="F5276" t="s">
        <v>5280</v>
      </c>
      <c r="G5276">
        <v>1</v>
      </c>
    </row>
    <row r="5277" spans="1:7" x14ac:dyDescent="0.25">
      <c r="A5277">
        <v>22</v>
      </c>
      <c r="B5277" t="s">
        <v>4883</v>
      </c>
      <c r="C5277">
        <v>1407</v>
      </c>
      <c r="D5277" t="str">
        <f>"0938-0256"</f>
        <v>0938-0256</v>
      </c>
      <c r="E5277" t="s">
        <v>8</v>
      </c>
      <c r="F5277" t="s">
        <v>5281</v>
      </c>
      <c r="G5277">
        <v>1</v>
      </c>
    </row>
    <row r="5278" spans="1:7" x14ac:dyDescent="0.25">
      <c r="A5278">
        <v>22</v>
      </c>
      <c r="B5278" t="s">
        <v>4883</v>
      </c>
      <c r="C5278">
        <v>4165</v>
      </c>
      <c r="D5278" t="str">
        <f>"1468-1099"</f>
        <v>1468-1099</v>
      </c>
      <c r="E5278" t="s">
        <v>8</v>
      </c>
      <c r="F5278" t="s">
        <v>5282</v>
      </c>
      <c r="G5278">
        <v>1</v>
      </c>
    </row>
    <row r="5279" spans="1:7" x14ac:dyDescent="0.25">
      <c r="A5279">
        <v>22</v>
      </c>
      <c r="B5279" t="s">
        <v>4883</v>
      </c>
      <c r="C5279">
        <v>40177</v>
      </c>
      <c r="D5279" t="str">
        <f>"0126-5644"</f>
        <v>0126-5644</v>
      </c>
      <c r="E5279" t="s">
        <v>8</v>
      </c>
      <c r="F5279" t="s">
        <v>5283</v>
      </c>
      <c r="G5279">
        <v>1</v>
      </c>
    </row>
    <row r="5280" spans="1:7" x14ac:dyDescent="0.25">
      <c r="A5280">
        <v>22</v>
      </c>
      <c r="B5280" t="s">
        <v>4883</v>
      </c>
      <c r="C5280">
        <v>97361</v>
      </c>
      <c r="D5280" t="str">
        <f>"1145-6396"</f>
        <v>1145-6396</v>
      </c>
      <c r="E5280" t="s">
        <v>8</v>
      </c>
      <c r="F5280" t="s">
        <v>5284</v>
      </c>
      <c r="G5280">
        <v>1</v>
      </c>
    </row>
    <row r="5281" spans="1:7" x14ac:dyDescent="0.25">
      <c r="A5281">
        <v>22</v>
      </c>
      <c r="B5281" t="s">
        <v>4883</v>
      </c>
      <c r="C5281">
        <v>5901</v>
      </c>
      <c r="D5281" t="str">
        <f>"0258-2384"</f>
        <v>0258-2384</v>
      </c>
      <c r="E5281" t="s">
        <v>8</v>
      </c>
      <c r="F5281" t="s">
        <v>5285</v>
      </c>
      <c r="G5281">
        <v>1</v>
      </c>
    </row>
    <row r="5282" spans="1:7" x14ac:dyDescent="0.25">
      <c r="A5282">
        <v>22</v>
      </c>
      <c r="B5282" t="s">
        <v>4883</v>
      </c>
      <c r="C5282">
        <v>27486</v>
      </c>
      <c r="D5282" t="str">
        <f>"1609-4700"</f>
        <v>1609-4700</v>
      </c>
      <c r="E5282" t="s">
        <v>8</v>
      </c>
      <c r="F5282" t="s">
        <v>5286</v>
      </c>
      <c r="G5282">
        <v>1</v>
      </c>
    </row>
    <row r="5283" spans="1:7" x14ac:dyDescent="0.25">
      <c r="A5283">
        <v>22</v>
      </c>
      <c r="B5283" t="s">
        <v>4883</v>
      </c>
      <c r="C5283">
        <v>19892</v>
      </c>
      <c r="D5283" t="str">
        <f>"0156-5826"</f>
        <v>0156-5826</v>
      </c>
      <c r="E5283" t="s">
        <v>8</v>
      </c>
      <c r="F5283" t="s">
        <v>5287</v>
      </c>
      <c r="G5283">
        <v>1</v>
      </c>
    </row>
    <row r="5284" spans="1:7" x14ac:dyDescent="0.25">
      <c r="A5284">
        <v>22</v>
      </c>
      <c r="B5284" t="s">
        <v>4883</v>
      </c>
      <c r="C5284">
        <v>23531</v>
      </c>
      <c r="D5284" t="str">
        <f>"1080-6954"</f>
        <v>1080-6954</v>
      </c>
      <c r="E5284" t="s">
        <v>8</v>
      </c>
      <c r="F5284" t="s">
        <v>5288</v>
      </c>
      <c r="G5284">
        <v>1</v>
      </c>
    </row>
    <row r="5285" spans="1:7" x14ac:dyDescent="0.25">
      <c r="A5285">
        <v>22</v>
      </c>
      <c r="B5285" t="s">
        <v>4883</v>
      </c>
      <c r="C5285">
        <v>4112</v>
      </c>
      <c r="D5285" t="str">
        <f>"1387-6988"</f>
        <v>1387-6988</v>
      </c>
      <c r="E5285" t="s">
        <v>8</v>
      </c>
      <c r="F5285" t="s">
        <v>5289</v>
      </c>
      <c r="G5285">
        <v>1</v>
      </c>
    </row>
    <row r="5286" spans="1:7" x14ac:dyDescent="0.25">
      <c r="A5286">
        <v>22</v>
      </c>
      <c r="B5286" t="s">
        <v>4883</v>
      </c>
      <c r="C5286">
        <v>160047</v>
      </c>
      <c r="D5286" t="str">
        <f>"1337-7477"</f>
        <v>1337-7477</v>
      </c>
      <c r="E5286" t="s">
        <v>8</v>
      </c>
      <c r="F5286" t="s">
        <v>5290</v>
      </c>
      <c r="G5286">
        <v>1</v>
      </c>
    </row>
    <row r="5287" spans="1:7" x14ac:dyDescent="0.25">
      <c r="A5287">
        <v>22</v>
      </c>
      <c r="B5287" t="s">
        <v>4883</v>
      </c>
      <c r="C5287">
        <v>71420</v>
      </c>
      <c r="E5287" t="s">
        <v>8</v>
      </c>
      <c r="F5287" t="s">
        <v>5291</v>
      </c>
      <c r="G5287">
        <v>1</v>
      </c>
    </row>
    <row r="5288" spans="1:7" x14ac:dyDescent="0.25">
      <c r="A5288">
        <v>22</v>
      </c>
      <c r="B5288" t="s">
        <v>4883</v>
      </c>
      <c r="C5288">
        <v>7699920</v>
      </c>
      <c r="E5288" t="s">
        <v>8</v>
      </c>
      <c r="F5288" t="s">
        <v>5292</v>
      </c>
      <c r="G5288">
        <v>1</v>
      </c>
    </row>
    <row r="5289" spans="1:7" x14ac:dyDescent="0.25">
      <c r="A5289">
        <v>22</v>
      </c>
      <c r="B5289" t="s">
        <v>4883</v>
      </c>
      <c r="C5289">
        <v>8783857</v>
      </c>
      <c r="D5289" t="str">
        <f>"2373-8871"</f>
        <v>2373-8871</v>
      </c>
      <c r="E5289" t="s">
        <v>8</v>
      </c>
      <c r="F5289" t="s">
        <v>5293</v>
      </c>
      <c r="G5289">
        <v>1</v>
      </c>
    </row>
    <row r="5290" spans="1:7" x14ac:dyDescent="0.25">
      <c r="A5290">
        <v>22</v>
      </c>
      <c r="B5290" t="s">
        <v>4883</v>
      </c>
      <c r="C5290">
        <v>154112</v>
      </c>
      <c r="D5290" t="str">
        <f>"1941-2851"</f>
        <v>1941-2851</v>
      </c>
      <c r="E5290" t="s">
        <v>8</v>
      </c>
      <c r="F5290" t="s">
        <v>5294</v>
      </c>
      <c r="G5290">
        <v>1</v>
      </c>
    </row>
    <row r="5291" spans="1:7" x14ac:dyDescent="0.25">
      <c r="A5291">
        <v>22</v>
      </c>
      <c r="B5291" t="s">
        <v>4883</v>
      </c>
      <c r="C5291">
        <v>17709</v>
      </c>
      <c r="D5291" t="str">
        <f>"1748-7870"</f>
        <v>1748-7870</v>
      </c>
      <c r="E5291" t="s">
        <v>8</v>
      </c>
      <c r="F5291" t="s">
        <v>5295</v>
      </c>
      <c r="G5291">
        <v>1</v>
      </c>
    </row>
    <row r="5292" spans="1:7" x14ac:dyDescent="0.25">
      <c r="A5292">
        <v>22</v>
      </c>
      <c r="B5292" t="s">
        <v>4883</v>
      </c>
      <c r="C5292">
        <v>28097</v>
      </c>
      <c r="D5292" t="str">
        <f>"1934-6875"</f>
        <v>1934-6875</v>
      </c>
      <c r="E5292" t="s">
        <v>8</v>
      </c>
      <c r="F5292" t="s">
        <v>5296</v>
      </c>
      <c r="G5292">
        <v>1</v>
      </c>
    </row>
    <row r="5293" spans="1:7" x14ac:dyDescent="0.25">
      <c r="A5293">
        <v>22</v>
      </c>
      <c r="B5293" t="s">
        <v>4883</v>
      </c>
      <c r="C5293">
        <v>5637</v>
      </c>
      <c r="D5293" t="str">
        <f>"0703-6337"</f>
        <v>0703-6337</v>
      </c>
      <c r="E5293" t="s">
        <v>8</v>
      </c>
      <c r="F5293" t="s">
        <v>5297</v>
      </c>
      <c r="G5293">
        <v>1</v>
      </c>
    </row>
    <row r="5294" spans="1:7" x14ac:dyDescent="0.25">
      <c r="A5294">
        <v>22</v>
      </c>
      <c r="B5294" t="s">
        <v>4883</v>
      </c>
      <c r="C5294">
        <v>8783546</v>
      </c>
      <c r="E5294" t="s">
        <v>15</v>
      </c>
      <c r="F5294" t="s">
        <v>5298</v>
      </c>
      <c r="G5294">
        <v>1</v>
      </c>
    </row>
    <row r="5295" spans="1:7" x14ac:dyDescent="0.25">
      <c r="A5295">
        <v>22</v>
      </c>
      <c r="B5295" t="s">
        <v>4883</v>
      </c>
      <c r="C5295">
        <v>8783547</v>
      </c>
      <c r="E5295" t="s">
        <v>15</v>
      </c>
      <c r="F5295" t="s">
        <v>5299</v>
      </c>
      <c r="G5295">
        <v>1</v>
      </c>
    </row>
    <row r="5296" spans="1:7" x14ac:dyDescent="0.25">
      <c r="A5296">
        <v>22</v>
      </c>
      <c r="B5296" t="s">
        <v>4883</v>
      </c>
      <c r="C5296">
        <v>7754524</v>
      </c>
      <c r="D5296" t="str">
        <f>"2052-2630"</f>
        <v>2052-2630</v>
      </c>
      <c r="E5296" t="s">
        <v>8</v>
      </c>
      <c r="F5296" t="s">
        <v>5300</v>
      </c>
      <c r="G5296">
        <v>1</v>
      </c>
    </row>
    <row r="5297" spans="1:7" x14ac:dyDescent="0.25">
      <c r="A5297">
        <v>22</v>
      </c>
      <c r="B5297" t="s">
        <v>4883</v>
      </c>
      <c r="C5297">
        <v>16690</v>
      </c>
      <c r="D5297" t="str">
        <f>"1462-3528"</f>
        <v>1462-3528</v>
      </c>
      <c r="E5297" t="s">
        <v>8</v>
      </c>
      <c r="F5297" t="s">
        <v>5301</v>
      </c>
      <c r="G5297">
        <v>1</v>
      </c>
    </row>
    <row r="5298" spans="1:7" x14ac:dyDescent="0.25">
      <c r="A5298">
        <v>22</v>
      </c>
      <c r="B5298" t="s">
        <v>4883</v>
      </c>
      <c r="C5298">
        <v>8778662</v>
      </c>
      <c r="D5298" t="str">
        <f>"2057-3170"</f>
        <v>2057-3170</v>
      </c>
      <c r="E5298" t="s">
        <v>8</v>
      </c>
      <c r="F5298" t="s">
        <v>5302</v>
      </c>
      <c r="G5298">
        <v>1</v>
      </c>
    </row>
    <row r="5299" spans="1:7" x14ac:dyDescent="0.25">
      <c r="A5299">
        <v>22</v>
      </c>
      <c r="B5299" t="s">
        <v>4883</v>
      </c>
      <c r="C5299">
        <v>4551</v>
      </c>
      <c r="D5299" t="str">
        <f>"1389-4978"</f>
        <v>1389-4978</v>
      </c>
      <c r="E5299" t="s">
        <v>8</v>
      </c>
      <c r="F5299" t="s">
        <v>5303</v>
      </c>
      <c r="G5299">
        <v>1</v>
      </c>
    </row>
    <row r="5300" spans="1:7" x14ac:dyDescent="0.25">
      <c r="A5300">
        <v>22</v>
      </c>
      <c r="B5300" t="s">
        <v>4883</v>
      </c>
      <c r="C5300">
        <v>9411</v>
      </c>
      <c r="D5300" t="str">
        <f>"0022-1856"</f>
        <v>0022-1856</v>
      </c>
      <c r="E5300" t="s">
        <v>8</v>
      </c>
      <c r="F5300" t="s">
        <v>5304</v>
      </c>
      <c r="G5300">
        <v>1</v>
      </c>
    </row>
    <row r="5301" spans="1:7" x14ac:dyDescent="0.25">
      <c r="A5301">
        <v>22</v>
      </c>
      <c r="B5301" t="s">
        <v>4883</v>
      </c>
      <c r="C5301">
        <v>18536</v>
      </c>
      <c r="D5301" t="str">
        <f>"0022-197X"</f>
        <v>0022-197X</v>
      </c>
      <c r="E5301" t="s">
        <v>8</v>
      </c>
      <c r="F5301" t="s">
        <v>5305</v>
      </c>
      <c r="G5301">
        <v>1</v>
      </c>
    </row>
    <row r="5302" spans="1:7" x14ac:dyDescent="0.25">
      <c r="A5302">
        <v>22</v>
      </c>
      <c r="B5302" t="s">
        <v>4883</v>
      </c>
      <c r="C5302">
        <v>21339</v>
      </c>
      <c r="D5302" t="str">
        <f>"2169-9763"</f>
        <v>2169-9763</v>
      </c>
      <c r="E5302" t="s">
        <v>8</v>
      </c>
      <c r="F5302" t="s">
        <v>5306</v>
      </c>
      <c r="G5302">
        <v>1</v>
      </c>
    </row>
    <row r="5303" spans="1:7" x14ac:dyDescent="0.25">
      <c r="A5303">
        <v>22</v>
      </c>
      <c r="B5303" t="s">
        <v>4883</v>
      </c>
      <c r="C5303">
        <v>97140</v>
      </c>
      <c r="D5303" t="str">
        <f>"1755-0882"</f>
        <v>1755-0882</v>
      </c>
      <c r="E5303" t="s">
        <v>8</v>
      </c>
      <c r="F5303" t="s">
        <v>5307</v>
      </c>
      <c r="G5303">
        <v>1</v>
      </c>
    </row>
    <row r="5304" spans="1:7" x14ac:dyDescent="0.25">
      <c r="A5304">
        <v>22</v>
      </c>
      <c r="B5304" t="s">
        <v>4883</v>
      </c>
      <c r="C5304">
        <v>6170316</v>
      </c>
      <c r="D5304" t="str">
        <f>"1597-3522"</f>
        <v>1597-3522</v>
      </c>
      <c r="E5304" t="s">
        <v>8</v>
      </c>
      <c r="F5304" t="s">
        <v>5308</v>
      </c>
      <c r="G5304">
        <v>1</v>
      </c>
    </row>
    <row r="5305" spans="1:7" x14ac:dyDescent="0.25">
      <c r="A5305">
        <v>22</v>
      </c>
      <c r="B5305" t="s">
        <v>4883</v>
      </c>
      <c r="C5305">
        <v>2013</v>
      </c>
      <c r="D5305" t="str">
        <f>"1408-6980"</f>
        <v>1408-6980</v>
      </c>
      <c r="E5305" t="s">
        <v>8</v>
      </c>
      <c r="F5305" t="s">
        <v>5309</v>
      </c>
      <c r="G5305">
        <v>1</v>
      </c>
    </row>
    <row r="5306" spans="1:7" x14ac:dyDescent="0.25">
      <c r="A5306">
        <v>22</v>
      </c>
      <c r="B5306" t="s">
        <v>4883</v>
      </c>
      <c r="C5306">
        <v>23360</v>
      </c>
      <c r="D5306" t="str">
        <f>"1750-2977"</f>
        <v>1750-2977</v>
      </c>
      <c r="E5306" t="s">
        <v>8</v>
      </c>
      <c r="F5306" t="s">
        <v>5310</v>
      </c>
      <c r="G5306">
        <v>1</v>
      </c>
    </row>
    <row r="5307" spans="1:7" x14ac:dyDescent="0.25">
      <c r="A5307">
        <v>22</v>
      </c>
      <c r="B5307" t="s">
        <v>4883</v>
      </c>
      <c r="C5307">
        <v>170334</v>
      </c>
      <c r="D5307" t="str">
        <f>"2251-2853"</f>
        <v>2251-2853</v>
      </c>
      <c r="E5307" t="s">
        <v>8</v>
      </c>
      <c r="F5307" t="s">
        <v>5311</v>
      </c>
      <c r="G5307">
        <v>1</v>
      </c>
    </row>
    <row r="5308" spans="1:7" x14ac:dyDescent="0.25">
      <c r="A5308">
        <v>22</v>
      </c>
      <c r="B5308" t="s">
        <v>4883</v>
      </c>
      <c r="C5308">
        <v>8781935</v>
      </c>
      <c r="E5308" t="s">
        <v>8</v>
      </c>
      <c r="F5308" t="s">
        <v>5312</v>
      </c>
      <c r="G5308">
        <v>1</v>
      </c>
    </row>
    <row r="5309" spans="1:7" x14ac:dyDescent="0.25">
      <c r="A5309">
        <v>22</v>
      </c>
      <c r="B5309" t="s">
        <v>4883</v>
      </c>
      <c r="C5309">
        <v>10604</v>
      </c>
      <c r="D5309" t="str">
        <f>"1542-3166"</f>
        <v>1542-3166</v>
      </c>
      <c r="E5309" t="s">
        <v>8</v>
      </c>
      <c r="F5309" t="s">
        <v>5313</v>
      </c>
      <c r="G5309">
        <v>1</v>
      </c>
    </row>
    <row r="5310" spans="1:7" x14ac:dyDescent="0.25">
      <c r="A5310">
        <v>22</v>
      </c>
      <c r="B5310" t="s">
        <v>4883</v>
      </c>
      <c r="C5310">
        <v>22127</v>
      </c>
      <c r="D5310" t="str">
        <f>"1558-8742"</f>
        <v>1558-8742</v>
      </c>
      <c r="E5310" t="s">
        <v>8</v>
      </c>
      <c r="F5310" t="s">
        <v>5314</v>
      </c>
      <c r="G5310">
        <v>1</v>
      </c>
    </row>
    <row r="5311" spans="1:7" x14ac:dyDescent="0.25">
      <c r="A5311">
        <v>22</v>
      </c>
      <c r="B5311" t="s">
        <v>4883</v>
      </c>
      <c r="C5311">
        <v>12704</v>
      </c>
      <c r="D5311" t="str">
        <f>"1073-0451"</f>
        <v>1073-0451</v>
      </c>
      <c r="E5311" t="s">
        <v>8</v>
      </c>
      <c r="F5311" t="s">
        <v>5315</v>
      </c>
      <c r="G5311">
        <v>1</v>
      </c>
    </row>
    <row r="5312" spans="1:7" x14ac:dyDescent="0.25">
      <c r="A5312">
        <v>22</v>
      </c>
      <c r="B5312" t="s">
        <v>4883</v>
      </c>
      <c r="C5312">
        <v>11031</v>
      </c>
      <c r="D5312" t="str">
        <f>"1356-9317"</f>
        <v>1356-9317</v>
      </c>
      <c r="E5312" t="s">
        <v>8</v>
      </c>
      <c r="F5312" t="s">
        <v>5316</v>
      </c>
      <c r="G5312">
        <v>1</v>
      </c>
    </row>
    <row r="5313" spans="1:7" x14ac:dyDescent="0.25">
      <c r="A5313">
        <v>22</v>
      </c>
      <c r="B5313" t="s">
        <v>4883</v>
      </c>
      <c r="C5313">
        <v>20208</v>
      </c>
      <c r="D5313" t="str">
        <f>"1551-2169"</f>
        <v>1551-2169</v>
      </c>
      <c r="E5313" t="s">
        <v>8</v>
      </c>
      <c r="F5313" t="s">
        <v>5317</v>
      </c>
      <c r="G5313">
        <v>1</v>
      </c>
    </row>
    <row r="5314" spans="1:7" x14ac:dyDescent="0.25">
      <c r="A5314">
        <v>22</v>
      </c>
      <c r="B5314" t="s">
        <v>4883</v>
      </c>
      <c r="C5314">
        <v>113565</v>
      </c>
      <c r="D5314" t="str">
        <f>"1874-7884"</f>
        <v>1874-7884</v>
      </c>
      <c r="E5314" t="s">
        <v>8</v>
      </c>
      <c r="F5314" t="s">
        <v>5318</v>
      </c>
      <c r="G5314">
        <v>1</v>
      </c>
    </row>
    <row r="5315" spans="1:7" x14ac:dyDescent="0.25">
      <c r="A5315">
        <v>22</v>
      </c>
      <c r="B5315" t="s">
        <v>4883</v>
      </c>
      <c r="C5315">
        <v>10233</v>
      </c>
      <c r="D5315" t="str">
        <f>"1472-3891"</f>
        <v>1472-3891</v>
      </c>
      <c r="E5315" t="s">
        <v>8</v>
      </c>
      <c r="F5315" t="s">
        <v>5319</v>
      </c>
      <c r="G5315">
        <v>1</v>
      </c>
    </row>
    <row r="5316" spans="1:7" x14ac:dyDescent="0.25">
      <c r="A5316">
        <v>22</v>
      </c>
      <c r="B5316" t="s">
        <v>4883</v>
      </c>
      <c r="C5316">
        <v>144495</v>
      </c>
      <c r="D5316" t="str">
        <f>"1523-6803"</f>
        <v>1523-6803</v>
      </c>
      <c r="E5316" t="s">
        <v>8</v>
      </c>
      <c r="F5316" t="s">
        <v>5320</v>
      </c>
      <c r="G5316">
        <v>1</v>
      </c>
    </row>
    <row r="5317" spans="1:7" x14ac:dyDescent="0.25">
      <c r="A5317">
        <v>22</v>
      </c>
      <c r="B5317" t="s">
        <v>4883</v>
      </c>
      <c r="C5317">
        <v>45234</v>
      </c>
      <c r="E5317" t="s">
        <v>8</v>
      </c>
      <c r="F5317" t="s">
        <v>5321</v>
      </c>
      <c r="G5317">
        <v>1</v>
      </c>
    </row>
    <row r="5318" spans="1:7" x14ac:dyDescent="0.25">
      <c r="A5318">
        <v>22</v>
      </c>
      <c r="B5318" t="s">
        <v>4883</v>
      </c>
      <c r="C5318">
        <v>8764445</v>
      </c>
      <c r="D5318" t="str">
        <f>"2217-995X"</f>
        <v>2217-995X</v>
      </c>
      <c r="E5318" t="s">
        <v>8</v>
      </c>
      <c r="F5318" t="s">
        <v>5322</v>
      </c>
      <c r="G5318">
        <v>1</v>
      </c>
    </row>
    <row r="5319" spans="1:7" x14ac:dyDescent="0.25">
      <c r="A5319">
        <v>22</v>
      </c>
      <c r="B5319" t="s">
        <v>4883</v>
      </c>
      <c r="C5319">
        <v>7700439</v>
      </c>
      <c r="D5319" t="str">
        <f>"2067-2640"</f>
        <v>2067-2640</v>
      </c>
      <c r="E5319" t="s">
        <v>8</v>
      </c>
      <c r="F5319" t="s">
        <v>5323</v>
      </c>
      <c r="G5319">
        <v>1</v>
      </c>
    </row>
    <row r="5320" spans="1:7" x14ac:dyDescent="0.25">
      <c r="A5320">
        <v>22</v>
      </c>
      <c r="B5320" t="s">
        <v>4883</v>
      </c>
      <c r="C5320">
        <v>17212</v>
      </c>
      <c r="D5320" t="str">
        <f>"0278-839X"</f>
        <v>0278-839X</v>
      </c>
      <c r="E5320" t="s">
        <v>8</v>
      </c>
      <c r="F5320" t="s">
        <v>5324</v>
      </c>
      <c r="G5320">
        <v>1</v>
      </c>
    </row>
    <row r="5321" spans="1:7" x14ac:dyDescent="0.25">
      <c r="A5321">
        <v>22</v>
      </c>
      <c r="B5321" t="s">
        <v>4883</v>
      </c>
      <c r="C5321">
        <v>8768607</v>
      </c>
      <c r="D5321" t="str">
        <f>"2055-5636"</f>
        <v>2055-5636</v>
      </c>
      <c r="E5321" t="s">
        <v>8</v>
      </c>
      <c r="F5321" t="s">
        <v>5325</v>
      </c>
      <c r="G5321">
        <v>1</v>
      </c>
    </row>
    <row r="5322" spans="1:7" x14ac:dyDescent="0.25">
      <c r="A5322">
        <v>22</v>
      </c>
      <c r="B5322" t="s">
        <v>4883</v>
      </c>
      <c r="C5322">
        <v>7322</v>
      </c>
      <c r="D5322" t="str">
        <f>"0140-2390"</f>
        <v>0140-2390</v>
      </c>
      <c r="E5322" t="s">
        <v>8</v>
      </c>
      <c r="F5322" t="s">
        <v>5326</v>
      </c>
      <c r="G5322">
        <v>1</v>
      </c>
    </row>
    <row r="5323" spans="1:7" x14ac:dyDescent="0.25">
      <c r="A5323">
        <v>22</v>
      </c>
      <c r="B5323" t="s">
        <v>4883</v>
      </c>
      <c r="C5323">
        <v>2239</v>
      </c>
      <c r="D5323" t="str">
        <f>"0951-6298"</f>
        <v>0951-6298</v>
      </c>
      <c r="E5323" t="s">
        <v>8</v>
      </c>
      <c r="F5323" t="s">
        <v>5327</v>
      </c>
      <c r="G5323">
        <v>1</v>
      </c>
    </row>
    <row r="5324" spans="1:7" x14ac:dyDescent="0.25">
      <c r="A5324">
        <v>22</v>
      </c>
      <c r="B5324" t="s">
        <v>4883</v>
      </c>
      <c r="C5324">
        <v>170320</v>
      </c>
      <c r="E5324" t="s">
        <v>15</v>
      </c>
      <c r="F5324" t="s">
        <v>5328</v>
      </c>
      <c r="G5324">
        <v>1</v>
      </c>
    </row>
    <row r="5325" spans="1:7" x14ac:dyDescent="0.25">
      <c r="A5325">
        <v>22</v>
      </c>
      <c r="B5325" t="s">
        <v>4883</v>
      </c>
      <c r="C5325">
        <v>170166</v>
      </c>
      <c r="E5325" t="s">
        <v>15</v>
      </c>
      <c r="F5325" t="s">
        <v>5329</v>
      </c>
      <c r="G5325">
        <v>1</v>
      </c>
    </row>
    <row r="5326" spans="1:7" x14ac:dyDescent="0.25">
      <c r="A5326">
        <v>22</v>
      </c>
      <c r="B5326" t="s">
        <v>4883</v>
      </c>
      <c r="C5326">
        <v>11457</v>
      </c>
      <c r="D5326" t="str">
        <f>"1402-8700"</f>
        <v>1402-8700</v>
      </c>
      <c r="E5326" t="s">
        <v>8</v>
      </c>
      <c r="F5326" t="s">
        <v>5330</v>
      </c>
      <c r="G5326">
        <v>1</v>
      </c>
    </row>
    <row r="5327" spans="1:7" x14ac:dyDescent="0.25">
      <c r="A5327">
        <v>22</v>
      </c>
      <c r="B5327" t="s">
        <v>4883</v>
      </c>
      <c r="C5327">
        <v>170285</v>
      </c>
      <c r="D5327" t="str">
        <f>"1866-1270"</f>
        <v>1866-1270</v>
      </c>
      <c r="E5327" t="s">
        <v>15</v>
      </c>
      <c r="F5327" t="s">
        <v>5331</v>
      </c>
      <c r="G5327">
        <v>1</v>
      </c>
    </row>
    <row r="5328" spans="1:7" x14ac:dyDescent="0.25">
      <c r="A5328">
        <v>22</v>
      </c>
      <c r="B5328" t="s">
        <v>4883</v>
      </c>
      <c r="C5328">
        <v>600</v>
      </c>
      <c r="D5328" t="str">
        <f>"1016-3271"</f>
        <v>1016-3271</v>
      </c>
      <c r="E5328" t="s">
        <v>8</v>
      </c>
      <c r="F5328" t="s">
        <v>5332</v>
      </c>
      <c r="G5328">
        <v>1</v>
      </c>
    </row>
    <row r="5329" spans="1:7" x14ac:dyDescent="0.25">
      <c r="A5329">
        <v>22</v>
      </c>
      <c r="B5329" t="s">
        <v>4883</v>
      </c>
      <c r="C5329">
        <v>133174</v>
      </c>
      <c r="D5329" t="str">
        <f>"1287-1672"</f>
        <v>1287-1672</v>
      </c>
      <c r="E5329" t="s">
        <v>8</v>
      </c>
      <c r="F5329" t="s">
        <v>5333</v>
      </c>
      <c r="G5329">
        <v>1</v>
      </c>
    </row>
    <row r="5330" spans="1:7" x14ac:dyDescent="0.25">
      <c r="A5330">
        <v>22</v>
      </c>
      <c r="B5330" t="s">
        <v>4883</v>
      </c>
      <c r="C5330">
        <v>59055</v>
      </c>
      <c r="D5330" t="str">
        <f>"1253-1871"</f>
        <v>1253-1871</v>
      </c>
      <c r="E5330" t="s">
        <v>8</v>
      </c>
      <c r="F5330" t="s">
        <v>5334</v>
      </c>
      <c r="G5330">
        <v>1</v>
      </c>
    </row>
    <row r="5331" spans="1:7" x14ac:dyDescent="0.25">
      <c r="A5331">
        <v>22</v>
      </c>
      <c r="B5331" t="s">
        <v>4883</v>
      </c>
      <c r="C5331">
        <v>16615</v>
      </c>
      <c r="D5331" t="str">
        <f>"0340-0425"</f>
        <v>0340-0425</v>
      </c>
      <c r="E5331" t="s">
        <v>8</v>
      </c>
      <c r="F5331" t="s">
        <v>5335</v>
      </c>
      <c r="G5331">
        <v>1</v>
      </c>
    </row>
    <row r="5332" spans="1:7" x14ac:dyDescent="0.25">
      <c r="A5332">
        <v>22</v>
      </c>
      <c r="B5332" t="s">
        <v>4883</v>
      </c>
      <c r="C5332">
        <v>156490</v>
      </c>
      <c r="D5332" t="str">
        <f>"1581-5374"</f>
        <v>1581-5374</v>
      </c>
      <c r="E5332" t="s">
        <v>8</v>
      </c>
      <c r="F5332" t="s">
        <v>5336</v>
      </c>
      <c r="G5332">
        <v>1</v>
      </c>
    </row>
    <row r="5333" spans="1:7" x14ac:dyDescent="0.25">
      <c r="A5333">
        <v>22</v>
      </c>
      <c r="B5333" t="s">
        <v>4883</v>
      </c>
      <c r="C5333">
        <v>170137</v>
      </c>
      <c r="E5333" t="s">
        <v>15</v>
      </c>
      <c r="F5333" t="s">
        <v>5337</v>
      </c>
      <c r="G5333">
        <v>1</v>
      </c>
    </row>
    <row r="5334" spans="1:7" x14ac:dyDescent="0.25">
      <c r="A5334">
        <v>22</v>
      </c>
      <c r="B5334" t="s">
        <v>4883</v>
      </c>
      <c r="C5334">
        <v>170291</v>
      </c>
      <c r="D5334" t="str">
        <f>"1566-7669"</f>
        <v>1566-7669</v>
      </c>
      <c r="E5334" t="s">
        <v>15</v>
      </c>
      <c r="F5334" t="s">
        <v>5338</v>
      </c>
      <c r="G5334">
        <v>1</v>
      </c>
    </row>
    <row r="5335" spans="1:7" x14ac:dyDescent="0.25">
      <c r="A5335">
        <v>22</v>
      </c>
      <c r="B5335" t="s">
        <v>4883</v>
      </c>
      <c r="C5335">
        <v>13852</v>
      </c>
      <c r="E5335" t="s">
        <v>8</v>
      </c>
      <c r="F5335" t="s">
        <v>5339</v>
      </c>
      <c r="G5335">
        <v>1</v>
      </c>
    </row>
    <row r="5336" spans="1:7" x14ac:dyDescent="0.25">
      <c r="A5336">
        <v>22</v>
      </c>
      <c r="B5336" t="s">
        <v>4883</v>
      </c>
      <c r="C5336">
        <v>170158</v>
      </c>
      <c r="E5336" t="s">
        <v>15</v>
      </c>
      <c r="F5336" t="s">
        <v>5340</v>
      </c>
      <c r="G5336">
        <v>1</v>
      </c>
    </row>
    <row r="5337" spans="1:7" x14ac:dyDescent="0.25">
      <c r="A5337">
        <v>22</v>
      </c>
      <c r="B5337" t="s">
        <v>4883</v>
      </c>
      <c r="C5337">
        <v>170167</v>
      </c>
      <c r="E5337" t="s">
        <v>15</v>
      </c>
      <c r="F5337" t="s">
        <v>5341</v>
      </c>
      <c r="G5337">
        <v>1</v>
      </c>
    </row>
    <row r="5338" spans="1:7" x14ac:dyDescent="0.25">
      <c r="A5338">
        <v>22</v>
      </c>
      <c r="B5338" t="s">
        <v>4883</v>
      </c>
      <c r="C5338">
        <v>170144</v>
      </c>
      <c r="E5338" t="s">
        <v>15</v>
      </c>
      <c r="F5338" t="s">
        <v>5342</v>
      </c>
      <c r="G5338">
        <v>1</v>
      </c>
    </row>
    <row r="5339" spans="1:7" x14ac:dyDescent="0.25">
      <c r="A5339">
        <v>22</v>
      </c>
      <c r="B5339" t="s">
        <v>4883</v>
      </c>
      <c r="C5339">
        <v>23029</v>
      </c>
      <c r="D5339" t="str">
        <f>"0892-0206"</f>
        <v>0892-0206</v>
      </c>
      <c r="E5339" t="s">
        <v>8</v>
      </c>
      <c r="F5339" t="s">
        <v>5343</v>
      </c>
      <c r="G5339">
        <v>1</v>
      </c>
    </row>
    <row r="5340" spans="1:7" x14ac:dyDescent="0.25">
      <c r="A5340">
        <v>22</v>
      </c>
      <c r="B5340" t="s">
        <v>4883</v>
      </c>
      <c r="C5340">
        <v>170303</v>
      </c>
      <c r="E5340" t="s">
        <v>15</v>
      </c>
      <c r="F5340" t="s">
        <v>5344</v>
      </c>
      <c r="G5340">
        <v>1</v>
      </c>
    </row>
    <row r="5341" spans="1:7" x14ac:dyDescent="0.25">
      <c r="A5341">
        <v>22</v>
      </c>
      <c r="B5341" t="s">
        <v>4883</v>
      </c>
      <c r="C5341">
        <v>8782817</v>
      </c>
      <c r="D5341" t="str">
        <f>"1904-3384"</f>
        <v>1904-3384</v>
      </c>
      <c r="E5341" t="s">
        <v>15</v>
      </c>
      <c r="F5341" t="s">
        <v>5345</v>
      </c>
      <c r="G5341">
        <v>1</v>
      </c>
    </row>
    <row r="5342" spans="1:7" x14ac:dyDescent="0.25">
      <c r="A5342">
        <v>22</v>
      </c>
      <c r="B5342" t="s">
        <v>4883</v>
      </c>
      <c r="C5342">
        <v>170186</v>
      </c>
      <c r="E5342" t="s">
        <v>15</v>
      </c>
      <c r="F5342" t="s">
        <v>5346</v>
      </c>
      <c r="G5342">
        <v>1</v>
      </c>
    </row>
    <row r="5343" spans="1:7" x14ac:dyDescent="0.25">
      <c r="A5343">
        <v>22</v>
      </c>
      <c r="B5343" t="s">
        <v>4883</v>
      </c>
      <c r="C5343">
        <v>170111</v>
      </c>
      <c r="D5343" t="str">
        <f>"2045-3083"</f>
        <v>2045-3083</v>
      </c>
      <c r="E5343" t="s">
        <v>8</v>
      </c>
      <c r="F5343" t="s">
        <v>5347</v>
      </c>
      <c r="G5343">
        <v>1</v>
      </c>
    </row>
    <row r="5344" spans="1:7" x14ac:dyDescent="0.25">
      <c r="A5344">
        <v>22</v>
      </c>
      <c r="B5344" t="s">
        <v>4883</v>
      </c>
      <c r="C5344">
        <v>27790</v>
      </c>
      <c r="D5344" t="str">
        <f>"1565-8996"</f>
        <v>1565-8996</v>
      </c>
      <c r="E5344" t="s">
        <v>8</v>
      </c>
      <c r="F5344" t="s">
        <v>5348</v>
      </c>
      <c r="G5344">
        <v>1</v>
      </c>
    </row>
    <row r="5345" spans="1:7" x14ac:dyDescent="0.25">
      <c r="A5345">
        <v>22</v>
      </c>
      <c r="B5345" t="s">
        <v>4883</v>
      </c>
      <c r="C5345">
        <v>170228</v>
      </c>
      <c r="E5345" t="s">
        <v>15</v>
      </c>
      <c r="F5345" t="s">
        <v>5349</v>
      </c>
      <c r="G5345">
        <v>1</v>
      </c>
    </row>
    <row r="5346" spans="1:7" x14ac:dyDescent="0.25">
      <c r="A5346">
        <v>22</v>
      </c>
      <c r="B5346" t="s">
        <v>4883</v>
      </c>
      <c r="C5346">
        <v>170227</v>
      </c>
      <c r="E5346" t="s">
        <v>15</v>
      </c>
      <c r="F5346" t="s">
        <v>5350</v>
      </c>
      <c r="G5346">
        <v>1</v>
      </c>
    </row>
    <row r="5347" spans="1:7" x14ac:dyDescent="0.25">
      <c r="A5347">
        <v>22</v>
      </c>
      <c r="B5347" t="s">
        <v>4883</v>
      </c>
      <c r="C5347">
        <v>8782818</v>
      </c>
      <c r="D5347" t="str">
        <f>"0948-2555"</f>
        <v>0948-2555</v>
      </c>
      <c r="E5347" t="s">
        <v>15</v>
      </c>
      <c r="F5347" t="s">
        <v>5351</v>
      </c>
      <c r="G5347">
        <v>1</v>
      </c>
    </row>
    <row r="5348" spans="1:7" x14ac:dyDescent="0.25">
      <c r="A5348">
        <v>22</v>
      </c>
      <c r="B5348" t="s">
        <v>4883</v>
      </c>
      <c r="C5348">
        <v>170181</v>
      </c>
      <c r="E5348" t="s">
        <v>15</v>
      </c>
      <c r="F5348" t="s">
        <v>5352</v>
      </c>
      <c r="G5348">
        <v>1</v>
      </c>
    </row>
    <row r="5349" spans="1:7" x14ac:dyDescent="0.25">
      <c r="A5349">
        <v>22</v>
      </c>
      <c r="B5349" t="s">
        <v>4883</v>
      </c>
      <c r="C5349">
        <v>9088</v>
      </c>
      <c r="D5349" t="str">
        <f>"0027-0520"</f>
        <v>0027-0520</v>
      </c>
      <c r="E5349" t="s">
        <v>8</v>
      </c>
      <c r="F5349" t="s">
        <v>5353</v>
      </c>
      <c r="G5349">
        <v>1</v>
      </c>
    </row>
    <row r="5350" spans="1:7" x14ac:dyDescent="0.25">
      <c r="A5350">
        <v>22</v>
      </c>
      <c r="B5350" t="s">
        <v>4883</v>
      </c>
      <c r="C5350">
        <v>170304</v>
      </c>
      <c r="E5350" t="s">
        <v>15</v>
      </c>
      <c r="F5350" t="s">
        <v>5354</v>
      </c>
      <c r="G5350">
        <v>1</v>
      </c>
    </row>
    <row r="5351" spans="1:7" x14ac:dyDescent="0.25">
      <c r="A5351">
        <v>22</v>
      </c>
      <c r="B5351" t="s">
        <v>4883</v>
      </c>
      <c r="C5351">
        <v>170231</v>
      </c>
      <c r="E5351" t="s">
        <v>15</v>
      </c>
      <c r="F5351" t="s">
        <v>5355</v>
      </c>
      <c r="G5351">
        <v>1</v>
      </c>
    </row>
    <row r="5352" spans="1:7" x14ac:dyDescent="0.25">
      <c r="A5352">
        <v>22</v>
      </c>
      <c r="B5352" t="s">
        <v>4883</v>
      </c>
      <c r="C5352">
        <v>170323</v>
      </c>
      <c r="E5352" t="s">
        <v>15</v>
      </c>
      <c r="F5352" t="s">
        <v>5356</v>
      </c>
      <c r="G5352">
        <v>1</v>
      </c>
    </row>
    <row r="5353" spans="1:7" x14ac:dyDescent="0.25">
      <c r="A5353">
        <v>22</v>
      </c>
      <c r="B5353" t="s">
        <v>4883</v>
      </c>
      <c r="C5353">
        <v>170306</v>
      </c>
      <c r="E5353" t="s">
        <v>15</v>
      </c>
      <c r="F5353" t="s">
        <v>5357</v>
      </c>
      <c r="G5353">
        <v>1</v>
      </c>
    </row>
    <row r="5354" spans="1:7" x14ac:dyDescent="0.25">
      <c r="A5354">
        <v>22</v>
      </c>
      <c r="B5354" t="s">
        <v>4883</v>
      </c>
      <c r="C5354">
        <v>170307</v>
      </c>
      <c r="E5354" t="s">
        <v>15</v>
      </c>
      <c r="F5354" t="s">
        <v>5358</v>
      </c>
      <c r="G5354">
        <v>1</v>
      </c>
    </row>
    <row r="5355" spans="1:7" x14ac:dyDescent="0.25">
      <c r="A5355">
        <v>22</v>
      </c>
      <c r="B5355" t="s">
        <v>4883</v>
      </c>
      <c r="C5355">
        <v>170308</v>
      </c>
      <c r="E5355" t="s">
        <v>15</v>
      </c>
      <c r="F5355" t="s">
        <v>5359</v>
      </c>
      <c r="G5355">
        <v>1</v>
      </c>
    </row>
    <row r="5356" spans="1:7" x14ac:dyDescent="0.25">
      <c r="A5356">
        <v>22</v>
      </c>
      <c r="B5356" t="s">
        <v>4883</v>
      </c>
      <c r="C5356">
        <v>23250</v>
      </c>
      <c r="D5356" t="str">
        <f>"0027-9013"</f>
        <v>0027-9013</v>
      </c>
      <c r="E5356" t="s">
        <v>8</v>
      </c>
      <c r="F5356" t="s">
        <v>5360</v>
      </c>
      <c r="G5356">
        <v>1</v>
      </c>
    </row>
    <row r="5357" spans="1:7" x14ac:dyDescent="0.25">
      <c r="A5357">
        <v>22</v>
      </c>
      <c r="B5357" t="s">
        <v>4883</v>
      </c>
      <c r="C5357">
        <v>7698900</v>
      </c>
      <c r="D5357" t="str">
        <f>"1876-5645"</f>
        <v>1876-5645</v>
      </c>
      <c r="E5357" t="s">
        <v>15</v>
      </c>
      <c r="F5357" t="s">
        <v>5361</v>
      </c>
      <c r="G5357">
        <v>1</v>
      </c>
    </row>
    <row r="5358" spans="1:7" x14ac:dyDescent="0.25">
      <c r="A5358">
        <v>22</v>
      </c>
      <c r="B5358" t="s">
        <v>4883</v>
      </c>
      <c r="C5358">
        <v>16877</v>
      </c>
      <c r="D5358" t="str">
        <f>"1353-7113"</f>
        <v>1353-7113</v>
      </c>
      <c r="E5358" t="s">
        <v>8</v>
      </c>
      <c r="F5358" t="s">
        <v>5362</v>
      </c>
      <c r="G5358">
        <v>1</v>
      </c>
    </row>
    <row r="5359" spans="1:7" x14ac:dyDescent="0.25">
      <c r="A5359">
        <v>22</v>
      </c>
      <c r="B5359" t="s">
        <v>4883</v>
      </c>
      <c r="C5359">
        <v>6478</v>
      </c>
      <c r="D5359" t="str">
        <f>"1409-9454"</f>
        <v>1409-9454</v>
      </c>
      <c r="E5359" t="s">
        <v>8</v>
      </c>
      <c r="F5359" t="s">
        <v>5363</v>
      </c>
      <c r="G5359">
        <v>1</v>
      </c>
    </row>
    <row r="5360" spans="1:7" x14ac:dyDescent="0.25">
      <c r="A5360">
        <v>22</v>
      </c>
      <c r="B5360" t="s">
        <v>4883</v>
      </c>
      <c r="C5360">
        <v>83997</v>
      </c>
      <c r="D5360" t="str">
        <f>"0749-016X"</f>
        <v>0749-016X</v>
      </c>
      <c r="E5360" t="s">
        <v>8</v>
      </c>
      <c r="F5360" t="s">
        <v>5364</v>
      </c>
      <c r="G5360">
        <v>1</v>
      </c>
    </row>
    <row r="5361" spans="1:7" x14ac:dyDescent="0.25">
      <c r="A5361">
        <v>22</v>
      </c>
      <c r="B5361" t="s">
        <v>4883</v>
      </c>
      <c r="C5361">
        <v>170183</v>
      </c>
      <c r="E5361" t="s">
        <v>15</v>
      </c>
      <c r="F5361" t="s">
        <v>5365</v>
      </c>
      <c r="G5361">
        <v>1</v>
      </c>
    </row>
    <row r="5362" spans="1:7" x14ac:dyDescent="0.25">
      <c r="A5362">
        <v>22</v>
      </c>
      <c r="B5362" t="s">
        <v>4883</v>
      </c>
      <c r="C5362">
        <v>148814</v>
      </c>
      <c r="D5362" t="str">
        <f>"1804-6290"</f>
        <v>1804-6290</v>
      </c>
      <c r="E5362" t="s">
        <v>8</v>
      </c>
      <c r="F5362" t="s">
        <v>5366</v>
      </c>
      <c r="G5362">
        <v>1</v>
      </c>
    </row>
    <row r="5363" spans="1:7" x14ac:dyDescent="0.25">
      <c r="A5363">
        <v>22</v>
      </c>
      <c r="B5363" t="s">
        <v>4883</v>
      </c>
      <c r="C5363">
        <v>8783548</v>
      </c>
      <c r="E5363" t="s">
        <v>15</v>
      </c>
      <c r="F5363" t="s">
        <v>5367</v>
      </c>
      <c r="G5363">
        <v>1</v>
      </c>
    </row>
    <row r="5364" spans="1:7" x14ac:dyDescent="0.25">
      <c r="A5364">
        <v>22</v>
      </c>
      <c r="B5364" t="s">
        <v>4883</v>
      </c>
      <c r="C5364">
        <v>2038</v>
      </c>
      <c r="D5364" t="str">
        <f>"0893-7850"</f>
        <v>0893-7850</v>
      </c>
      <c r="E5364" t="s">
        <v>8</v>
      </c>
      <c r="F5364" t="s">
        <v>5368</v>
      </c>
      <c r="G5364">
        <v>1</v>
      </c>
    </row>
    <row r="5365" spans="1:7" x14ac:dyDescent="0.25">
      <c r="A5365">
        <v>22</v>
      </c>
      <c r="B5365" t="s">
        <v>4883</v>
      </c>
      <c r="C5365">
        <v>4107</v>
      </c>
      <c r="D5365" t="str">
        <f>"0739-3148"</f>
        <v>0739-3148</v>
      </c>
      <c r="E5365" t="s">
        <v>8</v>
      </c>
      <c r="F5365" t="s">
        <v>5369</v>
      </c>
      <c r="G5365">
        <v>1</v>
      </c>
    </row>
    <row r="5366" spans="1:7" x14ac:dyDescent="0.25">
      <c r="A5366">
        <v>22</v>
      </c>
      <c r="B5366" t="s">
        <v>4883</v>
      </c>
      <c r="C5366">
        <v>153023</v>
      </c>
      <c r="D5366" t="str">
        <f>"1179-2965"</f>
        <v>1179-2965</v>
      </c>
      <c r="E5366" t="s">
        <v>8</v>
      </c>
      <c r="F5366" t="s">
        <v>5370</v>
      </c>
      <c r="G5366">
        <v>1</v>
      </c>
    </row>
    <row r="5367" spans="1:7" x14ac:dyDescent="0.25">
      <c r="A5367">
        <v>22</v>
      </c>
      <c r="B5367" t="s">
        <v>4883</v>
      </c>
      <c r="C5367">
        <v>156489</v>
      </c>
      <c r="D5367" t="str">
        <f>"1337-9038"</f>
        <v>1337-9038</v>
      </c>
      <c r="E5367" t="s">
        <v>8</v>
      </c>
      <c r="F5367" t="s">
        <v>5371</v>
      </c>
      <c r="G5367">
        <v>1</v>
      </c>
    </row>
    <row r="5368" spans="1:7" x14ac:dyDescent="0.25">
      <c r="A5368">
        <v>22</v>
      </c>
      <c r="B5368" t="s">
        <v>4883</v>
      </c>
      <c r="C5368">
        <v>170218</v>
      </c>
      <c r="E5368" t="s">
        <v>15</v>
      </c>
      <c r="F5368" t="s">
        <v>5372</v>
      </c>
      <c r="G5368">
        <v>1</v>
      </c>
    </row>
    <row r="5369" spans="1:7" x14ac:dyDescent="0.25">
      <c r="A5369">
        <v>22</v>
      </c>
      <c r="B5369" t="s">
        <v>4883</v>
      </c>
      <c r="C5369">
        <v>7720760</v>
      </c>
      <c r="D5369" t="str">
        <f>"2154-3348"</f>
        <v>2154-3348</v>
      </c>
      <c r="E5369" t="s">
        <v>8</v>
      </c>
      <c r="F5369" t="s">
        <v>5373</v>
      </c>
      <c r="G5369">
        <v>1</v>
      </c>
    </row>
    <row r="5370" spans="1:7" x14ac:dyDescent="0.25">
      <c r="A5370">
        <v>22</v>
      </c>
      <c r="B5370" t="s">
        <v>4883</v>
      </c>
      <c r="C5370">
        <v>170136</v>
      </c>
      <c r="E5370" t="s">
        <v>15</v>
      </c>
      <c r="F5370" t="s">
        <v>5374</v>
      </c>
      <c r="G5370">
        <v>1</v>
      </c>
    </row>
    <row r="5371" spans="1:7" x14ac:dyDescent="0.25">
      <c r="A5371">
        <v>22</v>
      </c>
      <c r="B5371" t="s">
        <v>4883</v>
      </c>
      <c r="C5371">
        <v>710</v>
      </c>
      <c r="D5371" t="str">
        <f>"1761-7677"</f>
        <v>1761-7677</v>
      </c>
      <c r="E5371" t="s">
        <v>8</v>
      </c>
      <c r="F5371" t="s">
        <v>5375</v>
      </c>
      <c r="G5371">
        <v>1</v>
      </c>
    </row>
    <row r="5372" spans="1:7" x14ac:dyDescent="0.25">
      <c r="A5372">
        <v>22</v>
      </c>
      <c r="B5372" t="s">
        <v>4883</v>
      </c>
      <c r="C5372">
        <v>849</v>
      </c>
      <c r="D5372" t="str">
        <f>"0029-1285"</f>
        <v>0029-1285</v>
      </c>
      <c r="E5372" t="s">
        <v>8</v>
      </c>
      <c r="F5372" t="s">
        <v>5376</v>
      </c>
      <c r="G5372">
        <v>1</v>
      </c>
    </row>
    <row r="5373" spans="1:7" x14ac:dyDescent="0.25">
      <c r="A5373">
        <v>22</v>
      </c>
      <c r="B5373" t="s">
        <v>4883</v>
      </c>
      <c r="C5373">
        <v>180068</v>
      </c>
      <c r="D5373" t="str">
        <f>"1501-8232"</f>
        <v>1501-8232</v>
      </c>
      <c r="E5373" t="s">
        <v>8</v>
      </c>
      <c r="F5373" t="s">
        <v>5377</v>
      </c>
      <c r="G5373">
        <v>1</v>
      </c>
    </row>
    <row r="5374" spans="1:7" x14ac:dyDescent="0.25">
      <c r="A5374">
        <v>22</v>
      </c>
      <c r="B5374" t="s">
        <v>4883</v>
      </c>
      <c r="C5374">
        <v>1549</v>
      </c>
      <c r="D5374" t="str">
        <f>"0801-1745"</f>
        <v>0801-1745</v>
      </c>
      <c r="E5374" t="s">
        <v>8</v>
      </c>
      <c r="F5374" t="s">
        <v>5378</v>
      </c>
      <c r="G5374">
        <v>1</v>
      </c>
    </row>
    <row r="5375" spans="1:7" x14ac:dyDescent="0.25">
      <c r="A5375">
        <v>22</v>
      </c>
      <c r="B5375" t="s">
        <v>4883</v>
      </c>
      <c r="C5375">
        <v>170191</v>
      </c>
      <c r="E5375" t="s">
        <v>15</v>
      </c>
      <c r="F5375" t="s">
        <v>5379</v>
      </c>
      <c r="G5375">
        <v>1</v>
      </c>
    </row>
    <row r="5376" spans="1:7" x14ac:dyDescent="0.25">
      <c r="A5376">
        <v>22</v>
      </c>
      <c r="B5376" t="s">
        <v>4883</v>
      </c>
      <c r="C5376">
        <v>7723419</v>
      </c>
      <c r="D5376" t="str">
        <f>"2164-0505"</f>
        <v>2164-0505</v>
      </c>
      <c r="E5376" t="s">
        <v>8</v>
      </c>
      <c r="F5376" t="s">
        <v>5380</v>
      </c>
      <c r="G5376">
        <v>1</v>
      </c>
    </row>
    <row r="5377" spans="1:7" x14ac:dyDescent="0.25">
      <c r="A5377">
        <v>22</v>
      </c>
      <c r="B5377" t="s">
        <v>4883</v>
      </c>
      <c r="C5377">
        <v>8286</v>
      </c>
      <c r="D5377" t="str">
        <f>"0030-5227"</f>
        <v>0030-5227</v>
      </c>
      <c r="E5377" t="s">
        <v>8</v>
      </c>
      <c r="F5377" t="s">
        <v>5381</v>
      </c>
      <c r="G5377">
        <v>1</v>
      </c>
    </row>
    <row r="5378" spans="1:7" x14ac:dyDescent="0.25">
      <c r="A5378">
        <v>22</v>
      </c>
      <c r="B5378" t="s">
        <v>4883</v>
      </c>
      <c r="C5378">
        <v>17160</v>
      </c>
      <c r="D5378" t="str">
        <f>"1225-4657"</f>
        <v>1225-4657</v>
      </c>
      <c r="E5378" t="s">
        <v>8</v>
      </c>
      <c r="F5378" t="s">
        <v>5382</v>
      </c>
      <c r="G5378">
        <v>1</v>
      </c>
    </row>
    <row r="5379" spans="1:7" x14ac:dyDescent="0.25">
      <c r="A5379">
        <v>22</v>
      </c>
      <c r="B5379" t="s">
        <v>4883</v>
      </c>
      <c r="C5379">
        <v>170230</v>
      </c>
      <c r="E5379" t="s">
        <v>15</v>
      </c>
      <c r="F5379" t="s">
        <v>5383</v>
      </c>
      <c r="G5379">
        <v>1</v>
      </c>
    </row>
    <row r="5380" spans="1:7" x14ac:dyDescent="0.25">
      <c r="A5380">
        <v>22</v>
      </c>
      <c r="B5380" t="s">
        <v>4883</v>
      </c>
      <c r="C5380">
        <v>8783549</v>
      </c>
      <c r="E5380" t="s">
        <v>15</v>
      </c>
      <c r="F5380" t="s">
        <v>5384</v>
      </c>
      <c r="G5380">
        <v>1</v>
      </c>
    </row>
    <row r="5381" spans="1:7" x14ac:dyDescent="0.25">
      <c r="A5381">
        <v>22</v>
      </c>
      <c r="B5381" t="s">
        <v>4883</v>
      </c>
      <c r="C5381">
        <v>8783550</v>
      </c>
      <c r="E5381" t="s">
        <v>15</v>
      </c>
      <c r="F5381" t="s">
        <v>5385</v>
      </c>
      <c r="G5381">
        <v>1</v>
      </c>
    </row>
    <row r="5382" spans="1:7" x14ac:dyDescent="0.25">
      <c r="A5382">
        <v>22</v>
      </c>
      <c r="B5382" t="s">
        <v>4883</v>
      </c>
      <c r="C5382">
        <v>170135</v>
      </c>
      <c r="E5382" t="s">
        <v>15</v>
      </c>
      <c r="F5382" t="s">
        <v>5386</v>
      </c>
      <c r="G5382">
        <v>1</v>
      </c>
    </row>
    <row r="5383" spans="1:7" x14ac:dyDescent="0.25">
      <c r="A5383">
        <v>22</v>
      </c>
      <c r="B5383" t="s">
        <v>4883</v>
      </c>
      <c r="C5383">
        <v>11251</v>
      </c>
      <c r="D5383" t="str">
        <f>"0031-2290"</f>
        <v>0031-2290</v>
      </c>
      <c r="E5383" t="s">
        <v>8</v>
      </c>
      <c r="F5383" t="s">
        <v>5387</v>
      </c>
      <c r="G5383">
        <v>1</v>
      </c>
    </row>
    <row r="5384" spans="1:7" x14ac:dyDescent="0.25">
      <c r="A5384">
        <v>22</v>
      </c>
      <c r="B5384" t="s">
        <v>4883</v>
      </c>
      <c r="C5384">
        <v>9527</v>
      </c>
      <c r="D5384" t="str">
        <f>"0149-0508"</f>
        <v>0149-0508</v>
      </c>
      <c r="E5384" t="s">
        <v>8</v>
      </c>
      <c r="F5384" t="s">
        <v>5388</v>
      </c>
      <c r="G5384">
        <v>1</v>
      </c>
    </row>
    <row r="5385" spans="1:7" x14ac:dyDescent="0.25">
      <c r="A5385">
        <v>22</v>
      </c>
      <c r="B5385" t="s">
        <v>4883</v>
      </c>
      <c r="C5385">
        <v>27772</v>
      </c>
      <c r="D5385" t="str">
        <f>"1082-7307"</f>
        <v>1082-7307</v>
      </c>
      <c r="E5385" t="s">
        <v>8</v>
      </c>
      <c r="F5385" t="s">
        <v>5389</v>
      </c>
      <c r="G5385">
        <v>1</v>
      </c>
    </row>
    <row r="5386" spans="1:7" x14ac:dyDescent="0.25">
      <c r="A5386">
        <v>22</v>
      </c>
      <c r="B5386" t="s">
        <v>4883</v>
      </c>
      <c r="C5386">
        <v>3772</v>
      </c>
      <c r="D5386" t="str">
        <f>"0008-4697"</f>
        <v>0008-4697</v>
      </c>
      <c r="E5386" t="s">
        <v>8</v>
      </c>
      <c r="F5386" t="s">
        <v>5390</v>
      </c>
      <c r="G5386">
        <v>1</v>
      </c>
    </row>
    <row r="5387" spans="1:7" x14ac:dyDescent="0.25">
      <c r="A5387">
        <v>22</v>
      </c>
      <c r="B5387" t="s">
        <v>4883</v>
      </c>
      <c r="C5387">
        <v>8933</v>
      </c>
      <c r="D5387" t="str">
        <f>"1040-2659"</f>
        <v>1040-2659</v>
      </c>
      <c r="E5387" t="s">
        <v>8</v>
      </c>
      <c r="F5387" t="s">
        <v>5391</v>
      </c>
      <c r="G5387">
        <v>1</v>
      </c>
    </row>
    <row r="5388" spans="1:7" x14ac:dyDescent="0.25">
      <c r="A5388">
        <v>22</v>
      </c>
      <c r="B5388" t="s">
        <v>4883</v>
      </c>
      <c r="C5388">
        <v>7744869</v>
      </c>
      <c r="D5388" t="str">
        <f>"2164-7259"</f>
        <v>2164-7259</v>
      </c>
      <c r="E5388" t="s">
        <v>8</v>
      </c>
      <c r="F5388" t="s">
        <v>5392</v>
      </c>
      <c r="G5388">
        <v>1</v>
      </c>
    </row>
    <row r="5389" spans="1:7" x14ac:dyDescent="0.25">
      <c r="A5389">
        <v>22</v>
      </c>
      <c r="B5389" t="s">
        <v>4883</v>
      </c>
      <c r="C5389">
        <v>7711843</v>
      </c>
      <c r="D5389" t="str">
        <f>"1925-525X"</f>
        <v>1925-525X</v>
      </c>
      <c r="E5389" t="s">
        <v>8</v>
      </c>
      <c r="F5389" t="s">
        <v>5393</v>
      </c>
      <c r="G5389">
        <v>1</v>
      </c>
    </row>
    <row r="5390" spans="1:7" x14ac:dyDescent="0.25">
      <c r="A5390">
        <v>22</v>
      </c>
      <c r="B5390" t="s">
        <v>4883</v>
      </c>
      <c r="C5390">
        <v>170324</v>
      </c>
      <c r="E5390" t="s">
        <v>15</v>
      </c>
      <c r="F5390" t="s">
        <v>5394</v>
      </c>
      <c r="G5390">
        <v>1</v>
      </c>
    </row>
    <row r="5391" spans="1:7" x14ac:dyDescent="0.25">
      <c r="A5391">
        <v>22</v>
      </c>
      <c r="B5391" t="s">
        <v>4883</v>
      </c>
      <c r="C5391">
        <v>7711474</v>
      </c>
      <c r="D5391" t="str">
        <f>"1841-6098"</f>
        <v>1841-6098</v>
      </c>
      <c r="E5391" t="s">
        <v>8</v>
      </c>
      <c r="F5391" t="s">
        <v>5395</v>
      </c>
      <c r="G5391">
        <v>1</v>
      </c>
    </row>
    <row r="5392" spans="1:7" x14ac:dyDescent="0.25">
      <c r="A5392">
        <v>22</v>
      </c>
      <c r="B5392" t="s">
        <v>4883</v>
      </c>
      <c r="C5392">
        <v>170187</v>
      </c>
      <c r="E5392" t="s">
        <v>15</v>
      </c>
      <c r="F5392" t="s">
        <v>5396</v>
      </c>
      <c r="G5392">
        <v>1</v>
      </c>
    </row>
    <row r="5393" spans="1:7" x14ac:dyDescent="0.25">
      <c r="A5393">
        <v>22</v>
      </c>
      <c r="B5393" t="s">
        <v>4883</v>
      </c>
      <c r="C5393">
        <v>2041</v>
      </c>
      <c r="D5393" t="str">
        <f>"1569-1500"</f>
        <v>1569-1500</v>
      </c>
      <c r="E5393" t="s">
        <v>8</v>
      </c>
      <c r="F5393" t="s">
        <v>5397</v>
      </c>
      <c r="G5393">
        <v>1</v>
      </c>
    </row>
    <row r="5394" spans="1:7" x14ac:dyDescent="0.25">
      <c r="A5394">
        <v>22</v>
      </c>
      <c r="B5394" t="s">
        <v>4883</v>
      </c>
      <c r="C5394">
        <v>20535</v>
      </c>
      <c r="D5394" t="str">
        <f>"1045-7097"</f>
        <v>1045-7097</v>
      </c>
      <c r="E5394" t="s">
        <v>8</v>
      </c>
      <c r="F5394" t="s">
        <v>5398</v>
      </c>
      <c r="G5394">
        <v>1</v>
      </c>
    </row>
    <row r="5395" spans="1:7" x14ac:dyDescent="0.25">
      <c r="A5395">
        <v>22</v>
      </c>
      <c r="B5395" t="s">
        <v>4883</v>
      </c>
      <c r="C5395">
        <v>8782674</v>
      </c>
      <c r="D5395" t="str">
        <f>"2398-4929"</f>
        <v>2398-4929</v>
      </c>
      <c r="E5395" t="s">
        <v>8</v>
      </c>
      <c r="F5395" t="s">
        <v>5399</v>
      </c>
      <c r="G5395">
        <v>1</v>
      </c>
    </row>
    <row r="5396" spans="1:7" x14ac:dyDescent="0.25">
      <c r="A5396">
        <v>22</v>
      </c>
      <c r="B5396" t="s">
        <v>4883</v>
      </c>
      <c r="C5396">
        <v>8783551</v>
      </c>
      <c r="E5396" t="s">
        <v>15</v>
      </c>
      <c r="F5396" t="s">
        <v>5400</v>
      </c>
      <c r="G5396">
        <v>1</v>
      </c>
    </row>
    <row r="5397" spans="1:7" x14ac:dyDescent="0.25">
      <c r="A5397">
        <v>22</v>
      </c>
      <c r="B5397" t="s">
        <v>4883</v>
      </c>
      <c r="C5397">
        <v>8766729</v>
      </c>
      <c r="E5397" t="s">
        <v>8</v>
      </c>
      <c r="F5397" t="s">
        <v>5401</v>
      </c>
      <c r="G5397">
        <v>1</v>
      </c>
    </row>
    <row r="5398" spans="1:7" x14ac:dyDescent="0.25">
      <c r="A5398">
        <v>22</v>
      </c>
      <c r="B5398" t="s">
        <v>4883</v>
      </c>
      <c r="C5398">
        <v>170278</v>
      </c>
      <c r="E5398" t="s">
        <v>15</v>
      </c>
      <c r="F5398" t="s">
        <v>5402</v>
      </c>
      <c r="G5398">
        <v>1</v>
      </c>
    </row>
    <row r="5399" spans="1:7" x14ac:dyDescent="0.25">
      <c r="A5399">
        <v>22</v>
      </c>
      <c r="B5399" t="s">
        <v>4883</v>
      </c>
      <c r="C5399">
        <v>6048</v>
      </c>
      <c r="D5399" t="str">
        <f>"1465-6493"</f>
        <v>1465-6493</v>
      </c>
      <c r="E5399" t="s">
        <v>8</v>
      </c>
      <c r="F5399" t="s">
        <v>5403</v>
      </c>
      <c r="G5399">
        <v>1</v>
      </c>
    </row>
    <row r="5400" spans="1:7" x14ac:dyDescent="0.25">
      <c r="A5400">
        <v>22</v>
      </c>
      <c r="B5400" t="s">
        <v>4883</v>
      </c>
      <c r="C5400">
        <v>170235</v>
      </c>
      <c r="E5400" t="s">
        <v>15</v>
      </c>
      <c r="F5400" t="s">
        <v>5404</v>
      </c>
      <c r="G5400">
        <v>1</v>
      </c>
    </row>
    <row r="5401" spans="1:7" x14ac:dyDescent="0.25">
      <c r="A5401">
        <v>22</v>
      </c>
      <c r="B5401" t="s">
        <v>4883</v>
      </c>
      <c r="C5401">
        <v>917</v>
      </c>
      <c r="D5401" t="str">
        <f>"1449-4035"</f>
        <v>1449-4035</v>
      </c>
      <c r="E5401" t="s">
        <v>8</v>
      </c>
      <c r="F5401" t="s">
        <v>5405</v>
      </c>
      <c r="G5401">
        <v>1</v>
      </c>
    </row>
    <row r="5402" spans="1:7" x14ac:dyDescent="0.25">
      <c r="A5402">
        <v>22</v>
      </c>
      <c r="B5402" t="s">
        <v>4883</v>
      </c>
      <c r="C5402">
        <v>79211</v>
      </c>
      <c r="D5402" t="str">
        <f>"1085-7087"</f>
        <v>1085-7087</v>
      </c>
      <c r="E5402" t="s">
        <v>8</v>
      </c>
      <c r="F5402" t="s">
        <v>5406</v>
      </c>
      <c r="G5402">
        <v>1</v>
      </c>
    </row>
    <row r="5403" spans="1:7" x14ac:dyDescent="0.25">
      <c r="A5403">
        <v>22</v>
      </c>
      <c r="B5403" t="s">
        <v>4883</v>
      </c>
      <c r="C5403">
        <v>12740</v>
      </c>
      <c r="D5403" t="str">
        <f>"0144-2872"</f>
        <v>0144-2872</v>
      </c>
      <c r="E5403" t="s">
        <v>8</v>
      </c>
      <c r="F5403" t="s">
        <v>5407</v>
      </c>
      <c r="G5403">
        <v>1</v>
      </c>
    </row>
    <row r="5404" spans="1:7" x14ac:dyDescent="0.25">
      <c r="A5404">
        <v>22</v>
      </c>
      <c r="B5404" t="s">
        <v>4883</v>
      </c>
      <c r="C5404">
        <v>9815</v>
      </c>
      <c r="D5404" t="str">
        <f>"1026-9487"</f>
        <v>1026-9487</v>
      </c>
      <c r="E5404" t="s">
        <v>8</v>
      </c>
      <c r="F5404" t="s">
        <v>1557</v>
      </c>
      <c r="G5404">
        <v>1</v>
      </c>
    </row>
    <row r="5405" spans="1:7" x14ac:dyDescent="0.25">
      <c r="A5405">
        <v>22</v>
      </c>
      <c r="B5405" t="s">
        <v>4883</v>
      </c>
      <c r="C5405">
        <v>8871</v>
      </c>
      <c r="D5405" t="str">
        <f>"0105-0710"</f>
        <v>0105-0710</v>
      </c>
      <c r="E5405" t="s">
        <v>8</v>
      </c>
      <c r="F5405" t="s">
        <v>5408</v>
      </c>
      <c r="G5405">
        <v>1</v>
      </c>
    </row>
    <row r="5406" spans="1:7" x14ac:dyDescent="0.25">
      <c r="A5406">
        <v>22</v>
      </c>
      <c r="B5406" t="s">
        <v>4883</v>
      </c>
      <c r="C5406">
        <v>6148</v>
      </c>
      <c r="D5406" t="str">
        <f>"0188-7742"</f>
        <v>0188-7742</v>
      </c>
      <c r="E5406" t="s">
        <v>8</v>
      </c>
      <c r="F5406" t="s">
        <v>5409</v>
      </c>
      <c r="G5406">
        <v>1</v>
      </c>
    </row>
    <row r="5407" spans="1:7" x14ac:dyDescent="0.25">
      <c r="A5407">
        <v>22</v>
      </c>
      <c r="B5407" t="s">
        <v>4883</v>
      </c>
      <c r="C5407">
        <v>6605</v>
      </c>
      <c r="D5407" t="str">
        <f>"1405-1060"</f>
        <v>1405-1060</v>
      </c>
      <c r="E5407" t="s">
        <v>8</v>
      </c>
      <c r="F5407" t="s">
        <v>5410</v>
      </c>
      <c r="G5407">
        <v>1</v>
      </c>
    </row>
    <row r="5408" spans="1:7" x14ac:dyDescent="0.25">
      <c r="A5408">
        <v>22</v>
      </c>
      <c r="B5408" t="s">
        <v>4883</v>
      </c>
      <c r="C5408">
        <v>170151</v>
      </c>
      <c r="E5408" t="s">
        <v>15</v>
      </c>
      <c r="F5408" t="s">
        <v>5411</v>
      </c>
      <c r="G5408">
        <v>1</v>
      </c>
    </row>
    <row r="5409" spans="1:7" x14ac:dyDescent="0.25">
      <c r="A5409">
        <v>22</v>
      </c>
      <c r="B5409" t="s">
        <v>4883</v>
      </c>
      <c r="C5409">
        <v>8783316</v>
      </c>
      <c r="E5409" t="s">
        <v>8</v>
      </c>
      <c r="F5409" t="s">
        <v>5412</v>
      </c>
      <c r="G5409">
        <v>1</v>
      </c>
    </row>
    <row r="5410" spans="1:7" x14ac:dyDescent="0.25">
      <c r="A5410">
        <v>22</v>
      </c>
      <c r="B5410" t="s">
        <v>4883</v>
      </c>
      <c r="C5410">
        <v>10139</v>
      </c>
      <c r="D5410" t="str">
        <f>"0032-3187"</f>
        <v>0032-3187</v>
      </c>
      <c r="E5410" t="s">
        <v>8</v>
      </c>
      <c r="F5410" t="s">
        <v>5413</v>
      </c>
      <c r="G5410">
        <v>1</v>
      </c>
    </row>
    <row r="5411" spans="1:7" x14ac:dyDescent="0.25">
      <c r="A5411">
        <v>22</v>
      </c>
      <c r="B5411" t="s">
        <v>4883</v>
      </c>
      <c r="C5411">
        <v>15299</v>
      </c>
      <c r="D5411" t="str">
        <f>"0032-3195"</f>
        <v>0032-3195</v>
      </c>
      <c r="E5411" t="s">
        <v>8</v>
      </c>
      <c r="F5411" t="s">
        <v>5414</v>
      </c>
      <c r="G5411">
        <v>1</v>
      </c>
    </row>
    <row r="5412" spans="1:7" x14ac:dyDescent="0.25">
      <c r="A5412">
        <v>22</v>
      </c>
      <c r="B5412" t="s">
        <v>4883</v>
      </c>
      <c r="C5412">
        <v>26776</v>
      </c>
      <c r="D5412" t="str">
        <f>"1478-9299"</f>
        <v>1478-9299</v>
      </c>
      <c r="E5412" t="s">
        <v>8</v>
      </c>
      <c r="F5412" t="s">
        <v>5415</v>
      </c>
      <c r="G5412">
        <v>1</v>
      </c>
    </row>
    <row r="5413" spans="1:7" x14ac:dyDescent="0.25">
      <c r="A5413">
        <v>22</v>
      </c>
      <c r="B5413" t="s">
        <v>4883</v>
      </c>
      <c r="C5413">
        <v>8781966</v>
      </c>
      <c r="D5413" t="str">
        <f>"2284-2098"</f>
        <v>2284-2098</v>
      </c>
      <c r="E5413" t="s">
        <v>8</v>
      </c>
      <c r="F5413" t="s">
        <v>5416</v>
      </c>
      <c r="G5413">
        <v>1</v>
      </c>
    </row>
    <row r="5414" spans="1:7" x14ac:dyDescent="0.25">
      <c r="A5414">
        <v>22</v>
      </c>
      <c r="B5414" t="s">
        <v>4883</v>
      </c>
      <c r="C5414">
        <v>8783340</v>
      </c>
      <c r="D5414" t="str">
        <f>"0263-3957"</f>
        <v>0263-3957</v>
      </c>
      <c r="E5414" t="s">
        <v>8</v>
      </c>
      <c r="F5414" t="s">
        <v>5417</v>
      </c>
      <c r="G5414">
        <v>1</v>
      </c>
    </row>
    <row r="5415" spans="1:7" x14ac:dyDescent="0.25">
      <c r="A5415">
        <v>22</v>
      </c>
      <c r="B5415" t="s">
        <v>4883</v>
      </c>
      <c r="C5415">
        <v>8851</v>
      </c>
      <c r="D5415" t="str">
        <f>"0263-3957"</f>
        <v>0263-3957</v>
      </c>
      <c r="E5415" t="s">
        <v>8</v>
      </c>
      <c r="F5415" t="s">
        <v>5417</v>
      </c>
      <c r="G5415">
        <v>1</v>
      </c>
    </row>
    <row r="5416" spans="1:7" x14ac:dyDescent="0.25">
      <c r="A5416">
        <v>22</v>
      </c>
      <c r="B5416" t="s">
        <v>4883</v>
      </c>
      <c r="C5416">
        <v>26822</v>
      </c>
      <c r="D5416" t="str">
        <f>"1555-5623"</f>
        <v>1555-5623</v>
      </c>
      <c r="E5416" t="s">
        <v>8</v>
      </c>
      <c r="F5416" t="s">
        <v>5418</v>
      </c>
      <c r="G5416">
        <v>1</v>
      </c>
    </row>
    <row r="5417" spans="1:7" x14ac:dyDescent="0.25">
      <c r="A5417">
        <v>22</v>
      </c>
      <c r="B5417" t="s">
        <v>4883</v>
      </c>
      <c r="C5417">
        <v>7745436</v>
      </c>
      <c r="E5417" t="s">
        <v>8</v>
      </c>
      <c r="F5417" t="s">
        <v>5419</v>
      </c>
      <c r="G5417">
        <v>1</v>
      </c>
    </row>
    <row r="5418" spans="1:7" x14ac:dyDescent="0.25">
      <c r="A5418">
        <v>22</v>
      </c>
      <c r="B5418" t="s">
        <v>4883</v>
      </c>
      <c r="C5418">
        <v>27441</v>
      </c>
      <c r="D5418" t="str">
        <f>"1755-0483"</f>
        <v>1755-0483</v>
      </c>
      <c r="E5418" t="s">
        <v>8</v>
      </c>
      <c r="F5418" t="s">
        <v>5420</v>
      </c>
      <c r="G5418">
        <v>1</v>
      </c>
    </row>
    <row r="5419" spans="1:7" x14ac:dyDescent="0.25">
      <c r="A5419">
        <v>22</v>
      </c>
      <c r="B5419" t="s">
        <v>4883</v>
      </c>
      <c r="C5419">
        <v>4160</v>
      </c>
      <c r="D5419" t="str">
        <f>"0730-9384"</f>
        <v>0730-9384</v>
      </c>
      <c r="E5419" t="s">
        <v>8</v>
      </c>
      <c r="F5419" t="s">
        <v>5421</v>
      </c>
      <c r="G5419">
        <v>1</v>
      </c>
    </row>
    <row r="5420" spans="1:7" x14ac:dyDescent="0.25">
      <c r="A5420">
        <v>22</v>
      </c>
      <c r="B5420" t="s">
        <v>4883</v>
      </c>
      <c r="C5420">
        <v>156485</v>
      </c>
      <c r="D5420" t="str">
        <f>"1801-3422"</f>
        <v>1801-3422</v>
      </c>
      <c r="E5420" t="s">
        <v>8</v>
      </c>
      <c r="F5420" t="s">
        <v>5422</v>
      </c>
      <c r="G5420">
        <v>1</v>
      </c>
    </row>
    <row r="5421" spans="1:7" x14ac:dyDescent="0.25">
      <c r="A5421">
        <v>22</v>
      </c>
      <c r="B5421" t="s">
        <v>4883</v>
      </c>
      <c r="C5421">
        <v>170319</v>
      </c>
      <c r="E5421" t="s">
        <v>15</v>
      </c>
      <c r="F5421" t="s">
        <v>5423</v>
      </c>
      <c r="G5421">
        <v>1</v>
      </c>
    </row>
    <row r="5422" spans="1:7" x14ac:dyDescent="0.25">
      <c r="A5422">
        <v>22</v>
      </c>
      <c r="B5422" t="s">
        <v>4883</v>
      </c>
      <c r="C5422">
        <v>7755753</v>
      </c>
      <c r="D5422" t="str">
        <f>"2156-5503"</f>
        <v>2156-5503</v>
      </c>
      <c r="E5422" t="s">
        <v>8</v>
      </c>
      <c r="F5422" t="s">
        <v>5424</v>
      </c>
      <c r="G5422">
        <v>1</v>
      </c>
    </row>
    <row r="5423" spans="1:7" x14ac:dyDescent="0.25">
      <c r="A5423">
        <v>22</v>
      </c>
      <c r="B5423" t="s">
        <v>4883</v>
      </c>
      <c r="C5423">
        <v>170145</v>
      </c>
      <c r="E5423" t="s">
        <v>15</v>
      </c>
      <c r="F5423" t="s">
        <v>5425</v>
      </c>
      <c r="G5423">
        <v>1</v>
      </c>
    </row>
    <row r="5424" spans="1:7" x14ac:dyDescent="0.25">
      <c r="A5424">
        <v>22</v>
      </c>
      <c r="B5424" t="s">
        <v>4883</v>
      </c>
      <c r="C5424">
        <v>3470</v>
      </c>
      <c r="D5424" t="str">
        <f>"2156-7689"</f>
        <v>2156-7689</v>
      </c>
      <c r="E5424" t="s">
        <v>8</v>
      </c>
      <c r="F5424" t="s">
        <v>5426</v>
      </c>
      <c r="G5424">
        <v>1</v>
      </c>
    </row>
    <row r="5425" spans="1:7" x14ac:dyDescent="0.25">
      <c r="A5425">
        <v>22</v>
      </c>
      <c r="B5425" t="s">
        <v>4883</v>
      </c>
      <c r="C5425">
        <v>14435</v>
      </c>
      <c r="D5425" t="str">
        <f>"1604-0058"</f>
        <v>1604-0058</v>
      </c>
      <c r="E5425" t="s">
        <v>8</v>
      </c>
      <c r="F5425" t="s">
        <v>5427</v>
      </c>
      <c r="G5425">
        <v>1</v>
      </c>
    </row>
    <row r="5426" spans="1:7" x14ac:dyDescent="0.25">
      <c r="A5426">
        <v>22</v>
      </c>
      <c r="B5426" t="s">
        <v>4883</v>
      </c>
      <c r="C5426">
        <v>170328</v>
      </c>
      <c r="E5426" t="s">
        <v>15</v>
      </c>
      <c r="F5426" t="s">
        <v>5428</v>
      </c>
      <c r="G5426">
        <v>1</v>
      </c>
    </row>
    <row r="5427" spans="1:7" x14ac:dyDescent="0.25">
      <c r="A5427">
        <v>22</v>
      </c>
      <c r="B5427" t="s">
        <v>4883</v>
      </c>
      <c r="C5427">
        <v>170283</v>
      </c>
      <c r="E5427" t="s">
        <v>15</v>
      </c>
      <c r="F5427" t="s">
        <v>5429</v>
      </c>
      <c r="G5427">
        <v>1</v>
      </c>
    </row>
    <row r="5428" spans="1:7" x14ac:dyDescent="0.25">
      <c r="A5428">
        <v>22</v>
      </c>
      <c r="B5428" t="s">
        <v>4883</v>
      </c>
      <c r="C5428">
        <v>73169</v>
      </c>
      <c r="D5428" t="str">
        <f>"1216-1438"</f>
        <v>1216-1438</v>
      </c>
      <c r="E5428" t="s">
        <v>8</v>
      </c>
      <c r="F5428" t="s">
        <v>5430</v>
      </c>
      <c r="G5428">
        <v>1</v>
      </c>
    </row>
    <row r="5429" spans="1:7" x14ac:dyDescent="0.25">
      <c r="A5429">
        <v>22</v>
      </c>
      <c r="B5429" t="s">
        <v>4883</v>
      </c>
      <c r="C5429">
        <v>15584</v>
      </c>
      <c r="D5429" t="str">
        <f>"0258-9346"</f>
        <v>0258-9346</v>
      </c>
      <c r="E5429" t="s">
        <v>8</v>
      </c>
      <c r="F5429" t="s">
        <v>5431</v>
      </c>
      <c r="G5429">
        <v>1</v>
      </c>
    </row>
    <row r="5430" spans="1:7" x14ac:dyDescent="0.25">
      <c r="A5430">
        <v>22</v>
      </c>
      <c r="B5430" t="s">
        <v>4883</v>
      </c>
      <c r="C5430">
        <v>170275</v>
      </c>
      <c r="E5430" t="s">
        <v>15</v>
      </c>
      <c r="F5430" t="s">
        <v>5432</v>
      </c>
      <c r="G5430">
        <v>1</v>
      </c>
    </row>
    <row r="5431" spans="1:7" x14ac:dyDescent="0.25">
      <c r="A5431">
        <v>22</v>
      </c>
      <c r="B5431" t="s">
        <v>4883</v>
      </c>
      <c r="C5431">
        <v>81539</v>
      </c>
      <c r="D5431" t="str">
        <f>"1863-9089"</f>
        <v>1863-9089</v>
      </c>
      <c r="E5431" t="s">
        <v>15</v>
      </c>
      <c r="F5431" t="s">
        <v>5433</v>
      </c>
      <c r="G5431">
        <v>1</v>
      </c>
    </row>
    <row r="5432" spans="1:7" x14ac:dyDescent="0.25">
      <c r="A5432">
        <v>22</v>
      </c>
      <c r="B5432" t="s">
        <v>4883</v>
      </c>
      <c r="C5432">
        <v>3158</v>
      </c>
      <c r="D5432" t="str">
        <f>"0244-7827"</f>
        <v>0244-7827</v>
      </c>
      <c r="E5432" t="s">
        <v>8</v>
      </c>
      <c r="F5432" t="s">
        <v>5434</v>
      </c>
      <c r="G5432">
        <v>1</v>
      </c>
    </row>
    <row r="5433" spans="1:7" x14ac:dyDescent="0.25">
      <c r="A5433">
        <v>22</v>
      </c>
      <c r="B5433" t="s">
        <v>4883</v>
      </c>
      <c r="C5433">
        <v>170245</v>
      </c>
      <c r="E5433" t="s">
        <v>15</v>
      </c>
      <c r="F5433" t="s">
        <v>5435</v>
      </c>
      <c r="G5433">
        <v>1</v>
      </c>
    </row>
    <row r="5434" spans="1:7" x14ac:dyDescent="0.25">
      <c r="A5434">
        <v>22</v>
      </c>
      <c r="B5434" t="s">
        <v>4883</v>
      </c>
      <c r="C5434">
        <v>11896</v>
      </c>
      <c r="D5434" t="str">
        <f>"0032-342X"</f>
        <v>0032-342X</v>
      </c>
      <c r="E5434" t="s">
        <v>8</v>
      </c>
      <c r="F5434" t="s">
        <v>5436</v>
      </c>
      <c r="G5434">
        <v>1</v>
      </c>
    </row>
    <row r="5435" spans="1:7" x14ac:dyDescent="0.25">
      <c r="A5435">
        <v>22</v>
      </c>
      <c r="B5435" t="s">
        <v>4883</v>
      </c>
      <c r="C5435">
        <v>148699</v>
      </c>
      <c r="D5435" t="str">
        <f>"1623-6297"</f>
        <v>1623-6297</v>
      </c>
      <c r="E5435" t="s">
        <v>8</v>
      </c>
      <c r="F5435" t="s">
        <v>5437</v>
      </c>
      <c r="G5435">
        <v>1</v>
      </c>
    </row>
    <row r="5436" spans="1:7" x14ac:dyDescent="0.25">
      <c r="A5436">
        <v>22</v>
      </c>
      <c r="B5436" t="s">
        <v>4883</v>
      </c>
      <c r="C5436">
        <v>170434</v>
      </c>
      <c r="E5436" t="s">
        <v>15</v>
      </c>
      <c r="F5436" t="s">
        <v>5438</v>
      </c>
      <c r="G5436">
        <v>1</v>
      </c>
    </row>
    <row r="5437" spans="1:7" x14ac:dyDescent="0.25">
      <c r="A5437">
        <v>22</v>
      </c>
      <c r="B5437" t="s">
        <v>4883</v>
      </c>
      <c r="C5437">
        <v>4414</v>
      </c>
      <c r="D5437" t="str">
        <f>"0032-3470"</f>
        <v>0032-3470</v>
      </c>
      <c r="E5437" t="s">
        <v>8</v>
      </c>
      <c r="F5437" t="s">
        <v>5439</v>
      </c>
      <c r="G5437">
        <v>1</v>
      </c>
    </row>
    <row r="5438" spans="1:7" x14ac:dyDescent="0.25">
      <c r="A5438">
        <v>22</v>
      </c>
      <c r="B5438" t="s">
        <v>4883</v>
      </c>
      <c r="C5438">
        <v>27445</v>
      </c>
      <c r="D5438" t="str">
        <f>"1211-0353"</f>
        <v>1211-0353</v>
      </c>
      <c r="E5438" t="s">
        <v>8</v>
      </c>
      <c r="F5438" t="s">
        <v>5440</v>
      </c>
      <c r="G5438">
        <v>1</v>
      </c>
    </row>
    <row r="5439" spans="1:7" x14ac:dyDescent="0.25">
      <c r="A5439">
        <v>22</v>
      </c>
      <c r="B5439" t="s">
        <v>4883</v>
      </c>
      <c r="C5439">
        <v>30875</v>
      </c>
      <c r="D5439" t="str">
        <f>"1211-3247"</f>
        <v>1211-3247</v>
      </c>
      <c r="E5439" t="s">
        <v>8</v>
      </c>
      <c r="F5439" t="s">
        <v>5441</v>
      </c>
      <c r="G5439">
        <v>1</v>
      </c>
    </row>
    <row r="5440" spans="1:7" x14ac:dyDescent="0.25">
      <c r="A5440">
        <v>22</v>
      </c>
      <c r="B5440" t="s">
        <v>4883</v>
      </c>
      <c r="C5440">
        <v>8302</v>
      </c>
      <c r="D5440" t="str">
        <f>"0032-3497"</f>
        <v>0032-3497</v>
      </c>
      <c r="E5440" t="s">
        <v>8</v>
      </c>
      <c r="F5440" t="s">
        <v>5442</v>
      </c>
      <c r="G5440">
        <v>1</v>
      </c>
    </row>
    <row r="5441" spans="1:7" x14ac:dyDescent="0.25">
      <c r="A5441">
        <v>22</v>
      </c>
      <c r="B5441" t="s">
        <v>4883</v>
      </c>
      <c r="C5441">
        <v>8783552</v>
      </c>
      <c r="E5441" t="s">
        <v>15</v>
      </c>
      <c r="F5441" t="s">
        <v>5443</v>
      </c>
      <c r="G5441">
        <v>1</v>
      </c>
    </row>
    <row r="5442" spans="1:7" x14ac:dyDescent="0.25">
      <c r="A5442">
        <v>22</v>
      </c>
      <c r="B5442" t="s">
        <v>4883</v>
      </c>
      <c r="C5442">
        <v>7533</v>
      </c>
      <c r="D5442" t="str">
        <f>"1060-586X"</f>
        <v>1060-586X</v>
      </c>
      <c r="E5442" t="s">
        <v>8</v>
      </c>
      <c r="F5442" t="s">
        <v>5444</v>
      </c>
      <c r="G5442">
        <v>1</v>
      </c>
    </row>
    <row r="5443" spans="1:7" x14ac:dyDescent="0.25">
      <c r="A5443">
        <v>22</v>
      </c>
      <c r="B5443" t="s">
        <v>4883</v>
      </c>
      <c r="C5443">
        <v>170134</v>
      </c>
      <c r="E5443" t="s">
        <v>15</v>
      </c>
      <c r="F5443" t="s">
        <v>5445</v>
      </c>
      <c r="G5443">
        <v>1</v>
      </c>
    </row>
    <row r="5444" spans="1:7" x14ac:dyDescent="0.25">
      <c r="A5444">
        <v>22</v>
      </c>
      <c r="B5444" t="s">
        <v>4883</v>
      </c>
      <c r="C5444">
        <v>131002</v>
      </c>
      <c r="D5444" t="str">
        <f>"1549-1307"</f>
        <v>1549-1307</v>
      </c>
      <c r="E5444" t="s">
        <v>15</v>
      </c>
      <c r="F5444" t="s">
        <v>5446</v>
      </c>
      <c r="G5444">
        <v>1</v>
      </c>
    </row>
    <row r="5445" spans="1:7" x14ac:dyDescent="0.25">
      <c r="A5445">
        <v>22</v>
      </c>
      <c r="B5445" t="s">
        <v>4883</v>
      </c>
      <c r="C5445">
        <v>170159</v>
      </c>
      <c r="E5445" t="s">
        <v>15</v>
      </c>
      <c r="F5445" t="s">
        <v>5447</v>
      </c>
      <c r="G5445">
        <v>1</v>
      </c>
    </row>
    <row r="5446" spans="1:7" x14ac:dyDescent="0.25">
      <c r="A5446">
        <v>22</v>
      </c>
      <c r="B5446" t="s">
        <v>4883</v>
      </c>
      <c r="C5446">
        <v>16106</v>
      </c>
      <c r="D5446" t="str">
        <f>"1049-0965"</f>
        <v>1049-0965</v>
      </c>
      <c r="E5446" t="s">
        <v>8</v>
      </c>
      <c r="F5446" t="s">
        <v>5448</v>
      </c>
      <c r="G5446">
        <v>1</v>
      </c>
    </row>
    <row r="5447" spans="1:7" x14ac:dyDescent="0.25">
      <c r="A5447">
        <v>22</v>
      </c>
      <c r="B5447" t="s">
        <v>4883</v>
      </c>
      <c r="C5447">
        <v>16</v>
      </c>
      <c r="D5447" t="str">
        <f>"0271-2075"</f>
        <v>0271-2075</v>
      </c>
      <c r="E5447" t="s">
        <v>8</v>
      </c>
      <c r="F5447" t="s">
        <v>5449</v>
      </c>
      <c r="G5447">
        <v>1</v>
      </c>
    </row>
    <row r="5448" spans="1:7" x14ac:dyDescent="0.25">
      <c r="A5448">
        <v>22</v>
      </c>
      <c r="B5448" t="s">
        <v>4883</v>
      </c>
      <c r="C5448">
        <v>25102</v>
      </c>
      <c r="D5448" t="str">
        <f>"0259-8272"</f>
        <v>0259-8272</v>
      </c>
      <c r="E5448" t="s">
        <v>8</v>
      </c>
      <c r="F5448" t="s">
        <v>5450</v>
      </c>
      <c r="G5448">
        <v>1</v>
      </c>
    </row>
    <row r="5449" spans="1:7" x14ac:dyDescent="0.25">
      <c r="A5449">
        <v>22</v>
      </c>
      <c r="B5449" t="s">
        <v>4883</v>
      </c>
      <c r="C5449">
        <v>23320</v>
      </c>
      <c r="D5449" t="str">
        <f>"0734-9149"</f>
        <v>0734-9149</v>
      </c>
      <c r="E5449" t="s">
        <v>8</v>
      </c>
      <c r="F5449" t="s">
        <v>5451</v>
      </c>
      <c r="G5449">
        <v>1</v>
      </c>
    </row>
    <row r="5450" spans="1:7" x14ac:dyDescent="0.25">
      <c r="A5450">
        <v>22</v>
      </c>
      <c r="B5450" t="s">
        <v>4883</v>
      </c>
      <c r="C5450">
        <v>711</v>
      </c>
      <c r="D5450" t="str">
        <f>"0887-0373"</f>
        <v>0887-0373</v>
      </c>
      <c r="E5450" t="s">
        <v>8</v>
      </c>
      <c r="F5450" t="s">
        <v>5452</v>
      </c>
      <c r="G5450">
        <v>1</v>
      </c>
    </row>
    <row r="5451" spans="1:7" x14ac:dyDescent="0.25">
      <c r="A5451">
        <v>22</v>
      </c>
      <c r="B5451" t="s">
        <v>4883</v>
      </c>
      <c r="C5451">
        <v>9366</v>
      </c>
      <c r="D5451" t="str">
        <f>"0275-1100"</f>
        <v>0275-1100</v>
      </c>
      <c r="E5451" t="s">
        <v>8</v>
      </c>
      <c r="F5451" t="s">
        <v>5453</v>
      </c>
      <c r="G5451">
        <v>1</v>
      </c>
    </row>
    <row r="5452" spans="1:7" x14ac:dyDescent="0.25">
      <c r="A5452">
        <v>22</v>
      </c>
      <c r="B5452" t="s">
        <v>4883</v>
      </c>
      <c r="C5452">
        <v>8782719</v>
      </c>
      <c r="D5452" t="str">
        <f>"2445-5377"</f>
        <v>2445-5377</v>
      </c>
      <c r="E5452" t="s">
        <v>8</v>
      </c>
      <c r="F5452" t="s">
        <v>5454</v>
      </c>
      <c r="G5452">
        <v>1</v>
      </c>
    </row>
    <row r="5453" spans="1:7" x14ac:dyDescent="0.25">
      <c r="A5453">
        <v>22</v>
      </c>
      <c r="B5453" t="s">
        <v>4883</v>
      </c>
      <c r="C5453">
        <v>170335</v>
      </c>
      <c r="E5453" t="s">
        <v>15</v>
      </c>
      <c r="F5453" t="s">
        <v>5455</v>
      </c>
      <c r="G5453">
        <v>1</v>
      </c>
    </row>
    <row r="5454" spans="1:7" x14ac:dyDescent="0.25">
      <c r="A5454">
        <v>22</v>
      </c>
      <c r="B5454" t="s">
        <v>4883</v>
      </c>
      <c r="C5454">
        <v>3302</v>
      </c>
      <c r="D5454" t="str">
        <f>"0954-0962"</f>
        <v>0954-0962</v>
      </c>
      <c r="E5454" t="s">
        <v>8</v>
      </c>
      <c r="F5454" t="s">
        <v>5456</v>
      </c>
      <c r="G5454">
        <v>1</v>
      </c>
    </row>
    <row r="5455" spans="1:7" x14ac:dyDescent="0.25">
      <c r="A5455">
        <v>22</v>
      </c>
      <c r="B5455" t="s">
        <v>4883</v>
      </c>
      <c r="C5455">
        <v>13352</v>
      </c>
      <c r="D5455" t="str">
        <f>"1566-7170"</f>
        <v>1566-7170</v>
      </c>
      <c r="E5455" t="s">
        <v>8</v>
      </c>
      <c r="F5455" t="s">
        <v>5457</v>
      </c>
      <c r="G5455">
        <v>1</v>
      </c>
    </row>
    <row r="5456" spans="1:7" x14ac:dyDescent="0.25">
      <c r="A5456">
        <v>22</v>
      </c>
      <c r="B5456" t="s">
        <v>4883</v>
      </c>
      <c r="C5456">
        <v>2330</v>
      </c>
      <c r="D5456" t="str">
        <f>"1530-9576"</f>
        <v>1530-9576</v>
      </c>
      <c r="E5456" t="s">
        <v>8</v>
      </c>
      <c r="F5456" t="s">
        <v>5458</v>
      </c>
      <c r="G5456">
        <v>1</v>
      </c>
    </row>
    <row r="5457" spans="1:7" x14ac:dyDescent="0.25">
      <c r="A5457">
        <v>22</v>
      </c>
      <c r="B5457" t="s">
        <v>4883</v>
      </c>
      <c r="C5457">
        <v>14137</v>
      </c>
      <c r="D5457" t="str">
        <f>"0952-0767"</f>
        <v>0952-0767</v>
      </c>
      <c r="E5457" t="s">
        <v>8</v>
      </c>
      <c r="F5457" t="s">
        <v>5459</v>
      </c>
      <c r="G5457">
        <v>1</v>
      </c>
    </row>
    <row r="5458" spans="1:7" x14ac:dyDescent="0.25">
      <c r="A5458">
        <v>22</v>
      </c>
      <c r="B5458" t="s">
        <v>4883</v>
      </c>
      <c r="C5458">
        <v>170222</v>
      </c>
      <c r="E5458" t="s">
        <v>15</v>
      </c>
      <c r="F5458" t="s">
        <v>5460</v>
      </c>
      <c r="G5458">
        <v>1</v>
      </c>
    </row>
    <row r="5459" spans="1:7" x14ac:dyDescent="0.25">
      <c r="A5459">
        <v>22</v>
      </c>
      <c r="B5459" t="s">
        <v>4883</v>
      </c>
      <c r="C5459">
        <v>5014</v>
      </c>
      <c r="D5459" t="str">
        <f>"0048-5950"</f>
        <v>0048-5950</v>
      </c>
      <c r="E5459" t="s">
        <v>8</v>
      </c>
      <c r="F5459" t="s">
        <v>5461</v>
      </c>
      <c r="G5459">
        <v>1</v>
      </c>
    </row>
    <row r="5460" spans="1:7" x14ac:dyDescent="0.25">
      <c r="A5460">
        <v>22</v>
      </c>
      <c r="B5460" t="s">
        <v>4883</v>
      </c>
      <c r="C5460">
        <v>14331</v>
      </c>
      <c r="D5460" t="str">
        <f>"0034-379X"</f>
        <v>0034-379X</v>
      </c>
      <c r="E5460" t="s">
        <v>8</v>
      </c>
      <c r="F5460" t="s">
        <v>5462</v>
      </c>
      <c r="G5460">
        <v>1</v>
      </c>
    </row>
    <row r="5461" spans="1:7" x14ac:dyDescent="0.25">
      <c r="A5461">
        <v>22</v>
      </c>
      <c r="B5461" t="s">
        <v>4883</v>
      </c>
      <c r="C5461">
        <v>25796</v>
      </c>
      <c r="D5461" t="str">
        <f>"0335-2013"</f>
        <v>0335-2013</v>
      </c>
      <c r="E5461" t="s">
        <v>8</v>
      </c>
      <c r="F5461" t="s">
        <v>5463</v>
      </c>
      <c r="G5461">
        <v>1</v>
      </c>
    </row>
    <row r="5462" spans="1:7" x14ac:dyDescent="0.25">
      <c r="A5462">
        <v>22</v>
      </c>
      <c r="B5462" t="s">
        <v>4883</v>
      </c>
      <c r="C5462">
        <v>170309</v>
      </c>
      <c r="E5462" t="s">
        <v>15</v>
      </c>
      <c r="F5462" t="s">
        <v>5464</v>
      </c>
      <c r="G5462">
        <v>1</v>
      </c>
    </row>
    <row r="5463" spans="1:7" x14ac:dyDescent="0.25">
      <c r="A5463">
        <v>22</v>
      </c>
      <c r="B5463" t="s">
        <v>4883</v>
      </c>
      <c r="C5463">
        <v>170162</v>
      </c>
      <c r="E5463" t="s">
        <v>15</v>
      </c>
      <c r="F5463" t="s">
        <v>5465</v>
      </c>
      <c r="G5463">
        <v>1</v>
      </c>
    </row>
    <row r="5464" spans="1:7" x14ac:dyDescent="0.25">
      <c r="A5464">
        <v>22</v>
      </c>
      <c r="B5464" t="s">
        <v>4883</v>
      </c>
      <c r="C5464">
        <v>26257</v>
      </c>
      <c r="D5464" t="str">
        <f>"0034-4893"</f>
        <v>0034-4893</v>
      </c>
      <c r="E5464" t="s">
        <v>8</v>
      </c>
      <c r="F5464" t="s">
        <v>5466</v>
      </c>
      <c r="G5464">
        <v>1</v>
      </c>
    </row>
    <row r="5465" spans="1:7" x14ac:dyDescent="0.25">
      <c r="A5465">
        <v>22</v>
      </c>
      <c r="B5465" t="s">
        <v>4883</v>
      </c>
      <c r="C5465">
        <v>21415</v>
      </c>
      <c r="D5465" t="str">
        <f>"0486-4700"</f>
        <v>0486-4700</v>
      </c>
      <c r="E5465" t="s">
        <v>8</v>
      </c>
      <c r="F5465" t="s">
        <v>1242</v>
      </c>
      <c r="G5465">
        <v>1</v>
      </c>
    </row>
    <row r="5466" spans="1:7" x14ac:dyDescent="0.25">
      <c r="A5466">
        <v>22</v>
      </c>
      <c r="B5466" t="s">
        <v>4883</v>
      </c>
      <c r="C5466">
        <v>7751667</v>
      </c>
      <c r="D5466" t="str">
        <f>"2053-1680"</f>
        <v>2053-1680</v>
      </c>
      <c r="E5466" t="s">
        <v>8</v>
      </c>
      <c r="F5466" t="s">
        <v>5467</v>
      </c>
      <c r="G5466">
        <v>1</v>
      </c>
    </row>
    <row r="5467" spans="1:7" x14ac:dyDescent="0.25">
      <c r="A5467">
        <v>22</v>
      </c>
      <c r="B5467" t="s">
        <v>4883</v>
      </c>
      <c r="C5467">
        <v>8783553</v>
      </c>
      <c r="E5467" t="s">
        <v>15</v>
      </c>
      <c r="F5467" t="s">
        <v>5468</v>
      </c>
      <c r="G5467">
        <v>1</v>
      </c>
    </row>
    <row r="5468" spans="1:7" x14ac:dyDescent="0.25">
      <c r="A5468">
        <v>22</v>
      </c>
      <c r="B5468" t="s">
        <v>4883</v>
      </c>
      <c r="C5468">
        <v>27077</v>
      </c>
      <c r="D5468" t="str">
        <f>"0163-786X"</f>
        <v>0163-786X</v>
      </c>
      <c r="E5468" t="s">
        <v>15</v>
      </c>
      <c r="F5468" t="s">
        <v>5469</v>
      </c>
      <c r="G5468">
        <v>1</v>
      </c>
    </row>
    <row r="5469" spans="1:7" x14ac:dyDescent="0.25">
      <c r="A5469">
        <v>22</v>
      </c>
      <c r="B5469" t="s">
        <v>4883</v>
      </c>
      <c r="C5469">
        <v>170133</v>
      </c>
      <c r="E5469" t="s">
        <v>15</v>
      </c>
      <c r="F5469" t="s">
        <v>5470</v>
      </c>
      <c r="G5469">
        <v>1</v>
      </c>
    </row>
    <row r="5470" spans="1:7" x14ac:dyDescent="0.25">
      <c r="A5470">
        <v>22</v>
      </c>
      <c r="B5470" t="s">
        <v>4883</v>
      </c>
      <c r="C5470">
        <v>170251</v>
      </c>
      <c r="E5470" t="s">
        <v>15</v>
      </c>
      <c r="F5470" t="s">
        <v>5471</v>
      </c>
      <c r="G5470">
        <v>1</v>
      </c>
    </row>
    <row r="5471" spans="1:7" x14ac:dyDescent="0.25">
      <c r="A5471">
        <v>22</v>
      </c>
      <c r="B5471" t="s">
        <v>4883</v>
      </c>
      <c r="C5471">
        <v>170132</v>
      </c>
      <c r="E5471" t="s">
        <v>15</v>
      </c>
      <c r="F5471" t="s">
        <v>5472</v>
      </c>
      <c r="G5471">
        <v>1</v>
      </c>
    </row>
    <row r="5472" spans="1:7" x14ac:dyDescent="0.25">
      <c r="A5472">
        <v>22</v>
      </c>
      <c r="B5472" t="s">
        <v>4883</v>
      </c>
      <c r="C5472">
        <v>9483</v>
      </c>
      <c r="D5472" t="str">
        <f>"1541-132X"</f>
        <v>1541-132X</v>
      </c>
      <c r="E5472" t="s">
        <v>8</v>
      </c>
      <c r="F5472" t="s">
        <v>5473</v>
      </c>
      <c r="G5472">
        <v>1</v>
      </c>
    </row>
    <row r="5473" spans="1:7" x14ac:dyDescent="0.25">
      <c r="A5473">
        <v>22</v>
      </c>
      <c r="B5473" t="s">
        <v>4883</v>
      </c>
      <c r="C5473">
        <v>27037</v>
      </c>
      <c r="D5473" t="str">
        <f>"0034-7329"</f>
        <v>0034-7329</v>
      </c>
      <c r="E5473" t="s">
        <v>8</v>
      </c>
      <c r="F5473" t="s">
        <v>5474</v>
      </c>
      <c r="G5473">
        <v>1</v>
      </c>
    </row>
    <row r="5474" spans="1:7" x14ac:dyDescent="0.25">
      <c r="A5474">
        <v>22</v>
      </c>
      <c r="B5474" t="s">
        <v>4883</v>
      </c>
      <c r="C5474">
        <v>7719620</v>
      </c>
      <c r="D5474" t="str">
        <f>"2179-8338"</f>
        <v>2179-8338</v>
      </c>
      <c r="E5474" t="s">
        <v>8</v>
      </c>
      <c r="F5474" t="s">
        <v>5475</v>
      </c>
      <c r="G5474">
        <v>1</v>
      </c>
    </row>
    <row r="5475" spans="1:7" x14ac:dyDescent="0.25">
      <c r="A5475">
        <v>22</v>
      </c>
      <c r="B5475" t="s">
        <v>4883</v>
      </c>
      <c r="C5475">
        <v>91461</v>
      </c>
      <c r="D5475" t="str">
        <f>"0716-1417"</f>
        <v>0716-1417</v>
      </c>
      <c r="E5475" t="s">
        <v>8</v>
      </c>
      <c r="F5475" t="s">
        <v>5476</v>
      </c>
      <c r="G5475">
        <v>1</v>
      </c>
    </row>
    <row r="5476" spans="1:7" x14ac:dyDescent="0.25">
      <c r="A5476">
        <v>22</v>
      </c>
      <c r="B5476" t="s">
        <v>4883</v>
      </c>
      <c r="C5476">
        <v>30615</v>
      </c>
      <c r="D5476" t="str">
        <f>"0797-9789"</f>
        <v>0797-9789</v>
      </c>
      <c r="E5476" t="s">
        <v>8</v>
      </c>
      <c r="F5476" t="s">
        <v>5477</v>
      </c>
      <c r="G5476">
        <v>1</v>
      </c>
    </row>
    <row r="5477" spans="1:7" x14ac:dyDescent="0.25">
      <c r="A5477">
        <v>22</v>
      </c>
      <c r="B5477" t="s">
        <v>4883</v>
      </c>
      <c r="C5477">
        <v>14050</v>
      </c>
      <c r="D5477" t="str">
        <f>"0035-2950"</f>
        <v>0035-2950</v>
      </c>
      <c r="E5477" t="s">
        <v>8</v>
      </c>
      <c r="F5477" t="s">
        <v>5478</v>
      </c>
      <c r="G5477">
        <v>1</v>
      </c>
    </row>
    <row r="5478" spans="1:7" x14ac:dyDescent="0.25">
      <c r="A5478">
        <v>22</v>
      </c>
      <c r="B5478" t="s">
        <v>4883</v>
      </c>
      <c r="C5478">
        <v>19845</v>
      </c>
      <c r="D5478" t="str">
        <f>"0035-2985"</f>
        <v>0035-2985</v>
      </c>
      <c r="E5478" t="s">
        <v>8</v>
      </c>
      <c r="F5478" t="s">
        <v>5479</v>
      </c>
      <c r="G5478">
        <v>1</v>
      </c>
    </row>
    <row r="5479" spans="1:7" x14ac:dyDescent="0.25">
      <c r="A5479">
        <v>22</v>
      </c>
      <c r="B5479" t="s">
        <v>4883</v>
      </c>
      <c r="C5479">
        <v>170232</v>
      </c>
      <c r="E5479" t="s">
        <v>15</v>
      </c>
      <c r="F5479" t="s">
        <v>5480</v>
      </c>
      <c r="G5479">
        <v>1</v>
      </c>
    </row>
    <row r="5480" spans="1:7" x14ac:dyDescent="0.25">
      <c r="A5480">
        <v>22</v>
      </c>
      <c r="B5480" t="s">
        <v>4883</v>
      </c>
      <c r="C5480">
        <v>20726</v>
      </c>
      <c r="D5480" t="str">
        <f>"0048-8402"</f>
        <v>0048-8402</v>
      </c>
      <c r="E5480" t="s">
        <v>8</v>
      </c>
      <c r="F5480" t="s">
        <v>5481</v>
      </c>
      <c r="G5480">
        <v>1</v>
      </c>
    </row>
    <row r="5481" spans="1:7" x14ac:dyDescent="0.25">
      <c r="A5481">
        <v>22</v>
      </c>
      <c r="B5481" t="s">
        <v>4883</v>
      </c>
      <c r="C5481">
        <v>154220</v>
      </c>
      <c r="D5481" t="str">
        <f>"1582-8271"</f>
        <v>1582-8271</v>
      </c>
      <c r="E5481" t="s">
        <v>8</v>
      </c>
      <c r="F5481" t="s">
        <v>5482</v>
      </c>
      <c r="G5481">
        <v>1</v>
      </c>
    </row>
    <row r="5482" spans="1:7" x14ac:dyDescent="0.25">
      <c r="A5482">
        <v>22</v>
      </c>
      <c r="B5482" t="s">
        <v>4883</v>
      </c>
      <c r="C5482">
        <v>8783555</v>
      </c>
      <c r="E5482" t="s">
        <v>15</v>
      </c>
      <c r="F5482" t="s">
        <v>5483</v>
      </c>
      <c r="G5482">
        <v>1</v>
      </c>
    </row>
    <row r="5483" spans="1:7" x14ac:dyDescent="0.25">
      <c r="A5483">
        <v>22</v>
      </c>
      <c r="B5483" t="s">
        <v>4883</v>
      </c>
      <c r="C5483">
        <v>8783558</v>
      </c>
      <c r="E5483" t="s">
        <v>15</v>
      </c>
      <c r="F5483" t="s">
        <v>5484</v>
      </c>
      <c r="G5483">
        <v>1</v>
      </c>
    </row>
    <row r="5484" spans="1:7" x14ac:dyDescent="0.25">
      <c r="A5484">
        <v>22</v>
      </c>
      <c r="B5484" t="s">
        <v>4883</v>
      </c>
      <c r="C5484">
        <v>8783559</v>
      </c>
      <c r="E5484" t="s">
        <v>15</v>
      </c>
      <c r="F5484" t="s">
        <v>5485</v>
      </c>
      <c r="G5484">
        <v>1</v>
      </c>
    </row>
    <row r="5485" spans="1:7" x14ac:dyDescent="0.25">
      <c r="A5485">
        <v>22</v>
      </c>
      <c r="B5485" t="s">
        <v>4883</v>
      </c>
      <c r="C5485">
        <v>8783560</v>
      </c>
      <c r="E5485" t="s">
        <v>15</v>
      </c>
      <c r="F5485" t="s">
        <v>5486</v>
      </c>
      <c r="G5485">
        <v>1</v>
      </c>
    </row>
    <row r="5486" spans="1:7" x14ac:dyDescent="0.25">
      <c r="A5486">
        <v>22</v>
      </c>
      <c r="B5486" t="s">
        <v>4883</v>
      </c>
      <c r="C5486">
        <v>8781939</v>
      </c>
      <c r="D5486" t="str">
        <f>"2155-3157"</f>
        <v>2155-3157</v>
      </c>
      <c r="E5486" t="s">
        <v>15</v>
      </c>
      <c r="F5486" t="s">
        <v>5487</v>
      </c>
      <c r="G5486">
        <v>1</v>
      </c>
    </row>
    <row r="5487" spans="1:7" x14ac:dyDescent="0.25">
      <c r="A5487">
        <v>22</v>
      </c>
      <c r="B5487" t="s">
        <v>4883</v>
      </c>
      <c r="C5487">
        <v>8783394</v>
      </c>
      <c r="E5487" t="s">
        <v>15</v>
      </c>
      <c r="F5487" t="s">
        <v>5488</v>
      </c>
      <c r="G5487">
        <v>1</v>
      </c>
    </row>
    <row r="5488" spans="1:7" x14ac:dyDescent="0.25">
      <c r="A5488">
        <v>22</v>
      </c>
      <c r="B5488" t="s">
        <v>4883</v>
      </c>
      <c r="C5488">
        <v>8783561</v>
      </c>
      <c r="E5488" t="s">
        <v>15</v>
      </c>
      <c r="F5488" t="s">
        <v>5489</v>
      </c>
      <c r="G5488">
        <v>1</v>
      </c>
    </row>
    <row r="5489" spans="1:7" x14ac:dyDescent="0.25">
      <c r="A5489">
        <v>22</v>
      </c>
      <c r="B5489" t="s">
        <v>4883</v>
      </c>
      <c r="C5489">
        <v>8783858</v>
      </c>
      <c r="E5489" t="s">
        <v>15</v>
      </c>
      <c r="F5489" t="s">
        <v>5490</v>
      </c>
      <c r="G5489">
        <v>1</v>
      </c>
    </row>
    <row r="5490" spans="1:7" x14ac:dyDescent="0.25">
      <c r="A5490">
        <v>22</v>
      </c>
      <c r="B5490" t="s">
        <v>4883</v>
      </c>
      <c r="C5490">
        <v>170375</v>
      </c>
      <c r="E5490" t="s">
        <v>15</v>
      </c>
      <c r="F5490" t="s">
        <v>5491</v>
      </c>
      <c r="G5490">
        <v>1</v>
      </c>
    </row>
    <row r="5491" spans="1:7" x14ac:dyDescent="0.25">
      <c r="A5491">
        <v>22</v>
      </c>
      <c r="B5491" t="s">
        <v>4883</v>
      </c>
      <c r="C5491">
        <v>8783542</v>
      </c>
      <c r="E5491" t="s">
        <v>15</v>
      </c>
      <c r="F5491" t="s">
        <v>5492</v>
      </c>
      <c r="G5491">
        <v>1</v>
      </c>
    </row>
    <row r="5492" spans="1:7" x14ac:dyDescent="0.25">
      <c r="A5492">
        <v>22</v>
      </c>
      <c r="B5492" t="s">
        <v>4883</v>
      </c>
      <c r="C5492">
        <v>8783562</v>
      </c>
      <c r="E5492" t="s">
        <v>15</v>
      </c>
      <c r="F5492" t="s">
        <v>5493</v>
      </c>
      <c r="G5492">
        <v>1</v>
      </c>
    </row>
    <row r="5493" spans="1:7" x14ac:dyDescent="0.25">
      <c r="A5493">
        <v>22</v>
      </c>
      <c r="B5493" t="s">
        <v>4883</v>
      </c>
      <c r="C5493">
        <v>8783567</v>
      </c>
      <c r="E5493" t="s">
        <v>15</v>
      </c>
      <c r="F5493" t="s">
        <v>5494</v>
      </c>
      <c r="G5493">
        <v>1</v>
      </c>
    </row>
    <row r="5494" spans="1:7" x14ac:dyDescent="0.25">
      <c r="A5494">
        <v>22</v>
      </c>
      <c r="B5494" t="s">
        <v>4883</v>
      </c>
      <c r="C5494">
        <v>8783568</v>
      </c>
      <c r="E5494" t="s">
        <v>15</v>
      </c>
      <c r="F5494" t="s">
        <v>5495</v>
      </c>
      <c r="G5494">
        <v>1</v>
      </c>
    </row>
    <row r="5495" spans="1:7" x14ac:dyDescent="0.25">
      <c r="A5495">
        <v>22</v>
      </c>
      <c r="B5495" t="s">
        <v>4883</v>
      </c>
      <c r="C5495">
        <v>7696629</v>
      </c>
      <c r="E5495" t="s">
        <v>15</v>
      </c>
      <c r="F5495" t="s">
        <v>5496</v>
      </c>
      <c r="G5495">
        <v>1</v>
      </c>
    </row>
    <row r="5496" spans="1:7" x14ac:dyDescent="0.25">
      <c r="A5496">
        <v>22</v>
      </c>
      <c r="B5496" t="s">
        <v>4883</v>
      </c>
      <c r="C5496">
        <v>8783569</v>
      </c>
      <c r="E5496" t="s">
        <v>15</v>
      </c>
      <c r="F5496" t="s">
        <v>5497</v>
      </c>
      <c r="G5496">
        <v>1</v>
      </c>
    </row>
    <row r="5497" spans="1:7" x14ac:dyDescent="0.25">
      <c r="A5497">
        <v>22</v>
      </c>
      <c r="B5497" t="s">
        <v>4883</v>
      </c>
      <c r="C5497">
        <v>8783570</v>
      </c>
      <c r="E5497" t="s">
        <v>15</v>
      </c>
      <c r="F5497" t="s">
        <v>5498</v>
      </c>
      <c r="G5497">
        <v>1</v>
      </c>
    </row>
    <row r="5498" spans="1:7" x14ac:dyDescent="0.25">
      <c r="A5498">
        <v>22</v>
      </c>
      <c r="B5498" t="s">
        <v>4883</v>
      </c>
      <c r="C5498">
        <v>8783571</v>
      </c>
      <c r="E5498" t="s">
        <v>15</v>
      </c>
      <c r="F5498" t="s">
        <v>5499</v>
      </c>
      <c r="G5498">
        <v>1</v>
      </c>
    </row>
    <row r="5499" spans="1:7" x14ac:dyDescent="0.25">
      <c r="A5499">
        <v>22</v>
      </c>
      <c r="B5499" t="s">
        <v>4883</v>
      </c>
      <c r="C5499">
        <v>8783554</v>
      </c>
      <c r="E5499" t="s">
        <v>15</v>
      </c>
      <c r="F5499" t="s">
        <v>5500</v>
      </c>
      <c r="G5499">
        <v>1</v>
      </c>
    </row>
    <row r="5500" spans="1:7" x14ac:dyDescent="0.25">
      <c r="A5500">
        <v>22</v>
      </c>
      <c r="B5500" t="s">
        <v>4883</v>
      </c>
      <c r="C5500">
        <v>8783572</v>
      </c>
      <c r="E5500" t="s">
        <v>15</v>
      </c>
      <c r="F5500" t="s">
        <v>5501</v>
      </c>
      <c r="G5500">
        <v>1</v>
      </c>
    </row>
    <row r="5501" spans="1:7" x14ac:dyDescent="0.25">
      <c r="A5501">
        <v>22</v>
      </c>
      <c r="B5501" t="s">
        <v>4883</v>
      </c>
      <c r="C5501">
        <v>8783573</v>
      </c>
      <c r="E5501" t="s">
        <v>15</v>
      </c>
      <c r="F5501" t="s">
        <v>5502</v>
      </c>
      <c r="G5501">
        <v>1</v>
      </c>
    </row>
    <row r="5502" spans="1:7" x14ac:dyDescent="0.25">
      <c r="A5502">
        <v>22</v>
      </c>
      <c r="B5502" t="s">
        <v>4883</v>
      </c>
      <c r="C5502">
        <v>8783574</v>
      </c>
      <c r="E5502" t="s">
        <v>15</v>
      </c>
      <c r="F5502" t="s">
        <v>5503</v>
      </c>
      <c r="G5502">
        <v>1</v>
      </c>
    </row>
    <row r="5503" spans="1:7" x14ac:dyDescent="0.25">
      <c r="A5503">
        <v>22</v>
      </c>
      <c r="B5503" t="s">
        <v>4883</v>
      </c>
      <c r="C5503">
        <v>8783575</v>
      </c>
      <c r="E5503" t="s">
        <v>15</v>
      </c>
      <c r="F5503" t="s">
        <v>5504</v>
      </c>
      <c r="G5503">
        <v>1</v>
      </c>
    </row>
    <row r="5504" spans="1:7" x14ac:dyDescent="0.25">
      <c r="A5504">
        <v>22</v>
      </c>
      <c r="B5504" t="s">
        <v>4883</v>
      </c>
      <c r="C5504">
        <v>8781969</v>
      </c>
      <c r="D5504" t="str">
        <f>"2245-4799"</f>
        <v>2245-4799</v>
      </c>
      <c r="E5504" t="s">
        <v>15</v>
      </c>
      <c r="F5504" t="s">
        <v>5505</v>
      </c>
      <c r="G5504">
        <v>1</v>
      </c>
    </row>
    <row r="5505" spans="1:7" x14ac:dyDescent="0.25">
      <c r="A5505">
        <v>22</v>
      </c>
      <c r="B5505" t="s">
        <v>4883</v>
      </c>
      <c r="C5505">
        <v>84903</v>
      </c>
      <c r="D5505" t="str">
        <f>"0108-3937"</f>
        <v>0108-3937</v>
      </c>
      <c r="E5505" t="s">
        <v>8</v>
      </c>
      <c r="F5505" t="s">
        <v>5506</v>
      </c>
      <c r="G5505">
        <v>1</v>
      </c>
    </row>
    <row r="5506" spans="1:7" x14ac:dyDescent="0.25">
      <c r="A5506">
        <v>22</v>
      </c>
      <c r="B5506" t="s">
        <v>4883</v>
      </c>
      <c r="C5506">
        <v>8782763</v>
      </c>
      <c r="E5506" t="s">
        <v>8</v>
      </c>
      <c r="F5506" t="s">
        <v>5507</v>
      </c>
      <c r="G5506">
        <v>1</v>
      </c>
    </row>
    <row r="5507" spans="1:7" x14ac:dyDescent="0.25">
      <c r="A5507">
        <v>22</v>
      </c>
      <c r="B5507" t="s">
        <v>4883</v>
      </c>
      <c r="C5507">
        <v>7716872</v>
      </c>
      <c r="D5507" t="str">
        <f>"2001-7405"</f>
        <v>2001-7405</v>
      </c>
      <c r="E5507" t="s">
        <v>8</v>
      </c>
      <c r="F5507" t="s">
        <v>5508</v>
      </c>
      <c r="G5507">
        <v>1</v>
      </c>
    </row>
    <row r="5508" spans="1:7" x14ac:dyDescent="0.25">
      <c r="A5508">
        <v>22</v>
      </c>
      <c r="B5508" t="s">
        <v>4883</v>
      </c>
      <c r="C5508">
        <v>21325</v>
      </c>
      <c r="D5508" t="str">
        <f>"1439-121X"</f>
        <v>1439-121X</v>
      </c>
      <c r="E5508" t="s">
        <v>8</v>
      </c>
      <c r="F5508" t="s">
        <v>5509</v>
      </c>
      <c r="G5508">
        <v>1</v>
      </c>
    </row>
    <row r="5509" spans="1:7" x14ac:dyDescent="0.25">
      <c r="A5509">
        <v>22</v>
      </c>
      <c r="B5509" t="s">
        <v>4883</v>
      </c>
      <c r="C5509">
        <v>6846</v>
      </c>
      <c r="D5509" t="str">
        <f>"0892-9882"</f>
        <v>0892-9882</v>
      </c>
      <c r="E5509" t="s">
        <v>8</v>
      </c>
      <c r="F5509" t="s">
        <v>5510</v>
      </c>
      <c r="G5509">
        <v>1</v>
      </c>
    </row>
    <row r="5510" spans="1:7" x14ac:dyDescent="0.25">
      <c r="A5510">
        <v>22</v>
      </c>
      <c r="B5510" t="s">
        <v>4883</v>
      </c>
      <c r="C5510">
        <v>10818</v>
      </c>
      <c r="D5510" t="str">
        <f>"0036-8237"</f>
        <v>0036-8237</v>
      </c>
      <c r="E5510" t="s">
        <v>8</v>
      </c>
      <c r="F5510" t="s">
        <v>5511</v>
      </c>
      <c r="G5510">
        <v>1</v>
      </c>
    </row>
    <row r="5511" spans="1:7" x14ac:dyDescent="0.25">
      <c r="A5511">
        <v>22</v>
      </c>
      <c r="B5511" t="s">
        <v>4883</v>
      </c>
      <c r="C5511">
        <v>170240</v>
      </c>
      <c r="E5511" t="s">
        <v>15</v>
      </c>
      <c r="F5511" t="s">
        <v>5512</v>
      </c>
      <c r="G5511">
        <v>1</v>
      </c>
    </row>
    <row r="5512" spans="1:7" x14ac:dyDescent="0.25">
      <c r="A5512">
        <v>22</v>
      </c>
      <c r="B5512" t="s">
        <v>4883</v>
      </c>
      <c r="C5512">
        <v>21785</v>
      </c>
      <c r="D5512" t="str">
        <f>"1874-7337"</f>
        <v>1874-7337</v>
      </c>
      <c r="E5512" t="s">
        <v>8</v>
      </c>
      <c r="F5512" t="s">
        <v>5513</v>
      </c>
      <c r="G5512">
        <v>1</v>
      </c>
    </row>
    <row r="5513" spans="1:7" x14ac:dyDescent="0.25">
      <c r="A5513">
        <v>22</v>
      </c>
      <c r="B5513" t="s">
        <v>4883</v>
      </c>
      <c r="C5513">
        <v>8782819</v>
      </c>
      <c r="D5513" t="str">
        <f>"2059-1063"</f>
        <v>2059-1063</v>
      </c>
      <c r="E5513" t="s">
        <v>15</v>
      </c>
      <c r="F5513" t="s">
        <v>5514</v>
      </c>
      <c r="G5513">
        <v>1</v>
      </c>
    </row>
    <row r="5514" spans="1:7" x14ac:dyDescent="0.25">
      <c r="A5514">
        <v>22</v>
      </c>
      <c r="B5514" t="s">
        <v>4883</v>
      </c>
      <c r="C5514">
        <v>23955</v>
      </c>
      <c r="D5514" t="str">
        <f>"0210-0223"</f>
        <v>0210-0223</v>
      </c>
      <c r="E5514" t="s">
        <v>8</v>
      </c>
      <c r="F5514" t="s">
        <v>5515</v>
      </c>
      <c r="G5514">
        <v>1</v>
      </c>
    </row>
    <row r="5515" spans="1:7" x14ac:dyDescent="0.25">
      <c r="A5515">
        <v>22</v>
      </c>
      <c r="B5515" t="s">
        <v>4883</v>
      </c>
      <c r="C5515">
        <v>160048</v>
      </c>
      <c r="D5515" t="str">
        <f>"1335-9096"</f>
        <v>1335-9096</v>
      </c>
      <c r="E5515" t="s">
        <v>8</v>
      </c>
      <c r="F5515" t="s">
        <v>5516</v>
      </c>
      <c r="G5515">
        <v>1</v>
      </c>
    </row>
    <row r="5516" spans="1:7" x14ac:dyDescent="0.25">
      <c r="A5516">
        <v>22</v>
      </c>
      <c r="B5516" t="s">
        <v>4883</v>
      </c>
      <c r="C5516">
        <v>10755</v>
      </c>
      <c r="D5516" t="str">
        <f>"0959-2318"</f>
        <v>0959-2318</v>
      </c>
      <c r="E5516" t="s">
        <v>8</v>
      </c>
      <c r="F5516" t="s">
        <v>5517</v>
      </c>
      <c r="G5516">
        <v>1</v>
      </c>
    </row>
    <row r="5517" spans="1:7" x14ac:dyDescent="0.25">
      <c r="A5517">
        <v>22</v>
      </c>
      <c r="B5517" t="s">
        <v>4883</v>
      </c>
      <c r="C5517">
        <v>8783576</v>
      </c>
      <c r="E5517" t="s">
        <v>15</v>
      </c>
      <c r="F5517" t="s">
        <v>5518</v>
      </c>
      <c r="G5517">
        <v>1</v>
      </c>
    </row>
    <row r="5518" spans="1:7" x14ac:dyDescent="0.25">
      <c r="A5518">
        <v>22</v>
      </c>
      <c r="B5518" t="s">
        <v>4883</v>
      </c>
      <c r="C5518">
        <v>170299</v>
      </c>
      <c r="E5518" t="s">
        <v>15</v>
      </c>
      <c r="F5518" t="s">
        <v>5519</v>
      </c>
      <c r="G5518">
        <v>1</v>
      </c>
    </row>
    <row r="5519" spans="1:7" x14ac:dyDescent="0.25">
      <c r="A5519">
        <v>22</v>
      </c>
      <c r="B5519" t="s">
        <v>4883</v>
      </c>
      <c r="C5519">
        <v>153352</v>
      </c>
      <c r="E5519" t="s">
        <v>15</v>
      </c>
      <c r="F5519" t="s">
        <v>5520</v>
      </c>
      <c r="G5519">
        <v>1</v>
      </c>
    </row>
    <row r="5520" spans="1:7" x14ac:dyDescent="0.25">
      <c r="A5520">
        <v>22</v>
      </c>
      <c r="B5520" t="s">
        <v>4883</v>
      </c>
      <c r="C5520">
        <v>6005</v>
      </c>
      <c r="D5520" t="str">
        <f>"1474-7464"</f>
        <v>1474-7464</v>
      </c>
      <c r="E5520" t="s">
        <v>8</v>
      </c>
      <c r="F5520" t="s">
        <v>5521</v>
      </c>
      <c r="G5520">
        <v>1</v>
      </c>
    </row>
    <row r="5521" spans="1:7" x14ac:dyDescent="0.25">
      <c r="A5521">
        <v>22</v>
      </c>
      <c r="B5521" t="s">
        <v>4883</v>
      </c>
      <c r="C5521">
        <v>4784</v>
      </c>
      <c r="D5521" t="str">
        <f>"0539-0184"</f>
        <v>0539-0184</v>
      </c>
      <c r="E5521" t="s">
        <v>8</v>
      </c>
      <c r="F5521" t="s">
        <v>5522</v>
      </c>
      <c r="G5521">
        <v>1</v>
      </c>
    </row>
    <row r="5522" spans="1:7" x14ac:dyDescent="0.25">
      <c r="A5522">
        <v>22</v>
      </c>
      <c r="B5522" t="s">
        <v>4883</v>
      </c>
      <c r="C5522">
        <v>7716</v>
      </c>
      <c r="D5522" t="str">
        <f>"0037-7910"</f>
        <v>0037-7910</v>
      </c>
      <c r="E5522" t="s">
        <v>8</v>
      </c>
      <c r="F5522" t="s">
        <v>5523</v>
      </c>
      <c r="G5522">
        <v>1</v>
      </c>
    </row>
    <row r="5523" spans="1:7" x14ac:dyDescent="0.25">
      <c r="A5523">
        <v>22</v>
      </c>
      <c r="B5523" t="s">
        <v>4883</v>
      </c>
      <c r="C5523">
        <v>23097</v>
      </c>
      <c r="D5523" t="str">
        <f>"0885-4300"</f>
        <v>0885-4300</v>
      </c>
      <c r="E5523" t="s">
        <v>8</v>
      </c>
      <c r="F5523" t="s">
        <v>5524</v>
      </c>
      <c r="G5523">
        <v>1</v>
      </c>
    </row>
    <row r="5524" spans="1:7" x14ac:dyDescent="0.25">
      <c r="A5524">
        <v>22</v>
      </c>
      <c r="B5524" t="s">
        <v>4883</v>
      </c>
      <c r="C5524">
        <v>23020</v>
      </c>
      <c r="D5524" t="str">
        <f>"1588-9726"</f>
        <v>1588-9726</v>
      </c>
      <c r="E5524" t="s">
        <v>8</v>
      </c>
      <c r="F5524" t="s">
        <v>5525</v>
      </c>
      <c r="G5524">
        <v>1</v>
      </c>
    </row>
    <row r="5525" spans="1:7" x14ac:dyDescent="0.25">
      <c r="A5525">
        <v>22</v>
      </c>
      <c r="B5525" t="s">
        <v>4883</v>
      </c>
      <c r="C5525">
        <v>153348</v>
      </c>
      <c r="D5525" t="str">
        <f>"1362-6620"</f>
        <v>1362-6620</v>
      </c>
      <c r="E5525" t="s">
        <v>8</v>
      </c>
      <c r="F5525" t="s">
        <v>5526</v>
      </c>
      <c r="G5525">
        <v>1</v>
      </c>
    </row>
    <row r="5526" spans="1:7" x14ac:dyDescent="0.25">
      <c r="A5526">
        <v>22</v>
      </c>
      <c r="B5526" t="s">
        <v>4883</v>
      </c>
      <c r="C5526">
        <v>114488</v>
      </c>
      <c r="D5526" t="str">
        <f>"2227-0124"</f>
        <v>2227-0124</v>
      </c>
      <c r="E5526" t="s">
        <v>8</v>
      </c>
      <c r="F5526" t="s">
        <v>5527</v>
      </c>
      <c r="G5526">
        <v>1</v>
      </c>
    </row>
    <row r="5527" spans="1:7" x14ac:dyDescent="0.25">
      <c r="A5527">
        <v>22</v>
      </c>
      <c r="B5527" t="s">
        <v>4883</v>
      </c>
      <c r="C5527">
        <v>10590</v>
      </c>
      <c r="D5527" t="str">
        <f>"1360-8746"</f>
        <v>1360-8746</v>
      </c>
      <c r="E5527" t="s">
        <v>8</v>
      </c>
      <c r="F5527" t="s">
        <v>5528</v>
      </c>
      <c r="G5527">
        <v>1</v>
      </c>
    </row>
    <row r="5528" spans="1:7" x14ac:dyDescent="0.25">
      <c r="A5528">
        <v>22</v>
      </c>
      <c r="B5528" t="s">
        <v>4883</v>
      </c>
      <c r="C5528">
        <v>8782708</v>
      </c>
      <c r="D5528" t="str">
        <f>"0038-609X"</f>
        <v>0038-609X</v>
      </c>
      <c r="E5528" t="s">
        <v>8</v>
      </c>
      <c r="F5528" t="s">
        <v>5529</v>
      </c>
      <c r="G5528">
        <v>1</v>
      </c>
    </row>
    <row r="5529" spans="1:7" x14ac:dyDescent="0.25">
      <c r="A5529">
        <v>22</v>
      </c>
      <c r="B5529" t="s">
        <v>4883</v>
      </c>
      <c r="C5529">
        <v>170276</v>
      </c>
      <c r="E5529" t="s">
        <v>15</v>
      </c>
      <c r="F5529" t="s">
        <v>5530</v>
      </c>
      <c r="G5529">
        <v>1</v>
      </c>
    </row>
    <row r="5530" spans="1:7" x14ac:dyDescent="0.25">
      <c r="A5530">
        <v>22</v>
      </c>
      <c r="B5530" t="s">
        <v>4883</v>
      </c>
      <c r="C5530">
        <v>13996</v>
      </c>
      <c r="D5530" t="str">
        <f>"1356-2576"</f>
        <v>1356-2576</v>
      </c>
      <c r="E5530" t="s">
        <v>8</v>
      </c>
      <c r="F5530" t="s">
        <v>5531</v>
      </c>
      <c r="G5530">
        <v>1</v>
      </c>
    </row>
    <row r="5531" spans="1:7" x14ac:dyDescent="0.25">
      <c r="A5531">
        <v>22</v>
      </c>
      <c r="B5531" t="s">
        <v>4883</v>
      </c>
      <c r="C5531">
        <v>14674</v>
      </c>
      <c r="D5531" t="str">
        <f>"0265-9646"</f>
        <v>0265-9646</v>
      </c>
      <c r="E5531" t="s">
        <v>8</v>
      </c>
      <c r="F5531" t="s">
        <v>5532</v>
      </c>
      <c r="G5531">
        <v>1</v>
      </c>
    </row>
    <row r="5532" spans="1:7" x14ac:dyDescent="0.25">
      <c r="A5532">
        <v>22</v>
      </c>
      <c r="B5532" t="s">
        <v>4883</v>
      </c>
      <c r="C5532">
        <v>88009</v>
      </c>
      <c r="D5532" t="str">
        <f>"1436-8099"</f>
        <v>1436-8099</v>
      </c>
      <c r="E5532" t="s">
        <v>15</v>
      </c>
      <c r="F5532" t="s">
        <v>5533</v>
      </c>
      <c r="G5532">
        <v>1</v>
      </c>
    </row>
    <row r="5533" spans="1:7" x14ac:dyDescent="0.25">
      <c r="A5533">
        <v>22</v>
      </c>
      <c r="B5533" t="s">
        <v>4883</v>
      </c>
      <c r="C5533">
        <v>17635</v>
      </c>
      <c r="D5533" t="str">
        <f>"1424-7755"</f>
        <v>1424-7755</v>
      </c>
      <c r="E5533" t="s">
        <v>8</v>
      </c>
      <c r="F5533" t="s">
        <v>5534</v>
      </c>
      <c r="G5533">
        <v>1</v>
      </c>
    </row>
    <row r="5534" spans="1:7" x14ac:dyDescent="0.25">
      <c r="A5534">
        <v>22</v>
      </c>
      <c r="B5534" t="s">
        <v>4883</v>
      </c>
      <c r="C5534">
        <v>170295</v>
      </c>
      <c r="E5534" t="s">
        <v>15</v>
      </c>
      <c r="F5534" t="s">
        <v>5535</v>
      </c>
      <c r="G5534">
        <v>1</v>
      </c>
    </row>
    <row r="5535" spans="1:7" x14ac:dyDescent="0.25">
      <c r="A5535">
        <v>22</v>
      </c>
      <c r="B5535" t="s">
        <v>4883</v>
      </c>
      <c r="C5535">
        <v>170296</v>
      </c>
      <c r="E5535" t="s">
        <v>15</v>
      </c>
      <c r="F5535" t="s">
        <v>5536</v>
      </c>
      <c r="G5535">
        <v>1</v>
      </c>
    </row>
    <row r="5536" spans="1:7" x14ac:dyDescent="0.25">
      <c r="A5536">
        <v>22</v>
      </c>
      <c r="B5536" t="s">
        <v>4883</v>
      </c>
      <c r="C5536">
        <v>17206</v>
      </c>
      <c r="D5536" t="str">
        <f>"1532-4400"</f>
        <v>1532-4400</v>
      </c>
      <c r="E5536" t="s">
        <v>8</v>
      </c>
      <c r="F5536" t="s">
        <v>5537</v>
      </c>
      <c r="G5536">
        <v>1</v>
      </c>
    </row>
    <row r="5537" spans="1:7" x14ac:dyDescent="0.25">
      <c r="A5537">
        <v>22</v>
      </c>
      <c r="B5537" t="s">
        <v>4883</v>
      </c>
      <c r="C5537">
        <v>7687878</v>
      </c>
      <c r="E5537" t="s">
        <v>8</v>
      </c>
      <c r="F5537" t="s">
        <v>5538</v>
      </c>
      <c r="G5537">
        <v>1</v>
      </c>
    </row>
    <row r="5538" spans="1:7" x14ac:dyDescent="0.25">
      <c r="A5538">
        <v>22</v>
      </c>
      <c r="B5538" t="s">
        <v>4883</v>
      </c>
      <c r="C5538">
        <v>8781937</v>
      </c>
      <c r="D5538" t="str">
        <f>"2245-8573"</f>
        <v>2245-8573</v>
      </c>
      <c r="E5538" t="s">
        <v>15</v>
      </c>
      <c r="F5538" t="s">
        <v>4883</v>
      </c>
      <c r="G5538">
        <v>1</v>
      </c>
    </row>
    <row r="5539" spans="1:7" x14ac:dyDescent="0.25">
      <c r="A5539">
        <v>22</v>
      </c>
      <c r="B5539" t="s">
        <v>4883</v>
      </c>
      <c r="C5539">
        <v>8783577</v>
      </c>
      <c r="E5539" t="s">
        <v>15</v>
      </c>
      <c r="F5539" t="s">
        <v>5539</v>
      </c>
      <c r="G5539">
        <v>1</v>
      </c>
    </row>
    <row r="5540" spans="1:7" x14ac:dyDescent="0.25">
      <c r="A5540">
        <v>22</v>
      </c>
      <c r="B5540" t="s">
        <v>4883</v>
      </c>
      <c r="C5540">
        <v>2598</v>
      </c>
      <c r="D5540" t="str">
        <f>"0039-0747"</f>
        <v>0039-0747</v>
      </c>
      <c r="E5540" t="s">
        <v>8</v>
      </c>
      <c r="F5540" t="s">
        <v>5540</v>
      </c>
      <c r="G5540">
        <v>1</v>
      </c>
    </row>
    <row r="5541" spans="1:7" x14ac:dyDescent="0.25">
      <c r="A5541">
        <v>22</v>
      </c>
      <c r="B5541" t="s">
        <v>4883</v>
      </c>
      <c r="C5541">
        <v>882</v>
      </c>
      <c r="D5541" t="str">
        <f>"0970-0161"</f>
        <v>0970-0161</v>
      </c>
      <c r="E5541" t="s">
        <v>8</v>
      </c>
      <c r="F5541" t="s">
        <v>5541</v>
      </c>
      <c r="G5541">
        <v>1</v>
      </c>
    </row>
    <row r="5542" spans="1:7" x14ac:dyDescent="0.25">
      <c r="A5542">
        <v>22</v>
      </c>
      <c r="B5542" t="s">
        <v>4883</v>
      </c>
      <c r="C5542">
        <v>8411</v>
      </c>
      <c r="D5542" t="str">
        <f>"0459-7230"</f>
        <v>0459-7230</v>
      </c>
      <c r="E5542" t="s">
        <v>8</v>
      </c>
      <c r="F5542" t="s">
        <v>5542</v>
      </c>
      <c r="G5542">
        <v>1</v>
      </c>
    </row>
    <row r="5543" spans="1:7" x14ac:dyDescent="0.25">
      <c r="A5543">
        <v>22</v>
      </c>
      <c r="B5543" t="s">
        <v>4883</v>
      </c>
      <c r="C5543">
        <v>170152</v>
      </c>
      <c r="E5543" t="s">
        <v>15</v>
      </c>
      <c r="F5543" t="s">
        <v>5543</v>
      </c>
      <c r="G5543">
        <v>1</v>
      </c>
    </row>
    <row r="5544" spans="1:7" x14ac:dyDescent="0.25">
      <c r="A5544">
        <v>22</v>
      </c>
      <c r="B5544" t="s">
        <v>4883</v>
      </c>
      <c r="C5544">
        <v>170157</v>
      </c>
      <c r="E5544" t="s">
        <v>15</v>
      </c>
      <c r="F5544" t="s">
        <v>5544</v>
      </c>
      <c r="G5544">
        <v>1</v>
      </c>
    </row>
    <row r="5545" spans="1:7" x14ac:dyDescent="0.25">
      <c r="A5545">
        <v>22</v>
      </c>
      <c r="B5545" t="s">
        <v>4883</v>
      </c>
      <c r="C5545">
        <v>22098</v>
      </c>
      <c r="D5545" t="str">
        <f>"0770-2965"</f>
        <v>0770-2965</v>
      </c>
      <c r="E5545" t="s">
        <v>8</v>
      </c>
      <c r="F5545" t="s">
        <v>5545</v>
      </c>
      <c r="G5545">
        <v>1</v>
      </c>
    </row>
    <row r="5546" spans="1:7" x14ac:dyDescent="0.25">
      <c r="A5546">
        <v>22</v>
      </c>
      <c r="B5546" t="s">
        <v>4883</v>
      </c>
      <c r="C5546">
        <v>170110</v>
      </c>
      <c r="D5546" t="str">
        <f>"2245-280X"</f>
        <v>2245-280X</v>
      </c>
      <c r="E5546" t="s">
        <v>15</v>
      </c>
      <c r="F5546" t="s">
        <v>5546</v>
      </c>
      <c r="G5546">
        <v>1</v>
      </c>
    </row>
    <row r="5547" spans="1:7" x14ac:dyDescent="0.25">
      <c r="A5547">
        <v>22</v>
      </c>
      <c r="B5547" t="s">
        <v>4883</v>
      </c>
      <c r="C5547">
        <v>170172</v>
      </c>
      <c r="D5547" t="str">
        <f>"1904-3171"</f>
        <v>1904-3171</v>
      </c>
      <c r="E5547" t="s">
        <v>15</v>
      </c>
      <c r="F5547" t="s">
        <v>5547</v>
      </c>
      <c r="G5547">
        <v>1</v>
      </c>
    </row>
    <row r="5548" spans="1:7" x14ac:dyDescent="0.25">
      <c r="A5548">
        <v>22</v>
      </c>
      <c r="B5548" t="s">
        <v>4883</v>
      </c>
      <c r="C5548">
        <v>170173</v>
      </c>
      <c r="D5548" t="str">
        <f>"2245-0211"</f>
        <v>2245-0211</v>
      </c>
      <c r="E5548" t="s">
        <v>15</v>
      </c>
      <c r="F5548" t="s">
        <v>5548</v>
      </c>
      <c r="G5548">
        <v>1</v>
      </c>
    </row>
    <row r="5549" spans="1:7" x14ac:dyDescent="0.25">
      <c r="A5549">
        <v>22</v>
      </c>
      <c r="B5549" t="s">
        <v>4883</v>
      </c>
      <c r="C5549">
        <v>4103</v>
      </c>
      <c r="D5549" t="str">
        <f>"0898-588X"</f>
        <v>0898-588X</v>
      </c>
      <c r="E5549" t="s">
        <v>8</v>
      </c>
      <c r="F5549" t="s">
        <v>5549</v>
      </c>
      <c r="G5549">
        <v>1</v>
      </c>
    </row>
    <row r="5550" spans="1:7" x14ac:dyDescent="0.25">
      <c r="A5550">
        <v>22</v>
      </c>
      <c r="B5550" t="s">
        <v>4883</v>
      </c>
      <c r="C5550">
        <v>12531</v>
      </c>
      <c r="D5550" t="str">
        <f>"1057-610X"</f>
        <v>1057-610X</v>
      </c>
      <c r="E5550" t="s">
        <v>8</v>
      </c>
      <c r="F5550" t="s">
        <v>5550</v>
      </c>
      <c r="G5550">
        <v>1</v>
      </c>
    </row>
    <row r="5551" spans="1:7" x14ac:dyDescent="0.25">
      <c r="A5551">
        <v>22</v>
      </c>
      <c r="B5551" t="s">
        <v>4883</v>
      </c>
      <c r="C5551">
        <v>170224</v>
      </c>
      <c r="E5551" t="s">
        <v>15</v>
      </c>
      <c r="F5551" t="s">
        <v>5551</v>
      </c>
      <c r="G5551">
        <v>1</v>
      </c>
    </row>
    <row r="5552" spans="1:7" x14ac:dyDescent="0.25">
      <c r="A5552">
        <v>22</v>
      </c>
      <c r="B5552" t="s">
        <v>4883</v>
      </c>
      <c r="C5552">
        <v>7981</v>
      </c>
      <c r="D5552" t="str">
        <f>"1875-0451"</f>
        <v>1875-0451</v>
      </c>
      <c r="E5552" t="s">
        <v>15</v>
      </c>
      <c r="F5552" t="s">
        <v>5552</v>
      </c>
      <c r="G5552">
        <v>1</v>
      </c>
    </row>
    <row r="5553" spans="1:7" x14ac:dyDescent="0.25">
      <c r="A5553">
        <v>22</v>
      </c>
      <c r="B5553" t="s">
        <v>4883</v>
      </c>
      <c r="C5553">
        <v>170175</v>
      </c>
      <c r="E5553" t="s">
        <v>15</v>
      </c>
      <c r="F5553" t="s">
        <v>5553</v>
      </c>
      <c r="G5553">
        <v>1</v>
      </c>
    </row>
    <row r="5554" spans="1:7" x14ac:dyDescent="0.25">
      <c r="A5554">
        <v>22</v>
      </c>
      <c r="B5554" t="s">
        <v>4883</v>
      </c>
      <c r="C5554">
        <v>170325</v>
      </c>
      <c r="E5554" t="s">
        <v>15</v>
      </c>
      <c r="F5554" t="s">
        <v>5554</v>
      </c>
      <c r="G5554">
        <v>1</v>
      </c>
    </row>
    <row r="5555" spans="1:7" x14ac:dyDescent="0.25">
      <c r="A5555">
        <v>22</v>
      </c>
      <c r="B5555" t="s">
        <v>4883</v>
      </c>
      <c r="C5555">
        <v>13480</v>
      </c>
      <c r="D5555" t="str">
        <f>"1874-2025"</f>
        <v>1874-2025</v>
      </c>
      <c r="E5555" t="s">
        <v>15</v>
      </c>
      <c r="F5555" t="s">
        <v>5555</v>
      </c>
      <c r="G5555">
        <v>1</v>
      </c>
    </row>
    <row r="5556" spans="1:7" x14ac:dyDescent="0.25">
      <c r="A5556">
        <v>22</v>
      </c>
      <c r="B5556" t="s">
        <v>4883</v>
      </c>
      <c r="C5556">
        <v>170326</v>
      </c>
      <c r="E5556" t="s">
        <v>15</v>
      </c>
      <c r="F5556" t="s">
        <v>5556</v>
      </c>
      <c r="G5556">
        <v>1</v>
      </c>
    </row>
    <row r="5557" spans="1:7" x14ac:dyDescent="0.25">
      <c r="A5557">
        <v>22</v>
      </c>
      <c r="B5557" t="s">
        <v>4883</v>
      </c>
      <c r="C5557">
        <v>23227</v>
      </c>
      <c r="D5557" t="str">
        <f>"0707-8552"</f>
        <v>0707-8552</v>
      </c>
      <c r="E5557" t="s">
        <v>8</v>
      </c>
      <c r="F5557" t="s">
        <v>5557</v>
      </c>
      <c r="G5557">
        <v>1</v>
      </c>
    </row>
    <row r="5558" spans="1:7" x14ac:dyDescent="0.25">
      <c r="A5558">
        <v>22</v>
      </c>
      <c r="B5558" t="s">
        <v>4883</v>
      </c>
      <c r="C5558">
        <v>170297</v>
      </c>
      <c r="E5558" t="s">
        <v>15</v>
      </c>
      <c r="F5558" t="s">
        <v>5558</v>
      </c>
      <c r="G5558">
        <v>1</v>
      </c>
    </row>
    <row r="5559" spans="1:7" x14ac:dyDescent="0.25">
      <c r="A5559">
        <v>22</v>
      </c>
      <c r="B5559" t="s">
        <v>4883</v>
      </c>
      <c r="C5559">
        <v>8783578</v>
      </c>
      <c r="E5559" t="s">
        <v>15</v>
      </c>
      <c r="F5559" t="s">
        <v>5559</v>
      </c>
      <c r="G5559">
        <v>1</v>
      </c>
    </row>
    <row r="5560" spans="1:7" x14ac:dyDescent="0.25">
      <c r="A5560">
        <v>22</v>
      </c>
      <c r="B5560" t="s">
        <v>4883</v>
      </c>
      <c r="C5560">
        <v>7698720</v>
      </c>
      <c r="D5560" t="str">
        <f>"1736-874X"</f>
        <v>1736-874X</v>
      </c>
      <c r="E5560" t="s">
        <v>8</v>
      </c>
      <c r="F5560" t="s">
        <v>5560</v>
      </c>
      <c r="G5560">
        <v>1</v>
      </c>
    </row>
    <row r="5561" spans="1:7" x14ac:dyDescent="0.25">
      <c r="A5561">
        <v>22</v>
      </c>
      <c r="B5561" t="s">
        <v>4883</v>
      </c>
      <c r="C5561">
        <v>4543</v>
      </c>
      <c r="D5561" t="str">
        <f>"0039-6338"</f>
        <v>0039-6338</v>
      </c>
      <c r="E5561" t="s">
        <v>8</v>
      </c>
      <c r="F5561" t="s">
        <v>5561</v>
      </c>
      <c r="G5561">
        <v>1</v>
      </c>
    </row>
    <row r="5562" spans="1:7" x14ac:dyDescent="0.25">
      <c r="A5562">
        <v>22</v>
      </c>
      <c r="B5562" t="s">
        <v>4883</v>
      </c>
      <c r="C5562">
        <v>8781967</v>
      </c>
      <c r="D5562" t="str">
        <f>"1662-6370"</f>
        <v>1662-6370</v>
      </c>
      <c r="E5562" t="s">
        <v>8</v>
      </c>
      <c r="F5562" t="s">
        <v>5562</v>
      </c>
      <c r="G5562">
        <v>1</v>
      </c>
    </row>
    <row r="5563" spans="1:7" x14ac:dyDescent="0.25">
      <c r="A5563">
        <v>22</v>
      </c>
      <c r="B5563" t="s">
        <v>4883</v>
      </c>
      <c r="C5563">
        <v>170437</v>
      </c>
      <c r="E5563" t="s">
        <v>15</v>
      </c>
      <c r="F5563" t="s">
        <v>5563</v>
      </c>
      <c r="G5563">
        <v>1</v>
      </c>
    </row>
    <row r="5564" spans="1:7" x14ac:dyDescent="0.25">
      <c r="A5564">
        <v>22</v>
      </c>
      <c r="B5564" t="s">
        <v>4883</v>
      </c>
      <c r="C5564">
        <v>6838</v>
      </c>
      <c r="D5564" t="str">
        <f>"0308-5961"</f>
        <v>0308-5961</v>
      </c>
      <c r="E5564" t="s">
        <v>8</v>
      </c>
      <c r="F5564" t="s">
        <v>5564</v>
      </c>
      <c r="G5564">
        <v>1</v>
      </c>
    </row>
    <row r="5565" spans="1:7" x14ac:dyDescent="0.25">
      <c r="A5565">
        <v>22</v>
      </c>
      <c r="B5565" t="s">
        <v>4883</v>
      </c>
      <c r="C5565">
        <v>131165</v>
      </c>
      <c r="D5565" t="str">
        <f>"0040-3598"</f>
        <v>0040-3598</v>
      </c>
      <c r="E5565" t="s">
        <v>8</v>
      </c>
      <c r="F5565" t="s">
        <v>5565</v>
      </c>
      <c r="G5565">
        <v>1</v>
      </c>
    </row>
    <row r="5566" spans="1:7" x14ac:dyDescent="0.25">
      <c r="A5566">
        <v>22</v>
      </c>
      <c r="B5566" t="s">
        <v>4883</v>
      </c>
      <c r="C5566">
        <v>170331</v>
      </c>
      <c r="D5566" t="str">
        <f>"2162-2671"</f>
        <v>2162-2671</v>
      </c>
      <c r="E5566" t="s">
        <v>8</v>
      </c>
      <c r="F5566" t="s">
        <v>5566</v>
      </c>
      <c r="G5566">
        <v>1</v>
      </c>
    </row>
    <row r="5567" spans="1:7" x14ac:dyDescent="0.25">
      <c r="A5567">
        <v>22</v>
      </c>
      <c r="B5567" t="s">
        <v>4883</v>
      </c>
      <c r="C5567">
        <v>16375</v>
      </c>
      <c r="D5567" t="str">
        <f>"0954-6553"</f>
        <v>0954-6553</v>
      </c>
      <c r="E5567" t="s">
        <v>8</v>
      </c>
      <c r="F5567" t="s">
        <v>5567</v>
      </c>
      <c r="G5567">
        <v>1</v>
      </c>
    </row>
    <row r="5568" spans="1:7" x14ac:dyDescent="0.25">
      <c r="A5568">
        <v>22</v>
      </c>
      <c r="B5568" t="s">
        <v>4883</v>
      </c>
      <c r="C5568">
        <v>6791</v>
      </c>
      <c r="D5568" t="str">
        <f>"0273-3072"</f>
        <v>0273-3072</v>
      </c>
      <c r="E5568" t="s">
        <v>8</v>
      </c>
      <c r="F5568" t="s">
        <v>5568</v>
      </c>
      <c r="G5568">
        <v>1</v>
      </c>
    </row>
    <row r="5569" spans="1:7" x14ac:dyDescent="0.25">
      <c r="A5569">
        <v>22</v>
      </c>
      <c r="B5569" t="s">
        <v>4883</v>
      </c>
      <c r="C5569">
        <v>8766966</v>
      </c>
      <c r="D5569" t="str">
        <f>"2352-5193"</f>
        <v>2352-5193</v>
      </c>
      <c r="E5569" t="s">
        <v>8</v>
      </c>
      <c r="F5569" t="s">
        <v>5569</v>
      </c>
      <c r="G5569">
        <v>1</v>
      </c>
    </row>
    <row r="5570" spans="1:7" x14ac:dyDescent="0.25">
      <c r="A5570">
        <v>22</v>
      </c>
      <c r="B5570" t="s">
        <v>4883</v>
      </c>
      <c r="C5570">
        <v>25084</v>
      </c>
      <c r="D5570" t="str">
        <f>"1750-8916"</f>
        <v>1750-8916</v>
      </c>
      <c r="E5570" t="s">
        <v>8</v>
      </c>
      <c r="F5570" t="s">
        <v>5570</v>
      </c>
      <c r="G5570">
        <v>1</v>
      </c>
    </row>
    <row r="5571" spans="1:7" x14ac:dyDescent="0.25">
      <c r="A5571">
        <v>22</v>
      </c>
      <c r="B5571" t="s">
        <v>4883</v>
      </c>
      <c r="C5571">
        <v>14254</v>
      </c>
      <c r="D5571" t="str">
        <f>"1015-2881"</f>
        <v>1015-2881</v>
      </c>
      <c r="E5571" t="s">
        <v>8</v>
      </c>
      <c r="F5571" t="s">
        <v>5571</v>
      </c>
      <c r="G5571">
        <v>1</v>
      </c>
    </row>
    <row r="5572" spans="1:7" x14ac:dyDescent="0.25">
      <c r="A5572">
        <v>22</v>
      </c>
      <c r="B5572" t="s">
        <v>4883</v>
      </c>
      <c r="C5572">
        <v>20403</v>
      </c>
      <c r="D5572" t="str">
        <f>"1035-3046"</f>
        <v>1035-3046</v>
      </c>
      <c r="E5572" t="s">
        <v>8</v>
      </c>
      <c r="F5572" t="s">
        <v>5572</v>
      </c>
      <c r="G5572">
        <v>1</v>
      </c>
    </row>
    <row r="5573" spans="1:7" x14ac:dyDescent="0.25">
      <c r="A5573">
        <v>22</v>
      </c>
      <c r="B5573" t="s">
        <v>4883</v>
      </c>
      <c r="C5573">
        <v>8783579</v>
      </c>
      <c r="E5573" t="s">
        <v>15</v>
      </c>
      <c r="F5573" t="s">
        <v>5573</v>
      </c>
      <c r="G5573">
        <v>1</v>
      </c>
    </row>
    <row r="5574" spans="1:7" x14ac:dyDescent="0.25">
      <c r="A5574">
        <v>22</v>
      </c>
      <c r="B5574" t="s">
        <v>4883</v>
      </c>
      <c r="C5574">
        <v>8783580</v>
      </c>
      <c r="E5574" t="s">
        <v>15</v>
      </c>
      <c r="F5574" t="s">
        <v>5574</v>
      </c>
      <c r="G5574">
        <v>1</v>
      </c>
    </row>
    <row r="5575" spans="1:7" x14ac:dyDescent="0.25">
      <c r="A5575">
        <v>22</v>
      </c>
      <c r="B5575" t="s">
        <v>4883</v>
      </c>
      <c r="C5575">
        <v>170223</v>
      </c>
      <c r="E5575" t="s">
        <v>15</v>
      </c>
      <c r="F5575" t="s">
        <v>5575</v>
      </c>
      <c r="G5575">
        <v>1</v>
      </c>
    </row>
    <row r="5576" spans="1:7" x14ac:dyDescent="0.25">
      <c r="A5576">
        <v>22</v>
      </c>
      <c r="B5576" t="s">
        <v>4883</v>
      </c>
      <c r="C5576">
        <v>13508</v>
      </c>
      <c r="D5576" t="str">
        <f>"1871-1901"</f>
        <v>1871-1901</v>
      </c>
      <c r="E5576" t="s">
        <v>8</v>
      </c>
      <c r="F5576" t="s">
        <v>5576</v>
      </c>
      <c r="G5576">
        <v>1</v>
      </c>
    </row>
    <row r="5577" spans="1:7" x14ac:dyDescent="0.25">
      <c r="A5577">
        <v>22</v>
      </c>
      <c r="B5577" t="s">
        <v>4883</v>
      </c>
      <c r="C5577">
        <v>18144</v>
      </c>
      <c r="D5577" t="str">
        <f>"1086-1653"</f>
        <v>1086-1653</v>
      </c>
      <c r="E5577" t="s">
        <v>8</v>
      </c>
      <c r="F5577" t="s">
        <v>5577</v>
      </c>
      <c r="G5577">
        <v>1</v>
      </c>
    </row>
    <row r="5578" spans="1:7" x14ac:dyDescent="0.25">
      <c r="A5578">
        <v>22</v>
      </c>
      <c r="B5578" t="s">
        <v>4883</v>
      </c>
      <c r="C5578">
        <v>135424</v>
      </c>
      <c r="D5578" t="str">
        <f>"0019-5286"</f>
        <v>0019-5286</v>
      </c>
      <c r="E5578" t="s">
        <v>8</v>
      </c>
      <c r="F5578" t="s">
        <v>5578</v>
      </c>
      <c r="G5578">
        <v>1</v>
      </c>
    </row>
    <row r="5579" spans="1:7" x14ac:dyDescent="0.25">
      <c r="A5579">
        <v>22</v>
      </c>
      <c r="B5579" t="s">
        <v>4883</v>
      </c>
      <c r="C5579">
        <v>51565</v>
      </c>
      <c r="D5579" t="str">
        <f>"1754-8187"</f>
        <v>1754-8187</v>
      </c>
      <c r="E5579" t="s">
        <v>8</v>
      </c>
      <c r="F5579" t="s">
        <v>5579</v>
      </c>
      <c r="G5579">
        <v>1</v>
      </c>
    </row>
    <row r="5580" spans="1:7" x14ac:dyDescent="0.25">
      <c r="A5580">
        <v>22</v>
      </c>
      <c r="B5580" t="s">
        <v>4883</v>
      </c>
      <c r="C5580">
        <v>170120</v>
      </c>
      <c r="E5580" t="s">
        <v>15</v>
      </c>
      <c r="F5580" t="s">
        <v>5580</v>
      </c>
      <c r="G5580">
        <v>1</v>
      </c>
    </row>
    <row r="5581" spans="1:7" x14ac:dyDescent="0.25">
      <c r="A5581">
        <v>22</v>
      </c>
      <c r="B5581" t="s">
        <v>4883</v>
      </c>
      <c r="C5581">
        <v>20164</v>
      </c>
      <c r="D5581" t="str">
        <f>"0393-2729"</f>
        <v>0393-2729</v>
      </c>
      <c r="E5581" t="s">
        <v>8</v>
      </c>
      <c r="F5581" t="s">
        <v>5581</v>
      </c>
      <c r="G5581">
        <v>1</v>
      </c>
    </row>
    <row r="5582" spans="1:7" x14ac:dyDescent="0.25">
      <c r="A5582">
        <v>22</v>
      </c>
      <c r="B5582" t="s">
        <v>4883</v>
      </c>
      <c r="C5582">
        <v>8782707</v>
      </c>
      <c r="E5582" t="s">
        <v>8</v>
      </c>
      <c r="F5582" t="s">
        <v>5582</v>
      </c>
      <c r="G5582">
        <v>1</v>
      </c>
    </row>
    <row r="5583" spans="1:7" x14ac:dyDescent="0.25">
      <c r="A5583">
        <v>22</v>
      </c>
      <c r="B5583" t="s">
        <v>4883</v>
      </c>
      <c r="C5583">
        <v>13741</v>
      </c>
      <c r="D5583" t="str">
        <f>"1357-2334"</f>
        <v>1357-2334</v>
      </c>
      <c r="E5583" t="s">
        <v>8</v>
      </c>
      <c r="F5583" t="s">
        <v>5583</v>
      </c>
      <c r="G5583">
        <v>1</v>
      </c>
    </row>
    <row r="5584" spans="1:7" x14ac:dyDescent="0.25">
      <c r="A5584">
        <v>22</v>
      </c>
      <c r="B5584" t="s">
        <v>4883</v>
      </c>
      <c r="C5584">
        <v>6171685</v>
      </c>
      <c r="D5584" t="str">
        <f>"1759-8273"</f>
        <v>1759-8273</v>
      </c>
      <c r="E5584" t="s">
        <v>8</v>
      </c>
      <c r="F5584" t="s">
        <v>5584</v>
      </c>
      <c r="G5584">
        <v>1</v>
      </c>
    </row>
    <row r="5585" spans="1:7" x14ac:dyDescent="0.25">
      <c r="A5585">
        <v>22</v>
      </c>
      <c r="B5585" t="s">
        <v>4883</v>
      </c>
      <c r="C5585">
        <v>15109</v>
      </c>
      <c r="D5585" t="str">
        <f>"1090-4999"</f>
        <v>1090-4999</v>
      </c>
      <c r="E5585" t="s">
        <v>8</v>
      </c>
      <c r="F5585" t="s">
        <v>5585</v>
      </c>
      <c r="G5585">
        <v>1</v>
      </c>
    </row>
    <row r="5586" spans="1:7" x14ac:dyDescent="0.25">
      <c r="A5586">
        <v>22</v>
      </c>
      <c r="B5586" t="s">
        <v>4883</v>
      </c>
      <c r="C5586">
        <v>15002</v>
      </c>
      <c r="D5586" t="str">
        <f>"1351-8046"</f>
        <v>1351-8046</v>
      </c>
      <c r="E5586" t="s">
        <v>8</v>
      </c>
      <c r="F5586" t="s">
        <v>5586</v>
      </c>
      <c r="G5586">
        <v>1</v>
      </c>
    </row>
    <row r="5587" spans="1:7" x14ac:dyDescent="0.25">
      <c r="A5587">
        <v>22</v>
      </c>
      <c r="B5587" t="s">
        <v>4883</v>
      </c>
      <c r="C5587">
        <v>170121</v>
      </c>
      <c r="E5587" t="s">
        <v>15</v>
      </c>
      <c r="F5587" t="s">
        <v>5587</v>
      </c>
      <c r="G5587">
        <v>1</v>
      </c>
    </row>
    <row r="5588" spans="1:7" x14ac:dyDescent="0.25">
      <c r="A5588">
        <v>22</v>
      </c>
      <c r="B5588" t="s">
        <v>4883</v>
      </c>
      <c r="C5588">
        <v>9728</v>
      </c>
      <c r="D5588" t="str">
        <f>"0459-7222"</f>
        <v>0459-7222</v>
      </c>
      <c r="E5588" t="s">
        <v>8</v>
      </c>
      <c r="F5588" t="s">
        <v>5588</v>
      </c>
      <c r="G5588">
        <v>1</v>
      </c>
    </row>
    <row r="5589" spans="1:7" x14ac:dyDescent="0.25">
      <c r="A5589">
        <v>22</v>
      </c>
      <c r="B5589" t="s">
        <v>4883</v>
      </c>
      <c r="C5589">
        <v>15013</v>
      </c>
      <c r="D5589" t="str">
        <f>"0027-8378"</f>
        <v>0027-8378</v>
      </c>
      <c r="E5589" t="s">
        <v>8</v>
      </c>
      <c r="F5589" t="s">
        <v>5589</v>
      </c>
      <c r="G5589">
        <v>1</v>
      </c>
    </row>
    <row r="5590" spans="1:7" x14ac:dyDescent="0.25">
      <c r="A5590">
        <v>22</v>
      </c>
      <c r="B5590" t="s">
        <v>4883</v>
      </c>
      <c r="C5590">
        <v>23077</v>
      </c>
      <c r="D5590" t="str">
        <f>"0884-9382"</f>
        <v>0884-9382</v>
      </c>
      <c r="E5590" t="s">
        <v>8</v>
      </c>
      <c r="F5590" t="s">
        <v>5590</v>
      </c>
      <c r="G5590">
        <v>1</v>
      </c>
    </row>
    <row r="5591" spans="1:7" x14ac:dyDescent="0.25">
      <c r="A5591">
        <v>22</v>
      </c>
      <c r="B5591" t="s">
        <v>4883</v>
      </c>
      <c r="C5591">
        <v>12120</v>
      </c>
      <c r="D5591" t="str">
        <f>"0028-6583"</f>
        <v>0028-6583</v>
      </c>
      <c r="E5591" t="s">
        <v>8</v>
      </c>
      <c r="F5591" t="s">
        <v>5591</v>
      </c>
      <c r="G5591">
        <v>1</v>
      </c>
    </row>
    <row r="5592" spans="1:7" x14ac:dyDescent="0.25">
      <c r="A5592">
        <v>22</v>
      </c>
      <c r="B5592" t="s">
        <v>4883</v>
      </c>
      <c r="C5592">
        <v>4806</v>
      </c>
      <c r="D5592" t="str">
        <f>"1073-6700"</f>
        <v>1073-6700</v>
      </c>
      <c r="E5592" t="s">
        <v>8</v>
      </c>
      <c r="F5592" t="s">
        <v>5592</v>
      </c>
      <c r="G5592">
        <v>1</v>
      </c>
    </row>
    <row r="5593" spans="1:7" x14ac:dyDescent="0.25">
      <c r="A5593">
        <v>22</v>
      </c>
      <c r="B5593" t="s">
        <v>4883</v>
      </c>
      <c r="C5593">
        <v>13787</v>
      </c>
      <c r="D5593" t="str">
        <f>"0032-3179"</f>
        <v>0032-3179</v>
      </c>
      <c r="E5593" t="s">
        <v>8</v>
      </c>
      <c r="F5593" t="s">
        <v>5593</v>
      </c>
      <c r="G5593">
        <v>1</v>
      </c>
    </row>
    <row r="5594" spans="1:7" x14ac:dyDescent="0.25">
      <c r="A5594">
        <v>22</v>
      </c>
      <c r="B5594" t="s">
        <v>4883</v>
      </c>
      <c r="C5594">
        <v>25072</v>
      </c>
      <c r="D5594" t="str">
        <f>"1061-7639"</f>
        <v>1061-7639</v>
      </c>
      <c r="E5594" t="s">
        <v>8</v>
      </c>
      <c r="F5594" t="s">
        <v>5594</v>
      </c>
      <c r="G5594">
        <v>1</v>
      </c>
    </row>
    <row r="5595" spans="1:7" x14ac:dyDescent="0.25">
      <c r="A5595">
        <v>22</v>
      </c>
      <c r="B5595" t="s">
        <v>4883</v>
      </c>
      <c r="C5595">
        <v>5398</v>
      </c>
      <c r="D5595" t="str">
        <f>"0034-6705"</f>
        <v>0034-6705</v>
      </c>
      <c r="E5595" t="s">
        <v>8</v>
      </c>
      <c r="F5595" t="s">
        <v>5595</v>
      </c>
      <c r="G5595">
        <v>1</v>
      </c>
    </row>
    <row r="5596" spans="1:7" x14ac:dyDescent="0.25">
      <c r="A5596">
        <v>22</v>
      </c>
      <c r="B5596" t="s">
        <v>4883</v>
      </c>
      <c r="C5596">
        <v>12583</v>
      </c>
      <c r="D5596" t="str">
        <f>"0035-8533"</f>
        <v>0035-8533</v>
      </c>
      <c r="E5596" t="s">
        <v>8</v>
      </c>
      <c r="F5596" t="s">
        <v>5596</v>
      </c>
      <c r="G5596">
        <v>1</v>
      </c>
    </row>
    <row r="5597" spans="1:7" x14ac:dyDescent="0.25">
      <c r="A5597">
        <v>22</v>
      </c>
      <c r="B5597" t="s">
        <v>4883</v>
      </c>
      <c r="C5597">
        <v>5804</v>
      </c>
      <c r="D5597" t="str">
        <f>"1945-4716"</f>
        <v>1945-4716</v>
      </c>
      <c r="E5597" t="s">
        <v>8</v>
      </c>
      <c r="F5597" t="s">
        <v>5597</v>
      </c>
      <c r="G5597">
        <v>1</v>
      </c>
    </row>
    <row r="5598" spans="1:7" x14ac:dyDescent="0.25">
      <c r="A5598">
        <v>22</v>
      </c>
      <c r="B5598" t="s">
        <v>4883</v>
      </c>
      <c r="C5598">
        <v>8783581</v>
      </c>
      <c r="E5598" t="s">
        <v>15</v>
      </c>
      <c r="F5598" t="s">
        <v>5598</v>
      </c>
      <c r="G5598">
        <v>1</v>
      </c>
    </row>
    <row r="5599" spans="1:7" x14ac:dyDescent="0.25">
      <c r="A5599">
        <v>22</v>
      </c>
      <c r="B5599" t="s">
        <v>4883</v>
      </c>
      <c r="C5599">
        <v>170178</v>
      </c>
      <c r="E5599" t="s">
        <v>15</v>
      </c>
      <c r="F5599" t="s">
        <v>5599</v>
      </c>
      <c r="G5599">
        <v>1</v>
      </c>
    </row>
    <row r="5600" spans="1:7" x14ac:dyDescent="0.25">
      <c r="A5600">
        <v>22</v>
      </c>
      <c r="B5600" t="s">
        <v>4883</v>
      </c>
      <c r="C5600">
        <v>12701</v>
      </c>
      <c r="D5600" t="str">
        <f>"0040-716X"</f>
        <v>0040-716X</v>
      </c>
      <c r="E5600" t="s">
        <v>8</v>
      </c>
      <c r="F5600" t="s">
        <v>5600</v>
      </c>
      <c r="G5600">
        <v>1</v>
      </c>
    </row>
    <row r="5601" spans="1:7" x14ac:dyDescent="0.25">
      <c r="A5601">
        <v>22</v>
      </c>
      <c r="B5601" t="s">
        <v>4883</v>
      </c>
      <c r="C5601">
        <v>10852</v>
      </c>
      <c r="D5601" t="str">
        <f>"0809-2052"</f>
        <v>0809-2052</v>
      </c>
      <c r="E5601" t="s">
        <v>8</v>
      </c>
      <c r="F5601" t="s">
        <v>5601</v>
      </c>
      <c r="G5601">
        <v>1</v>
      </c>
    </row>
    <row r="5602" spans="1:7" x14ac:dyDescent="0.25">
      <c r="A5602">
        <v>22</v>
      </c>
      <c r="B5602" t="s">
        <v>4883</v>
      </c>
      <c r="C5602">
        <v>33605</v>
      </c>
      <c r="D5602" t="str">
        <f>"1612-9008"</f>
        <v>1612-9008</v>
      </c>
      <c r="E5602" t="s">
        <v>8</v>
      </c>
      <c r="F5602" t="s">
        <v>5602</v>
      </c>
      <c r="G5602">
        <v>1</v>
      </c>
    </row>
    <row r="5603" spans="1:7" x14ac:dyDescent="0.25">
      <c r="A5603">
        <v>22</v>
      </c>
      <c r="B5603" t="s">
        <v>4883</v>
      </c>
      <c r="C5603">
        <v>8782814</v>
      </c>
      <c r="D5603" t="str">
        <f>"1571-5043"</f>
        <v>1571-5043</v>
      </c>
      <c r="E5603" t="s">
        <v>15</v>
      </c>
      <c r="F5603" t="s">
        <v>5603</v>
      </c>
      <c r="G5603">
        <v>1</v>
      </c>
    </row>
    <row r="5604" spans="1:7" x14ac:dyDescent="0.25">
      <c r="A5604">
        <v>22</v>
      </c>
      <c r="B5604" t="s">
        <v>4883</v>
      </c>
      <c r="C5604">
        <v>27740</v>
      </c>
      <c r="D5604" t="str">
        <f>"1024-2589"</f>
        <v>1024-2589</v>
      </c>
      <c r="E5604" t="s">
        <v>8</v>
      </c>
      <c r="F5604" t="s">
        <v>5604</v>
      </c>
      <c r="G5604">
        <v>1</v>
      </c>
    </row>
    <row r="5605" spans="1:7" x14ac:dyDescent="0.25">
      <c r="A5605">
        <v>22</v>
      </c>
      <c r="B5605" t="s">
        <v>4883</v>
      </c>
      <c r="C5605">
        <v>170225</v>
      </c>
      <c r="E5605" t="s">
        <v>15</v>
      </c>
      <c r="F5605" t="s">
        <v>5605</v>
      </c>
      <c r="G5605">
        <v>1</v>
      </c>
    </row>
    <row r="5606" spans="1:7" x14ac:dyDescent="0.25">
      <c r="A5606">
        <v>22</v>
      </c>
      <c r="B5606" t="s">
        <v>4883</v>
      </c>
      <c r="C5606">
        <v>170131</v>
      </c>
      <c r="E5606" t="s">
        <v>15</v>
      </c>
      <c r="F5606" t="s">
        <v>5606</v>
      </c>
      <c r="G5606">
        <v>1</v>
      </c>
    </row>
    <row r="5607" spans="1:7" x14ac:dyDescent="0.25">
      <c r="A5607">
        <v>22</v>
      </c>
      <c r="B5607" t="s">
        <v>4883</v>
      </c>
      <c r="C5607">
        <v>27774</v>
      </c>
      <c r="D5607" t="str">
        <f>"1750-6166"</f>
        <v>1750-6166</v>
      </c>
      <c r="E5607" t="s">
        <v>8</v>
      </c>
      <c r="F5607" t="s">
        <v>5607</v>
      </c>
      <c r="G5607">
        <v>1</v>
      </c>
    </row>
    <row r="5608" spans="1:7" x14ac:dyDescent="0.25">
      <c r="A5608">
        <v>22</v>
      </c>
      <c r="B5608" t="s">
        <v>4883</v>
      </c>
      <c r="C5608">
        <v>24630</v>
      </c>
      <c r="D5608" t="str">
        <f>"1614-4007"</f>
        <v>1614-4007</v>
      </c>
      <c r="E5608" t="s">
        <v>8</v>
      </c>
      <c r="F5608" t="s">
        <v>5608</v>
      </c>
      <c r="G5608">
        <v>1</v>
      </c>
    </row>
    <row r="5609" spans="1:7" x14ac:dyDescent="0.25">
      <c r="A5609">
        <v>22</v>
      </c>
      <c r="B5609" t="s">
        <v>4883</v>
      </c>
      <c r="C5609">
        <v>8783582</v>
      </c>
      <c r="E5609" t="s">
        <v>15</v>
      </c>
      <c r="F5609" t="s">
        <v>5609</v>
      </c>
      <c r="G5609">
        <v>1</v>
      </c>
    </row>
    <row r="5610" spans="1:7" x14ac:dyDescent="0.25">
      <c r="A5610">
        <v>22</v>
      </c>
      <c r="B5610" t="s">
        <v>4883</v>
      </c>
      <c r="C5610">
        <v>156488</v>
      </c>
      <c r="D5610" t="str">
        <f>"1842-2845"</f>
        <v>1842-2845</v>
      </c>
      <c r="E5610" t="s">
        <v>8</v>
      </c>
      <c r="F5610" t="s">
        <v>5610</v>
      </c>
      <c r="G5610">
        <v>1</v>
      </c>
    </row>
    <row r="5611" spans="1:7" x14ac:dyDescent="0.25">
      <c r="A5611">
        <v>22</v>
      </c>
      <c r="B5611" t="s">
        <v>4883</v>
      </c>
      <c r="C5611">
        <v>170241</v>
      </c>
      <c r="E5611" t="s">
        <v>15</v>
      </c>
      <c r="F5611" t="s">
        <v>5611</v>
      </c>
      <c r="G5611">
        <v>1</v>
      </c>
    </row>
    <row r="5612" spans="1:7" x14ac:dyDescent="0.25">
      <c r="A5612">
        <v>22</v>
      </c>
      <c r="B5612" t="s">
        <v>4883</v>
      </c>
      <c r="C5612">
        <v>8783583</v>
      </c>
      <c r="E5612" t="s">
        <v>15</v>
      </c>
      <c r="F5612" t="s">
        <v>5612</v>
      </c>
      <c r="G5612">
        <v>1</v>
      </c>
    </row>
    <row r="5613" spans="1:7" x14ac:dyDescent="0.25">
      <c r="A5613">
        <v>22</v>
      </c>
      <c r="B5613" t="s">
        <v>4883</v>
      </c>
      <c r="C5613">
        <v>36181</v>
      </c>
      <c r="D5613" t="str">
        <f>"1305-5208"</f>
        <v>1305-5208</v>
      </c>
      <c r="E5613" t="s">
        <v>8</v>
      </c>
      <c r="F5613" t="s">
        <v>5613</v>
      </c>
      <c r="G5613">
        <v>1</v>
      </c>
    </row>
    <row r="5614" spans="1:7" x14ac:dyDescent="0.25">
      <c r="A5614">
        <v>22</v>
      </c>
      <c r="B5614" t="s">
        <v>4883</v>
      </c>
      <c r="C5614">
        <v>170226</v>
      </c>
      <c r="E5614" t="s">
        <v>15</v>
      </c>
      <c r="F5614" t="s">
        <v>5614</v>
      </c>
      <c r="G5614">
        <v>1</v>
      </c>
    </row>
    <row r="5615" spans="1:7" x14ac:dyDescent="0.25">
      <c r="A5615">
        <v>22</v>
      </c>
      <c r="B5615" t="s">
        <v>4883</v>
      </c>
      <c r="C5615">
        <v>27538</v>
      </c>
      <c r="D5615" t="str">
        <f>"1696-2206"</f>
        <v>1696-2206</v>
      </c>
      <c r="E5615" t="s">
        <v>8</v>
      </c>
      <c r="F5615" t="s">
        <v>5615</v>
      </c>
      <c r="G5615">
        <v>1</v>
      </c>
    </row>
    <row r="5616" spans="1:7" x14ac:dyDescent="0.25">
      <c r="A5616">
        <v>22</v>
      </c>
      <c r="B5616" t="s">
        <v>4883</v>
      </c>
      <c r="C5616">
        <v>170247</v>
      </c>
      <c r="E5616" t="s">
        <v>15</v>
      </c>
      <c r="F5616" t="s">
        <v>5616</v>
      </c>
      <c r="G5616">
        <v>1</v>
      </c>
    </row>
    <row r="5617" spans="1:7" x14ac:dyDescent="0.25">
      <c r="A5617">
        <v>22</v>
      </c>
      <c r="B5617" t="s">
        <v>4883</v>
      </c>
      <c r="C5617">
        <v>180064</v>
      </c>
      <c r="D5617" t="str">
        <f>"2246-3631"</f>
        <v>2246-3631</v>
      </c>
      <c r="E5617" t="s">
        <v>15</v>
      </c>
      <c r="F5617" t="s">
        <v>5617</v>
      </c>
      <c r="G5617">
        <v>1</v>
      </c>
    </row>
    <row r="5618" spans="1:7" x14ac:dyDescent="0.25">
      <c r="A5618">
        <v>22</v>
      </c>
      <c r="B5618" t="s">
        <v>4883</v>
      </c>
      <c r="C5618">
        <v>9737</v>
      </c>
      <c r="D5618" t="str">
        <f>"0957-8765"</f>
        <v>0957-8765</v>
      </c>
      <c r="E5618" t="s">
        <v>8</v>
      </c>
      <c r="F5618" t="s">
        <v>5618</v>
      </c>
      <c r="G5618">
        <v>1</v>
      </c>
    </row>
    <row r="5619" spans="1:7" x14ac:dyDescent="0.25">
      <c r="A5619">
        <v>22</v>
      </c>
      <c r="B5619" t="s">
        <v>4883</v>
      </c>
      <c r="C5619">
        <v>180065</v>
      </c>
      <c r="D5619" t="str">
        <f>"2246-364X"</f>
        <v>2246-364X</v>
      </c>
      <c r="E5619" t="s">
        <v>15</v>
      </c>
      <c r="F5619" t="s">
        <v>5619</v>
      </c>
      <c r="G5619">
        <v>1</v>
      </c>
    </row>
    <row r="5620" spans="1:7" x14ac:dyDescent="0.25">
      <c r="A5620">
        <v>22</v>
      </c>
      <c r="B5620" t="s">
        <v>4883</v>
      </c>
      <c r="C5620">
        <v>6329096</v>
      </c>
      <c r="D5620" t="str">
        <f>"1757-7780"</f>
        <v>1757-7780</v>
      </c>
      <c r="E5620" t="s">
        <v>8</v>
      </c>
      <c r="F5620" t="s">
        <v>5620</v>
      </c>
      <c r="G5620">
        <v>1</v>
      </c>
    </row>
    <row r="5621" spans="1:7" x14ac:dyDescent="0.25">
      <c r="A5621">
        <v>22</v>
      </c>
      <c r="B5621" t="s">
        <v>4883</v>
      </c>
      <c r="C5621">
        <v>170193</v>
      </c>
      <c r="E5621" t="s">
        <v>15</v>
      </c>
      <c r="F5621" t="s">
        <v>5621</v>
      </c>
      <c r="G5621">
        <v>1</v>
      </c>
    </row>
    <row r="5622" spans="1:7" x14ac:dyDescent="0.25">
      <c r="A5622">
        <v>22</v>
      </c>
      <c r="B5622" t="s">
        <v>4883</v>
      </c>
      <c r="C5622">
        <v>21560</v>
      </c>
      <c r="D5622" t="str">
        <f>"1745-641X"</f>
        <v>1745-641X</v>
      </c>
      <c r="E5622" t="s">
        <v>15</v>
      </c>
      <c r="F5622" t="s">
        <v>5622</v>
      </c>
      <c r="G5622">
        <v>1</v>
      </c>
    </row>
    <row r="5623" spans="1:7" x14ac:dyDescent="0.25">
      <c r="A5623">
        <v>22</v>
      </c>
      <c r="B5623" t="s">
        <v>4883</v>
      </c>
      <c r="C5623">
        <v>16919</v>
      </c>
      <c r="D5623" t="str">
        <f>"0740-2775"</f>
        <v>0740-2775</v>
      </c>
      <c r="E5623" t="s">
        <v>8</v>
      </c>
      <c r="F5623" t="s">
        <v>5623</v>
      </c>
      <c r="G5623">
        <v>1</v>
      </c>
    </row>
    <row r="5624" spans="1:7" x14ac:dyDescent="0.25">
      <c r="A5624">
        <v>22</v>
      </c>
      <c r="B5624" t="s">
        <v>4883</v>
      </c>
      <c r="C5624">
        <v>53138</v>
      </c>
      <c r="D5624" t="str">
        <f>"2363-4774"</f>
        <v>2363-4774</v>
      </c>
      <c r="E5624" t="s">
        <v>8</v>
      </c>
      <c r="F5624" t="s">
        <v>5624</v>
      </c>
      <c r="G5624">
        <v>1</v>
      </c>
    </row>
    <row r="5625" spans="1:7" x14ac:dyDescent="0.25">
      <c r="A5625">
        <v>22</v>
      </c>
      <c r="B5625" t="s">
        <v>4883</v>
      </c>
      <c r="C5625">
        <v>7703957</v>
      </c>
      <c r="D5625" t="str">
        <f>"2042-891X"</f>
        <v>2042-891X</v>
      </c>
      <c r="E5625" t="s">
        <v>8</v>
      </c>
      <c r="F5625" t="s">
        <v>5625</v>
      </c>
      <c r="G5625">
        <v>1</v>
      </c>
    </row>
    <row r="5626" spans="1:7" x14ac:dyDescent="0.25">
      <c r="A5626">
        <v>22</v>
      </c>
      <c r="B5626" t="s">
        <v>4883</v>
      </c>
      <c r="C5626">
        <v>8783584</v>
      </c>
      <c r="E5626" t="s">
        <v>15</v>
      </c>
      <c r="F5626" t="s">
        <v>5626</v>
      </c>
      <c r="G5626">
        <v>1</v>
      </c>
    </row>
    <row r="5627" spans="1:7" x14ac:dyDescent="0.25">
      <c r="A5627">
        <v>22</v>
      </c>
      <c r="B5627" t="s">
        <v>4883</v>
      </c>
      <c r="C5627">
        <v>10043</v>
      </c>
      <c r="D5627" t="str">
        <f>"0946-7165"</f>
        <v>0946-7165</v>
      </c>
      <c r="E5627" t="s">
        <v>8</v>
      </c>
      <c r="F5627" t="s">
        <v>5627</v>
      </c>
      <c r="G5627">
        <v>1</v>
      </c>
    </row>
    <row r="5628" spans="1:7" x14ac:dyDescent="0.25">
      <c r="A5628">
        <v>22</v>
      </c>
      <c r="B5628" t="s">
        <v>4883</v>
      </c>
      <c r="C5628">
        <v>12779</v>
      </c>
      <c r="D5628" t="str">
        <f>"0340-1758"</f>
        <v>0340-1758</v>
      </c>
      <c r="E5628" t="s">
        <v>8</v>
      </c>
      <c r="F5628" t="s">
        <v>5628</v>
      </c>
      <c r="G5628">
        <v>1</v>
      </c>
    </row>
    <row r="5629" spans="1:7" x14ac:dyDescent="0.25">
      <c r="A5629">
        <v>22</v>
      </c>
      <c r="B5629" t="s">
        <v>4883</v>
      </c>
      <c r="C5629">
        <v>9599</v>
      </c>
      <c r="D5629" t="str">
        <f>"0044-3360"</f>
        <v>0044-3360</v>
      </c>
      <c r="E5629" t="s">
        <v>8</v>
      </c>
      <c r="F5629" t="s">
        <v>5629</v>
      </c>
      <c r="G5629">
        <v>1</v>
      </c>
    </row>
    <row r="5630" spans="1:7" x14ac:dyDescent="0.25">
      <c r="A5630">
        <v>22</v>
      </c>
      <c r="B5630" t="s">
        <v>4883</v>
      </c>
      <c r="C5630">
        <v>10085</v>
      </c>
      <c r="D5630" t="str">
        <f>"1430-6387"</f>
        <v>1430-6387</v>
      </c>
      <c r="E5630" t="s">
        <v>8</v>
      </c>
      <c r="F5630" t="s">
        <v>5630</v>
      </c>
      <c r="G5630">
        <v>1</v>
      </c>
    </row>
    <row r="5631" spans="1:7" x14ac:dyDescent="0.25">
      <c r="A5631">
        <v>22</v>
      </c>
      <c r="B5631" t="s">
        <v>4883</v>
      </c>
      <c r="C5631">
        <v>22710</v>
      </c>
      <c r="D5631" t="str">
        <f>"1865-2646"</f>
        <v>1865-2646</v>
      </c>
      <c r="E5631" t="s">
        <v>8</v>
      </c>
      <c r="F5631" t="s">
        <v>5631</v>
      </c>
      <c r="G5631">
        <v>1</v>
      </c>
    </row>
    <row r="5632" spans="1:7" x14ac:dyDescent="0.25">
      <c r="A5632">
        <v>22</v>
      </c>
      <c r="B5632" t="s">
        <v>4883</v>
      </c>
      <c r="C5632">
        <v>8783322</v>
      </c>
      <c r="D5632" t="str">
        <f>"1865-4789"</f>
        <v>1865-4789</v>
      </c>
      <c r="E5632" t="s">
        <v>8</v>
      </c>
      <c r="F5632" t="s">
        <v>5632</v>
      </c>
      <c r="G5632">
        <v>1</v>
      </c>
    </row>
    <row r="5633" spans="1:7" x14ac:dyDescent="0.25">
      <c r="A5633">
        <v>22</v>
      </c>
      <c r="B5633" t="s">
        <v>4883</v>
      </c>
      <c r="C5633">
        <v>22820</v>
      </c>
      <c r="D5633" t="str">
        <f>"1610-7780"</f>
        <v>1610-7780</v>
      </c>
      <c r="E5633" t="s">
        <v>8</v>
      </c>
      <c r="F5633" t="s">
        <v>5633</v>
      </c>
      <c r="G5633">
        <v>1</v>
      </c>
    </row>
    <row r="5634" spans="1:7" x14ac:dyDescent="0.25">
      <c r="A5634">
        <v>22</v>
      </c>
      <c r="B5634" t="s">
        <v>4883</v>
      </c>
      <c r="C5634">
        <v>180066</v>
      </c>
      <c r="D5634" t="str">
        <f>"2246-3658"</f>
        <v>2246-3658</v>
      </c>
      <c r="E5634" t="s">
        <v>15</v>
      </c>
      <c r="F5634" t="s">
        <v>5634</v>
      </c>
      <c r="G5634">
        <v>1</v>
      </c>
    </row>
    <row r="5635" spans="1:7" x14ac:dyDescent="0.25">
      <c r="A5635">
        <v>22</v>
      </c>
      <c r="B5635" t="s">
        <v>4883</v>
      </c>
      <c r="C5635">
        <v>118286</v>
      </c>
      <c r="D5635" t="str">
        <f>"0030-1906"</f>
        <v>0030-1906</v>
      </c>
      <c r="E5635" t="s">
        <v>8</v>
      </c>
      <c r="F5635" t="s">
        <v>5635</v>
      </c>
      <c r="G5635">
        <v>1</v>
      </c>
    </row>
    <row r="5636" spans="1:7" x14ac:dyDescent="0.25">
      <c r="A5636">
        <v>22</v>
      </c>
      <c r="B5636" t="s">
        <v>4883</v>
      </c>
      <c r="C5636">
        <v>95424</v>
      </c>
      <c r="D5636" t="str">
        <f>"1615-5548"</f>
        <v>1615-5548</v>
      </c>
      <c r="E5636" t="s">
        <v>8</v>
      </c>
      <c r="F5636" t="s">
        <v>5636</v>
      </c>
      <c r="G5636">
        <v>1</v>
      </c>
    </row>
    <row r="5637" spans="1:7" x14ac:dyDescent="0.25">
      <c r="A5637">
        <v>23</v>
      </c>
      <c r="B5637" t="s">
        <v>5637</v>
      </c>
      <c r="C5637">
        <v>2734</v>
      </c>
      <c r="D5637" t="str">
        <f>"0001-9909"</f>
        <v>0001-9909</v>
      </c>
      <c r="E5637" t="s">
        <v>8</v>
      </c>
      <c r="F5637" t="s">
        <v>5638</v>
      </c>
      <c r="G5637">
        <v>2</v>
      </c>
    </row>
    <row r="5638" spans="1:7" x14ac:dyDescent="0.25">
      <c r="A5638">
        <v>23</v>
      </c>
      <c r="B5638" t="s">
        <v>5637</v>
      </c>
      <c r="C5638">
        <v>667</v>
      </c>
      <c r="D5638" t="str">
        <f>"0308-521X"</f>
        <v>0308-521X</v>
      </c>
      <c r="E5638" t="s">
        <v>8</v>
      </c>
      <c r="F5638" t="s">
        <v>5639</v>
      </c>
      <c r="G5638">
        <v>2</v>
      </c>
    </row>
    <row r="5639" spans="1:7" x14ac:dyDescent="0.25">
      <c r="A5639">
        <v>23</v>
      </c>
      <c r="B5639" t="s">
        <v>5637</v>
      </c>
      <c r="C5639">
        <v>13088</v>
      </c>
      <c r="D5639" t="str">
        <f>"0004-5608"</f>
        <v>0004-5608</v>
      </c>
      <c r="E5639" t="s">
        <v>8</v>
      </c>
      <c r="F5639" t="s">
        <v>5640</v>
      </c>
      <c r="G5639">
        <v>2</v>
      </c>
    </row>
    <row r="5640" spans="1:7" x14ac:dyDescent="0.25">
      <c r="A5640">
        <v>23</v>
      </c>
      <c r="B5640" t="s">
        <v>5637</v>
      </c>
      <c r="C5640">
        <v>11758</v>
      </c>
      <c r="D5640" t="str">
        <f>"0066-4812"</f>
        <v>0066-4812</v>
      </c>
      <c r="E5640" t="s">
        <v>8</v>
      </c>
      <c r="F5640" t="s">
        <v>5641</v>
      </c>
      <c r="G5640">
        <v>2</v>
      </c>
    </row>
    <row r="5641" spans="1:7" x14ac:dyDescent="0.25">
      <c r="A5641">
        <v>23</v>
      </c>
      <c r="B5641" t="s">
        <v>5637</v>
      </c>
      <c r="C5641">
        <v>971</v>
      </c>
      <c r="D5641" t="str">
        <f>"0143-6228"</f>
        <v>0143-6228</v>
      </c>
      <c r="E5641" t="s">
        <v>8</v>
      </c>
      <c r="F5641" t="s">
        <v>5642</v>
      </c>
      <c r="G5641">
        <v>2</v>
      </c>
    </row>
    <row r="5642" spans="1:7" x14ac:dyDescent="0.25">
      <c r="A5642">
        <v>23</v>
      </c>
      <c r="B5642" t="s">
        <v>5637</v>
      </c>
      <c r="C5642">
        <v>6065558</v>
      </c>
      <c r="D5642" t="str">
        <f>"1756-5529"</f>
        <v>1756-5529</v>
      </c>
      <c r="E5642" t="s">
        <v>8</v>
      </c>
      <c r="F5642" t="s">
        <v>5643</v>
      </c>
      <c r="G5642">
        <v>2</v>
      </c>
    </row>
    <row r="5643" spans="1:7" x14ac:dyDescent="0.25">
      <c r="A5643">
        <v>23</v>
      </c>
      <c r="B5643" t="s">
        <v>5637</v>
      </c>
      <c r="C5643">
        <v>2185</v>
      </c>
      <c r="D5643" t="str">
        <f>"1474-4740"</f>
        <v>1474-4740</v>
      </c>
      <c r="E5643" t="s">
        <v>8</v>
      </c>
      <c r="F5643" t="s">
        <v>5644</v>
      </c>
      <c r="G5643">
        <v>2</v>
      </c>
    </row>
    <row r="5644" spans="1:7" x14ac:dyDescent="0.25">
      <c r="A5644">
        <v>23</v>
      </c>
      <c r="B5644" t="s">
        <v>5637</v>
      </c>
      <c r="C5644">
        <v>6080362</v>
      </c>
      <c r="D5644" t="str">
        <f>"1877-3435"</f>
        <v>1877-3435</v>
      </c>
      <c r="E5644" t="s">
        <v>8</v>
      </c>
      <c r="F5644" t="s">
        <v>5645</v>
      </c>
      <c r="G5644">
        <v>2</v>
      </c>
    </row>
    <row r="5645" spans="1:7" x14ac:dyDescent="0.25">
      <c r="A5645">
        <v>23</v>
      </c>
      <c r="B5645" t="s">
        <v>5637</v>
      </c>
      <c r="C5645">
        <v>16875</v>
      </c>
      <c r="D5645" t="str">
        <f>"0070-3370"</f>
        <v>0070-3370</v>
      </c>
      <c r="E5645" t="s">
        <v>8</v>
      </c>
      <c r="F5645" t="s">
        <v>5646</v>
      </c>
      <c r="G5645">
        <v>2</v>
      </c>
    </row>
    <row r="5646" spans="1:7" x14ac:dyDescent="0.25">
      <c r="A5646">
        <v>23</v>
      </c>
      <c r="B5646" t="s">
        <v>5637</v>
      </c>
      <c r="C5646">
        <v>2037</v>
      </c>
      <c r="D5646" t="str">
        <f>"0012-155X"</f>
        <v>0012-155X</v>
      </c>
      <c r="E5646" t="s">
        <v>8</v>
      </c>
      <c r="F5646" t="s">
        <v>5647</v>
      </c>
      <c r="G5646">
        <v>2</v>
      </c>
    </row>
    <row r="5647" spans="1:7" x14ac:dyDescent="0.25">
      <c r="A5647">
        <v>23</v>
      </c>
      <c r="B5647" t="s">
        <v>5637</v>
      </c>
      <c r="C5647">
        <v>4197</v>
      </c>
      <c r="D5647" t="str">
        <f>"0950-6764"</f>
        <v>0950-6764</v>
      </c>
      <c r="E5647" t="s">
        <v>8</v>
      </c>
      <c r="F5647" t="s">
        <v>5648</v>
      </c>
      <c r="G5647">
        <v>2</v>
      </c>
    </row>
    <row r="5648" spans="1:7" x14ac:dyDescent="0.25">
      <c r="A5648">
        <v>23</v>
      </c>
      <c r="B5648" t="s">
        <v>5637</v>
      </c>
      <c r="C5648">
        <v>3908</v>
      </c>
      <c r="D5648" t="str">
        <f>"0013-0095"</f>
        <v>0013-0095</v>
      </c>
      <c r="E5648" t="s">
        <v>8</v>
      </c>
      <c r="F5648" t="s">
        <v>5649</v>
      </c>
      <c r="G5648">
        <v>2</v>
      </c>
    </row>
    <row r="5649" spans="1:7" x14ac:dyDescent="0.25">
      <c r="A5649">
        <v>23</v>
      </c>
      <c r="B5649" t="s">
        <v>5637</v>
      </c>
      <c r="C5649">
        <v>15970</v>
      </c>
      <c r="D5649" t="str">
        <f>"0308-518X"</f>
        <v>0308-518X</v>
      </c>
      <c r="E5649" t="s">
        <v>8</v>
      </c>
      <c r="F5649" t="s">
        <v>5650</v>
      </c>
      <c r="G5649">
        <v>2</v>
      </c>
    </row>
    <row r="5650" spans="1:7" x14ac:dyDescent="0.25">
      <c r="A5650">
        <v>23</v>
      </c>
      <c r="B5650" t="s">
        <v>5637</v>
      </c>
      <c r="C5650">
        <v>10403</v>
      </c>
      <c r="D5650" t="str">
        <f>"0263-7758"</f>
        <v>0263-7758</v>
      </c>
      <c r="E5650" t="s">
        <v>8</v>
      </c>
      <c r="F5650" t="s">
        <v>5651</v>
      </c>
      <c r="G5650">
        <v>2</v>
      </c>
    </row>
    <row r="5651" spans="1:7" x14ac:dyDescent="0.25">
      <c r="A5651">
        <v>23</v>
      </c>
      <c r="B5651" t="s">
        <v>5637</v>
      </c>
      <c r="C5651">
        <v>6345</v>
      </c>
      <c r="D5651" t="str">
        <f>"0969-7764"</f>
        <v>0969-7764</v>
      </c>
      <c r="E5651" t="s">
        <v>8</v>
      </c>
      <c r="F5651" t="s">
        <v>5652</v>
      </c>
      <c r="G5651">
        <v>2</v>
      </c>
    </row>
    <row r="5652" spans="1:7" x14ac:dyDescent="0.25">
      <c r="A5652">
        <v>23</v>
      </c>
      <c r="B5652" t="s">
        <v>5637</v>
      </c>
      <c r="C5652">
        <v>15688</v>
      </c>
      <c r="D5652" t="str">
        <f>"0306-9192"</f>
        <v>0306-9192</v>
      </c>
      <c r="E5652" t="s">
        <v>8</v>
      </c>
      <c r="F5652" t="s">
        <v>5653</v>
      </c>
      <c r="G5652">
        <v>2</v>
      </c>
    </row>
    <row r="5653" spans="1:7" x14ac:dyDescent="0.25">
      <c r="A5653">
        <v>23</v>
      </c>
      <c r="B5653" t="s">
        <v>5637</v>
      </c>
      <c r="C5653">
        <v>4221</v>
      </c>
      <c r="D5653" t="str">
        <f>"0016-7185"</f>
        <v>0016-7185</v>
      </c>
      <c r="E5653" t="s">
        <v>8</v>
      </c>
      <c r="F5653" t="s">
        <v>5654</v>
      </c>
      <c r="G5653">
        <v>2</v>
      </c>
    </row>
    <row r="5654" spans="1:7" x14ac:dyDescent="0.25">
      <c r="A5654">
        <v>23</v>
      </c>
      <c r="B5654" t="s">
        <v>5637</v>
      </c>
      <c r="C5654">
        <v>4989</v>
      </c>
      <c r="D5654" t="str">
        <f>"0959-3780"</f>
        <v>0959-3780</v>
      </c>
      <c r="E5654" t="s">
        <v>8</v>
      </c>
      <c r="F5654" t="s">
        <v>5655</v>
      </c>
      <c r="G5654">
        <v>2</v>
      </c>
    </row>
    <row r="5655" spans="1:7" x14ac:dyDescent="0.25">
      <c r="A5655">
        <v>23</v>
      </c>
      <c r="B5655" t="s">
        <v>5637</v>
      </c>
      <c r="C5655">
        <v>13226</v>
      </c>
      <c r="D5655" t="str">
        <f>"1470-2266"</f>
        <v>1470-2266</v>
      </c>
      <c r="E5655" t="s">
        <v>8</v>
      </c>
      <c r="F5655" t="s">
        <v>5656</v>
      </c>
      <c r="G5655">
        <v>2</v>
      </c>
    </row>
    <row r="5656" spans="1:7" x14ac:dyDescent="0.25">
      <c r="A5656">
        <v>23</v>
      </c>
      <c r="B5656" t="s">
        <v>5637</v>
      </c>
      <c r="C5656">
        <v>11586</v>
      </c>
      <c r="D5656" t="str">
        <f>"0197-3975"</f>
        <v>0197-3975</v>
      </c>
      <c r="E5656" t="s">
        <v>8</v>
      </c>
      <c r="F5656" t="s">
        <v>5657</v>
      </c>
      <c r="G5656">
        <v>2</v>
      </c>
    </row>
    <row r="5657" spans="1:7" x14ac:dyDescent="0.25">
      <c r="A5657">
        <v>23</v>
      </c>
      <c r="B5657" t="s">
        <v>5637</v>
      </c>
      <c r="C5657">
        <v>21879</v>
      </c>
      <c r="D5657" t="str">
        <f>"1753-8947"</f>
        <v>1753-8947</v>
      </c>
      <c r="E5657" t="s">
        <v>8</v>
      </c>
      <c r="F5657" t="s">
        <v>5658</v>
      </c>
      <c r="G5657">
        <v>2</v>
      </c>
    </row>
    <row r="5658" spans="1:7" x14ac:dyDescent="0.25">
      <c r="A5658">
        <v>23</v>
      </c>
      <c r="B5658" t="s">
        <v>5637</v>
      </c>
      <c r="C5658">
        <v>12146</v>
      </c>
      <c r="D5658" t="str">
        <f>"0309-1317"</f>
        <v>0309-1317</v>
      </c>
      <c r="E5658" t="s">
        <v>8</v>
      </c>
      <c r="F5658" t="s">
        <v>5659</v>
      </c>
      <c r="G5658">
        <v>2</v>
      </c>
    </row>
    <row r="5659" spans="1:7" x14ac:dyDescent="0.25">
      <c r="A5659">
        <v>23</v>
      </c>
      <c r="B5659" t="s">
        <v>5637</v>
      </c>
      <c r="C5659">
        <v>10903</v>
      </c>
      <c r="D5659" t="str">
        <f>"1468-2702"</f>
        <v>1468-2702</v>
      </c>
      <c r="E5659" t="s">
        <v>8</v>
      </c>
      <c r="F5659" t="s">
        <v>5660</v>
      </c>
      <c r="G5659">
        <v>2</v>
      </c>
    </row>
    <row r="5660" spans="1:7" x14ac:dyDescent="0.25">
      <c r="A5660">
        <v>23</v>
      </c>
      <c r="B5660" t="s">
        <v>5637</v>
      </c>
      <c r="C5660">
        <v>59861</v>
      </c>
      <c r="D5660" t="str">
        <f>"1726-2135"</f>
        <v>1726-2135</v>
      </c>
      <c r="E5660" t="s">
        <v>8</v>
      </c>
      <c r="F5660" t="s">
        <v>5661</v>
      </c>
      <c r="G5660">
        <v>2</v>
      </c>
    </row>
    <row r="5661" spans="1:7" x14ac:dyDescent="0.25">
      <c r="A5661">
        <v>23</v>
      </c>
      <c r="B5661" t="s">
        <v>5637</v>
      </c>
      <c r="C5661">
        <v>3425</v>
      </c>
      <c r="D5661" t="str">
        <f>"0743-0167"</f>
        <v>0743-0167</v>
      </c>
      <c r="E5661" t="s">
        <v>8</v>
      </c>
      <c r="F5661" t="s">
        <v>5662</v>
      </c>
      <c r="G5661">
        <v>2</v>
      </c>
    </row>
    <row r="5662" spans="1:7" x14ac:dyDescent="0.25">
      <c r="A5662">
        <v>23</v>
      </c>
      <c r="B5662" t="s">
        <v>5637</v>
      </c>
      <c r="C5662">
        <v>10288</v>
      </c>
      <c r="D5662" t="str">
        <f>"0962-6298"</f>
        <v>0962-6298</v>
      </c>
      <c r="E5662" t="s">
        <v>8</v>
      </c>
      <c r="F5662" t="s">
        <v>5663</v>
      </c>
      <c r="G5662">
        <v>2</v>
      </c>
    </row>
    <row r="5663" spans="1:7" x14ac:dyDescent="0.25">
      <c r="A5663">
        <v>23</v>
      </c>
      <c r="B5663" t="s">
        <v>5637</v>
      </c>
      <c r="C5663">
        <v>16803</v>
      </c>
      <c r="D5663" t="str">
        <f>"0309-1325"</f>
        <v>0309-1325</v>
      </c>
      <c r="E5663" t="s">
        <v>8</v>
      </c>
      <c r="F5663" t="s">
        <v>5664</v>
      </c>
      <c r="G5663">
        <v>2</v>
      </c>
    </row>
    <row r="5664" spans="1:7" x14ac:dyDescent="0.25">
      <c r="A5664">
        <v>23</v>
      </c>
      <c r="B5664" t="s">
        <v>5637</v>
      </c>
      <c r="C5664">
        <v>5321</v>
      </c>
      <c r="D5664" t="str">
        <f>"0305-9006"</f>
        <v>0305-9006</v>
      </c>
      <c r="E5664" t="s">
        <v>8</v>
      </c>
      <c r="F5664" t="s">
        <v>5665</v>
      </c>
      <c r="G5664">
        <v>2</v>
      </c>
    </row>
    <row r="5665" spans="1:7" x14ac:dyDescent="0.25">
      <c r="A5665">
        <v>23</v>
      </c>
      <c r="B5665" t="s">
        <v>5637</v>
      </c>
      <c r="C5665">
        <v>4461</v>
      </c>
      <c r="D5665" t="str">
        <f>"0034-3404"</f>
        <v>0034-3404</v>
      </c>
      <c r="E5665" t="s">
        <v>8</v>
      </c>
      <c r="F5665" t="s">
        <v>5666</v>
      </c>
      <c r="G5665">
        <v>2</v>
      </c>
    </row>
    <row r="5666" spans="1:7" x14ac:dyDescent="0.25">
      <c r="A5666">
        <v>23</v>
      </c>
      <c r="B5666" t="s">
        <v>5637</v>
      </c>
      <c r="C5666">
        <v>4046</v>
      </c>
      <c r="D5666" t="str">
        <f>"0301-4207"</f>
        <v>0301-4207</v>
      </c>
      <c r="E5666" t="s">
        <v>8</v>
      </c>
      <c r="F5666" t="s">
        <v>5667</v>
      </c>
      <c r="G5666">
        <v>2</v>
      </c>
    </row>
    <row r="5667" spans="1:7" x14ac:dyDescent="0.25">
      <c r="A5667">
        <v>23</v>
      </c>
      <c r="B5667" t="s">
        <v>5637</v>
      </c>
      <c r="C5667">
        <v>2195</v>
      </c>
      <c r="D5667" t="str">
        <f>"1464-9365"</f>
        <v>1464-9365</v>
      </c>
      <c r="E5667" t="s">
        <v>8</v>
      </c>
      <c r="F5667" t="s">
        <v>5668</v>
      </c>
      <c r="G5667">
        <v>2</v>
      </c>
    </row>
    <row r="5668" spans="1:7" x14ac:dyDescent="0.25">
      <c r="A5668">
        <v>23</v>
      </c>
      <c r="B5668" t="s">
        <v>5637</v>
      </c>
      <c r="C5668">
        <v>12665</v>
      </c>
      <c r="D5668" t="str">
        <f>"0022-0388"</f>
        <v>0022-0388</v>
      </c>
      <c r="E5668" t="s">
        <v>8</v>
      </c>
      <c r="F5668" t="s">
        <v>5669</v>
      </c>
      <c r="G5668">
        <v>2</v>
      </c>
    </row>
    <row r="5669" spans="1:7" x14ac:dyDescent="0.25">
      <c r="A5669">
        <v>23</v>
      </c>
      <c r="B5669" t="s">
        <v>5637</v>
      </c>
      <c r="C5669">
        <v>6377</v>
      </c>
      <c r="D5669" t="str">
        <f>"0020-2754"</f>
        <v>0020-2754</v>
      </c>
      <c r="E5669" t="s">
        <v>8</v>
      </c>
      <c r="F5669" t="s">
        <v>5670</v>
      </c>
      <c r="G5669">
        <v>2</v>
      </c>
    </row>
    <row r="5670" spans="1:7" x14ac:dyDescent="0.25">
      <c r="A5670">
        <v>23</v>
      </c>
      <c r="B5670" t="s">
        <v>5637</v>
      </c>
      <c r="C5670">
        <v>2873</v>
      </c>
      <c r="D5670" t="str">
        <f>"0272-3638"</f>
        <v>0272-3638</v>
      </c>
      <c r="E5670" t="s">
        <v>8</v>
      </c>
      <c r="F5670" t="s">
        <v>5671</v>
      </c>
      <c r="G5670">
        <v>2</v>
      </c>
    </row>
    <row r="5671" spans="1:7" x14ac:dyDescent="0.25">
      <c r="A5671">
        <v>23</v>
      </c>
      <c r="B5671" t="s">
        <v>5637</v>
      </c>
      <c r="C5671">
        <v>715</v>
      </c>
      <c r="D5671" t="str">
        <f>"0042-0980"</f>
        <v>0042-0980</v>
      </c>
      <c r="E5671" t="s">
        <v>8</v>
      </c>
      <c r="F5671" t="s">
        <v>5672</v>
      </c>
      <c r="G5671">
        <v>2</v>
      </c>
    </row>
    <row r="5672" spans="1:7" x14ac:dyDescent="0.25">
      <c r="A5672">
        <v>23</v>
      </c>
      <c r="B5672" t="s">
        <v>5637</v>
      </c>
      <c r="C5672">
        <v>3614</v>
      </c>
      <c r="D5672" t="str">
        <f>"0305-750X"</f>
        <v>0305-750X</v>
      </c>
      <c r="E5672" t="s">
        <v>8</v>
      </c>
      <c r="F5672" t="s">
        <v>5673</v>
      </c>
      <c r="G5672">
        <v>2</v>
      </c>
    </row>
    <row r="5673" spans="1:7" x14ac:dyDescent="0.25">
      <c r="A5673">
        <v>23</v>
      </c>
      <c r="B5673" t="s">
        <v>5637</v>
      </c>
      <c r="C5673">
        <v>7134</v>
      </c>
      <c r="D5673" t="str">
        <f>"1492-9732"</f>
        <v>1492-9732</v>
      </c>
      <c r="E5673" t="s">
        <v>8</v>
      </c>
      <c r="F5673" t="s">
        <v>5674</v>
      </c>
      <c r="G5673">
        <v>1</v>
      </c>
    </row>
    <row r="5674" spans="1:7" x14ac:dyDescent="0.25">
      <c r="A5674">
        <v>23</v>
      </c>
      <c r="B5674" t="s">
        <v>5637</v>
      </c>
      <c r="C5674">
        <v>8771574</v>
      </c>
      <c r="D5674" t="str">
        <f>"2198-3542"</f>
        <v>2198-3542</v>
      </c>
      <c r="E5674" t="s">
        <v>8</v>
      </c>
      <c r="F5674" t="s">
        <v>5675</v>
      </c>
      <c r="G5674">
        <v>1</v>
      </c>
    </row>
    <row r="5675" spans="1:7" x14ac:dyDescent="0.25">
      <c r="A5675">
        <v>23</v>
      </c>
      <c r="B5675" t="s">
        <v>5637</v>
      </c>
      <c r="C5675">
        <v>7727</v>
      </c>
      <c r="D5675" t="str">
        <f>"0850-3907"</f>
        <v>0850-3907</v>
      </c>
      <c r="E5675" t="s">
        <v>8</v>
      </c>
      <c r="F5675" t="s">
        <v>5676</v>
      </c>
      <c r="G5675">
        <v>1</v>
      </c>
    </row>
    <row r="5676" spans="1:7" x14ac:dyDescent="0.25">
      <c r="A5676">
        <v>23</v>
      </c>
      <c r="B5676" t="s">
        <v>5637</v>
      </c>
      <c r="C5676">
        <v>2440</v>
      </c>
      <c r="D5676" t="str">
        <f>"0001-9887"</f>
        <v>0001-9887</v>
      </c>
      <c r="E5676" t="s">
        <v>8</v>
      </c>
      <c r="F5676" t="s">
        <v>5677</v>
      </c>
      <c r="G5676">
        <v>1</v>
      </c>
    </row>
    <row r="5677" spans="1:7" x14ac:dyDescent="0.25">
      <c r="A5677">
        <v>23</v>
      </c>
      <c r="B5677" t="s">
        <v>5637</v>
      </c>
      <c r="C5677">
        <v>16453</v>
      </c>
      <c r="D5677" t="str">
        <f>"1017-6772"</f>
        <v>1017-6772</v>
      </c>
      <c r="E5677" t="s">
        <v>8</v>
      </c>
      <c r="F5677" t="s">
        <v>5678</v>
      </c>
      <c r="G5677">
        <v>1</v>
      </c>
    </row>
    <row r="5678" spans="1:7" x14ac:dyDescent="0.25">
      <c r="A5678">
        <v>23</v>
      </c>
      <c r="B5678" t="s">
        <v>5637</v>
      </c>
      <c r="C5678">
        <v>8086</v>
      </c>
      <c r="D5678" t="str">
        <f>"1608-5906"</f>
        <v>1608-5906</v>
      </c>
      <c r="E5678" t="s">
        <v>8</v>
      </c>
      <c r="F5678" t="s">
        <v>5679</v>
      </c>
      <c r="G5678">
        <v>1</v>
      </c>
    </row>
    <row r="5679" spans="1:7" x14ac:dyDescent="0.25">
      <c r="A5679">
        <v>23</v>
      </c>
      <c r="B5679" t="s">
        <v>5637</v>
      </c>
      <c r="C5679">
        <v>1231</v>
      </c>
      <c r="D5679" t="str">
        <f>"1436-7890"</f>
        <v>1436-7890</v>
      </c>
      <c r="E5679" t="s">
        <v>8</v>
      </c>
      <c r="F5679" t="s">
        <v>5680</v>
      </c>
      <c r="G5679">
        <v>1</v>
      </c>
    </row>
    <row r="5680" spans="1:7" x14ac:dyDescent="0.25">
      <c r="A5680">
        <v>23</v>
      </c>
      <c r="B5680" t="s">
        <v>5637</v>
      </c>
      <c r="C5680">
        <v>3816</v>
      </c>
      <c r="D5680" t="str">
        <f>"0850-5780"</f>
        <v>0850-5780</v>
      </c>
      <c r="E5680" t="s">
        <v>8</v>
      </c>
      <c r="F5680" t="s">
        <v>5681</v>
      </c>
      <c r="G5680">
        <v>1</v>
      </c>
    </row>
    <row r="5681" spans="1:7" x14ac:dyDescent="0.25">
      <c r="A5681">
        <v>23</v>
      </c>
      <c r="B5681" t="s">
        <v>5637</v>
      </c>
      <c r="C5681">
        <v>7738383</v>
      </c>
      <c r="E5681" t="s">
        <v>8</v>
      </c>
      <c r="F5681" t="s">
        <v>5682</v>
      </c>
      <c r="G5681">
        <v>1</v>
      </c>
    </row>
    <row r="5682" spans="1:7" x14ac:dyDescent="0.25">
      <c r="A5682">
        <v>23</v>
      </c>
      <c r="B5682" t="s">
        <v>5637</v>
      </c>
      <c r="C5682">
        <v>3395</v>
      </c>
      <c r="D5682" t="str">
        <f>"0044-7471"</f>
        <v>0044-7471</v>
      </c>
      <c r="E5682" t="s">
        <v>8</v>
      </c>
      <c r="F5682" t="s">
        <v>5683</v>
      </c>
      <c r="G5682">
        <v>1</v>
      </c>
    </row>
    <row r="5683" spans="1:7" x14ac:dyDescent="0.25">
      <c r="A5683">
        <v>23</v>
      </c>
      <c r="B5683" t="s">
        <v>5637</v>
      </c>
      <c r="C5683">
        <v>16757</v>
      </c>
      <c r="D5683" t="str">
        <f>"0003-4010"</f>
        <v>0003-4010</v>
      </c>
      <c r="E5683" t="s">
        <v>8</v>
      </c>
      <c r="F5683" t="s">
        <v>5684</v>
      </c>
      <c r="G5683">
        <v>1</v>
      </c>
    </row>
    <row r="5684" spans="1:7" x14ac:dyDescent="0.25">
      <c r="A5684">
        <v>23</v>
      </c>
      <c r="B5684" t="s">
        <v>5637</v>
      </c>
      <c r="C5684">
        <v>3734</v>
      </c>
      <c r="D5684" t="str">
        <f>"0004-0894"</f>
        <v>0004-0894</v>
      </c>
      <c r="E5684" t="s">
        <v>8</v>
      </c>
      <c r="F5684" t="s">
        <v>5685</v>
      </c>
      <c r="G5684">
        <v>1</v>
      </c>
    </row>
    <row r="5685" spans="1:7" x14ac:dyDescent="0.25">
      <c r="A5685">
        <v>23</v>
      </c>
      <c r="B5685" t="s">
        <v>5637</v>
      </c>
      <c r="C5685">
        <v>8855</v>
      </c>
      <c r="D5685" t="str">
        <f>"1360-7456"</f>
        <v>1360-7456</v>
      </c>
      <c r="E5685" t="s">
        <v>8</v>
      </c>
      <c r="F5685" t="s">
        <v>5686</v>
      </c>
      <c r="G5685">
        <v>1</v>
      </c>
    </row>
    <row r="5686" spans="1:7" x14ac:dyDescent="0.25">
      <c r="A5686">
        <v>23</v>
      </c>
      <c r="B5686" t="s">
        <v>5637</v>
      </c>
      <c r="C5686">
        <v>5467</v>
      </c>
      <c r="D5686" t="str">
        <f>"0116-1105"</f>
        <v>0116-1105</v>
      </c>
      <c r="E5686" t="s">
        <v>8</v>
      </c>
      <c r="F5686" t="s">
        <v>5687</v>
      </c>
      <c r="G5686">
        <v>1</v>
      </c>
    </row>
    <row r="5687" spans="1:7" x14ac:dyDescent="0.25">
      <c r="A5687">
        <v>23</v>
      </c>
      <c r="B5687" t="s">
        <v>5637</v>
      </c>
      <c r="C5687">
        <v>5836</v>
      </c>
      <c r="D5687" t="str">
        <f>"0004-9182"</f>
        <v>0004-9182</v>
      </c>
      <c r="E5687" t="s">
        <v>8</v>
      </c>
      <c r="F5687" t="s">
        <v>5688</v>
      </c>
      <c r="G5687">
        <v>1</v>
      </c>
    </row>
    <row r="5688" spans="1:7" x14ac:dyDescent="0.25">
      <c r="A5688">
        <v>23</v>
      </c>
      <c r="B5688" t="s">
        <v>5637</v>
      </c>
      <c r="C5688">
        <v>8512</v>
      </c>
      <c r="E5688" t="s">
        <v>8</v>
      </c>
      <c r="F5688" t="s">
        <v>5689</v>
      </c>
      <c r="G5688">
        <v>1</v>
      </c>
    </row>
    <row r="5689" spans="1:7" x14ac:dyDescent="0.25">
      <c r="A5689">
        <v>23</v>
      </c>
      <c r="B5689" t="s">
        <v>5637</v>
      </c>
      <c r="C5689">
        <v>124650</v>
      </c>
      <c r="D5689" t="str">
        <f>"1732-4254"</f>
        <v>1732-4254</v>
      </c>
      <c r="E5689" t="s">
        <v>8</v>
      </c>
      <c r="F5689" t="s">
        <v>5690</v>
      </c>
      <c r="G5689">
        <v>1</v>
      </c>
    </row>
    <row r="5690" spans="1:7" x14ac:dyDescent="0.25">
      <c r="A5690">
        <v>23</v>
      </c>
      <c r="B5690" t="s">
        <v>5637</v>
      </c>
      <c r="C5690">
        <v>8959</v>
      </c>
      <c r="D5690" t="str">
        <f>"0007-9766"</f>
        <v>0007-9766</v>
      </c>
      <c r="E5690" t="s">
        <v>15</v>
      </c>
      <c r="F5690" t="s">
        <v>5691</v>
      </c>
      <c r="G5690">
        <v>1</v>
      </c>
    </row>
    <row r="5691" spans="1:7" x14ac:dyDescent="0.25">
      <c r="A5691">
        <v>23</v>
      </c>
      <c r="B5691" t="s">
        <v>5637</v>
      </c>
      <c r="C5691">
        <v>1836</v>
      </c>
      <c r="D5691" t="str">
        <f>"0225-5189"</f>
        <v>0225-5189</v>
      </c>
      <c r="E5691" t="s">
        <v>8</v>
      </c>
      <c r="F5691" t="s">
        <v>5692</v>
      </c>
      <c r="G5691">
        <v>1</v>
      </c>
    </row>
    <row r="5692" spans="1:7" x14ac:dyDescent="0.25">
      <c r="A5692">
        <v>23</v>
      </c>
      <c r="B5692" t="s">
        <v>5637</v>
      </c>
      <c r="C5692">
        <v>98625</v>
      </c>
      <c r="D5692" t="str">
        <f>"1188-3774"</f>
        <v>1188-3774</v>
      </c>
      <c r="E5692" t="s">
        <v>8</v>
      </c>
      <c r="F5692" t="s">
        <v>5693</v>
      </c>
      <c r="G5692">
        <v>1</v>
      </c>
    </row>
    <row r="5693" spans="1:7" x14ac:dyDescent="0.25">
      <c r="A5693">
        <v>23</v>
      </c>
      <c r="B5693" t="s">
        <v>5637</v>
      </c>
      <c r="C5693">
        <v>4116</v>
      </c>
      <c r="D5693" t="str">
        <f>"1473-3285"</f>
        <v>1473-3285</v>
      </c>
      <c r="E5693" t="s">
        <v>8</v>
      </c>
      <c r="F5693" t="s">
        <v>5694</v>
      </c>
      <c r="G5693">
        <v>1</v>
      </c>
    </row>
    <row r="5694" spans="1:7" x14ac:dyDescent="0.25">
      <c r="A5694">
        <v>23</v>
      </c>
      <c r="B5694" t="s">
        <v>5637</v>
      </c>
      <c r="C5694">
        <v>2011</v>
      </c>
      <c r="D5694" t="str">
        <f>"0010-3802"</f>
        <v>0010-3802</v>
      </c>
      <c r="E5694" t="s">
        <v>8</v>
      </c>
      <c r="F5694" t="s">
        <v>5695</v>
      </c>
      <c r="G5694">
        <v>1</v>
      </c>
    </row>
    <row r="5695" spans="1:7" x14ac:dyDescent="0.25">
      <c r="A5695">
        <v>23</v>
      </c>
      <c r="B5695" t="s">
        <v>5637</v>
      </c>
      <c r="C5695">
        <v>8782790</v>
      </c>
      <c r="E5695" t="s">
        <v>8</v>
      </c>
      <c r="F5695" t="s">
        <v>5696</v>
      </c>
      <c r="G5695">
        <v>1</v>
      </c>
    </row>
    <row r="5696" spans="1:7" x14ac:dyDescent="0.25">
      <c r="A5696">
        <v>23</v>
      </c>
      <c r="B5696" t="s">
        <v>5637</v>
      </c>
      <c r="C5696">
        <v>7095</v>
      </c>
      <c r="D5696" t="str">
        <f>"1368-3500"</f>
        <v>1368-3500</v>
      </c>
      <c r="E5696" t="s">
        <v>8</v>
      </c>
      <c r="F5696" t="s">
        <v>5697</v>
      </c>
      <c r="G5696">
        <v>1</v>
      </c>
    </row>
    <row r="5697" spans="1:7" x14ac:dyDescent="0.25">
      <c r="A5697">
        <v>23</v>
      </c>
      <c r="B5697" t="s">
        <v>5637</v>
      </c>
      <c r="C5697">
        <v>11216</v>
      </c>
      <c r="D5697" t="str">
        <f>"1278-3366"</f>
        <v>1278-3366</v>
      </c>
      <c r="E5697" t="s">
        <v>8</v>
      </c>
      <c r="F5697" t="s">
        <v>5698</v>
      </c>
      <c r="G5697">
        <v>1</v>
      </c>
    </row>
    <row r="5698" spans="1:7" x14ac:dyDescent="0.25">
      <c r="A5698">
        <v>23</v>
      </c>
      <c r="B5698" t="s">
        <v>5637</v>
      </c>
      <c r="C5698">
        <v>2962</v>
      </c>
      <c r="D5698" t="str">
        <f>"1011-6370"</f>
        <v>1011-6370</v>
      </c>
      <c r="E5698" t="s">
        <v>8</v>
      </c>
      <c r="F5698" t="s">
        <v>5699</v>
      </c>
      <c r="G5698">
        <v>1</v>
      </c>
    </row>
    <row r="5699" spans="1:7" x14ac:dyDescent="0.25">
      <c r="A5699">
        <v>23</v>
      </c>
      <c r="B5699" t="s">
        <v>5637</v>
      </c>
      <c r="C5699">
        <v>12466</v>
      </c>
      <c r="D5699" t="str">
        <f>"0961-4524"</f>
        <v>0961-4524</v>
      </c>
      <c r="E5699" t="s">
        <v>8</v>
      </c>
      <c r="F5699" t="s">
        <v>5700</v>
      </c>
      <c r="G5699">
        <v>1</v>
      </c>
    </row>
    <row r="5700" spans="1:7" x14ac:dyDescent="0.25">
      <c r="A5700">
        <v>23</v>
      </c>
      <c r="B5700" t="s">
        <v>5637</v>
      </c>
      <c r="C5700">
        <v>12192</v>
      </c>
      <c r="D5700" t="str">
        <f>"0376-835X"</f>
        <v>0376-835X</v>
      </c>
      <c r="E5700" t="s">
        <v>8</v>
      </c>
      <c r="F5700" t="s">
        <v>5701</v>
      </c>
      <c r="G5700">
        <v>1</v>
      </c>
    </row>
    <row r="5701" spans="1:7" x14ac:dyDescent="0.25">
      <c r="A5701">
        <v>23</v>
      </c>
      <c r="B5701" t="s">
        <v>5637</v>
      </c>
      <c r="C5701">
        <v>7700307</v>
      </c>
      <c r="D5701" t="str">
        <f>"2043-8206"</f>
        <v>2043-8206</v>
      </c>
      <c r="E5701" t="s">
        <v>8</v>
      </c>
      <c r="F5701" t="s">
        <v>5702</v>
      </c>
      <c r="G5701">
        <v>1</v>
      </c>
    </row>
    <row r="5702" spans="1:7" x14ac:dyDescent="0.25">
      <c r="A5702">
        <v>23</v>
      </c>
      <c r="B5702" t="s">
        <v>5637</v>
      </c>
      <c r="C5702">
        <v>16300</v>
      </c>
      <c r="D5702" t="str">
        <f>"0965-3562"</f>
        <v>0965-3562</v>
      </c>
      <c r="E5702" t="s">
        <v>8</v>
      </c>
      <c r="F5702" t="s">
        <v>5703</v>
      </c>
      <c r="G5702">
        <v>1</v>
      </c>
    </row>
    <row r="5703" spans="1:7" x14ac:dyDescent="0.25">
      <c r="A5703">
        <v>23</v>
      </c>
      <c r="B5703" t="s">
        <v>5637</v>
      </c>
      <c r="C5703">
        <v>14301</v>
      </c>
      <c r="D5703" t="str">
        <f>"0361-3666"</f>
        <v>0361-3666</v>
      </c>
      <c r="E5703" t="s">
        <v>8</v>
      </c>
      <c r="F5703" t="s">
        <v>5704</v>
      </c>
      <c r="G5703">
        <v>1</v>
      </c>
    </row>
    <row r="5704" spans="1:7" x14ac:dyDescent="0.25">
      <c r="A5704">
        <v>23</v>
      </c>
      <c r="B5704" t="s">
        <v>5637</v>
      </c>
      <c r="C5704">
        <v>16385</v>
      </c>
      <c r="D5704" t="str">
        <f>"0353-6777"</f>
        <v>0353-6777</v>
      </c>
      <c r="E5704" t="s">
        <v>8</v>
      </c>
      <c r="F5704" t="s">
        <v>5705</v>
      </c>
      <c r="G5704">
        <v>1</v>
      </c>
    </row>
    <row r="5705" spans="1:7" x14ac:dyDescent="0.25">
      <c r="A5705">
        <v>23</v>
      </c>
      <c r="B5705" t="s">
        <v>5637</v>
      </c>
      <c r="C5705">
        <v>11379</v>
      </c>
      <c r="D5705" t="str">
        <f>"1350-1674"</f>
        <v>1350-1674</v>
      </c>
      <c r="E5705" t="s">
        <v>8</v>
      </c>
      <c r="F5705" t="s">
        <v>5706</v>
      </c>
      <c r="G5705">
        <v>1</v>
      </c>
    </row>
    <row r="5706" spans="1:7" x14ac:dyDescent="0.25">
      <c r="A5706">
        <v>23</v>
      </c>
      <c r="B5706" t="s">
        <v>5637</v>
      </c>
      <c r="C5706">
        <v>1225</v>
      </c>
      <c r="D5706" t="str">
        <f>"0013-0079"</f>
        <v>0013-0079</v>
      </c>
      <c r="E5706" t="s">
        <v>8</v>
      </c>
      <c r="F5706" t="s">
        <v>5707</v>
      </c>
      <c r="G5706">
        <v>1</v>
      </c>
    </row>
    <row r="5707" spans="1:7" x14ac:dyDescent="0.25">
      <c r="A5707">
        <v>23</v>
      </c>
      <c r="B5707" t="s">
        <v>5637</v>
      </c>
      <c r="C5707">
        <v>9739</v>
      </c>
      <c r="D5707" t="str">
        <f>"0956-2478"</f>
        <v>0956-2478</v>
      </c>
      <c r="E5707" t="s">
        <v>8</v>
      </c>
      <c r="F5707" t="s">
        <v>5708</v>
      </c>
      <c r="G5707">
        <v>1</v>
      </c>
    </row>
    <row r="5708" spans="1:7" x14ac:dyDescent="0.25">
      <c r="A5708">
        <v>23</v>
      </c>
      <c r="B5708" t="s">
        <v>5637</v>
      </c>
      <c r="C5708">
        <v>1870</v>
      </c>
      <c r="D5708" t="str">
        <f>"1387-585X"</f>
        <v>1387-585X</v>
      </c>
      <c r="E5708" t="s">
        <v>8</v>
      </c>
      <c r="F5708" t="s">
        <v>5709</v>
      </c>
      <c r="G5708">
        <v>1</v>
      </c>
    </row>
    <row r="5709" spans="1:7" x14ac:dyDescent="0.25">
      <c r="A5709">
        <v>23</v>
      </c>
      <c r="B5709" t="s">
        <v>5637</v>
      </c>
      <c r="C5709">
        <v>12749</v>
      </c>
      <c r="D5709" t="str">
        <f>"0014-0015"</f>
        <v>0014-0015</v>
      </c>
      <c r="E5709" t="s">
        <v>8</v>
      </c>
      <c r="F5709" t="s">
        <v>5710</v>
      </c>
      <c r="G5709">
        <v>1</v>
      </c>
    </row>
    <row r="5710" spans="1:7" x14ac:dyDescent="0.25">
      <c r="A5710">
        <v>23</v>
      </c>
      <c r="B5710" t="s">
        <v>5637</v>
      </c>
      <c r="C5710">
        <v>6972</v>
      </c>
      <c r="D5710" t="str">
        <f>"1538-7216"</f>
        <v>1538-7216</v>
      </c>
      <c r="E5710" t="s">
        <v>8</v>
      </c>
      <c r="F5710" t="s">
        <v>5711</v>
      </c>
      <c r="G5710">
        <v>1</v>
      </c>
    </row>
    <row r="5711" spans="1:7" x14ac:dyDescent="0.25">
      <c r="A5711">
        <v>23</v>
      </c>
      <c r="B5711" t="s">
        <v>5637</v>
      </c>
      <c r="C5711">
        <v>8819</v>
      </c>
      <c r="D5711" t="str">
        <f>"0250-7161"</f>
        <v>0250-7161</v>
      </c>
      <c r="E5711" t="s">
        <v>8</v>
      </c>
      <c r="F5711" t="s">
        <v>5712</v>
      </c>
      <c r="G5711">
        <v>1</v>
      </c>
    </row>
    <row r="5712" spans="1:7" x14ac:dyDescent="0.25">
      <c r="A5712">
        <v>23</v>
      </c>
      <c r="B5712" t="s">
        <v>5637</v>
      </c>
      <c r="C5712">
        <v>9907</v>
      </c>
      <c r="D5712" t="str">
        <f>"0168-6577"</f>
        <v>0168-6577</v>
      </c>
      <c r="E5712" t="s">
        <v>8</v>
      </c>
      <c r="F5712" t="s">
        <v>5713</v>
      </c>
      <c r="G5712">
        <v>1</v>
      </c>
    </row>
    <row r="5713" spans="1:7" x14ac:dyDescent="0.25">
      <c r="A5713">
        <v>23</v>
      </c>
      <c r="B5713" t="s">
        <v>5637</v>
      </c>
      <c r="C5713">
        <v>3841</v>
      </c>
      <c r="E5713" t="s">
        <v>8</v>
      </c>
      <c r="F5713" t="s">
        <v>5714</v>
      </c>
      <c r="G5713">
        <v>1</v>
      </c>
    </row>
    <row r="5714" spans="1:7" x14ac:dyDescent="0.25">
      <c r="A5714">
        <v>23</v>
      </c>
      <c r="B5714" t="s">
        <v>5637</v>
      </c>
      <c r="C5714">
        <v>14236</v>
      </c>
      <c r="D5714" t="str">
        <f>"0965-4313"</f>
        <v>0965-4313</v>
      </c>
      <c r="E5714" t="s">
        <v>8</v>
      </c>
      <c r="F5714" t="s">
        <v>5715</v>
      </c>
      <c r="G5714">
        <v>1</v>
      </c>
    </row>
    <row r="5715" spans="1:7" x14ac:dyDescent="0.25">
      <c r="A5715">
        <v>23</v>
      </c>
      <c r="B5715" t="s">
        <v>5637</v>
      </c>
      <c r="C5715">
        <v>137764</v>
      </c>
      <c r="D5715" t="str">
        <f>"1231-1952"</f>
        <v>1231-1952</v>
      </c>
      <c r="E5715" t="s">
        <v>8</v>
      </c>
      <c r="F5715" t="s">
        <v>5716</v>
      </c>
      <c r="G5715">
        <v>1</v>
      </c>
    </row>
    <row r="5716" spans="1:7" x14ac:dyDescent="0.25">
      <c r="A5716">
        <v>23</v>
      </c>
      <c r="B5716" t="s">
        <v>5637</v>
      </c>
      <c r="C5716">
        <v>6488</v>
      </c>
      <c r="D5716" t="str">
        <f>"0015-0010"</f>
        <v>0015-0010</v>
      </c>
      <c r="E5716" t="s">
        <v>8</v>
      </c>
      <c r="F5716" t="s">
        <v>5717</v>
      </c>
      <c r="G5716">
        <v>1</v>
      </c>
    </row>
    <row r="5717" spans="1:7" x14ac:dyDescent="0.25">
      <c r="A5717">
        <v>23</v>
      </c>
      <c r="B5717" t="s">
        <v>5637</v>
      </c>
      <c r="C5717">
        <v>7719610</v>
      </c>
      <c r="D5717" t="str">
        <f>"2046-1879"</f>
        <v>2046-1879</v>
      </c>
      <c r="E5717" t="s">
        <v>8</v>
      </c>
      <c r="F5717" t="s">
        <v>5718</v>
      </c>
      <c r="G5717">
        <v>1</v>
      </c>
    </row>
    <row r="5718" spans="1:7" x14ac:dyDescent="0.25">
      <c r="A5718">
        <v>23</v>
      </c>
      <c r="B5718" t="s">
        <v>5637</v>
      </c>
      <c r="C5718">
        <v>4920</v>
      </c>
      <c r="D5718" t="str">
        <f>"0803-9410"</f>
        <v>0803-9410</v>
      </c>
      <c r="E5718" t="s">
        <v>8</v>
      </c>
      <c r="F5718" t="s">
        <v>5719</v>
      </c>
      <c r="G5718">
        <v>1</v>
      </c>
    </row>
    <row r="5719" spans="1:7" x14ac:dyDescent="0.25">
      <c r="A5719">
        <v>23</v>
      </c>
      <c r="B5719" t="s">
        <v>5637</v>
      </c>
      <c r="C5719">
        <v>16278</v>
      </c>
      <c r="D5719" t="str">
        <f>"1355-2074"</f>
        <v>1355-2074</v>
      </c>
      <c r="E5719" t="s">
        <v>8</v>
      </c>
      <c r="F5719" t="s">
        <v>5720</v>
      </c>
      <c r="G5719">
        <v>1</v>
      </c>
    </row>
    <row r="5720" spans="1:7" x14ac:dyDescent="0.25">
      <c r="A5720">
        <v>23</v>
      </c>
      <c r="B5720" t="s">
        <v>5637</v>
      </c>
      <c r="C5720">
        <v>11183</v>
      </c>
      <c r="D5720" t="str">
        <f>"0966-369X"</f>
        <v>0966-369X</v>
      </c>
      <c r="E5720" t="s">
        <v>8</v>
      </c>
      <c r="F5720" t="s">
        <v>5721</v>
      </c>
      <c r="G5720">
        <v>1</v>
      </c>
    </row>
    <row r="5721" spans="1:7" x14ac:dyDescent="0.25">
      <c r="A5721">
        <v>23</v>
      </c>
      <c r="B5721" t="s">
        <v>5637</v>
      </c>
      <c r="C5721">
        <v>6060</v>
      </c>
      <c r="D5721" t="str">
        <f>"0016-7223"</f>
        <v>0016-7223</v>
      </c>
      <c r="E5721" t="s">
        <v>8</v>
      </c>
      <c r="F5721" t="s">
        <v>5722</v>
      </c>
      <c r="G5721">
        <v>1</v>
      </c>
    </row>
    <row r="5722" spans="1:7" x14ac:dyDescent="0.25">
      <c r="A5722">
        <v>23</v>
      </c>
      <c r="B5722" t="s">
        <v>5637</v>
      </c>
      <c r="C5722">
        <v>14173</v>
      </c>
      <c r="D5722" t="str">
        <f>"0435-3684"</f>
        <v>0435-3684</v>
      </c>
      <c r="E5722" t="s">
        <v>8</v>
      </c>
      <c r="F5722" t="s">
        <v>5723</v>
      </c>
      <c r="G5722">
        <v>1</v>
      </c>
    </row>
    <row r="5723" spans="1:7" x14ac:dyDescent="0.25">
      <c r="A5723">
        <v>23</v>
      </c>
      <c r="B5723" t="s">
        <v>5637</v>
      </c>
      <c r="C5723">
        <v>21143</v>
      </c>
      <c r="D5723" t="str">
        <f>"0016-7312"</f>
        <v>0016-7312</v>
      </c>
      <c r="E5723" t="s">
        <v>8</v>
      </c>
      <c r="F5723" t="s">
        <v>5724</v>
      </c>
      <c r="G5723">
        <v>1</v>
      </c>
    </row>
    <row r="5724" spans="1:7" x14ac:dyDescent="0.25">
      <c r="A5724">
        <v>23</v>
      </c>
      <c r="B5724" t="s">
        <v>5637</v>
      </c>
      <c r="C5724">
        <v>2661</v>
      </c>
      <c r="D5724" t="str">
        <f>"0016-7363"</f>
        <v>0016-7363</v>
      </c>
      <c r="E5724" t="s">
        <v>8</v>
      </c>
      <c r="F5724" t="s">
        <v>5725</v>
      </c>
      <c r="G5724">
        <v>1</v>
      </c>
    </row>
    <row r="5725" spans="1:7" x14ac:dyDescent="0.25">
      <c r="A5725">
        <v>23</v>
      </c>
      <c r="B5725" t="s">
        <v>5637</v>
      </c>
      <c r="C5725">
        <v>2387</v>
      </c>
      <c r="D5725" t="str">
        <f>"1745-5863"</f>
        <v>1745-5863</v>
      </c>
      <c r="E5725" t="s">
        <v>8</v>
      </c>
      <c r="F5725" t="s">
        <v>5726</v>
      </c>
      <c r="G5725">
        <v>1</v>
      </c>
    </row>
    <row r="5726" spans="1:7" x14ac:dyDescent="0.25">
      <c r="A5726">
        <v>23</v>
      </c>
      <c r="B5726" t="s">
        <v>5637</v>
      </c>
      <c r="C5726">
        <v>15560</v>
      </c>
      <c r="D5726" t="str">
        <f>"0016-7428"</f>
        <v>0016-7428</v>
      </c>
      <c r="E5726" t="s">
        <v>8</v>
      </c>
      <c r="F5726" t="s">
        <v>5727</v>
      </c>
      <c r="G5726">
        <v>1</v>
      </c>
    </row>
    <row r="5727" spans="1:7" x14ac:dyDescent="0.25">
      <c r="A5727">
        <v>23</v>
      </c>
      <c r="B5727" t="s">
        <v>5637</v>
      </c>
      <c r="C5727">
        <v>4610</v>
      </c>
      <c r="D5727" t="str">
        <f>"1295-926X"</f>
        <v>1295-926X</v>
      </c>
      <c r="E5727" t="s">
        <v>8</v>
      </c>
      <c r="F5727" t="s">
        <v>5728</v>
      </c>
      <c r="G5727">
        <v>1</v>
      </c>
    </row>
    <row r="5728" spans="1:7" x14ac:dyDescent="0.25">
      <c r="A5728">
        <v>23</v>
      </c>
      <c r="B5728" t="s">
        <v>5637</v>
      </c>
      <c r="C5728">
        <v>12222</v>
      </c>
      <c r="D5728" t="str">
        <f>"0016-7479"</f>
        <v>0016-7479</v>
      </c>
      <c r="E5728" t="s">
        <v>8</v>
      </c>
      <c r="F5728" t="s">
        <v>5729</v>
      </c>
      <c r="G5728">
        <v>1</v>
      </c>
    </row>
    <row r="5729" spans="1:7" x14ac:dyDescent="0.25">
      <c r="A5729">
        <v>23</v>
      </c>
      <c r="B5729" t="s">
        <v>5637</v>
      </c>
      <c r="C5729">
        <v>7566</v>
      </c>
      <c r="D5729" t="str">
        <f>"0016-7487"</f>
        <v>0016-7487</v>
      </c>
      <c r="E5729" t="s">
        <v>8</v>
      </c>
      <c r="F5729" t="s">
        <v>5730</v>
      </c>
      <c r="G5729">
        <v>1</v>
      </c>
    </row>
    <row r="5730" spans="1:7" x14ac:dyDescent="0.25">
      <c r="A5730">
        <v>23</v>
      </c>
      <c r="B5730" t="s">
        <v>5637</v>
      </c>
      <c r="C5730">
        <v>16538</v>
      </c>
      <c r="E5730" t="s">
        <v>8</v>
      </c>
      <c r="F5730" t="s">
        <v>5731</v>
      </c>
      <c r="G5730">
        <v>1</v>
      </c>
    </row>
    <row r="5731" spans="1:7" x14ac:dyDescent="0.25">
      <c r="A5731">
        <v>23</v>
      </c>
      <c r="B5731" t="s">
        <v>5637</v>
      </c>
      <c r="C5731">
        <v>8776317</v>
      </c>
      <c r="D5731" t="str">
        <f>"2373-566X"</f>
        <v>2373-566X</v>
      </c>
      <c r="E5731" t="s">
        <v>8</v>
      </c>
      <c r="F5731" t="s">
        <v>5732</v>
      </c>
      <c r="G5731">
        <v>1</v>
      </c>
    </row>
    <row r="5732" spans="1:7" x14ac:dyDescent="0.25">
      <c r="A5732">
        <v>23</v>
      </c>
      <c r="B5732" t="s">
        <v>5637</v>
      </c>
      <c r="C5732">
        <v>16416</v>
      </c>
      <c r="D5732" t="str">
        <f>"0343-2521"</f>
        <v>0343-2521</v>
      </c>
      <c r="E5732" t="s">
        <v>8</v>
      </c>
      <c r="F5732" t="s">
        <v>5733</v>
      </c>
      <c r="G5732">
        <v>1</v>
      </c>
    </row>
    <row r="5733" spans="1:7" x14ac:dyDescent="0.25">
      <c r="A5733">
        <v>23</v>
      </c>
      <c r="B5733" t="s">
        <v>5637</v>
      </c>
      <c r="C5733">
        <v>8346</v>
      </c>
      <c r="D5733" t="str">
        <f>"0924-5499"</f>
        <v>0924-5499</v>
      </c>
      <c r="E5733" t="s">
        <v>15</v>
      </c>
      <c r="F5733" t="s">
        <v>5734</v>
      </c>
      <c r="G5733">
        <v>1</v>
      </c>
    </row>
    <row r="5734" spans="1:7" x14ac:dyDescent="0.25">
      <c r="A5734">
        <v>23</v>
      </c>
      <c r="B5734" t="s">
        <v>5637</v>
      </c>
      <c r="C5734">
        <v>8053</v>
      </c>
      <c r="D5734" t="str">
        <f>"1465-0045"</f>
        <v>1465-0045</v>
      </c>
      <c r="E5734" t="s">
        <v>8</v>
      </c>
      <c r="F5734" t="s">
        <v>5735</v>
      </c>
      <c r="G5734">
        <v>1</v>
      </c>
    </row>
    <row r="5735" spans="1:7" x14ac:dyDescent="0.25">
      <c r="A5735">
        <v>23</v>
      </c>
      <c r="B5735" t="s">
        <v>5637</v>
      </c>
      <c r="C5735">
        <v>7743495</v>
      </c>
      <c r="D5735" t="str">
        <f>"2211-9124"</f>
        <v>2211-9124</v>
      </c>
      <c r="E5735" t="s">
        <v>8</v>
      </c>
      <c r="F5735" t="s">
        <v>5736</v>
      </c>
      <c r="G5735">
        <v>1</v>
      </c>
    </row>
    <row r="5736" spans="1:7" x14ac:dyDescent="0.25">
      <c r="A5736">
        <v>23</v>
      </c>
      <c r="B5736" t="s">
        <v>5637</v>
      </c>
      <c r="C5736">
        <v>5116</v>
      </c>
      <c r="D5736" t="str">
        <f>"0275-7664"</f>
        <v>0275-7664</v>
      </c>
      <c r="E5736" t="s">
        <v>8</v>
      </c>
      <c r="F5736" t="s">
        <v>5737</v>
      </c>
      <c r="G5736">
        <v>1</v>
      </c>
    </row>
    <row r="5737" spans="1:7" x14ac:dyDescent="0.25">
      <c r="A5737">
        <v>23</v>
      </c>
      <c r="B5737" t="s">
        <v>5637</v>
      </c>
      <c r="C5737">
        <v>13984</v>
      </c>
      <c r="D5737" t="str">
        <f>"0017-4815"</f>
        <v>0017-4815</v>
      </c>
      <c r="E5737" t="s">
        <v>8</v>
      </c>
      <c r="F5737" t="s">
        <v>5738</v>
      </c>
      <c r="G5737">
        <v>1</v>
      </c>
    </row>
    <row r="5738" spans="1:7" x14ac:dyDescent="0.25">
      <c r="A5738">
        <v>23</v>
      </c>
      <c r="B5738" t="s">
        <v>5637</v>
      </c>
      <c r="C5738">
        <v>7929</v>
      </c>
      <c r="D5738" t="str">
        <f>"0361-5413"</f>
        <v>0361-5413</v>
      </c>
      <c r="E5738" t="s">
        <v>8</v>
      </c>
      <c r="F5738" t="s">
        <v>5739</v>
      </c>
      <c r="G5738">
        <v>1</v>
      </c>
    </row>
    <row r="5739" spans="1:7" x14ac:dyDescent="0.25">
      <c r="A5739">
        <v>23</v>
      </c>
      <c r="B5739" t="s">
        <v>5637</v>
      </c>
      <c r="C5739">
        <v>27641</v>
      </c>
      <c r="D5739" t="str">
        <f>"1210-3055"</f>
        <v>1210-3055</v>
      </c>
      <c r="E5739" t="s">
        <v>8</v>
      </c>
      <c r="F5739" t="s">
        <v>5740</v>
      </c>
      <c r="G5739">
        <v>1</v>
      </c>
    </row>
    <row r="5740" spans="1:7" x14ac:dyDescent="0.25">
      <c r="A5740">
        <v>23</v>
      </c>
      <c r="B5740" t="s">
        <v>5637</v>
      </c>
      <c r="C5740">
        <v>154149</v>
      </c>
      <c r="D5740" t="str">
        <f>"1942-7786"</f>
        <v>1942-7786</v>
      </c>
      <c r="E5740" t="s">
        <v>8</v>
      </c>
      <c r="F5740" t="s">
        <v>5741</v>
      </c>
      <c r="G5740">
        <v>1</v>
      </c>
    </row>
    <row r="5741" spans="1:7" x14ac:dyDescent="0.25">
      <c r="A5741">
        <v>23</v>
      </c>
      <c r="B5741" t="s">
        <v>5637</v>
      </c>
      <c r="C5741">
        <v>7690424</v>
      </c>
      <c r="D5741" t="str">
        <f>"2151-4364"</f>
        <v>2151-4364</v>
      </c>
      <c r="E5741" t="s">
        <v>8</v>
      </c>
      <c r="F5741" t="s">
        <v>5742</v>
      </c>
      <c r="G5741">
        <v>1</v>
      </c>
    </row>
    <row r="5742" spans="1:7" x14ac:dyDescent="0.25">
      <c r="A5742">
        <v>23</v>
      </c>
      <c r="B5742" t="s">
        <v>5637</v>
      </c>
      <c r="C5742">
        <v>16920</v>
      </c>
      <c r="D5742" t="str">
        <f>"0265-5012"</f>
        <v>0265-5012</v>
      </c>
      <c r="E5742" t="s">
        <v>8</v>
      </c>
      <c r="F5742" t="s">
        <v>5743</v>
      </c>
      <c r="G5742">
        <v>1</v>
      </c>
    </row>
    <row r="5743" spans="1:7" x14ac:dyDescent="0.25">
      <c r="A5743">
        <v>23</v>
      </c>
      <c r="B5743" t="s">
        <v>5637</v>
      </c>
      <c r="C5743">
        <v>693</v>
      </c>
      <c r="D5743" t="str">
        <f>"1473-6489"</f>
        <v>1473-6489</v>
      </c>
      <c r="E5743" t="s">
        <v>8</v>
      </c>
      <c r="F5743" t="s">
        <v>5744</v>
      </c>
      <c r="G5743">
        <v>1</v>
      </c>
    </row>
    <row r="5744" spans="1:7" x14ac:dyDescent="0.25">
      <c r="A5744">
        <v>23</v>
      </c>
      <c r="B5744" t="s">
        <v>5637</v>
      </c>
      <c r="C5744">
        <v>170337</v>
      </c>
      <c r="D5744" t="str">
        <f>"2157-930X"</f>
        <v>2157-930X</v>
      </c>
      <c r="E5744" t="s">
        <v>8</v>
      </c>
      <c r="F5744" t="s">
        <v>5745</v>
      </c>
      <c r="G5744">
        <v>1</v>
      </c>
    </row>
    <row r="5745" spans="1:7" x14ac:dyDescent="0.25">
      <c r="A5745">
        <v>23</v>
      </c>
      <c r="B5745" t="s">
        <v>5637</v>
      </c>
      <c r="C5745">
        <v>8881</v>
      </c>
      <c r="D5745" t="str">
        <f>"1474-6743"</f>
        <v>1474-6743</v>
      </c>
      <c r="E5745" t="s">
        <v>8</v>
      </c>
      <c r="F5745" t="s">
        <v>5746</v>
      </c>
      <c r="G5745">
        <v>1</v>
      </c>
    </row>
    <row r="5746" spans="1:7" x14ac:dyDescent="0.25">
      <c r="A5746">
        <v>23</v>
      </c>
      <c r="B5746" t="s">
        <v>5637</v>
      </c>
      <c r="C5746">
        <v>51958</v>
      </c>
      <c r="E5746" t="s">
        <v>8</v>
      </c>
      <c r="F5746" t="s">
        <v>5747</v>
      </c>
      <c r="G5746">
        <v>1</v>
      </c>
    </row>
    <row r="5747" spans="1:7" x14ac:dyDescent="0.25">
      <c r="A5747">
        <v>23</v>
      </c>
      <c r="B5747" t="s">
        <v>5637</v>
      </c>
      <c r="C5747">
        <v>6157337</v>
      </c>
      <c r="D5747" t="str">
        <f>"1756-8692"</f>
        <v>1756-8692</v>
      </c>
      <c r="E5747" t="s">
        <v>8</v>
      </c>
      <c r="F5747" t="s">
        <v>5748</v>
      </c>
      <c r="G5747">
        <v>1</v>
      </c>
    </row>
    <row r="5748" spans="1:7" x14ac:dyDescent="0.25">
      <c r="A5748">
        <v>23</v>
      </c>
      <c r="B5748" t="s">
        <v>5637</v>
      </c>
      <c r="C5748">
        <v>7735784</v>
      </c>
      <c r="D5748" t="str">
        <f>"2212-4209"</f>
        <v>2212-4209</v>
      </c>
      <c r="E5748" t="s">
        <v>8</v>
      </c>
      <c r="F5748" t="s">
        <v>5749</v>
      </c>
      <c r="G5748">
        <v>1</v>
      </c>
    </row>
    <row r="5749" spans="1:7" x14ac:dyDescent="0.25">
      <c r="A5749">
        <v>23</v>
      </c>
      <c r="B5749" t="s">
        <v>5637</v>
      </c>
      <c r="C5749">
        <v>11333</v>
      </c>
      <c r="D5749" t="str">
        <f>"1525-6480"</f>
        <v>1525-6480</v>
      </c>
      <c r="E5749" t="s">
        <v>8</v>
      </c>
      <c r="F5749" t="s">
        <v>5750</v>
      </c>
      <c r="G5749">
        <v>1</v>
      </c>
    </row>
    <row r="5750" spans="1:7" x14ac:dyDescent="0.25">
      <c r="A5750">
        <v>23</v>
      </c>
      <c r="B5750" t="s">
        <v>5637</v>
      </c>
      <c r="C5750">
        <v>16619</v>
      </c>
      <c r="D5750" t="str">
        <f>"1077-3495"</f>
        <v>1077-3495</v>
      </c>
      <c r="E5750" t="s">
        <v>8</v>
      </c>
      <c r="F5750" t="s">
        <v>5751</v>
      </c>
      <c r="G5750">
        <v>1</v>
      </c>
    </row>
    <row r="5751" spans="1:7" x14ac:dyDescent="0.25">
      <c r="A5751">
        <v>23</v>
      </c>
      <c r="B5751" t="s">
        <v>5637</v>
      </c>
      <c r="C5751">
        <v>10293</v>
      </c>
      <c r="D5751" t="str">
        <f>"0973-0052"</f>
        <v>0973-0052</v>
      </c>
      <c r="E5751" t="s">
        <v>8</v>
      </c>
      <c r="F5751" t="s">
        <v>5752</v>
      </c>
      <c r="G5751">
        <v>1</v>
      </c>
    </row>
    <row r="5752" spans="1:7" x14ac:dyDescent="0.25">
      <c r="A5752">
        <v>23</v>
      </c>
      <c r="B5752" t="s">
        <v>5637</v>
      </c>
      <c r="C5752">
        <v>27279</v>
      </c>
      <c r="E5752" t="s">
        <v>8</v>
      </c>
      <c r="F5752" t="s">
        <v>5753</v>
      </c>
      <c r="G5752">
        <v>1</v>
      </c>
    </row>
    <row r="5753" spans="1:7" x14ac:dyDescent="0.25">
      <c r="A5753">
        <v>23</v>
      </c>
      <c r="B5753" t="s">
        <v>5637</v>
      </c>
      <c r="C5753">
        <v>9323</v>
      </c>
      <c r="D5753" t="str">
        <f>"0960-1406"</f>
        <v>0960-1406</v>
      </c>
      <c r="E5753" t="s">
        <v>8</v>
      </c>
      <c r="F5753" t="s">
        <v>5754</v>
      </c>
      <c r="G5753">
        <v>1</v>
      </c>
    </row>
    <row r="5754" spans="1:7" x14ac:dyDescent="0.25">
      <c r="A5754">
        <v>23</v>
      </c>
      <c r="B5754" t="s">
        <v>5637</v>
      </c>
      <c r="C5754">
        <v>4696</v>
      </c>
      <c r="D5754" t="str">
        <f>"1350-4509"</f>
        <v>1350-4509</v>
      </c>
      <c r="E5754" t="s">
        <v>8</v>
      </c>
      <c r="F5754" t="s">
        <v>5755</v>
      </c>
      <c r="G5754">
        <v>1</v>
      </c>
    </row>
    <row r="5755" spans="1:7" x14ac:dyDescent="0.25">
      <c r="A5755">
        <v>23</v>
      </c>
      <c r="B5755" t="s">
        <v>5637</v>
      </c>
      <c r="C5755">
        <v>23689</v>
      </c>
      <c r="D5755" t="str">
        <f>"1753-1942"</f>
        <v>1753-1942</v>
      </c>
      <c r="E5755" t="s">
        <v>8</v>
      </c>
      <c r="F5755" t="s">
        <v>5756</v>
      </c>
      <c r="G5755">
        <v>1</v>
      </c>
    </row>
    <row r="5756" spans="1:7" x14ac:dyDescent="0.25">
      <c r="A5756">
        <v>23</v>
      </c>
      <c r="B5756" t="s">
        <v>5637</v>
      </c>
      <c r="C5756">
        <v>15144</v>
      </c>
      <c r="D5756" t="str">
        <f>"1476-5667"</f>
        <v>1476-5667</v>
      </c>
      <c r="E5756" t="s">
        <v>8</v>
      </c>
      <c r="F5756" t="s">
        <v>5757</v>
      </c>
      <c r="G5756">
        <v>1</v>
      </c>
    </row>
    <row r="5757" spans="1:7" x14ac:dyDescent="0.25">
      <c r="A5757">
        <v>23</v>
      </c>
      <c r="B5757" t="s">
        <v>5637</v>
      </c>
      <c r="C5757">
        <v>114202</v>
      </c>
      <c r="E5757" t="s">
        <v>8</v>
      </c>
      <c r="F5757" t="s">
        <v>5758</v>
      </c>
      <c r="G5757">
        <v>1</v>
      </c>
    </row>
    <row r="5758" spans="1:7" x14ac:dyDescent="0.25">
      <c r="A5758">
        <v>23</v>
      </c>
      <c r="B5758" t="s">
        <v>5637</v>
      </c>
      <c r="C5758">
        <v>6158780</v>
      </c>
      <c r="D5758" t="str">
        <f>"1756-5723"</f>
        <v>1756-5723</v>
      </c>
      <c r="E5758" t="s">
        <v>8</v>
      </c>
      <c r="F5758" t="s">
        <v>5759</v>
      </c>
      <c r="G5758">
        <v>1</v>
      </c>
    </row>
    <row r="5759" spans="1:7" x14ac:dyDescent="0.25">
      <c r="A5759">
        <v>23</v>
      </c>
      <c r="B5759" t="s">
        <v>5637</v>
      </c>
      <c r="C5759">
        <v>5864</v>
      </c>
      <c r="D5759" t="str">
        <f>"1049-8001"</f>
        <v>1049-8001</v>
      </c>
      <c r="E5759" t="s">
        <v>8</v>
      </c>
      <c r="F5759" t="s">
        <v>5760</v>
      </c>
      <c r="G5759">
        <v>1</v>
      </c>
    </row>
    <row r="5760" spans="1:7" x14ac:dyDescent="0.25">
      <c r="A5760">
        <v>23</v>
      </c>
      <c r="B5760" t="s">
        <v>5637</v>
      </c>
      <c r="C5760">
        <v>9391</v>
      </c>
      <c r="D5760" t="str">
        <f>"0020-7985"</f>
        <v>0020-7985</v>
      </c>
      <c r="E5760" t="s">
        <v>8</v>
      </c>
      <c r="F5760" t="s">
        <v>5761</v>
      </c>
      <c r="G5760">
        <v>1</v>
      </c>
    </row>
    <row r="5761" spans="1:7" x14ac:dyDescent="0.25">
      <c r="A5761">
        <v>23</v>
      </c>
      <c r="B5761" t="s">
        <v>5637</v>
      </c>
      <c r="C5761">
        <v>9579</v>
      </c>
      <c r="D5761" t="str">
        <f>"0160-0176"</f>
        <v>0160-0176</v>
      </c>
      <c r="E5761" t="s">
        <v>8</v>
      </c>
      <c r="F5761" t="s">
        <v>5762</v>
      </c>
      <c r="G5761">
        <v>1</v>
      </c>
    </row>
    <row r="5762" spans="1:7" x14ac:dyDescent="0.25">
      <c r="A5762">
        <v>23</v>
      </c>
      <c r="B5762" t="s">
        <v>5637</v>
      </c>
      <c r="C5762">
        <v>5013</v>
      </c>
      <c r="D5762" t="str">
        <f>"0075-0778"</f>
        <v>0075-0778</v>
      </c>
      <c r="E5762" t="s">
        <v>8</v>
      </c>
      <c r="F5762" t="s">
        <v>5763</v>
      </c>
      <c r="G5762">
        <v>1</v>
      </c>
    </row>
    <row r="5763" spans="1:7" x14ac:dyDescent="0.25">
      <c r="A5763">
        <v>23</v>
      </c>
      <c r="B5763" t="s">
        <v>5637</v>
      </c>
      <c r="C5763">
        <v>131977</v>
      </c>
      <c r="D5763" t="str">
        <f>"1715-2593"</f>
        <v>1715-2593</v>
      </c>
      <c r="E5763" t="s">
        <v>8</v>
      </c>
      <c r="F5763" t="s">
        <v>5764</v>
      </c>
      <c r="G5763">
        <v>1</v>
      </c>
    </row>
    <row r="5764" spans="1:7" x14ac:dyDescent="0.25">
      <c r="A5764">
        <v>23</v>
      </c>
      <c r="B5764" t="s">
        <v>5637</v>
      </c>
      <c r="C5764">
        <v>7714479</v>
      </c>
      <c r="D5764" t="str">
        <f>"2220-9964"</f>
        <v>2220-9964</v>
      </c>
      <c r="E5764" t="s">
        <v>8</v>
      </c>
      <c r="F5764" t="s">
        <v>5765</v>
      </c>
      <c r="G5764">
        <v>1</v>
      </c>
    </row>
    <row r="5765" spans="1:7" x14ac:dyDescent="0.25">
      <c r="A5765">
        <v>23</v>
      </c>
      <c r="B5765" t="s">
        <v>5637</v>
      </c>
      <c r="C5765">
        <v>6459</v>
      </c>
      <c r="D5765" t="str">
        <f>"0140-1963"</f>
        <v>0140-1963</v>
      </c>
      <c r="E5765" t="s">
        <v>8</v>
      </c>
      <c r="F5765" t="s">
        <v>5766</v>
      </c>
      <c r="G5765">
        <v>1</v>
      </c>
    </row>
    <row r="5766" spans="1:7" x14ac:dyDescent="0.25">
      <c r="A5766">
        <v>23</v>
      </c>
      <c r="B5766" t="s">
        <v>5637</v>
      </c>
      <c r="C5766">
        <v>6237</v>
      </c>
      <c r="D5766" t="str">
        <f>"1444-3058"</f>
        <v>1444-3058</v>
      </c>
      <c r="E5766" t="s">
        <v>8</v>
      </c>
      <c r="F5766" t="s">
        <v>5767</v>
      </c>
      <c r="G5766">
        <v>1</v>
      </c>
    </row>
    <row r="5767" spans="1:7" x14ac:dyDescent="0.25">
      <c r="A5767">
        <v>23</v>
      </c>
      <c r="B5767" t="s">
        <v>5637</v>
      </c>
      <c r="C5767">
        <v>8507</v>
      </c>
      <c r="D5767" t="str">
        <f>"0886-5655"</f>
        <v>0886-5655</v>
      </c>
      <c r="E5767" t="s">
        <v>8</v>
      </c>
      <c r="F5767" t="s">
        <v>5768</v>
      </c>
      <c r="G5767">
        <v>1</v>
      </c>
    </row>
    <row r="5768" spans="1:7" x14ac:dyDescent="0.25">
      <c r="A5768">
        <v>23</v>
      </c>
      <c r="B5768" t="s">
        <v>5637</v>
      </c>
      <c r="C5768">
        <v>6168848</v>
      </c>
      <c r="D5768" t="str">
        <f>"1868-1034"</f>
        <v>1868-1034</v>
      </c>
      <c r="E5768" t="s">
        <v>8</v>
      </c>
      <c r="F5768" t="s">
        <v>5769</v>
      </c>
      <c r="G5768">
        <v>1</v>
      </c>
    </row>
    <row r="5769" spans="1:7" x14ac:dyDescent="0.25">
      <c r="A5769">
        <v>23</v>
      </c>
      <c r="B5769" t="s">
        <v>5637</v>
      </c>
      <c r="C5769">
        <v>10637</v>
      </c>
      <c r="D5769" t="str">
        <f>"0022-037X"</f>
        <v>0022-037X</v>
      </c>
      <c r="E5769" t="s">
        <v>8</v>
      </c>
      <c r="F5769" t="s">
        <v>5770</v>
      </c>
      <c r="G5769">
        <v>1</v>
      </c>
    </row>
    <row r="5770" spans="1:7" x14ac:dyDescent="0.25">
      <c r="A5770">
        <v>23</v>
      </c>
      <c r="B5770" t="s">
        <v>5637</v>
      </c>
      <c r="C5770">
        <v>16130</v>
      </c>
      <c r="D5770" t="str">
        <f>"0169-796X"</f>
        <v>0169-796X</v>
      </c>
      <c r="E5770" t="s">
        <v>8</v>
      </c>
      <c r="F5770" t="s">
        <v>5771</v>
      </c>
      <c r="G5770">
        <v>1</v>
      </c>
    </row>
    <row r="5771" spans="1:7" x14ac:dyDescent="0.25">
      <c r="A5771">
        <v>23</v>
      </c>
      <c r="B5771" t="s">
        <v>5637</v>
      </c>
      <c r="C5771">
        <v>15271</v>
      </c>
      <c r="D5771" t="str">
        <f>"1472-4049"</f>
        <v>1472-4049</v>
      </c>
      <c r="E5771" t="s">
        <v>8</v>
      </c>
      <c r="F5771" t="s">
        <v>5772</v>
      </c>
      <c r="G5771">
        <v>1</v>
      </c>
    </row>
    <row r="5772" spans="1:7" x14ac:dyDescent="0.25">
      <c r="A5772">
        <v>23</v>
      </c>
      <c r="B5772" t="s">
        <v>5637</v>
      </c>
      <c r="C5772">
        <v>16394</v>
      </c>
      <c r="D5772" t="str">
        <f>"0964-0568"</f>
        <v>0964-0568</v>
      </c>
      <c r="E5772" t="s">
        <v>8</v>
      </c>
      <c r="F5772" t="s">
        <v>5773</v>
      </c>
      <c r="G5772">
        <v>1</v>
      </c>
    </row>
    <row r="5773" spans="1:7" x14ac:dyDescent="0.25">
      <c r="A5773">
        <v>23</v>
      </c>
      <c r="B5773" t="s">
        <v>5637</v>
      </c>
      <c r="C5773">
        <v>6169702</v>
      </c>
      <c r="D5773" t="str">
        <f>"2151-1950"</f>
        <v>2151-1950</v>
      </c>
      <c r="E5773" t="s">
        <v>8</v>
      </c>
      <c r="F5773" t="s">
        <v>5774</v>
      </c>
      <c r="G5773">
        <v>1</v>
      </c>
    </row>
    <row r="5774" spans="1:7" x14ac:dyDescent="0.25">
      <c r="A5774">
        <v>23</v>
      </c>
      <c r="B5774" t="s">
        <v>5637</v>
      </c>
      <c r="C5774">
        <v>3662</v>
      </c>
      <c r="D5774" t="str">
        <f>"0022-1341"</f>
        <v>0022-1341</v>
      </c>
      <c r="E5774" t="s">
        <v>8</v>
      </c>
      <c r="F5774" t="s">
        <v>5775</v>
      </c>
      <c r="G5774">
        <v>1</v>
      </c>
    </row>
    <row r="5775" spans="1:7" x14ac:dyDescent="0.25">
      <c r="A5775">
        <v>23</v>
      </c>
      <c r="B5775" t="s">
        <v>5637</v>
      </c>
      <c r="C5775">
        <v>4945</v>
      </c>
      <c r="D5775" t="str">
        <f>"0305-7488"</f>
        <v>0305-7488</v>
      </c>
      <c r="E5775" t="s">
        <v>8</v>
      </c>
      <c r="F5775" t="s">
        <v>5776</v>
      </c>
      <c r="G5775">
        <v>1</v>
      </c>
    </row>
    <row r="5776" spans="1:7" x14ac:dyDescent="0.25">
      <c r="A5776">
        <v>23</v>
      </c>
      <c r="B5776" t="s">
        <v>5637</v>
      </c>
      <c r="C5776">
        <v>6277</v>
      </c>
      <c r="D5776" t="str">
        <f>"1945-2829"</f>
        <v>1945-2829</v>
      </c>
      <c r="E5776" t="s">
        <v>8</v>
      </c>
      <c r="F5776" t="s">
        <v>5777</v>
      </c>
      <c r="G5776">
        <v>1</v>
      </c>
    </row>
    <row r="5777" spans="1:7" x14ac:dyDescent="0.25">
      <c r="A5777">
        <v>23</v>
      </c>
      <c r="B5777" t="s">
        <v>5637</v>
      </c>
      <c r="C5777">
        <v>2798</v>
      </c>
      <c r="D5777" t="str">
        <f>"0954-1748"</f>
        <v>0954-1748</v>
      </c>
      <c r="E5777" t="s">
        <v>8</v>
      </c>
      <c r="F5777" t="s">
        <v>5778</v>
      </c>
      <c r="G5777">
        <v>1</v>
      </c>
    </row>
    <row r="5778" spans="1:7" x14ac:dyDescent="0.25">
      <c r="A5778">
        <v>23</v>
      </c>
      <c r="B5778" t="s">
        <v>5637</v>
      </c>
      <c r="C5778">
        <v>13766</v>
      </c>
      <c r="D5778" t="str">
        <f>"1545-2476"</f>
        <v>1545-2476</v>
      </c>
      <c r="E5778" t="s">
        <v>8</v>
      </c>
      <c r="F5778" t="s">
        <v>5779</v>
      </c>
      <c r="G5778">
        <v>1</v>
      </c>
    </row>
    <row r="5779" spans="1:7" x14ac:dyDescent="0.25">
      <c r="A5779">
        <v>23</v>
      </c>
      <c r="B5779" t="s">
        <v>5637</v>
      </c>
      <c r="C5779">
        <v>27192</v>
      </c>
      <c r="D5779" t="str">
        <f>"0259-0123"</f>
        <v>0259-0123</v>
      </c>
      <c r="E5779" t="s">
        <v>8</v>
      </c>
      <c r="F5779" t="s">
        <v>5780</v>
      </c>
      <c r="G5779">
        <v>1</v>
      </c>
    </row>
    <row r="5780" spans="1:7" x14ac:dyDescent="0.25">
      <c r="A5780">
        <v>23</v>
      </c>
      <c r="B5780" t="s">
        <v>5637</v>
      </c>
      <c r="C5780">
        <v>15895</v>
      </c>
      <c r="D5780" t="str">
        <f>"1654-5915"</f>
        <v>1654-5915</v>
      </c>
      <c r="E5780" t="s">
        <v>8</v>
      </c>
      <c r="F5780" t="s">
        <v>5781</v>
      </c>
      <c r="G5780">
        <v>1</v>
      </c>
    </row>
    <row r="5781" spans="1:7" x14ac:dyDescent="0.25">
      <c r="A5781">
        <v>23</v>
      </c>
      <c r="B5781" t="s">
        <v>5637</v>
      </c>
      <c r="C5781">
        <v>13653</v>
      </c>
      <c r="D5781" t="str">
        <f>"0885-4122"</f>
        <v>0885-4122</v>
      </c>
      <c r="E5781" t="s">
        <v>8</v>
      </c>
      <c r="F5781" t="s">
        <v>5782</v>
      </c>
      <c r="G5781">
        <v>1</v>
      </c>
    </row>
    <row r="5782" spans="1:7" x14ac:dyDescent="0.25">
      <c r="A5782">
        <v>23</v>
      </c>
      <c r="B5782" t="s">
        <v>5637</v>
      </c>
      <c r="C5782">
        <v>750</v>
      </c>
      <c r="D5782" t="str">
        <f>"0022-4146"</f>
        <v>0022-4146</v>
      </c>
      <c r="E5782" t="s">
        <v>8</v>
      </c>
      <c r="F5782" t="s">
        <v>5783</v>
      </c>
      <c r="G5782">
        <v>1</v>
      </c>
    </row>
    <row r="5783" spans="1:7" x14ac:dyDescent="0.25">
      <c r="A5783">
        <v>23</v>
      </c>
      <c r="B5783" t="s">
        <v>5637</v>
      </c>
      <c r="C5783">
        <v>6172189</v>
      </c>
      <c r="D5783" t="str">
        <f>"1942-0676"</f>
        <v>1942-0676</v>
      </c>
      <c r="E5783" t="s">
        <v>8</v>
      </c>
      <c r="F5783" t="s">
        <v>5784</v>
      </c>
      <c r="G5783">
        <v>1</v>
      </c>
    </row>
    <row r="5784" spans="1:7" x14ac:dyDescent="0.25">
      <c r="A5784">
        <v>23</v>
      </c>
      <c r="B5784" t="s">
        <v>5637</v>
      </c>
      <c r="C5784">
        <v>9044</v>
      </c>
      <c r="D5784" t="str">
        <f>"0973-1741"</f>
        <v>0973-1741</v>
      </c>
      <c r="E5784" t="s">
        <v>8</v>
      </c>
      <c r="F5784" t="s">
        <v>5785</v>
      </c>
      <c r="G5784">
        <v>1</v>
      </c>
    </row>
    <row r="5785" spans="1:7" x14ac:dyDescent="0.25">
      <c r="A5785">
        <v>23</v>
      </c>
      <c r="B5785" t="s">
        <v>5637</v>
      </c>
      <c r="C5785">
        <v>6172285</v>
      </c>
      <c r="E5785" t="s">
        <v>8</v>
      </c>
      <c r="F5785" t="s">
        <v>5786</v>
      </c>
      <c r="G5785">
        <v>1</v>
      </c>
    </row>
    <row r="5786" spans="1:7" x14ac:dyDescent="0.25">
      <c r="A5786">
        <v>23</v>
      </c>
      <c r="B5786" t="s">
        <v>5637</v>
      </c>
      <c r="C5786">
        <v>26106</v>
      </c>
      <c r="D5786" t="str">
        <f>"1449-8596"</f>
        <v>1449-8596</v>
      </c>
      <c r="E5786" t="s">
        <v>8</v>
      </c>
      <c r="F5786" t="s">
        <v>5787</v>
      </c>
      <c r="G5786">
        <v>1</v>
      </c>
    </row>
    <row r="5787" spans="1:7" x14ac:dyDescent="0.25">
      <c r="A5787">
        <v>23</v>
      </c>
      <c r="B5787" t="s">
        <v>5637</v>
      </c>
      <c r="C5787">
        <v>15535</v>
      </c>
      <c r="D5787" t="str">
        <f>"0966-9582"</f>
        <v>0966-9582</v>
      </c>
      <c r="E5787" t="s">
        <v>8</v>
      </c>
      <c r="F5787" t="s">
        <v>5788</v>
      </c>
      <c r="G5787">
        <v>1</v>
      </c>
    </row>
    <row r="5788" spans="1:7" x14ac:dyDescent="0.25">
      <c r="A5788">
        <v>23</v>
      </c>
      <c r="B5788" t="s">
        <v>5637</v>
      </c>
      <c r="C5788">
        <v>9331</v>
      </c>
      <c r="D5788" t="str">
        <f>"0194-4363"</f>
        <v>0194-4363</v>
      </c>
      <c r="E5788" t="s">
        <v>8</v>
      </c>
      <c r="F5788" t="s">
        <v>5789</v>
      </c>
      <c r="G5788">
        <v>1</v>
      </c>
    </row>
    <row r="5789" spans="1:7" x14ac:dyDescent="0.25">
      <c r="A5789">
        <v>23</v>
      </c>
      <c r="B5789" t="s">
        <v>5637</v>
      </c>
      <c r="C5789">
        <v>16532</v>
      </c>
      <c r="D5789" t="str">
        <f>"0735-2166"</f>
        <v>0735-2166</v>
      </c>
      <c r="E5789" t="s">
        <v>8</v>
      </c>
      <c r="F5789" t="s">
        <v>5790</v>
      </c>
      <c r="G5789">
        <v>1</v>
      </c>
    </row>
    <row r="5790" spans="1:7" x14ac:dyDescent="0.25">
      <c r="A5790">
        <v>23</v>
      </c>
      <c r="B5790" t="s">
        <v>5637</v>
      </c>
      <c r="C5790">
        <v>7753423</v>
      </c>
      <c r="D5790" t="str">
        <f>"2050-9790"</f>
        <v>2050-9790</v>
      </c>
      <c r="E5790" t="s">
        <v>8</v>
      </c>
      <c r="F5790" t="s">
        <v>5791</v>
      </c>
      <c r="G5790">
        <v>1</v>
      </c>
    </row>
    <row r="5791" spans="1:7" x14ac:dyDescent="0.25">
      <c r="A5791">
        <v>23</v>
      </c>
      <c r="B5791" t="s">
        <v>5637</v>
      </c>
      <c r="C5791">
        <v>8658</v>
      </c>
      <c r="D5791" t="str">
        <f>"0047-3278"</f>
        <v>0047-3278</v>
      </c>
      <c r="E5791" t="s">
        <v>8</v>
      </c>
      <c r="F5791" t="s">
        <v>5792</v>
      </c>
      <c r="G5791">
        <v>1</v>
      </c>
    </row>
    <row r="5792" spans="1:7" x14ac:dyDescent="0.25">
      <c r="A5792">
        <v>23</v>
      </c>
      <c r="B5792" t="s">
        <v>5637</v>
      </c>
      <c r="C5792">
        <v>11562</v>
      </c>
      <c r="D5792" t="str">
        <f>"1085-3278"</f>
        <v>1085-3278</v>
      </c>
      <c r="E5792" t="s">
        <v>8</v>
      </c>
      <c r="F5792" t="s">
        <v>5793</v>
      </c>
      <c r="G5792">
        <v>1</v>
      </c>
    </row>
    <row r="5793" spans="1:7" x14ac:dyDescent="0.25">
      <c r="A5793">
        <v>23</v>
      </c>
      <c r="B5793" t="s">
        <v>5637</v>
      </c>
      <c r="C5793">
        <v>170336</v>
      </c>
      <c r="D5793" t="str">
        <f>"2079-715X"</f>
        <v>2079-715X</v>
      </c>
      <c r="E5793" t="s">
        <v>8</v>
      </c>
      <c r="F5793" t="s">
        <v>5794</v>
      </c>
      <c r="G5793">
        <v>1</v>
      </c>
    </row>
    <row r="5794" spans="1:7" x14ac:dyDescent="0.25">
      <c r="A5794">
        <v>23</v>
      </c>
      <c r="B5794" t="s">
        <v>5637</v>
      </c>
      <c r="C5794">
        <v>160024</v>
      </c>
      <c r="D5794" t="str">
        <f>"1863-2246"</f>
        <v>1863-2246</v>
      </c>
      <c r="E5794" t="s">
        <v>8</v>
      </c>
      <c r="F5794" t="s">
        <v>5795</v>
      </c>
      <c r="G5794">
        <v>1</v>
      </c>
    </row>
    <row r="5795" spans="1:7" x14ac:dyDescent="0.25">
      <c r="A5795">
        <v>23</v>
      </c>
      <c r="B5795" t="s">
        <v>5637</v>
      </c>
      <c r="C5795">
        <v>8782731</v>
      </c>
      <c r="E5795" t="s">
        <v>8</v>
      </c>
      <c r="F5795" t="s">
        <v>5796</v>
      </c>
      <c r="G5795">
        <v>1</v>
      </c>
    </row>
    <row r="5796" spans="1:7" x14ac:dyDescent="0.25">
      <c r="A5796">
        <v>23</v>
      </c>
      <c r="B5796" t="s">
        <v>5637</v>
      </c>
      <c r="C5796">
        <v>8236</v>
      </c>
      <c r="D5796" t="str">
        <f>"2375-0472"</f>
        <v>2375-0472</v>
      </c>
      <c r="E5796" t="s">
        <v>8</v>
      </c>
      <c r="F5796" t="s">
        <v>5797</v>
      </c>
      <c r="G5796">
        <v>1</v>
      </c>
    </row>
    <row r="5797" spans="1:7" x14ac:dyDescent="0.25">
      <c r="A5797">
        <v>23</v>
      </c>
      <c r="B5797" t="s">
        <v>5637</v>
      </c>
      <c r="C5797">
        <v>12710</v>
      </c>
      <c r="D5797" t="str">
        <f>"0308-8839"</f>
        <v>0308-8839</v>
      </c>
      <c r="E5797" t="s">
        <v>8</v>
      </c>
      <c r="F5797" t="s">
        <v>5798</v>
      </c>
      <c r="G5797">
        <v>1</v>
      </c>
    </row>
    <row r="5798" spans="1:7" x14ac:dyDescent="0.25">
      <c r="A5798">
        <v>23</v>
      </c>
      <c r="B5798" t="s">
        <v>5637</v>
      </c>
      <c r="C5798">
        <v>15611</v>
      </c>
      <c r="D5798" t="str">
        <f>"1047-4552"</f>
        <v>1047-4552</v>
      </c>
      <c r="E5798" t="s">
        <v>8</v>
      </c>
      <c r="F5798" t="s">
        <v>5799</v>
      </c>
      <c r="G5798">
        <v>1</v>
      </c>
    </row>
    <row r="5799" spans="1:7" x14ac:dyDescent="0.25">
      <c r="A5799">
        <v>23</v>
      </c>
      <c r="B5799" t="s">
        <v>5637</v>
      </c>
      <c r="C5799">
        <v>13894</v>
      </c>
      <c r="D5799" t="str">
        <f>"1074-164X"</f>
        <v>1074-164X</v>
      </c>
      <c r="E5799" t="s">
        <v>8</v>
      </c>
      <c r="F5799" t="s">
        <v>5800</v>
      </c>
      <c r="G5799">
        <v>1</v>
      </c>
    </row>
    <row r="5800" spans="1:7" x14ac:dyDescent="0.25">
      <c r="A5800">
        <v>23</v>
      </c>
      <c r="B5800" t="s">
        <v>5637</v>
      </c>
      <c r="C5800">
        <v>7732929</v>
      </c>
      <c r="D5800" t="str">
        <f>"2049-5838"</f>
        <v>2049-5838</v>
      </c>
      <c r="E5800" t="s">
        <v>8</v>
      </c>
      <c r="F5800" t="s">
        <v>5801</v>
      </c>
      <c r="G5800">
        <v>1</v>
      </c>
    </row>
    <row r="5801" spans="1:7" x14ac:dyDescent="0.25">
      <c r="A5801">
        <v>23</v>
      </c>
      <c r="B5801" t="s">
        <v>5637</v>
      </c>
      <c r="C5801">
        <v>2247</v>
      </c>
      <c r="D5801" t="str">
        <f>"1381-2386"</f>
        <v>1381-2386</v>
      </c>
      <c r="E5801" t="s">
        <v>8</v>
      </c>
      <c r="F5801" t="s">
        <v>5802</v>
      </c>
      <c r="G5801">
        <v>1</v>
      </c>
    </row>
    <row r="5802" spans="1:7" x14ac:dyDescent="0.25">
      <c r="A5802">
        <v>23</v>
      </c>
      <c r="B5802" t="s">
        <v>5637</v>
      </c>
      <c r="C5802">
        <v>8141</v>
      </c>
      <c r="D5802" t="str">
        <f>"0029-9138"</f>
        <v>0029-9138</v>
      </c>
      <c r="E5802" t="s">
        <v>8</v>
      </c>
      <c r="F5802" t="s">
        <v>5803</v>
      </c>
      <c r="G5802">
        <v>1</v>
      </c>
    </row>
    <row r="5803" spans="1:7" x14ac:dyDescent="0.25">
      <c r="A5803">
        <v>23</v>
      </c>
      <c r="B5803" t="s">
        <v>5637</v>
      </c>
      <c r="C5803">
        <v>8958</v>
      </c>
      <c r="D5803" t="str">
        <f>"0302-3052"</f>
        <v>0302-3052</v>
      </c>
      <c r="E5803" t="s">
        <v>8</v>
      </c>
      <c r="F5803" t="s">
        <v>5804</v>
      </c>
      <c r="G5803">
        <v>1</v>
      </c>
    </row>
    <row r="5804" spans="1:7" x14ac:dyDescent="0.25">
      <c r="A5804">
        <v>23</v>
      </c>
      <c r="B5804" t="s">
        <v>5637</v>
      </c>
      <c r="C5804">
        <v>17471</v>
      </c>
      <c r="D5804" t="str">
        <f>"0028-8144"</f>
        <v>0028-8144</v>
      </c>
      <c r="E5804" t="s">
        <v>8</v>
      </c>
      <c r="F5804" t="s">
        <v>5805</v>
      </c>
      <c r="G5804">
        <v>1</v>
      </c>
    </row>
    <row r="5805" spans="1:7" x14ac:dyDescent="0.25">
      <c r="A5805">
        <v>23</v>
      </c>
      <c r="B5805" t="s">
        <v>5637</v>
      </c>
      <c r="C5805">
        <v>12043</v>
      </c>
      <c r="D5805" t="str">
        <f>"1235-4481"</f>
        <v>1235-4481</v>
      </c>
      <c r="E5805" t="s">
        <v>8</v>
      </c>
      <c r="F5805" t="s">
        <v>5806</v>
      </c>
      <c r="G5805">
        <v>1</v>
      </c>
    </row>
    <row r="5806" spans="1:7" x14ac:dyDescent="0.25">
      <c r="A5806">
        <v>23</v>
      </c>
      <c r="B5806" t="s">
        <v>5637</v>
      </c>
      <c r="C5806">
        <v>12243</v>
      </c>
      <c r="D5806" t="str">
        <f>"0029-1951"</f>
        <v>0029-1951</v>
      </c>
      <c r="E5806" t="s">
        <v>8</v>
      </c>
      <c r="F5806" t="s">
        <v>5807</v>
      </c>
      <c r="G5806">
        <v>1</v>
      </c>
    </row>
    <row r="5807" spans="1:7" x14ac:dyDescent="0.25">
      <c r="A5807">
        <v>23</v>
      </c>
      <c r="B5807" t="s">
        <v>5637</v>
      </c>
      <c r="C5807">
        <v>13890</v>
      </c>
      <c r="D5807" t="str">
        <f>"1360-0818"</f>
        <v>1360-0818</v>
      </c>
      <c r="E5807" t="s">
        <v>8</v>
      </c>
      <c r="F5807" t="s">
        <v>5808</v>
      </c>
      <c r="G5807">
        <v>1</v>
      </c>
    </row>
    <row r="5808" spans="1:7" x14ac:dyDescent="0.25">
      <c r="A5808">
        <v>23</v>
      </c>
      <c r="B5808" t="s">
        <v>5637</v>
      </c>
      <c r="C5808">
        <v>9503</v>
      </c>
      <c r="D5808" t="str">
        <f>"0030-8870"</f>
        <v>0030-8870</v>
      </c>
      <c r="E5808" t="s">
        <v>8</v>
      </c>
      <c r="F5808" t="s">
        <v>5809</v>
      </c>
      <c r="G5808">
        <v>1</v>
      </c>
    </row>
    <row r="5809" spans="1:7" x14ac:dyDescent="0.25">
      <c r="A5809">
        <v>23</v>
      </c>
      <c r="B5809" t="s">
        <v>5637</v>
      </c>
      <c r="C5809">
        <v>6285</v>
      </c>
      <c r="D5809" t="str">
        <f>"1056-8190"</f>
        <v>1056-8190</v>
      </c>
      <c r="E5809" t="s">
        <v>8</v>
      </c>
      <c r="F5809" t="s">
        <v>5810</v>
      </c>
      <c r="G5809">
        <v>1</v>
      </c>
    </row>
    <row r="5810" spans="1:7" x14ac:dyDescent="0.25">
      <c r="A5810">
        <v>23</v>
      </c>
      <c r="B5810" t="s">
        <v>5637</v>
      </c>
      <c r="C5810">
        <v>60299</v>
      </c>
      <c r="D5810" t="str">
        <f>"0554-1069"</f>
        <v>0554-1069</v>
      </c>
      <c r="E5810" t="s">
        <v>8</v>
      </c>
      <c r="F5810" t="s">
        <v>5811</v>
      </c>
      <c r="G5810">
        <v>1</v>
      </c>
    </row>
    <row r="5811" spans="1:7" x14ac:dyDescent="0.25">
      <c r="A5811">
        <v>23</v>
      </c>
      <c r="B5811" t="s">
        <v>5637</v>
      </c>
      <c r="C5811">
        <v>66548</v>
      </c>
      <c r="D5811" t="str">
        <f>"1432-8364"</f>
        <v>1432-8364</v>
      </c>
      <c r="E5811" t="s">
        <v>8</v>
      </c>
      <c r="F5811" t="s">
        <v>5812</v>
      </c>
      <c r="G5811">
        <v>1</v>
      </c>
    </row>
    <row r="5812" spans="1:7" x14ac:dyDescent="0.25">
      <c r="A5812">
        <v>23</v>
      </c>
      <c r="B5812" t="s">
        <v>5637</v>
      </c>
      <c r="C5812">
        <v>6235</v>
      </c>
      <c r="D5812" t="str">
        <f>"1088-937X"</f>
        <v>1088-937X</v>
      </c>
      <c r="E5812" t="s">
        <v>8</v>
      </c>
      <c r="F5812" t="s">
        <v>5813</v>
      </c>
      <c r="G5812">
        <v>1</v>
      </c>
    </row>
    <row r="5813" spans="1:7" x14ac:dyDescent="0.25">
      <c r="A5813">
        <v>23</v>
      </c>
      <c r="B5813" t="s">
        <v>5637</v>
      </c>
      <c r="C5813">
        <v>15006</v>
      </c>
      <c r="D5813" t="str">
        <f>"0032-4663"</f>
        <v>0032-4663</v>
      </c>
      <c r="E5813" t="s">
        <v>8</v>
      </c>
      <c r="F5813" t="s">
        <v>5814</v>
      </c>
      <c r="G5813">
        <v>1</v>
      </c>
    </row>
    <row r="5814" spans="1:7" x14ac:dyDescent="0.25">
      <c r="A5814">
        <v>23</v>
      </c>
      <c r="B5814" t="s">
        <v>5637</v>
      </c>
      <c r="C5814">
        <v>13347</v>
      </c>
      <c r="D5814" t="str">
        <f>"0098-7921"</f>
        <v>0098-7921</v>
      </c>
      <c r="E5814" t="s">
        <v>8</v>
      </c>
      <c r="F5814" t="s">
        <v>5815</v>
      </c>
      <c r="G5814">
        <v>1</v>
      </c>
    </row>
    <row r="5815" spans="1:7" x14ac:dyDescent="0.25">
      <c r="A5815">
        <v>23</v>
      </c>
      <c r="B5815" t="s">
        <v>5637</v>
      </c>
      <c r="C5815">
        <v>2874</v>
      </c>
      <c r="D5815" t="str">
        <f>"0199-0039"</f>
        <v>0199-0039</v>
      </c>
      <c r="E5815" t="s">
        <v>8</v>
      </c>
      <c r="F5815" t="s">
        <v>5816</v>
      </c>
      <c r="G5815">
        <v>1</v>
      </c>
    </row>
    <row r="5816" spans="1:7" x14ac:dyDescent="0.25">
      <c r="A5816">
        <v>23</v>
      </c>
      <c r="B5816" t="s">
        <v>5637</v>
      </c>
      <c r="C5816">
        <v>10536</v>
      </c>
      <c r="D5816" t="str">
        <f>"0167-5923"</f>
        <v>0167-5923</v>
      </c>
      <c r="E5816" t="s">
        <v>8</v>
      </c>
      <c r="F5816" t="s">
        <v>5817</v>
      </c>
      <c r="G5816">
        <v>1</v>
      </c>
    </row>
    <row r="5817" spans="1:7" x14ac:dyDescent="0.25">
      <c r="A5817">
        <v>23</v>
      </c>
      <c r="B5817" t="s">
        <v>5637</v>
      </c>
      <c r="C5817">
        <v>1866</v>
      </c>
      <c r="D5817" t="str">
        <f>"0032-4728"</f>
        <v>0032-4728</v>
      </c>
      <c r="E5817" t="s">
        <v>8</v>
      </c>
      <c r="F5817" t="s">
        <v>5818</v>
      </c>
      <c r="G5817">
        <v>1</v>
      </c>
    </row>
    <row r="5818" spans="1:7" x14ac:dyDescent="0.25">
      <c r="A5818">
        <v>23</v>
      </c>
      <c r="B5818" t="s">
        <v>5637</v>
      </c>
      <c r="C5818">
        <v>7340200</v>
      </c>
      <c r="D5818" t="str">
        <f>"1544-8444"</f>
        <v>1544-8444</v>
      </c>
      <c r="E5818" t="s">
        <v>8</v>
      </c>
      <c r="F5818" t="s">
        <v>5819</v>
      </c>
      <c r="G5818">
        <v>1</v>
      </c>
    </row>
    <row r="5819" spans="1:7" x14ac:dyDescent="0.25">
      <c r="A5819">
        <v>23</v>
      </c>
      <c r="B5819" t="s">
        <v>5637</v>
      </c>
      <c r="C5819">
        <v>138141</v>
      </c>
      <c r="D5819" t="str">
        <f>"1755-0793"</f>
        <v>1755-0793</v>
      </c>
      <c r="E5819" t="s">
        <v>8</v>
      </c>
      <c r="F5819" t="s">
        <v>5820</v>
      </c>
      <c r="G5819">
        <v>1</v>
      </c>
    </row>
    <row r="5820" spans="1:7" x14ac:dyDescent="0.25">
      <c r="A5820">
        <v>23</v>
      </c>
      <c r="B5820" t="s">
        <v>5637</v>
      </c>
      <c r="C5820">
        <v>3408</v>
      </c>
      <c r="D5820" t="str">
        <f>"1464-9934"</f>
        <v>1464-9934</v>
      </c>
      <c r="E5820" t="s">
        <v>8</v>
      </c>
      <c r="F5820" t="s">
        <v>5821</v>
      </c>
      <c r="G5820">
        <v>1</v>
      </c>
    </row>
    <row r="5821" spans="1:7" x14ac:dyDescent="0.25">
      <c r="A5821">
        <v>23</v>
      </c>
      <c r="B5821" t="s">
        <v>5637</v>
      </c>
      <c r="C5821">
        <v>20845</v>
      </c>
      <c r="D5821" t="str">
        <f>"1476-8917"</f>
        <v>1476-8917</v>
      </c>
      <c r="E5821" t="s">
        <v>8</v>
      </c>
      <c r="F5821" t="s">
        <v>5822</v>
      </c>
      <c r="G5821">
        <v>1</v>
      </c>
    </row>
    <row r="5822" spans="1:7" x14ac:dyDescent="0.25">
      <c r="A5822">
        <v>23</v>
      </c>
      <c r="B5822" t="s">
        <v>5637</v>
      </c>
      <c r="C5822">
        <v>6311</v>
      </c>
      <c r="D5822" t="str">
        <f>"1020-4067"</f>
        <v>1020-4067</v>
      </c>
      <c r="E5822" t="s">
        <v>8</v>
      </c>
      <c r="F5822" t="s">
        <v>5823</v>
      </c>
      <c r="G5822">
        <v>1</v>
      </c>
    </row>
    <row r="5823" spans="1:7" x14ac:dyDescent="0.25">
      <c r="A5823">
        <v>23</v>
      </c>
      <c r="B5823" t="s">
        <v>5637</v>
      </c>
      <c r="C5823">
        <v>39478</v>
      </c>
      <c r="D5823" t="str">
        <f>"1267-5059"</f>
        <v>1267-5059</v>
      </c>
      <c r="E5823" t="s">
        <v>8</v>
      </c>
      <c r="F5823" t="s">
        <v>5824</v>
      </c>
      <c r="G5823">
        <v>1</v>
      </c>
    </row>
    <row r="5824" spans="1:7" x14ac:dyDescent="0.25">
      <c r="A5824">
        <v>23</v>
      </c>
      <c r="B5824" t="s">
        <v>5637</v>
      </c>
      <c r="C5824">
        <v>12110</v>
      </c>
      <c r="D5824" t="str">
        <f>"1359-7566"</f>
        <v>1359-7566</v>
      </c>
      <c r="E5824" t="s">
        <v>8</v>
      </c>
      <c r="F5824" t="s">
        <v>5825</v>
      </c>
      <c r="G5824">
        <v>1</v>
      </c>
    </row>
    <row r="5825" spans="1:7" x14ac:dyDescent="0.25">
      <c r="A5825">
        <v>23</v>
      </c>
      <c r="B5825" t="s">
        <v>5637</v>
      </c>
      <c r="C5825">
        <v>8758228</v>
      </c>
      <c r="E5825" t="s">
        <v>8</v>
      </c>
      <c r="F5825" t="s">
        <v>5826</v>
      </c>
      <c r="G5825">
        <v>1</v>
      </c>
    </row>
    <row r="5826" spans="1:7" x14ac:dyDescent="0.25">
      <c r="A5826">
        <v>23</v>
      </c>
      <c r="B5826" t="s">
        <v>5637</v>
      </c>
      <c r="C5826">
        <v>10692</v>
      </c>
      <c r="D5826" t="str">
        <f>"1363-6669"</f>
        <v>1363-6669</v>
      </c>
      <c r="E5826" t="s">
        <v>8</v>
      </c>
      <c r="F5826" t="s">
        <v>5827</v>
      </c>
      <c r="G5826">
        <v>1</v>
      </c>
    </row>
    <row r="5827" spans="1:7" x14ac:dyDescent="0.25">
      <c r="A5827">
        <v>23</v>
      </c>
      <c r="B5827" t="s">
        <v>5637</v>
      </c>
      <c r="C5827">
        <v>26155</v>
      </c>
      <c r="D5827" t="str">
        <f>"0173-7600"</f>
        <v>0173-7600</v>
      </c>
      <c r="E5827" t="s">
        <v>8</v>
      </c>
      <c r="F5827" t="s">
        <v>5828</v>
      </c>
      <c r="G5827">
        <v>1</v>
      </c>
    </row>
    <row r="5828" spans="1:7" x14ac:dyDescent="0.25">
      <c r="A5828">
        <v>23</v>
      </c>
      <c r="B5828" t="s">
        <v>5637</v>
      </c>
      <c r="C5828">
        <v>13603</v>
      </c>
      <c r="D5828" t="str">
        <f>"0917-0553"</f>
        <v>0917-0553</v>
      </c>
      <c r="E5828" t="s">
        <v>8</v>
      </c>
      <c r="F5828" t="s">
        <v>5829</v>
      </c>
      <c r="G5828">
        <v>1</v>
      </c>
    </row>
    <row r="5829" spans="1:7" x14ac:dyDescent="0.25">
      <c r="A5829">
        <v>23</v>
      </c>
      <c r="B5829" t="s">
        <v>5637</v>
      </c>
      <c r="C5829">
        <v>2266</v>
      </c>
      <c r="D5829" t="str">
        <f>"1470-2541"</f>
        <v>1470-2541</v>
      </c>
      <c r="E5829" t="s">
        <v>8</v>
      </c>
      <c r="F5829" t="s">
        <v>5830</v>
      </c>
      <c r="G5829">
        <v>1</v>
      </c>
    </row>
    <row r="5830" spans="1:7" x14ac:dyDescent="0.25">
      <c r="A5830">
        <v>23</v>
      </c>
      <c r="B5830" t="s">
        <v>5637</v>
      </c>
      <c r="C5830">
        <v>6003</v>
      </c>
      <c r="D5830" t="str">
        <f>"1361-7362"</f>
        <v>1361-7362</v>
      </c>
      <c r="E5830" t="s">
        <v>8</v>
      </c>
      <c r="F5830" t="s">
        <v>5831</v>
      </c>
      <c r="G5830">
        <v>1</v>
      </c>
    </row>
    <row r="5831" spans="1:7" x14ac:dyDescent="0.25">
      <c r="A5831">
        <v>23</v>
      </c>
      <c r="B5831" t="s">
        <v>5637</v>
      </c>
      <c r="C5831">
        <v>16265</v>
      </c>
      <c r="D5831" t="str">
        <f>"0129-7619"</f>
        <v>0129-7619</v>
      </c>
      <c r="E5831" t="s">
        <v>8</v>
      </c>
      <c r="F5831" t="s">
        <v>5832</v>
      </c>
      <c r="G5831">
        <v>1</v>
      </c>
    </row>
    <row r="5832" spans="1:7" x14ac:dyDescent="0.25">
      <c r="A5832">
        <v>23</v>
      </c>
      <c r="B5832" t="s">
        <v>5637</v>
      </c>
      <c r="C5832">
        <v>13833</v>
      </c>
      <c r="D5832" t="str">
        <f>"0373-6245"</f>
        <v>0373-6245</v>
      </c>
      <c r="E5832" t="s">
        <v>8</v>
      </c>
      <c r="F5832" t="s">
        <v>5833</v>
      </c>
      <c r="G5832">
        <v>1</v>
      </c>
    </row>
    <row r="5833" spans="1:7" x14ac:dyDescent="0.25">
      <c r="A5833">
        <v>23</v>
      </c>
      <c r="B5833" t="s">
        <v>5637</v>
      </c>
      <c r="C5833">
        <v>8782596</v>
      </c>
      <c r="D5833" t="str">
        <f>"2398-628X"</f>
        <v>2398-628X</v>
      </c>
      <c r="E5833" t="s">
        <v>8</v>
      </c>
      <c r="F5833" t="s">
        <v>5834</v>
      </c>
      <c r="G5833">
        <v>1</v>
      </c>
    </row>
    <row r="5834" spans="1:7" x14ac:dyDescent="0.25">
      <c r="A5834">
        <v>23</v>
      </c>
      <c r="B5834" t="s">
        <v>5637</v>
      </c>
      <c r="C5834">
        <v>5954</v>
      </c>
      <c r="D5834" t="str">
        <f>"0174-3635"</f>
        <v>0174-3635</v>
      </c>
      <c r="E5834" t="s">
        <v>8</v>
      </c>
      <c r="F5834" t="s">
        <v>5835</v>
      </c>
      <c r="G5834">
        <v>1</v>
      </c>
    </row>
    <row r="5835" spans="1:7" x14ac:dyDescent="0.25">
      <c r="A5835">
        <v>23</v>
      </c>
      <c r="B5835" t="s">
        <v>5637</v>
      </c>
      <c r="C5835">
        <v>11682</v>
      </c>
      <c r="D5835" t="str">
        <f>"0039-3606"</f>
        <v>0039-3606</v>
      </c>
      <c r="E5835" t="s">
        <v>8</v>
      </c>
      <c r="F5835" t="s">
        <v>5836</v>
      </c>
      <c r="G5835">
        <v>1</v>
      </c>
    </row>
    <row r="5836" spans="1:7" x14ac:dyDescent="0.25">
      <c r="A5836">
        <v>23</v>
      </c>
      <c r="B5836" t="s">
        <v>5637</v>
      </c>
      <c r="C5836">
        <v>8775224</v>
      </c>
      <c r="D5836" t="str">
        <f>"2211-5846"</f>
        <v>2211-5846</v>
      </c>
      <c r="E5836" t="s">
        <v>8</v>
      </c>
      <c r="F5836" t="s">
        <v>5837</v>
      </c>
      <c r="G5836">
        <v>1</v>
      </c>
    </row>
    <row r="5837" spans="1:7" x14ac:dyDescent="0.25">
      <c r="A5837">
        <v>23</v>
      </c>
      <c r="B5837" t="s">
        <v>5637</v>
      </c>
      <c r="C5837">
        <v>6600</v>
      </c>
      <c r="D5837" t="str">
        <f>"0039-6265"</f>
        <v>0039-6265</v>
      </c>
      <c r="E5837" t="s">
        <v>8</v>
      </c>
      <c r="F5837" t="s">
        <v>5838</v>
      </c>
      <c r="G5837">
        <v>1</v>
      </c>
    </row>
    <row r="5838" spans="1:7" x14ac:dyDescent="0.25">
      <c r="A5838">
        <v>23</v>
      </c>
      <c r="B5838" t="s">
        <v>5637</v>
      </c>
      <c r="C5838">
        <v>10214</v>
      </c>
      <c r="D5838" t="str">
        <f>"0968-0802"</f>
        <v>0968-0802</v>
      </c>
      <c r="E5838" t="s">
        <v>8</v>
      </c>
      <c r="F5838" t="s">
        <v>5839</v>
      </c>
      <c r="G5838">
        <v>1</v>
      </c>
    </row>
    <row r="5839" spans="1:7" x14ac:dyDescent="0.25">
      <c r="A5839">
        <v>23</v>
      </c>
      <c r="B5839" t="s">
        <v>5637</v>
      </c>
      <c r="C5839">
        <v>16228</v>
      </c>
      <c r="D5839" t="str">
        <f>"0212-4408"</f>
        <v>0212-4408</v>
      </c>
      <c r="E5839" t="s">
        <v>8</v>
      </c>
      <c r="F5839" t="s">
        <v>5840</v>
      </c>
      <c r="G5839">
        <v>1</v>
      </c>
    </row>
    <row r="5840" spans="1:7" x14ac:dyDescent="0.25">
      <c r="A5840">
        <v>23</v>
      </c>
      <c r="B5840" t="s">
        <v>5637</v>
      </c>
      <c r="C5840">
        <v>4828</v>
      </c>
      <c r="D5840" t="str">
        <f>"0570-1864"</f>
        <v>0570-1864</v>
      </c>
      <c r="E5840" t="s">
        <v>8</v>
      </c>
      <c r="F5840" t="s">
        <v>5841</v>
      </c>
      <c r="G5840">
        <v>1</v>
      </c>
    </row>
    <row r="5841" spans="1:7" x14ac:dyDescent="0.25">
      <c r="A5841">
        <v>23</v>
      </c>
      <c r="B5841" t="s">
        <v>5637</v>
      </c>
      <c r="C5841">
        <v>1158</v>
      </c>
      <c r="D5841" t="str">
        <f>"0008-3658"</f>
        <v>0008-3658</v>
      </c>
      <c r="E5841" t="s">
        <v>8</v>
      </c>
      <c r="F5841" t="s">
        <v>5842</v>
      </c>
      <c r="G5841">
        <v>1</v>
      </c>
    </row>
    <row r="5842" spans="1:7" x14ac:dyDescent="0.25">
      <c r="A5842">
        <v>23</v>
      </c>
      <c r="B5842" t="s">
        <v>5637</v>
      </c>
      <c r="C5842">
        <v>6397</v>
      </c>
      <c r="D5842" t="str">
        <f>"0012-1533"</f>
        <v>0012-1533</v>
      </c>
      <c r="E5842" t="s">
        <v>8</v>
      </c>
      <c r="F5842" t="s">
        <v>5843</v>
      </c>
      <c r="G5842">
        <v>1</v>
      </c>
    </row>
    <row r="5843" spans="1:7" x14ac:dyDescent="0.25">
      <c r="A5843">
        <v>23</v>
      </c>
      <c r="B5843" t="s">
        <v>5637</v>
      </c>
      <c r="C5843">
        <v>16285</v>
      </c>
      <c r="D5843" t="str">
        <f>"0957-8811"</f>
        <v>0957-8811</v>
      </c>
      <c r="E5843" t="s">
        <v>8</v>
      </c>
      <c r="F5843" t="s">
        <v>5844</v>
      </c>
      <c r="G5843">
        <v>1</v>
      </c>
    </row>
    <row r="5844" spans="1:7" x14ac:dyDescent="0.25">
      <c r="A5844">
        <v>23</v>
      </c>
      <c r="B5844" t="s">
        <v>5637</v>
      </c>
      <c r="C5844">
        <v>1484</v>
      </c>
      <c r="D5844" t="str">
        <f>"0016-7398"</f>
        <v>0016-7398</v>
      </c>
      <c r="E5844" t="s">
        <v>8</v>
      </c>
      <c r="F5844" t="s">
        <v>5845</v>
      </c>
      <c r="G5844">
        <v>1</v>
      </c>
    </row>
    <row r="5845" spans="1:7" x14ac:dyDescent="0.25">
      <c r="A5845">
        <v>23</v>
      </c>
      <c r="B5845" t="s">
        <v>5637</v>
      </c>
      <c r="C5845">
        <v>154038</v>
      </c>
      <c r="D5845" t="str">
        <f>"1938-9094"</f>
        <v>1938-9094</v>
      </c>
      <c r="E5845" t="s">
        <v>8</v>
      </c>
      <c r="F5845" t="s">
        <v>5846</v>
      </c>
      <c r="G5845">
        <v>1</v>
      </c>
    </row>
    <row r="5846" spans="1:7" x14ac:dyDescent="0.25">
      <c r="A5846">
        <v>23</v>
      </c>
      <c r="B5846" t="s">
        <v>5637</v>
      </c>
      <c r="C5846">
        <v>2981</v>
      </c>
      <c r="D5846" t="str">
        <f>"1070-4965"</f>
        <v>1070-4965</v>
      </c>
      <c r="E5846" t="s">
        <v>8</v>
      </c>
      <c r="F5846" t="s">
        <v>5847</v>
      </c>
      <c r="G5846">
        <v>1</v>
      </c>
    </row>
    <row r="5847" spans="1:7" x14ac:dyDescent="0.25">
      <c r="A5847">
        <v>23</v>
      </c>
      <c r="B5847" t="s">
        <v>5637</v>
      </c>
      <c r="C5847">
        <v>2069</v>
      </c>
      <c r="D5847" t="str">
        <f>"1183-112X"</f>
        <v>1183-112X</v>
      </c>
      <c r="E5847" t="s">
        <v>8</v>
      </c>
      <c r="F5847" t="s">
        <v>5848</v>
      </c>
      <c r="G5847">
        <v>1</v>
      </c>
    </row>
    <row r="5848" spans="1:7" x14ac:dyDescent="0.25">
      <c r="A5848">
        <v>23</v>
      </c>
      <c r="B5848" t="s">
        <v>5637</v>
      </c>
      <c r="C5848">
        <v>3027</v>
      </c>
      <c r="D5848" t="str">
        <f>"0033-0124"</f>
        <v>0033-0124</v>
      </c>
      <c r="E5848" t="s">
        <v>8</v>
      </c>
      <c r="F5848" t="s">
        <v>5849</v>
      </c>
      <c r="G5848">
        <v>1</v>
      </c>
    </row>
    <row r="5849" spans="1:7" x14ac:dyDescent="0.25">
      <c r="A5849">
        <v>23</v>
      </c>
      <c r="B5849" t="s">
        <v>5637</v>
      </c>
      <c r="C5849">
        <v>8253</v>
      </c>
      <c r="D5849" t="str">
        <f>"0257-3032"</f>
        <v>0257-3032</v>
      </c>
      <c r="E5849" t="s">
        <v>8</v>
      </c>
      <c r="F5849" t="s">
        <v>5850</v>
      </c>
      <c r="G5849">
        <v>1</v>
      </c>
    </row>
    <row r="5850" spans="1:7" x14ac:dyDescent="0.25">
      <c r="A5850">
        <v>23</v>
      </c>
      <c r="B5850" t="s">
        <v>5637</v>
      </c>
      <c r="C5850">
        <v>12403</v>
      </c>
      <c r="D5850" t="str">
        <f>"0378-5920"</f>
        <v>0378-5920</v>
      </c>
      <c r="E5850" t="s">
        <v>8</v>
      </c>
      <c r="F5850" t="s">
        <v>5851</v>
      </c>
      <c r="G5850">
        <v>1</v>
      </c>
    </row>
    <row r="5851" spans="1:7" x14ac:dyDescent="0.25">
      <c r="A5851">
        <v>23</v>
      </c>
      <c r="B5851" t="s">
        <v>5637</v>
      </c>
      <c r="C5851">
        <v>1005</v>
      </c>
      <c r="D5851" t="str">
        <f>"0143-6597"</f>
        <v>0143-6597</v>
      </c>
      <c r="E5851" t="s">
        <v>8</v>
      </c>
      <c r="F5851" t="s">
        <v>5852</v>
      </c>
      <c r="G5851">
        <v>1</v>
      </c>
    </row>
    <row r="5852" spans="1:7" x14ac:dyDescent="0.25">
      <c r="A5852">
        <v>23</v>
      </c>
      <c r="B5852" t="s">
        <v>5637</v>
      </c>
      <c r="C5852">
        <v>3974</v>
      </c>
      <c r="D5852" t="str">
        <f>"0040-747X"</f>
        <v>0040-747X</v>
      </c>
      <c r="E5852" t="s">
        <v>8</v>
      </c>
      <c r="F5852" t="s">
        <v>5853</v>
      </c>
      <c r="G5852">
        <v>1</v>
      </c>
    </row>
    <row r="5853" spans="1:7" x14ac:dyDescent="0.25">
      <c r="A5853">
        <v>23</v>
      </c>
      <c r="B5853" t="s">
        <v>5637</v>
      </c>
      <c r="C5853">
        <v>1805</v>
      </c>
      <c r="D5853" t="str">
        <f>"1332-7461"</f>
        <v>1332-7461</v>
      </c>
      <c r="E5853" t="s">
        <v>8</v>
      </c>
      <c r="F5853" t="s">
        <v>5854</v>
      </c>
      <c r="G5853">
        <v>1</v>
      </c>
    </row>
    <row r="5854" spans="1:7" x14ac:dyDescent="0.25">
      <c r="A5854">
        <v>23</v>
      </c>
      <c r="B5854" t="s">
        <v>5637</v>
      </c>
      <c r="C5854">
        <v>1608</v>
      </c>
      <c r="D5854" t="str">
        <f>"1083-5423"</f>
        <v>1083-5423</v>
      </c>
      <c r="E5854" t="s">
        <v>8</v>
      </c>
      <c r="F5854" t="s">
        <v>5855</v>
      </c>
      <c r="G5854">
        <v>1</v>
      </c>
    </row>
    <row r="5855" spans="1:7" x14ac:dyDescent="0.25">
      <c r="A5855">
        <v>23</v>
      </c>
      <c r="B5855" t="s">
        <v>5637</v>
      </c>
      <c r="C5855">
        <v>215</v>
      </c>
      <c r="D5855" t="str">
        <f>"1467-3584"</f>
        <v>1467-3584</v>
      </c>
      <c r="E5855" t="s">
        <v>8</v>
      </c>
      <c r="F5855" t="s">
        <v>5856</v>
      </c>
      <c r="G5855">
        <v>1</v>
      </c>
    </row>
    <row r="5856" spans="1:7" x14ac:dyDescent="0.25">
      <c r="A5856">
        <v>23</v>
      </c>
      <c r="B5856" t="s">
        <v>5637</v>
      </c>
      <c r="C5856">
        <v>15042</v>
      </c>
      <c r="D5856" t="str">
        <f>"1461-6688"</f>
        <v>1461-6688</v>
      </c>
      <c r="E5856" t="s">
        <v>8</v>
      </c>
      <c r="F5856" t="s">
        <v>5857</v>
      </c>
      <c r="G5856">
        <v>1</v>
      </c>
    </row>
    <row r="5857" spans="1:7" x14ac:dyDescent="0.25">
      <c r="A5857">
        <v>23</v>
      </c>
      <c r="B5857" t="s">
        <v>5637</v>
      </c>
      <c r="C5857">
        <v>10231</v>
      </c>
      <c r="D5857" t="str">
        <f>"2156-8316"</f>
        <v>2156-8316</v>
      </c>
      <c r="E5857" t="s">
        <v>8</v>
      </c>
      <c r="F5857" t="s">
        <v>5858</v>
      </c>
      <c r="G5857">
        <v>1</v>
      </c>
    </row>
    <row r="5858" spans="1:7" x14ac:dyDescent="0.25">
      <c r="A5858">
        <v>23</v>
      </c>
      <c r="B5858" t="s">
        <v>5637</v>
      </c>
      <c r="C5858">
        <v>14265</v>
      </c>
      <c r="D5858" t="str">
        <f>"0258-7696"</f>
        <v>0258-7696</v>
      </c>
      <c r="E5858" t="s">
        <v>8</v>
      </c>
      <c r="F5858" t="s">
        <v>5859</v>
      </c>
      <c r="G5858">
        <v>1</v>
      </c>
    </row>
    <row r="5859" spans="1:7" x14ac:dyDescent="0.25">
      <c r="A5859">
        <v>23</v>
      </c>
      <c r="B5859" t="s">
        <v>5637</v>
      </c>
      <c r="C5859">
        <v>6325797</v>
      </c>
      <c r="D5859" t="str">
        <f>"1948-8327"</f>
        <v>1948-8327</v>
      </c>
      <c r="E5859" t="s">
        <v>8</v>
      </c>
      <c r="F5859" t="s">
        <v>5860</v>
      </c>
      <c r="G5859">
        <v>1</v>
      </c>
    </row>
    <row r="5860" spans="1:7" x14ac:dyDescent="0.25">
      <c r="A5860">
        <v>23</v>
      </c>
      <c r="B5860" t="s">
        <v>5637</v>
      </c>
      <c r="C5860">
        <v>27015</v>
      </c>
      <c r="D5860" t="str">
        <f>"1718-3340"</f>
        <v>1718-3340</v>
      </c>
      <c r="E5860" t="s">
        <v>8</v>
      </c>
      <c r="F5860" t="s">
        <v>5861</v>
      </c>
      <c r="G5860">
        <v>1</v>
      </c>
    </row>
    <row r="5861" spans="1:7" x14ac:dyDescent="0.25">
      <c r="A5861">
        <v>23</v>
      </c>
      <c r="B5861" t="s">
        <v>5637</v>
      </c>
      <c r="C5861">
        <v>27326</v>
      </c>
      <c r="D5861" t="str">
        <f>"0044-3751"</f>
        <v>0044-3751</v>
      </c>
      <c r="E5861" t="s">
        <v>8</v>
      </c>
      <c r="F5861" t="s">
        <v>5862</v>
      </c>
      <c r="G5861">
        <v>1</v>
      </c>
    </row>
    <row r="5862" spans="1:7" x14ac:dyDescent="0.25">
      <c r="A5862">
        <v>23</v>
      </c>
      <c r="B5862" t="s">
        <v>5637</v>
      </c>
      <c r="C5862">
        <v>3053</v>
      </c>
      <c r="D5862" t="str">
        <f>"1618-8950"</f>
        <v>1618-8950</v>
      </c>
      <c r="E5862" t="s">
        <v>8</v>
      </c>
      <c r="F5862" t="s">
        <v>5863</v>
      </c>
      <c r="G5862">
        <v>1</v>
      </c>
    </row>
    <row r="5863" spans="1:7" x14ac:dyDescent="0.25">
      <c r="A5863">
        <v>24</v>
      </c>
      <c r="B5863" t="s">
        <v>5864</v>
      </c>
      <c r="C5863">
        <v>9819</v>
      </c>
      <c r="D5863" t="str">
        <f>"0012-9682"</f>
        <v>0012-9682</v>
      </c>
      <c r="E5863" t="s">
        <v>8</v>
      </c>
      <c r="F5863" t="s">
        <v>5865</v>
      </c>
      <c r="G5863">
        <v>3</v>
      </c>
    </row>
    <row r="5864" spans="1:7" x14ac:dyDescent="0.25">
      <c r="A5864">
        <v>24</v>
      </c>
      <c r="B5864" t="s">
        <v>5864</v>
      </c>
      <c r="C5864">
        <v>527</v>
      </c>
      <c r="D5864" t="str">
        <f>"0022-3808"</f>
        <v>0022-3808</v>
      </c>
      <c r="E5864" t="s">
        <v>8</v>
      </c>
      <c r="F5864" t="s">
        <v>5866</v>
      </c>
      <c r="G5864">
        <v>3</v>
      </c>
    </row>
    <row r="5865" spans="1:7" x14ac:dyDescent="0.25">
      <c r="A5865">
        <v>24</v>
      </c>
      <c r="B5865" t="s">
        <v>5864</v>
      </c>
      <c r="C5865">
        <v>2149</v>
      </c>
      <c r="D5865" t="str">
        <f>"0002-8282"</f>
        <v>0002-8282</v>
      </c>
      <c r="E5865" t="s">
        <v>8</v>
      </c>
      <c r="F5865" t="s">
        <v>5867</v>
      </c>
      <c r="G5865">
        <v>3</v>
      </c>
    </row>
    <row r="5866" spans="1:7" x14ac:dyDescent="0.25">
      <c r="A5866">
        <v>24</v>
      </c>
      <c r="B5866" t="s">
        <v>5864</v>
      </c>
      <c r="C5866">
        <v>10703</v>
      </c>
      <c r="D5866" t="str">
        <f>"0033-5533"</f>
        <v>0033-5533</v>
      </c>
      <c r="E5866" t="s">
        <v>8</v>
      </c>
      <c r="F5866" t="s">
        <v>5868</v>
      </c>
      <c r="G5866">
        <v>3</v>
      </c>
    </row>
    <row r="5867" spans="1:7" x14ac:dyDescent="0.25">
      <c r="A5867">
        <v>24</v>
      </c>
      <c r="B5867" t="s">
        <v>5864</v>
      </c>
      <c r="C5867">
        <v>12047</v>
      </c>
      <c r="D5867" t="str">
        <f>"0034-6527"</f>
        <v>0034-6527</v>
      </c>
      <c r="E5867" t="s">
        <v>8</v>
      </c>
      <c r="F5867" t="s">
        <v>5869</v>
      </c>
      <c r="G5867">
        <v>3</v>
      </c>
    </row>
    <row r="5868" spans="1:7" x14ac:dyDescent="0.25">
      <c r="A5868">
        <v>24</v>
      </c>
      <c r="B5868" t="s">
        <v>5864</v>
      </c>
      <c r="C5868">
        <v>154518</v>
      </c>
      <c r="D5868" t="str">
        <f>"1945-7782"</f>
        <v>1945-7782</v>
      </c>
      <c r="E5868" t="s">
        <v>8</v>
      </c>
      <c r="F5868" t="s">
        <v>5870</v>
      </c>
      <c r="G5868">
        <v>2</v>
      </c>
    </row>
    <row r="5869" spans="1:7" x14ac:dyDescent="0.25">
      <c r="A5869">
        <v>24</v>
      </c>
      <c r="B5869" t="s">
        <v>5864</v>
      </c>
      <c r="C5869">
        <v>156000</v>
      </c>
      <c r="D5869" t="str">
        <f>"1945-7731"</f>
        <v>1945-7731</v>
      </c>
      <c r="E5869" t="s">
        <v>8</v>
      </c>
      <c r="F5869" t="s">
        <v>5871</v>
      </c>
      <c r="G5869">
        <v>2</v>
      </c>
    </row>
    <row r="5870" spans="1:7" x14ac:dyDescent="0.25">
      <c r="A5870">
        <v>24</v>
      </c>
      <c r="B5870" t="s">
        <v>5864</v>
      </c>
      <c r="C5870">
        <v>155996</v>
      </c>
      <c r="D5870" t="str">
        <f>"1945-7707"</f>
        <v>1945-7707</v>
      </c>
      <c r="E5870" t="s">
        <v>8</v>
      </c>
      <c r="F5870" t="s">
        <v>5872</v>
      </c>
      <c r="G5870">
        <v>2</v>
      </c>
    </row>
    <row r="5871" spans="1:7" x14ac:dyDescent="0.25">
      <c r="A5871">
        <v>24</v>
      </c>
      <c r="B5871" t="s">
        <v>5864</v>
      </c>
      <c r="C5871">
        <v>155997</v>
      </c>
      <c r="D5871" t="str">
        <f>"1945-7669"</f>
        <v>1945-7669</v>
      </c>
      <c r="E5871" t="s">
        <v>8</v>
      </c>
      <c r="F5871" t="s">
        <v>5873</v>
      </c>
      <c r="G5871">
        <v>2</v>
      </c>
    </row>
    <row r="5872" spans="1:7" x14ac:dyDescent="0.25">
      <c r="A5872">
        <v>24</v>
      </c>
      <c r="B5872" t="s">
        <v>5864</v>
      </c>
      <c r="C5872">
        <v>14791</v>
      </c>
      <c r="D5872" t="str">
        <f>"0309-166X"</f>
        <v>0309-166X</v>
      </c>
      <c r="E5872" t="s">
        <v>8</v>
      </c>
      <c r="F5872" t="s">
        <v>5874</v>
      </c>
      <c r="G5872">
        <v>2</v>
      </c>
    </row>
    <row r="5873" spans="1:7" x14ac:dyDescent="0.25">
      <c r="A5873">
        <v>24</v>
      </c>
      <c r="B5873" t="s">
        <v>5864</v>
      </c>
      <c r="C5873">
        <v>513</v>
      </c>
      <c r="D5873" t="str">
        <f>"0266-4666"</f>
        <v>0266-4666</v>
      </c>
      <c r="E5873" t="s">
        <v>8</v>
      </c>
      <c r="F5873" t="s">
        <v>5875</v>
      </c>
      <c r="G5873">
        <v>2</v>
      </c>
    </row>
    <row r="5874" spans="1:7" x14ac:dyDescent="0.25">
      <c r="A5874">
        <v>24</v>
      </c>
      <c r="B5874" t="s">
        <v>5864</v>
      </c>
      <c r="C5874">
        <v>16593</v>
      </c>
      <c r="D5874" t="str">
        <f>"0140-9883"</f>
        <v>0140-9883</v>
      </c>
      <c r="E5874" t="s">
        <v>8</v>
      </c>
      <c r="F5874" t="s">
        <v>5876</v>
      </c>
      <c r="G5874">
        <v>2</v>
      </c>
    </row>
    <row r="5875" spans="1:7" x14ac:dyDescent="0.25">
      <c r="A5875">
        <v>24</v>
      </c>
      <c r="B5875" t="s">
        <v>5864</v>
      </c>
      <c r="C5875">
        <v>12025</v>
      </c>
      <c r="D5875" t="str">
        <f>"0014-2921"</f>
        <v>0014-2921</v>
      </c>
      <c r="E5875" t="s">
        <v>8</v>
      </c>
      <c r="F5875" t="s">
        <v>5877</v>
      </c>
      <c r="G5875">
        <v>2</v>
      </c>
    </row>
    <row r="5876" spans="1:7" x14ac:dyDescent="0.25">
      <c r="A5876">
        <v>24</v>
      </c>
      <c r="B5876" t="s">
        <v>5864</v>
      </c>
      <c r="C5876">
        <v>13375</v>
      </c>
      <c r="D5876" t="str">
        <f>"1386-4157"</f>
        <v>1386-4157</v>
      </c>
      <c r="E5876" t="s">
        <v>8</v>
      </c>
      <c r="F5876" t="s">
        <v>5878</v>
      </c>
      <c r="G5876">
        <v>2</v>
      </c>
    </row>
    <row r="5877" spans="1:7" x14ac:dyDescent="0.25">
      <c r="A5877">
        <v>24</v>
      </c>
      <c r="B5877" t="s">
        <v>5864</v>
      </c>
      <c r="C5877">
        <v>16991</v>
      </c>
      <c r="D5877" t="str">
        <f>"0899-8256"</f>
        <v>0899-8256</v>
      </c>
      <c r="E5877" t="s">
        <v>8</v>
      </c>
      <c r="F5877" t="s">
        <v>5879</v>
      </c>
      <c r="G5877">
        <v>2</v>
      </c>
    </row>
    <row r="5878" spans="1:7" x14ac:dyDescent="0.25">
      <c r="A5878">
        <v>24</v>
      </c>
      <c r="B5878" t="s">
        <v>5864</v>
      </c>
      <c r="C5878">
        <v>7098</v>
      </c>
      <c r="D5878" t="str">
        <f>"0020-6598"</f>
        <v>0020-6598</v>
      </c>
      <c r="E5878" t="s">
        <v>8</v>
      </c>
      <c r="F5878" t="s">
        <v>5880</v>
      </c>
      <c r="G5878">
        <v>2</v>
      </c>
    </row>
    <row r="5879" spans="1:7" x14ac:dyDescent="0.25">
      <c r="A5879">
        <v>24</v>
      </c>
      <c r="B5879" t="s">
        <v>5864</v>
      </c>
      <c r="C5879">
        <v>10907</v>
      </c>
      <c r="D5879" t="str">
        <f>"0167-7187"</f>
        <v>0167-7187</v>
      </c>
      <c r="E5879" t="s">
        <v>8</v>
      </c>
      <c r="F5879" t="s">
        <v>5881</v>
      </c>
      <c r="G5879">
        <v>2</v>
      </c>
    </row>
    <row r="5880" spans="1:7" x14ac:dyDescent="0.25">
      <c r="A5880">
        <v>24</v>
      </c>
      <c r="B5880" t="s">
        <v>5864</v>
      </c>
      <c r="C5880">
        <v>15990</v>
      </c>
      <c r="D5880" t="str">
        <f>"0883-7252"</f>
        <v>0883-7252</v>
      </c>
      <c r="E5880" t="s">
        <v>8</v>
      </c>
      <c r="F5880" t="s">
        <v>5882</v>
      </c>
      <c r="G5880">
        <v>2</v>
      </c>
    </row>
    <row r="5881" spans="1:7" x14ac:dyDescent="0.25">
      <c r="A5881">
        <v>24</v>
      </c>
      <c r="B5881" t="s">
        <v>5864</v>
      </c>
      <c r="C5881">
        <v>1919</v>
      </c>
      <c r="D5881" t="str">
        <f>"0304-3878"</f>
        <v>0304-3878</v>
      </c>
      <c r="E5881" t="s">
        <v>8</v>
      </c>
      <c r="F5881" t="s">
        <v>5883</v>
      </c>
      <c r="G5881">
        <v>2</v>
      </c>
    </row>
    <row r="5882" spans="1:7" x14ac:dyDescent="0.25">
      <c r="A5882">
        <v>24</v>
      </c>
      <c r="B5882" t="s">
        <v>5864</v>
      </c>
      <c r="C5882">
        <v>12928</v>
      </c>
      <c r="D5882" t="str">
        <f>"0304-4076"</f>
        <v>0304-4076</v>
      </c>
      <c r="E5882" t="s">
        <v>8</v>
      </c>
      <c r="F5882" t="s">
        <v>5884</v>
      </c>
      <c r="G5882">
        <v>2</v>
      </c>
    </row>
    <row r="5883" spans="1:7" x14ac:dyDescent="0.25">
      <c r="A5883">
        <v>24</v>
      </c>
      <c r="B5883" t="s">
        <v>5864</v>
      </c>
      <c r="C5883">
        <v>2673</v>
      </c>
      <c r="D5883" t="str">
        <f>"0165-1889"</f>
        <v>0165-1889</v>
      </c>
      <c r="E5883" t="s">
        <v>8</v>
      </c>
      <c r="F5883" t="s">
        <v>5885</v>
      </c>
      <c r="G5883">
        <v>2</v>
      </c>
    </row>
    <row r="5884" spans="1:7" x14ac:dyDescent="0.25">
      <c r="A5884">
        <v>24</v>
      </c>
      <c r="B5884" t="s">
        <v>5864</v>
      </c>
      <c r="C5884">
        <v>14777</v>
      </c>
      <c r="D5884" t="str">
        <f>"1381-4338"</f>
        <v>1381-4338</v>
      </c>
      <c r="E5884" t="s">
        <v>8</v>
      </c>
      <c r="F5884" t="s">
        <v>5886</v>
      </c>
      <c r="G5884">
        <v>2</v>
      </c>
    </row>
    <row r="5885" spans="1:7" x14ac:dyDescent="0.25">
      <c r="A5885">
        <v>24</v>
      </c>
      <c r="B5885" t="s">
        <v>5864</v>
      </c>
      <c r="C5885">
        <v>8471</v>
      </c>
      <c r="D5885" t="str">
        <f>"0022-0531"</f>
        <v>0022-0531</v>
      </c>
      <c r="E5885" t="s">
        <v>8</v>
      </c>
      <c r="F5885" t="s">
        <v>5887</v>
      </c>
      <c r="G5885">
        <v>2</v>
      </c>
    </row>
    <row r="5886" spans="1:7" x14ac:dyDescent="0.25">
      <c r="A5886">
        <v>24</v>
      </c>
      <c r="B5886" t="s">
        <v>5864</v>
      </c>
      <c r="C5886">
        <v>11335</v>
      </c>
      <c r="D5886" t="str">
        <f>"0095-0696"</f>
        <v>0095-0696</v>
      </c>
      <c r="E5886" t="s">
        <v>8</v>
      </c>
      <c r="F5886" t="s">
        <v>5888</v>
      </c>
      <c r="G5886">
        <v>2</v>
      </c>
    </row>
    <row r="5887" spans="1:7" x14ac:dyDescent="0.25">
      <c r="A5887">
        <v>24</v>
      </c>
      <c r="B5887" t="s">
        <v>5864</v>
      </c>
      <c r="C5887">
        <v>10282</v>
      </c>
      <c r="D5887" t="str">
        <f>"0022-1996"</f>
        <v>0022-1996</v>
      </c>
      <c r="E5887" t="s">
        <v>8</v>
      </c>
      <c r="F5887" t="s">
        <v>5889</v>
      </c>
      <c r="G5887">
        <v>2</v>
      </c>
    </row>
    <row r="5888" spans="1:7" x14ac:dyDescent="0.25">
      <c r="A5888">
        <v>24</v>
      </c>
      <c r="B5888" t="s">
        <v>5864</v>
      </c>
      <c r="C5888">
        <v>10620</v>
      </c>
      <c r="D5888" t="str">
        <f>"0734-306X"</f>
        <v>0734-306X</v>
      </c>
      <c r="E5888" t="s">
        <v>8</v>
      </c>
      <c r="F5888" t="s">
        <v>5890</v>
      </c>
      <c r="G5888">
        <v>2</v>
      </c>
    </row>
    <row r="5889" spans="1:7" x14ac:dyDescent="0.25">
      <c r="A5889">
        <v>24</v>
      </c>
      <c r="B5889" t="s">
        <v>5864</v>
      </c>
      <c r="C5889">
        <v>9122</v>
      </c>
      <c r="D5889" t="str">
        <f>"0304-3932"</f>
        <v>0304-3932</v>
      </c>
      <c r="E5889" t="s">
        <v>8</v>
      </c>
      <c r="F5889" t="s">
        <v>5891</v>
      </c>
      <c r="G5889">
        <v>2</v>
      </c>
    </row>
    <row r="5890" spans="1:7" x14ac:dyDescent="0.25">
      <c r="A5890">
        <v>24</v>
      </c>
      <c r="B5890" t="s">
        <v>5864</v>
      </c>
      <c r="C5890">
        <v>2959</v>
      </c>
      <c r="D5890" t="str">
        <f>"0047-2727"</f>
        <v>0047-2727</v>
      </c>
      <c r="E5890" t="s">
        <v>8</v>
      </c>
      <c r="F5890" t="s">
        <v>5892</v>
      </c>
      <c r="G5890">
        <v>2</v>
      </c>
    </row>
    <row r="5891" spans="1:7" x14ac:dyDescent="0.25">
      <c r="A5891">
        <v>24</v>
      </c>
      <c r="B5891" t="s">
        <v>5864</v>
      </c>
      <c r="C5891">
        <v>16361</v>
      </c>
      <c r="D5891" t="str">
        <f>"1542-4766"</f>
        <v>1542-4766</v>
      </c>
      <c r="E5891" t="s">
        <v>8</v>
      </c>
      <c r="F5891" t="s">
        <v>5893</v>
      </c>
      <c r="G5891">
        <v>2</v>
      </c>
    </row>
    <row r="5892" spans="1:7" x14ac:dyDescent="0.25">
      <c r="A5892">
        <v>24</v>
      </c>
      <c r="B5892" t="s">
        <v>5864</v>
      </c>
      <c r="C5892">
        <v>4031</v>
      </c>
      <c r="D5892" t="str">
        <f>"0094-1190"</f>
        <v>0094-1190</v>
      </c>
      <c r="E5892" t="s">
        <v>8</v>
      </c>
      <c r="F5892" t="s">
        <v>5894</v>
      </c>
      <c r="G5892">
        <v>2</v>
      </c>
    </row>
    <row r="5893" spans="1:7" x14ac:dyDescent="0.25">
      <c r="A5893">
        <v>24</v>
      </c>
      <c r="B5893" t="s">
        <v>5864</v>
      </c>
      <c r="C5893">
        <v>6189</v>
      </c>
      <c r="D5893" t="str">
        <f>"0927-5371"</f>
        <v>0927-5371</v>
      </c>
      <c r="E5893" t="s">
        <v>8</v>
      </c>
      <c r="F5893" t="s">
        <v>5895</v>
      </c>
      <c r="G5893">
        <v>2</v>
      </c>
    </row>
    <row r="5894" spans="1:7" x14ac:dyDescent="0.25">
      <c r="A5894">
        <v>24</v>
      </c>
      <c r="B5894" t="s">
        <v>5864</v>
      </c>
      <c r="C5894">
        <v>7701922</v>
      </c>
      <c r="D5894" t="str">
        <f>"1759-7323"</f>
        <v>1759-7323</v>
      </c>
      <c r="E5894" t="s">
        <v>8</v>
      </c>
      <c r="F5894" t="s">
        <v>5896</v>
      </c>
      <c r="G5894">
        <v>2</v>
      </c>
    </row>
    <row r="5895" spans="1:7" x14ac:dyDescent="0.25">
      <c r="A5895">
        <v>24</v>
      </c>
      <c r="B5895" t="s">
        <v>5864</v>
      </c>
      <c r="C5895">
        <v>1963</v>
      </c>
      <c r="D5895" t="str">
        <f>"1094-2025"</f>
        <v>1094-2025</v>
      </c>
      <c r="E5895" t="s">
        <v>8</v>
      </c>
      <c r="F5895" t="s">
        <v>5897</v>
      </c>
      <c r="G5895">
        <v>2</v>
      </c>
    </row>
    <row r="5896" spans="1:7" x14ac:dyDescent="0.25">
      <c r="A5896">
        <v>24</v>
      </c>
      <c r="B5896" t="s">
        <v>5864</v>
      </c>
      <c r="C5896">
        <v>6884</v>
      </c>
      <c r="D5896" t="str">
        <f>"1368-4221"</f>
        <v>1368-4221</v>
      </c>
      <c r="E5896" t="s">
        <v>8</v>
      </c>
      <c r="F5896" t="s">
        <v>5898</v>
      </c>
      <c r="G5896">
        <v>2</v>
      </c>
    </row>
    <row r="5897" spans="1:7" x14ac:dyDescent="0.25">
      <c r="A5897">
        <v>24</v>
      </c>
      <c r="B5897" t="s">
        <v>5864</v>
      </c>
      <c r="C5897">
        <v>7086</v>
      </c>
      <c r="D5897" t="str">
        <f>"0013-0133"</f>
        <v>0013-0133</v>
      </c>
      <c r="E5897" t="s">
        <v>8</v>
      </c>
      <c r="F5897" t="s">
        <v>5899</v>
      </c>
      <c r="G5897">
        <v>2</v>
      </c>
    </row>
    <row r="5898" spans="1:7" x14ac:dyDescent="0.25">
      <c r="A5898">
        <v>24</v>
      </c>
      <c r="B5898" t="s">
        <v>5864</v>
      </c>
      <c r="C5898">
        <v>8859</v>
      </c>
      <c r="D5898" t="str">
        <f>"0022-0507"</f>
        <v>0022-0507</v>
      </c>
      <c r="E5898" t="s">
        <v>8</v>
      </c>
      <c r="F5898" t="s">
        <v>5900</v>
      </c>
      <c r="G5898">
        <v>2</v>
      </c>
    </row>
    <row r="5899" spans="1:7" x14ac:dyDescent="0.25">
      <c r="A5899">
        <v>24</v>
      </c>
      <c r="B5899" t="s">
        <v>5864</v>
      </c>
      <c r="C5899">
        <v>14894</v>
      </c>
      <c r="D5899" t="str">
        <f>"0022-166X"</f>
        <v>0022-166X</v>
      </c>
      <c r="E5899" t="s">
        <v>8</v>
      </c>
      <c r="F5899" t="s">
        <v>5901</v>
      </c>
      <c r="G5899">
        <v>2</v>
      </c>
    </row>
    <row r="5900" spans="1:7" x14ac:dyDescent="0.25">
      <c r="A5900">
        <v>24</v>
      </c>
      <c r="B5900" t="s">
        <v>5864</v>
      </c>
      <c r="C5900">
        <v>2579</v>
      </c>
      <c r="D5900" t="str">
        <f>"0022-1821"</f>
        <v>0022-1821</v>
      </c>
      <c r="E5900" t="s">
        <v>8</v>
      </c>
      <c r="F5900" t="s">
        <v>5902</v>
      </c>
      <c r="G5900">
        <v>2</v>
      </c>
    </row>
    <row r="5901" spans="1:7" x14ac:dyDescent="0.25">
      <c r="A5901">
        <v>24</v>
      </c>
      <c r="B5901" t="s">
        <v>5864</v>
      </c>
      <c r="C5901">
        <v>11566</v>
      </c>
      <c r="D5901" t="str">
        <f>"0741-6261"</f>
        <v>0741-6261</v>
      </c>
      <c r="E5901" t="s">
        <v>8</v>
      </c>
      <c r="F5901" t="s">
        <v>5903</v>
      </c>
      <c r="G5901">
        <v>2</v>
      </c>
    </row>
    <row r="5902" spans="1:7" x14ac:dyDescent="0.25">
      <c r="A5902">
        <v>24</v>
      </c>
      <c r="B5902" t="s">
        <v>5864</v>
      </c>
      <c r="C5902">
        <v>1086</v>
      </c>
      <c r="D5902" t="str">
        <f>"0034-6535"</f>
        <v>0034-6535</v>
      </c>
      <c r="E5902" t="s">
        <v>8</v>
      </c>
      <c r="F5902" t="s">
        <v>5904</v>
      </c>
      <c r="G5902">
        <v>2</v>
      </c>
    </row>
    <row r="5903" spans="1:7" x14ac:dyDescent="0.25">
      <c r="A5903">
        <v>24</v>
      </c>
      <c r="B5903" t="s">
        <v>5864</v>
      </c>
      <c r="C5903">
        <v>4018</v>
      </c>
      <c r="D5903" t="str">
        <f>"0347-0520"</f>
        <v>0347-0520</v>
      </c>
      <c r="E5903" t="s">
        <v>8</v>
      </c>
      <c r="F5903" t="s">
        <v>5905</v>
      </c>
      <c r="G5903">
        <v>2</v>
      </c>
    </row>
    <row r="5904" spans="1:7" x14ac:dyDescent="0.25">
      <c r="A5904">
        <v>24</v>
      </c>
      <c r="B5904" t="s">
        <v>5864</v>
      </c>
      <c r="C5904">
        <v>4163</v>
      </c>
      <c r="D5904" t="str">
        <f>"1933-6837"</f>
        <v>1933-6837</v>
      </c>
      <c r="E5904" t="s">
        <v>8</v>
      </c>
      <c r="F5904" t="s">
        <v>5906</v>
      </c>
      <c r="G5904">
        <v>2</v>
      </c>
    </row>
    <row r="5905" spans="1:7" x14ac:dyDescent="0.25">
      <c r="A5905">
        <v>24</v>
      </c>
      <c r="B5905" t="s">
        <v>5864</v>
      </c>
      <c r="C5905">
        <v>8783753</v>
      </c>
      <c r="E5905" t="s">
        <v>15</v>
      </c>
      <c r="F5905" t="s">
        <v>5907</v>
      </c>
      <c r="G5905">
        <v>1</v>
      </c>
    </row>
    <row r="5906" spans="1:7" x14ac:dyDescent="0.25">
      <c r="A5906">
        <v>24</v>
      </c>
      <c r="B5906" t="s">
        <v>5864</v>
      </c>
      <c r="C5906">
        <v>17508</v>
      </c>
      <c r="D5906" t="str">
        <f>"0001-6373"</f>
        <v>0001-6373</v>
      </c>
      <c r="E5906" t="s">
        <v>8</v>
      </c>
      <c r="F5906" t="s">
        <v>5908</v>
      </c>
      <c r="G5906">
        <v>1</v>
      </c>
    </row>
    <row r="5907" spans="1:7" x14ac:dyDescent="0.25">
      <c r="A5907">
        <v>24</v>
      </c>
      <c r="B5907" t="s">
        <v>5864</v>
      </c>
      <c r="C5907">
        <v>180183</v>
      </c>
      <c r="D5907" t="str">
        <f>"0974-6811"</f>
        <v>0974-6811</v>
      </c>
      <c r="E5907" t="s">
        <v>8</v>
      </c>
      <c r="F5907" t="s">
        <v>5909</v>
      </c>
      <c r="G5907">
        <v>1</v>
      </c>
    </row>
    <row r="5908" spans="1:7" x14ac:dyDescent="0.25">
      <c r="A5908">
        <v>24</v>
      </c>
      <c r="B5908" t="s">
        <v>5864</v>
      </c>
      <c r="C5908">
        <v>12274</v>
      </c>
      <c r="D5908" t="str">
        <f>"1529-2134"</f>
        <v>1529-2134</v>
      </c>
      <c r="E5908" t="s">
        <v>15</v>
      </c>
      <c r="F5908" t="s">
        <v>5910</v>
      </c>
      <c r="G5908">
        <v>1</v>
      </c>
    </row>
    <row r="5909" spans="1:7" x14ac:dyDescent="0.25">
      <c r="A5909">
        <v>24</v>
      </c>
      <c r="B5909" t="s">
        <v>5864</v>
      </c>
      <c r="C5909">
        <v>7892</v>
      </c>
      <c r="D5909" t="str">
        <f>"0731-9053"</f>
        <v>0731-9053</v>
      </c>
      <c r="E5909" t="s">
        <v>15</v>
      </c>
      <c r="F5909" t="s">
        <v>5911</v>
      </c>
      <c r="G5909">
        <v>1</v>
      </c>
    </row>
    <row r="5910" spans="1:7" x14ac:dyDescent="0.25">
      <c r="A5910">
        <v>24</v>
      </c>
      <c r="B5910" t="s">
        <v>5864</v>
      </c>
      <c r="C5910">
        <v>7689039</v>
      </c>
      <c r="D5910" t="str">
        <f>"1866-2226"</f>
        <v>1866-2226</v>
      </c>
      <c r="E5910" t="s">
        <v>15</v>
      </c>
      <c r="F5910" t="s">
        <v>5912</v>
      </c>
      <c r="G5910">
        <v>1</v>
      </c>
    </row>
    <row r="5911" spans="1:7" x14ac:dyDescent="0.25">
      <c r="A5911">
        <v>24</v>
      </c>
      <c r="B5911" t="s">
        <v>5864</v>
      </c>
      <c r="C5911">
        <v>1915</v>
      </c>
      <c r="D5911" t="str">
        <f>"1569-3740"</f>
        <v>1569-3740</v>
      </c>
      <c r="E5911" t="s">
        <v>8</v>
      </c>
      <c r="F5911" t="s">
        <v>5913</v>
      </c>
      <c r="G5911">
        <v>1</v>
      </c>
    </row>
    <row r="5912" spans="1:7" x14ac:dyDescent="0.25">
      <c r="A5912">
        <v>24</v>
      </c>
      <c r="B5912" t="s">
        <v>5864</v>
      </c>
      <c r="C5912">
        <v>75253</v>
      </c>
      <c r="D5912" t="str">
        <f>"1933-3404"</f>
        <v>1933-3404</v>
      </c>
      <c r="E5912" t="s">
        <v>8</v>
      </c>
      <c r="F5912" t="s">
        <v>5914</v>
      </c>
      <c r="G5912">
        <v>1</v>
      </c>
    </row>
    <row r="5913" spans="1:7" x14ac:dyDescent="0.25">
      <c r="A5913">
        <v>24</v>
      </c>
      <c r="B5913" t="s">
        <v>5864</v>
      </c>
      <c r="C5913">
        <v>170338</v>
      </c>
      <c r="D5913" t="str">
        <f>"2042-1338"</f>
        <v>2042-1338</v>
      </c>
      <c r="E5913" t="s">
        <v>8</v>
      </c>
      <c r="F5913" t="s">
        <v>5915</v>
      </c>
      <c r="G5913">
        <v>1</v>
      </c>
    </row>
    <row r="5914" spans="1:7" x14ac:dyDescent="0.25">
      <c r="A5914">
        <v>24</v>
      </c>
      <c r="B5914" t="s">
        <v>5864</v>
      </c>
      <c r="C5914">
        <v>7750357</v>
      </c>
      <c r="E5914" t="s">
        <v>8</v>
      </c>
      <c r="F5914" t="s">
        <v>5916</v>
      </c>
      <c r="G5914">
        <v>1</v>
      </c>
    </row>
    <row r="5915" spans="1:7" x14ac:dyDescent="0.25">
      <c r="A5915">
        <v>24</v>
      </c>
      <c r="B5915" t="s">
        <v>5864</v>
      </c>
      <c r="C5915">
        <v>13556</v>
      </c>
      <c r="D5915" t="str">
        <f>"0169-5150"</f>
        <v>0169-5150</v>
      </c>
      <c r="E5915" t="s">
        <v>8</v>
      </c>
      <c r="F5915" t="s">
        <v>5917</v>
      </c>
      <c r="G5915">
        <v>1</v>
      </c>
    </row>
    <row r="5916" spans="1:7" x14ac:dyDescent="0.25">
      <c r="A5916">
        <v>24</v>
      </c>
      <c r="B5916" t="s">
        <v>5864</v>
      </c>
      <c r="C5916">
        <v>8183</v>
      </c>
      <c r="D5916" t="str">
        <f>"0002-9092"</f>
        <v>0002-9092</v>
      </c>
      <c r="E5916" t="s">
        <v>8</v>
      </c>
      <c r="F5916" t="s">
        <v>5918</v>
      </c>
      <c r="G5916">
        <v>1</v>
      </c>
    </row>
    <row r="5917" spans="1:7" x14ac:dyDescent="0.25">
      <c r="A5917">
        <v>24</v>
      </c>
      <c r="B5917" t="s">
        <v>5864</v>
      </c>
      <c r="C5917">
        <v>10854</v>
      </c>
      <c r="D5917" t="str">
        <f>"2115-4430"</f>
        <v>2115-4430</v>
      </c>
      <c r="E5917" t="s">
        <v>8</v>
      </c>
      <c r="F5917" t="s">
        <v>5919</v>
      </c>
      <c r="G5917">
        <v>1</v>
      </c>
    </row>
    <row r="5918" spans="1:7" x14ac:dyDescent="0.25">
      <c r="A5918">
        <v>24</v>
      </c>
      <c r="B5918" t="s">
        <v>5864</v>
      </c>
      <c r="C5918">
        <v>14083</v>
      </c>
      <c r="D5918" t="str">
        <f>"1370-4788"</f>
        <v>1370-4788</v>
      </c>
      <c r="E5918" t="s">
        <v>8</v>
      </c>
      <c r="F5918" t="s">
        <v>5920</v>
      </c>
      <c r="G5918">
        <v>1</v>
      </c>
    </row>
    <row r="5919" spans="1:7" x14ac:dyDescent="0.25">
      <c r="A5919">
        <v>24</v>
      </c>
      <c r="B5919" t="s">
        <v>5864</v>
      </c>
      <c r="C5919">
        <v>6018251</v>
      </c>
      <c r="D5919" t="str">
        <f>"1941-1383"</f>
        <v>1941-1383</v>
      </c>
      <c r="E5919" t="s">
        <v>8</v>
      </c>
      <c r="F5919" t="s">
        <v>5921</v>
      </c>
      <c r="G5919">
        <v>1</v>
      </c>
    </row>
    <row r="5920" spans="1:7" x14ac:dyDescent="0.25">
      <c r="A5920">
        <v>24</v>
      </c>
      <c r="B5920" t="s">
        <v>5864</v>
      </c>
      <c r="C5920">
        <v>6018304</v>
      </c>
      <c r="D5920" t="str">
        <f>"1941-1340"</f>
        <v>1941-1340</v>
      </c>
      <c r="E5920" t="s">
        <v>8</v>
      </c>
      <c r="F5920" t="s">
        <v>5922</v>
      </c>
      <c r="G5920">
        <v>1</v>
      </c>
    </row>
    <row r="5921" spans="1:7" x14ac:dyDescent="0.25">
      <c r="A5921">
        <v>24</v>
      </c>
      <c r="B5921" t="s">
        <v>5864</v>
      </c>
      <c r="C5921">
        <v>4455</v>
      </c>
      <c r="D5921" t="str">
        <f>"0003-6846"</f>
        <v>0003-6846</v>
      </c>
      <c r="E5921" t="s">
        <v>8</v>
      </c>
      <c r="F5921" t="s">
        <v>5923</v>
      </c>
      <c r="G5921">
        <v>1</v>
      </c>
    </row>
    <row r="5922" spans="1:7" x14ac:dyDescent="0.25">
      <c r="A5922">
        <v>24</v>
      </c>
      <c r="B5922" t="s">
        <v>5864</v>
      </c>
      <c r="C5922">
        <v>12477</v>
      </c>
      <c r="D5922" t="str">
        <f>"1350-4851"</f>
        <v>1350-4851</v>
      </c>
      <c r="E5922" t="s">
        <v>8</v>
      </c>
      <c r="F5922" t="s">
        <v>5924</v>
      </c>
      <c r="G5922">
        <v>1</v>
      </c>
    </row>
    <row r="5923" spans="1:7" x14ac:dyDescent="0.25">
      <c r="A5923">
        <v>24</v>
      </c>
      <c r="B5923" t="s">
        <v>5864</v>
      </c>
      <c r="C5923">
        <v>20427</v>
      </c>
      <c r="D5923" t="str">
        <f>"1611-6607"</f>
        <v>1611-6607</v>
      </c>
      <c r="E5923" t="s">
        <v>8</v>
      </c>
      <c r="F5923" t="s">
        <v>5925</v>
      </c>
      <c r="G5923">
        <v>1</v>
      </c>
    </row>
    <row r="5924" spans="1:7" x14ac:dyDescent="0.25">
      <c r="A5924">
        <v>24</v>
      </c>
      <c r="B5924" t="s">
        <v>5864</v>
      </c>
      <c r="C5924">
        <v>11069</v>
      </c>
      <c r="D5924" t="str">
        <f>"1038-4111"</f>
        <v>1038-4111</v>
      </c>
      <c r="E5924" t="s">
        <v>8</v>
      </c>
      <c r="F5924" t="s">
        <v>5926</v>
      </c>
      <c r="G5924">
        <v>1</v>
      </c>
    </row>
    <row r="5925" spans="1:7" x14ac:dyDescent="0.25">
      <c r="A5925">
        <v>24</v>
      </c>
      <c r="B5925" t="s">
        <v>5864</v>
      </c>
      <c r="C5925">
        <v>709</v>
      </c>
      <c r="D5925" t="str">
        <f>"1351-3958"</f>
        <v>1351-3958</v>
      </c>
      <c r="E5925" t="s">
        <v>8</v>
      </c>
      <c r="F5925" t="s">
        <v>5927</v>
      </c>
      <c r="G5925">
        <v>1</v>
      </c>
    </row>
    <row r="5926" spans="1:7" x14ac:dyDescent="0.25">
      <c r="A5926">
        <v>24</v>
      </c>
      <c r="B5926" t="s">
        <v>5864</v>
      </c>
      <c r="C5926">
        <v>1721</v>
      </c>
      <c r="D5926" t="str">
        <f>"1535-3516"</f>
        <v>1535-3516</v>
      </c>
      <c r="E5926" t="s">
        <v>8</v>
      </c>
      <c r="F5926" t="s">
        <v>5928</v>
      </c>
      <c r="G5926">
        <v>1</v>
      </c>
    </row>
    <row r="5927" spans="1:7" x14ac:dyDescent="0.25">
      <c r="A5927">
        <v>24</v>
      </c>
      <c r="B5927" t="s">
        <v>5864</v>
      </c>
      <c r="C5927">
        <v>8389</v>
      </c>
      <c r="D5927" t="str">
        <f>"0818-9935"</f>
        <v>0818-9935</v>
      </c>
      <c r="E5927" t="s">
        <v>8</v>
      </c>
      <c r="F5927" t="s">
        <v>5929</v>
      </c>
      <c r="G5927">
        <v>1</v>
      </c>
    </row>
    <row r="5928" spans="1:7" x14ac:dyDescent="0.25">
      <c r="A5928">
        <v>24</v>
      </c>
      <c r="B5928" t="s">
        <v>5864</v>
      </c>
      <c r="C5928">
        <v>4410</v>
      </c>
      <c r="D5928" t="str">
        <f>"0197-4254"</f>
        <v>0197-4254</v>
      </c>
      <c r="E5928" t="s">
        <v>8</v>
      </c>
      <c r="F5928" t="s">
        <v>5930</v>
      </c>
      <c r="G5928">
        <v>1</v>
      </c>
    </row>
    <row r="5929" spans="1:7" x14ac:dyDescent="0.25">
      <c r="A5929">
        <v>24</v>
      </c>
      <c r="B5929" t="s">
        <v>5864</v>
      </c>
      <c r="C5929">
        <v>130122</v>
      </c>
      <c r="D5929" t="str">
        <f>"2174-3835"</f>
        <v>2174-3835</v>
      </c>
      <c r="E5929" t="s">
        <v>8</v>
      </c>
      <c r="F5929" t="s">
        <v>5931</v>
      </c>
      <c r="G5929">
        <v>1</v>
      </c>
    </row>
    <row r="5930" spans="1:7" x14ac:dyDescent="0.25">
      <c r="A5930">
        <v>24</v>
      </c>
      <c r="B5930" t="s">
        <v>5864</v>
      </c>
      <c r="C5930">
        <v>7456</v>
      </c>
      <c r="D5930" t="str">
        <f>"0004-900X"</f>
        <v>0004-900X</v>
      </c>
      <c r="E5930" t="s">
        <v>8</v>
      </c>
      <c r="F5930" t="s">
        <v>5932</v>
      </c>
      <c r="G5930">
        <v>1</v>
      </c>
    </row>
    <row r="5931" spans="1:7" x14ac:dyDescent="0.25">
      <c r="A5931">
        <v>24</v>
      </c>
      <c r="B5931" t="s">
        <v>5864</v>
      </c>
      <c r="C5931">
        <v>27743</v>
      </c>
      <c r="D5931" t="str">
        <f>"1406-099X"</f>
        <v>1406-099X</v>
      </c>
      <c r="E5931" t="s">
        <v>8</v>
      </c>
      <c r="F5931" t="s">
        <v>5933</v>
      </c>
      <c r="G5931">
        <v>1</v>
      </c>
    </row>
    <row r="5932" spans="1:7" x14ac:dyDescent="0.25">
      <c r="A5932">
        <v>24</v>
      </c>
      <c r="B5932" t="s">
        <v>5864</v>
      </c>
      <c r="C5932">
        <v>1517</v>
      </c>
      <c r="D5932" t="str">
        <f>"0007-2303"</f>
        <v>0007-2303</v>
      </c>
      <c r="E5932" t="s">
        <v>8</v>
      </c>
      <c r="F5932" t="s">
        <v>5934</v>
      </c>
      <c r="G5932">
        <v>1</v>
      </c>
    </row>
    <row r="5933" spans="1:7" x14ac:dyDescent="0.25">
      <c r="A5933">
        <v>24</v>
      </c>
      <c r="B5933" t="s">
        <v>5864</v>
      </c>
      <c r="C5933">
        <v>8848</v>
      </c>
      <c r="D5933" t="str">
        <f>"0307-3378"</f>
        <v>0307-3378</v>
      </c>
      <c r="E5933" t="s">
        <v>8</v>
      </c>
      <c r="F5933" t="s">
        <v>5935</v>
      </c>
      <c r="G5933">
        <v>1</v>
      </c>
    </row>
    <row r="5934" spans="1:7" x14ac:dyDescent="0.25">
      <c r="A5934">
        <v>24</v>
      </c>
      <c r="B5934" t="s">
        <v>5864</v>
      </c>
      <c r="C5934">
        <v>913</v>
      </c>
      <c r="D5934" t="str">
        <f>"0007-4918"</f>
        <v>0007-4918</v>
      </c>
      <c r="E5934" t="s">
        <v>8</v>
      </c>
      <c r="F5934" t="s">
        <v>5936</v>
      </c>
      <c r="G5934">
        <v>1</v>
      </c>
    </row>
    <row r="5935" spans="1:7" x14ac:dyDescent="0.25">
      <c r="A5935">
        <v>24</v>
      </c>
      <c r="B5935" t="s">
        <v>5864</v>
      </c>
      <c r="C5935">
        <v>14882</v>
      </c>
      <c r="D5935" t="str">
        <f>"1752-1378"</f>
        <v>1752-1378</v>
      </c>
      <c r="E5935" t="s">
        <v>8</v>
      </c>
      <c r="F5935" t="s">
        <v>5937</v>
      </c>
      <c r="G5935">
        <v>1</v>
      </c>
    </row>
    <row r="5936" spans="1:7" x14ac:dyDescent="0.25">
      <c r="A5936">
        <v>24</v>
      </c>
      <c r="B5936" t="s">
        <v>5864</v>
      </c>
      <c r="C5936">
        <v>8775468</v>
      </c>
      <c r="E5936" t="s">
        <v>8</v>
      </c>
      <c r="F5936" t="s">
        <v>5938</v>
      </c>
      <c r="G5936">
        <v>1</v>
      </c>
    </row>
    <row r="5937" spans="1:7" x14ac:dyDescent="0.25">
      <c r="A5937">
        <v>24</v>
      </c>
      <c r="B5937" t="s">
        <v>5864</v>
      </c>
      <c r="C5937">
        <v>2086</v>
      </c>
      <c r="D5937" t="str">
        <f>"0008-3976"</f>
        <v>0008-3976</v>
      </c>
      <c r="E5937" t="s">
        <v>8</v>
      </c>
      <c r="F5937" t="s">
        <v>5939</v>
      </c>
      <c r="G5937">
        <v>1</v>
      </c>
    </row>
    <row r="5938" spans="1:7" x14ac:dyDescent="0.25">
      <c r="A5938">
        <v>24</v>
      </c>
      <c r="B5938" t="s">
        <v>5864</v>
      </c>
      <c r="C5938">
        <v>7112</v>
      </c>
      <c r="D5938" t="str">
        <f>"0008-4085"</f>
        <v>0008-4085</v>
      </c>
      <c r="E5938" t="s">
        <v>8</v>
      </c>
      <c r="F5938" t="s">
        <v>5940</v>
      </c>
      <c r="G5938">
        <v>1</v>
      </c>
    </row>
    <row r="5939" spans="1:7" x14ac:dyDescent="0.25">
      <c r="A5939">
        <v>24</v>
      </c>
      <c r="B5939" t="s">
        <v>5864</v>
      </c>
      <c r="C5939">
        <v>27727</v>
      </c>
      <c r="D5939" t="str">
        <f>"1932-0213"</f>
        <v>1932-0213</v>
      </c>
      <c r="E5939" t="s">
        <v>8</v>
      </c>
      <c r="F5939" t="s">
        <v>5941</v>
      </c>
      <c r="G5939">
        <v>1</v>
      </c>
    </row>
    <row r="5940" spans="1:7" x14ac:dyDescent="0.25">
      <c r="A5940">
        <v>24</v>
      </c>
      <c r="B5940" t="s">
        <v>5864</v>
      </c>
      <c r="C5940">
        <v>4853</v>
      </c>
      <c r="D5940" t="str">
        <f>"1045-5752"</f>
        <v>1045-5752</v>
      </c>
      <c r="E5940" t="s">
        <v>8</v>
      </c>
      <c r="F5940" t="s">
        <v>5942</v>
      </c>
      <c r="G5940">
        <v>1</v>
      </c>
    </row>
    <row r="5941" spans="1:7" x14ac:dyDescent="0.25">
      <c r="A5941">
        <v>24</v>
      </c>
      <c r="B5941" t="s">
        <v>5864</v>
      </c>
      <c r="C5941">
        <v>9601</v>
      </c>
      <c r="D5941" t="str">
        <f>"1610-241X"</f>
        <v>1610-241X</v>
      </c>
      <c r="E5941" t="s">
        <v>8</v>
      </c>
      <c r="F5941" t="s">
        <v>5943</v>
      </c>
      <c r="G5941">
        <v>1</v>
      </c>
    </row>
    <row r="5942" spans="1:7" x14ac:dyDescent="0.25">
      <c r="A5942">
        <v>24</v>
      </c>
      <c r="B5942" t="s">
        <v>5864</v>
      </c>
      <c r="C5942">
        <v>8783751</v>
      </c>
      <c r="E5942" t="s">
        <v>15</v>
      </c>
      <c r="F5942" t="s">
        <v>5944</v>
      </c>
      <c r="G5942">
        <v>1</v>
      </c>
    </row>
    <row r="5943" spans="1:7" x14ac:dyDescent="0.25">
      <c r="A5943">
        <v>24</v>
      </c>
      <c r="B5943" t="s">
        <v>5864</v>
      </c>
      <c r="C5943">
        <v>7004</v>
      </c>
      <c r="D5943" t="str">
        <f>"1043-951X"</f>
        <v>1043-951X</v>
      </c>
      <c r="E5943" t="s">
        <v>8</v>
      </c>
      <c r="F5943" t="s">
        <v>5945</v>
      </c>
      <c r="G5943">
        <v>1</v>
      </c>
    </row>
    <row r="5944" spans="1:7" x14ac:dyDescent="0.25">
      <c r="A5944">
        <v>24</v>
      </c>
      <c r="B5944" t="s">
        <v>5864</v>
      </c>
      <c r="C5944">
        <v>6065563</v>
      </c>
      <c r="D5944" t="str">
        <f>"2010-0078"</f>
        <v>2010-0078</v>
      </c>
      <c r="E5944" t="s">
        <v>8</v>
      </c>
      <c r="F5944" t="s">
        <v>5946</v>
      </c>
      <c r="G5944">
        <v>1</v>
      </c>
    </row>
    <row r="5945" spans="1:7" x14ac:dyDescent="0.25">
      <c r="A5945">
        <v>24</v>
      </c>
      <c r="B5945" t="s">
        <v>5864</v>
      </c>
      <c r="C5945">
        <v>18480</v>
      </c>
      <c r="D5945" t="str">
        <f>"1863-2505"</f>
        <v>1863-2505</v>
      </c>
      <c r="E5945" t="s">
        <v>8</v>
      </c>
      <c r="F5945" t="s">
        <v>5947</v>
      </c>
      <c r="G5945">
        <v>1</v>
      </c>
    </row>
    <row r="5946" spans="1:7" x14ac:dyDescent="0.25">
      <c r="A5946">
        <v>24</v>
      </c>
      <c r="B5946" t="s">
        <v>5864</v>
      </c>
      <c r="C5946">
        <v>1112</v>
      </c>
      <c r="D5946" t="str">
        <f>"0888-7233"</f>
        <v>0888-7233</v>
      </c>
      <c r="E5946" t="s">
        <v>8</v>
      </c>
      <c r="F5946" t="s">
        <v>5948</v>
      </c>
      <c r="G5946">
        <v>1</v>
      </c>
    </row>
    <row r="5947" spans="1:7" x14ac:dyDescent="0.25">
      <c r="A5947">
        <v>24</v>
      </c>
      <c r="B5947" t="s">
        <v>5864</v>
      </c>
      <c r="C5947">
        <v>7895</v>
      </c>
      <c r="D5947" t="str">
        <f>"0927-7099"</f>
        <v>0927-7099</v>
      </c>
      <c r="E5947" t="s">
        <v>8</v>
      </c>
      <c r="F5947" t="s">
        <v>5949</v>
      </c>
      <c r="G5947">
        <v>1</v>
      </c>
    </row>
    <row r="5948" spans="1:7" x14ac:dyDescent="0.25">
      <c r="A5948">
        <v>24</v>
      </c>
      <c r="B5948" t="s">
        <v>5864</v>
      </c>
      <c r="C5948">
        <v>3141</v>
      </c>
      <c r="D5948" t="str">
        <f>"1043-4062"</f>
        <v>1043-4062</v>
      </c>
      <c r="E5948" t="s">
        <v>8</v>
      </c>
      <c r="F5948" t="s">
        <v>5950</v>
      </c>
      <c r="G5948">
        <v>1</v>
      </c>
    </row>
    <row r="5949" spans="1:7" x14ac:dyDescent="0.25">
      <c r="A5949">
        <v>24</v>
      </c>
      <c r="B5949" t="s">
        <v>5864</v>
      </c>
      <c r="C5949">
        <v>573</v>
      </c>
      <c r="D5949" t="str">
        <f>"1074-3529"</f>
        <v>1074-3529</v>
      </c>
      <c r="E5949" t="s">
        <v>8</v>
      </c>
      <c r="F5949" t="s">
        <v>5951</v>
      </c>
      <c r="G5949">
        <v>1</v>
      </c>
    </row>
    <row r="5950" spans="1:7" x14ac:dyDescent="0.25">
      <c r="A5950">
        <v>24</v>
      </c>
      <c r="B5950" t="s">
        <v>5864</v>
      </c>
      <c r="C5950">
        <v>7709714</v>
      </c>
      <c r="D5950" t="str">
        <f>"2084-0845"</f>
        <v>2084-0845</v>
      </c>
      <c r="E5950" t="s">
        <v>8</v>
      </c>
      <c r="F5950" t="s">
        <v>5952</v>
      </c>
      <c r="G5950">
        <v>1</v>
      </c>
    </row>
    <row r="5951" spans="1:7" x14ac:dyDescent="0.25">
      <c r="A5951">
        <v>24</v>
      </c>
      <c r="B5951" t="s">
        <v>5864</v>
      </c>
      <c r="C5951">
        <v>3503</v>
      </c>
      <c r="D5951" t="str">
        <f>"0277-5921"</f>
        <v>0277-5921</v>
      </c>
      <c r="E5951" t="s">
        <v>8</v>
      </c>
      <c r="F5951" t="s">
        <v>5953</v>
      </c>
      <c r="G5951">
        <v>1</v>
      </c>
    </row>
    <row r="5952" spans="1:7" x14ac:dyDescent="0.25">
      <c r="A5952">
        <v>24</v>
      </c>
      <c r="B5952" t="s">
        <v>5864</v>
      </c>
      <c r="C5952">
        <v>1074</v>
      </c>
      <c r="D5952" t="str">
        <f>"0013-063X"</f>
        <v>0013-063X</v>
      </c>
      <c r="E5952" t="s">
        <v>8</v>
      </c>
      <c r="F5952" t="s">
        <v>5954</v>
      </c>
      <c r="G5952">
        <v>1</v>
      </c>
    </row>
    <row r="5953" spans="1:7" x14ac:dyDescent="0.25">
      <c r="A5953">
        <v>24</v>
      </c>
      <c r="B5953" t="s">
        <v>5864</v>
      </c>
      <c r="C5953">
        <v>4444</v>
      </c>
      <c r="D5953" t="str">
        <f>"1024-2694"</f>
        <v>1024-2694</v>
      </c>
      <c r="E5953" t="s">
        <v>8</v>
      </c>
      <c r="F5953" t="s">
        <v>5955</v>
      </c>
      <c r="G5953">
        <v>1</v>
      </c>
    </row>
    <row r="5954" spans="1:7" x14ac:dyDescent="0.25">
      <c r="A5954">
        <v>24</v>
      </c>
      <c r="B5954" t="s">
        <v>5864</v>
      </c>
      <c r="C5954">
        <v>77258</v>
      </c>
      <c r="D5954" t="str">
        <f>"0927-4987"</f>
        <v>0927-4987</v>
      </c>
      <c r="E5954" t="s">
        <v>15</v>
      </c>
      <c r="F5954" t="s">
        <v>5956</v>
      </c>
      <c r="G5954">
        <v>1</v>
      </c>
    </row>
    <row r="5955" spans="1:7" x14ac:dyDescent="0.25">
      <c r="A5955">
        <v>24</v>
      </c>
      <c r="B5955" t="s">
        <v>5864</v>
      </c>
      <c r="C5955">
        <v>7688360</v>
      </c>
      <c r="D5955" t="str">
        <f>"2153-0785"</f>
        <v>2153-0785</v>
      </c>
      <c r="E5955" t="s">
        <v>8</v>
      </c>
      <c r="F5955" t="s">
        <v>5957</v>
      </c>
      <c r="G5955">
        <v>1</v>
      </c>
    </row>
    <row r="5956" spans="1:7" x14ac:dyDescent="0.25">
      <c r="A5956">
        <v>24</v>
      </c>
      <c r="B5956" t="s">
        <v>5864</v>
      </c>
      <c r="C5956">
        <v>81550</v>
      </c>
      <c r="D5956" t="str">
        <f>"1566-0419"</f>
        <v>1566-0419</v>
      </c>
      <c r="E5956" t="s">
        <v>15</v>
      </c>
      <c r="F5956" t="s">
        <v>5958</v>
      </c>
      <c r="G5956">
        <v>1</v>
      </c>
    </row>
    <row r="5957" spans="1:7" x14ac:dyDescent="0.25">
      <c r="A5957">
        <v>24</v>
      </c>
      <c r="B5957" t="s">
        <v>5864</v>
      </c>
      <c r="C5957">
        <v>18945</v>
      </c>
      <c r="D5957" t="str">
        <f>"0094-5056"</f>
        <v>0094-5056</v>
      </c>
      <c r="E5957" t="s">
        <v>8</v>
      </c>
      <c r="F5957" t="s">
        <v>5959</v>
      </c>
      <c r="G5957">
        <v>1</v>
      </c>
    </row>
    <row r="5958" spans="1:7" x14ac:dyDescent="0.25">
      <c r="A5958">
        <v>24</v>
      </c>
      <c r="B5958" t="s">
        <v>5864</v>
      </c>
      <c r="C5958">
        <v>4592</v>
      </c>
      <c r="D5958" t="str">
        <f>"0012-8775"</f>
        <v>0012-8775</v>
      </c>
      <c r="E5958" t="s">
        <v>8</v>
      </c>
      <c r="F5958" t="s">
        <v>5960</v>
      </c>
      <c r="G5958">
        <v>1</v>
      </c>
    </row>
    <row r="5959" spans="1:7" x14ac:dyDescent="0.25">
      <c r="A5959">
        <v>24</v>
      </c>
      <c r="B5959" t="s">
        <v>5864</v>
      </c>
      <c r="C5959">
        <v>14928</v>
      </c>
      <c r="D5959" t="str">
        <f>"0921-8009"</f>
        <v>0921-8009</v>
      </c>
      <c r="E5959" t="s">
        <v>8</v>
      </c>
      <c r="F5959" t="s">
        <v>5961</v>
      </c>
      <c r="G5959">
        <v>1</v>
      </c>
    </row>
    <row r="5960" spans="1:7" x14ac:dyDescent="0.25">
      <c r="A5960">
        <v>24</v>
      </c>
      <c r="B5960" t="s">
        <v>5864</v>
      </c>
      <c r="C5960">
        <v>17179</v>
      </c>
      <c r="D5960" t="str">
        <f>"1933-527X"</f>
        <v>1933-527X</v>
      </c>
      <c r="E5960" t="s">
        <v>8</v>
      </c>
      <c r="F5960" t="s">
        <v>5962</v>
      </c>
      <c r="G5960">
        <v>1</v>
      </c>
    </row>
    <row r="5961" spans="1:7" x14ac:dyDescent="0.25">
      <c r="A5961">
        <v>24</v>
      </c>
      <c r="B5961" t="s">
        <v>5864</v>
      </c>
      <c r="C5961">
        <v>7298</v>
      </c>
      <c r="D5961" t="str">
        <f>"0747-4938"</f>
        <v>0747-4938</v>
      </c>
      <c r="E5961" t="s">
        <v>8</v>
      </c>
      <c r="F5961" t="s">
        <v>5963</v>
      </c>
      <c r="G5961">
        <v>1</v>
      </c>
    </row>
    <row r="5962" spans="1:7" x14ac:dyDescent="0.25">
      <c r="A5962">
        <v>24</v>
      </c>
      <c r="B5962" t="s">
        <v>5864</v>
      </c>
      <c r="C5962">
        <v>7744239</v>
      </c>
      <c r="E5962" t="s">
        <v>8</v>
      </c>
      <c r="F5962" t="s">
        <v>5964</v>
      </c>
      <c r="G5962">
        <v>1</v>
      </c>
    </row>
    <row r="5963" spans="1:7" x14ac:dyDescent="0.25">
      <c r="A5963">
        <v>24</v>
      </c>
      <c r="B5963" t="s">
        <v>5864</v>
      </c>
      <c r="C5963">
        <v>8782672</v>
      </c>
      <c r="D5963" t="str">
        <f>"2468-0389"</f>
        <v>2468-0389</v>
      </c>
      <c r="E5963" t="s">
        <v>8</v>
      </c>
      <c r="F5963" t="s">
        <v>5965</v>
      </c>
      <c r="G5963">
        <v>1</v>
      </c>
    </row>
    <row r="5964" spans="1:7" x14ac:dyDescent="0.25">
      <c r="A5964">
        <v>24</v>
      </c>
      <c r="B5964" t="s">
        <v>5864</v>
      </c>
      <c r="C5964">
        <v>4466</v>
      </c>
      <c r="D5964" t="str">
        <f>"0265-0665"</f>
        <v>0265-0665</v>
      </c>
      <c r="E5964" t="s">
        <v>8</v>
      </c>
      <c r="F5964" t="s">
        <v>5966</v>
      </c>
      <c r="G5964">
        <v>1</v>
      </c>
    </row>
    <row r="5965" spans="1:7" x14ac:dyDescent="0.25">
      <c r="A5965">
        <v>24</v>
      </c>
      <c r="B5965" t="s">
        <v>5864</v>
      </c>
      <c r="C5965">
        <v>87566</v>
      </c>
      <c r="D5965" t="str">
        <f>"0313-5926"</f>
        <v>0313-5926</v>
      </c>
      <c r="E5965" t="s">
        <v>8</v>
      </c>
      <c r="F5965" t="s">
        <v>5967</v>
      </c>
      <c r="G5965">
        <v>1</v>
      </c>
    </row>
    <row r="5966" spans="1:7" x14ac:dyDescent="0.25">
      <c r="A5966">
        <v>24</v>
      </c>
      <c r="B5966" t="s">
        <v>5864</v>
      </c>
      <c r="C5966">
        <v>3208</v>
      </c>
      <c r="D5966" t="str">
        <f>"0012-9984"</f>
        <v>0012-9984</v>
      </c>
      <c r="E5966" t="s">
        <v>8</v>
      </c>
      <c r="F5966" t="s">
        <v>5968</v>
      </c>
      <c r="G5966">
        <v>1</v>
      </c>
    </row>
    <row r="5967" spans="1:7" x14ac:dyDescent="0.25">
      <c r="A5967">
        <v>24</v>
      </c>
      <c r="B5967" t="s">
        <v>5864</v>
      </c>
      <c r="C5967">
        <v>3495</v>
      </c>
      <c r="D5967" t="str">
        <f>"1573-9414"</f>
        <v>1573-9414</v>
      </c>
      <c r="E5967" t="s">
        <v>8</v>
      </c>
      <c r="F5967" t="s">
        <v>5969</v>
      </c>
      <c r="G5967">
        <v>1</v>
      </c>
    </row>
    <row r="5968" spans="1:7" x14ac:dyDescent="0.25">
      <c r="A5968">
        <v>24</v>
      </c>
      <c r="B5968" t="s">
        <v>5864</v>
      </c>
      <c r="C5968">
        <v>2135</v>
      </c>
      <c r="D5968" t="str">
        <f>"0891-2424"</f>
        <v>0891-2424</v>
      </c>
      <c r="E5968" t="s">
        <v>8</v>
      </c>
      <c r="F5968" t="s">
        <v>5970</v>
      </c>
      <c r="G5968">
        <v>1</v>
      </c>
    </row>
    <row r="5969" spans="1:7" x14ac:dyDescent="0.25">
      <c r="A5969">
        <v>24</v>
      </c>
      <c r="B5969" t="s">
        <v>5864</v>
      </c>
      <c r="C5969">
        <v>7543</v>
      </c>
      <c r="D5969" t="str">
        <f>"0095-2583"</f>
        <v>0095-2583</v>
      </c>
      <c r="E5969" t="s">
        <v>8</v>
      </c>
      <c r="F5969" t="s">
        <v>5971</v>
      </c>
      <c r="G5969">
        <v>1</v>
      </c>
    </row>
    <row r="5970" spans="1:7" x14ac:dyDescent="0.25">
      <c r="A5970">
        <v>24</v>
      </c>
      <c r="B5970" t="s">
        <v>5864</v>
      </c>
      <c r="C5970">
        <v>20142</v>
      </c>
      <c r="D5970" t="str">
        <f>"1363-7029"</f>
        <v>1363-7029</v>
      </c>
      <c r="E5970" t="s">
        <v>8</v>
      </c>
      <c r="F5970" t="s">
        <v>5972</v>
      </c>
      <c r="G5970">
        <v>1</v>
      </c>
    </row>
    <row r="5971" spans="1:7" x14ac:dyDescent="0.25">
      <c r="A5971">
        <v>24</v>
      </c>
      <c r="B5971" t="s">
        <v>5864</v>
      </c>
      <c r="C5971">
        <v>13137</v>
      </c>
      <c r="D5971" t="str">
        <f>"0264-9993"</f>
        <v>0264-9993</v>
      </c>
      <c r="E5971" t="s">
        <v>8</v>
      </c>
      <c r="F5971" t="s">
        <v>5973</v>
      </c>
      <c r="G5971">
        <v>1</v>
      </c>
    </row>
    <row r="5972" spans="1:7" x14ac:dyDescent="0.25">
      <c r="A5972">
        <v>24</v>
      </c>
      <c r="B5972" t="s">
        <v>5864</v>
      </c>
      <c r="C5972">
        <v>12186</v>
      </c>
      <c r="D5972" t="str">
        <f>"0391-5026"</f>
        <v>0391-5026</v>
      </c>
      <c r="E5972" t="s">
        <v>8</v>
      </c>
      <c r="F5972" t="s">
        <v>5974</v>
      </c>
      <c r="G5972">
        <v>1</v>
      </c>
    </row>
    <row r="5973" spans="1:7" x14ac:dyDescent="0.25">
      <c r="A5973">
        <v>24</v>
      </c>
      <c r="B5973" t="s">
        <v>5864</v>
      </c>
      <c r="C5973">
        <v>1499</v>
      </c>
      <c r="D5973" t="str">
        <f>"0140-489X"</f>
        <v>0140-489X</v>
      </c>
      <c r="E5973" t="s">
        <v>8</v>
      </c>
      <c r="F5973" t="s">
        <v>5975</v>
      </c>
      <c r="G5973">
        <v>1</v>
      </c>
    </row>
    <row r="5974" spans="1:7" x14ac:dyDescent="0.25">
      <c r="A5974">
        <v>24</v>
      </c>
      <c r="B5974" t="s">
        <v>5864</v>
      </c>
      <c r="C5974">
        <v>586</v>
      </c>
      <c r="D5974" t="str">
        <f>"0266-4658"</f>
        <v>0266-4658</v>
      </c>
      <c r="E5974" t="s">
        <v>8</v>
      </c>
      <c r="F5974" t="s">
        <v>5976</v>
      </c>
      <c r="G5974">
        <v>1</v>
      </c>
    </row>
    <row r="5975" spans="1:7" x14ac:dyDescent="0.25">
      <c r="A5975">
        <v>24</v>
      </c>
      <c r="B5975" t="s">
        <v>5864</v>
      </c>
      <c r="C5975">
        <v>58464</v>
      </c>
      <c r="D5975" t="str">
        <f>"1871-3351"</f>
        <v>1871-3351</v>
      </c>
      <c r="E5975" t="s">
        <v>8</v>
      </c>
      <c r="F5975" t="s">
        <v>5977</v>
      </c>
      <c r="G5975">
        <v>1</v>
      </c>
    </row>
    <row r="5976" spans="1:7" x14ac:dyDescent="0.25">
      <c r="A5976">
        <v>24</v>
      </c>
      <c r="B5976" t="s">
        <v>5864</v>
      </c>
      <c r="C5976">
        <v>681</v>
      </c>
      <c r="D5976" t="str">
        <f>"0939-3625"</f>
        <v>0939-3625</v>
      </c>
      <c r="E5976" t="s">
        <v>8</v>
      </c>
      <c r="F5976" t="s">
        <v>5978</v>
      </c>
      <c r="G5976">
        <v>1</v>
      </c>
    </row>
    <row r="5977" spans="1:7" x14ac:dyDescent="0.25">
      <c r="A5977">
        <v>24</v>
      </c>
      <c r="B5977" t="s">
        <v>5864</v>
      </c>
      <c r="C5977">
        <v>11054</v>
      </c>
      <c r="D5977" t="str">
        <f>"0953-5314"</f>
        <v>0953-5314</v>
      </c>
      <c r="E5977" t="s">
        <v>8</v>
      </c>
      <c r="F5977" t="s">
        <v>5979</v>
      </c>
      <c r="G5977">
        <v>1</v>
      </c>
    </row>
    <row r="5978" spans="1:7" x14ac:dyDescent="0.25">
      <c r="A5978">
        <v>24</v>
      </c>
      <c r="B5978" t="s">
        <v>5864</v>
      </c>
      <c r="C5978">
        <v>13694</v>
      </c>
      <c r="D5978" t="str">
        <f>"0938-2259"</f>
        <v>0938-2259</v>
      </c>
      <c r="E5978" t="s">
        <v>8</v>
      </c>
      <c r="F5978" t="s">
        <v>5980</v>
      </c>
      <c r="G5978">
        <v>1</v>
      </c>
    </row>
    <row r="5979" spans="1:7" x14ac:dyDescent="0.25">
      <c r="A5979">
        <v>24</v>
      </c>
      <c r="B5979" t="s">
        <v>5864</v>
      </c>
      <c r="C5979">
        <v>13591</v>
      </c>
      <c r="D5979" t="str">
        <f>"0013-0427"</f>
        <v>0013-0427</v>
      </c>
      <c r="E5979" t="s">
        <v>8</v>
      </c>
      <c r="F5979" t="s">
        <v>5981</v>
      </c>
      <c r="G5979">
        <v>1</v>
      </c>
    </row>
    <row r="5980" spans="1:7" x14ac:dyDescent="0.25">
      <c r="A5980">
        <v>24</v>
      </c>
      <c r="B5980" t="s">
        <v>5864</v>
      </c>
      <c r="C5980">
        <v>10337</v>
      </c>
      <c r="D5980" t="str">
        <f>"1570-677X"</f>
        <v>1570-677X</v>
      </c>
      <c r="E5980" t="s">
        <v>8</v>
      </c>
      <c r="F5980" t="s">
        <v>5982</v>
      </c>
      <c r="G5980">
        <v>1</v>
      </c>
    </row>
    <row r="5981" spans="1:7" x14ac:dyDescent="0.25">
      <c r="A5981">
        <v>24</v>
      </c>
      <c r="B5981" t="s">
        <v>5864</v>
      </c>
      <c r="C5981">
        <v>8479</v>
      </c>
      <c r="D5981" t="str">
        <f>"0266-2671"</f>
        <v>0266-2671</v>
      </c>
      <c r="E5981" t="s">
        <v>8</v>
      </c>
      <c r="F5981" t="s">
        <v>5983</v>
      </c>
      <c r="G5981">
        <v>1</v>
      </c>
    </row>
    <row r="5982" spans="1:7" x14ac:dyDescent="0.25">
      <c r="A5982">
        <v>24</v>
      </c>
      <c r="B5982" t="s">
        <v>5864</v>
      </c>
      <c r="C5982">
        <v>4755</v>
      </c>
      <c r="E5982" t="s">
        <v>8</v>
      </c>
      <c r="F5982" t="s">
        <v>5984</v>
      </c>
      <c r="G5982">
        <v>1</v>
      </c>
    </row>
    <row r="5983" spans="1:7" x14ac:dyDescent="0.25">
      <c r="A5983">
        <v>24</v>
      </c>
      <c r="B5983" t="s">
        <v>5864</v>
      </c>
      <c r="C5983">
        <v>3976</v>
      </c>
      <c r="D5983" t="str">
        <f>"0165-1765"</f>
        <v>0165-1765</v>
      </c>
      <c r="E5983" t="s">
        <v>8</v>
      </c>
      <c r="F5983" t="s">
        <v>5985</v>
      </c>
      <c r="G5983">
        <v>1</v>
      </c>
    </row>
    <row r="5984" spans="1:7" x14ac:dyDescent="0.25">
      <c r="A5984">
        <v>24</v>
      </c>
      <c r="B5984" t="s">
        <v>5864</v>
      </c>
      <c r="C5984">
        <v>7744061</v>
      </c>
      <c r="D5984" t="str">
        <f>"2160-5882"</f>
        <v>2160-5882</v>
      </c>
      <c r="E5984" t="s">
        <v>8</v>
      </c>
      <c r="F5984" t="s">
        <v>5986</v>
      </c>
      <c r="G5984">
        <v>1</v>
      </c>
    </row>
    <row r="5985" spans="1:7" x14ac:dyDescent="0.25">
      <c r="A5985">
        <v>24</v>
      </c>
      <c r="B5985" t="s">
        <v>5864</v>
      </c>
      <c r="C5985">
        <v>68</v>
      </c>
      <c r="D5985" t="str">
        <f>"1435-6104"</f>
        <v>1435-6104</v>
      </c>
      <c r="E5985" t="s">
        <v>8</v>
      </c>
      <c r="F5985" t="s">
        <v>5987</v>
      </c>
      <c r="G5985">
        <v>1</v>
      </c>
    </row>
    <row r="5986" spans="1:7" x14ac:dyDescent="0.25">
      <c r="A5986">
        <v>24</v>
      </c>
      <c r="B5986" t="s">
        <v>5864</v>
      </c>
      <c r="C5986">
        <v>180184</v>
      </c>
      <c r="E5986" t="s">
        <v>8</v>
      </c>
      <c r="F5986" t="s">
        <v>5988</v>
      </c>
      <c r="G5986">
        <v>1</v>
      </c>
    </row>
    <row r="5987" spans="1:7" x14ac:dyDescent="0.25">
      <c r="A5987">
        <v>24</v>
      </c>
      <c r="B5987" t="s">
        <v>5864</v>
      </c>
      <c r="C5987">
        <v>14230</v>
      </c>
      <c r="D5987" t="str">
        <f>"0249-4744"</f>
        <v>0249-4744</v>
      </c>
      <c r="E5987" t="s">
        <v>8</v>
      </c>
      <c r="F5987" t="s">
        <v>5989</v>
      </c>
      <c r="G5987">
        <v>1</v>
      </c>
    </row>
    <row r="5988" spans="1:7" x14ac:dyDescent="0.25">
      <c r="A5988">
        <v>24</v>
      </c>
      <c r="B5988" t="s">
        <v>5864</v>
      </c>
      <c r="C5988">
        <v>19557</v>
      </c>
      <c r="D5988" t="str">
        <f>"0013-0559"</f>
        <v>0013-0559</v>
      </c>
      <c r="E5988" t="s">
        <v>8</v>
      </c>
      <c r="F5988" t="s">
        <v>5990</v>
      </c>
      <c r="G5988">
        <v>1</v>
      </c>
    </row>
    <row r="5989" spans="1:7" x14ac:dyDescent="0.25">
      <c r="A5989">
        <v>24</v>
      </c>
      <c r="B5989" t="s">
        <v>5864</v>
      </c>
      <c r="C5989">
        <v>26353</v>
      </c>
      <c r="D5989" t="str">
        <f>"1557-3060"</f>
        <v>1557-3060</v>
      </c>
      <c r="E5989" t="s">
        <v>8</v>
      </c>
      <c r="F5989" t="s">
        <v>5991</v>
      </c>
      <c r="G5989">
        <v>1</v>
      </c>
    </row>
    <row r="5990" spans="1:7" x14ac:dyDescent="0.25">
      <c r="A5990">
        <v>24</v>
      </c>
      <c r="B5990" t="s">
        <v>5864</v>
      </c>
      <c r="C5990">
        <v>15175</v>
      </c>
      <c r="D5990" t="str">
        <f>"0013-3035"</f>
        <v>0013-3035</v>
      </c>
      <c r="E5990" t="s">
        <v>8</v>
      </c>
      <c r="F5990" t="s">
        <v>5992</v>
      </c>
      <c r="G5990">
        <v>1</v>
      </c>
    </row>
    <row r="5991" spans="1:7" x14ac:dyDescent="0.25">
      <c r="A5991">
        <v>24</v>
      </c>
      <c r="B5991" t="s">
        <v>5864</v>
      </c>
      <c r="C5991">
        <v>8486</v>
      </c>
      <c r="D5991" t="str">
        <f>"0013-3183"</f>
        <v>0013-3183</v>
      </c>
      <c r="E5991" t="s">
        <v>8</v>
      </c>
      <c r="F5991" t="s">
        <v>5993</v>
      </c>
      <c r="G5991">
        <v>1</v>
      </c>
    </row>
    <row r="5992" spans="1:7" x14ac:dyDescent="0.25">
      <c r="A5992">
        <v>24</v>
      </c>
      <c r="B5992" t="s">
        <v>5864</v>
      </c>
      <c r="C5992">
        <v>2939</v>
      </c>
      <c r="D5992" t="str">
        <f>"1540-496X"</f>
        <v>1540-496X</v>
      </c>
      <c r="E5992" t="s">
        <v>8</v>
      </c>
      <c r="F5992" t="s">
        <v>5994</v>
      </c>
      <c r="G5992">
        <v>1</v>
      </c>
    </row>
    <row r="5993" spans="1:7" x14ac:dyDescent="0.25">
      <c r="A5993">
        <v>24</v>
      </c>
      <c r="B5993" t="s">
        <v>5864</v>
      </c>
      <c r="C5993">
        <v>12102</v>
      </c>
      <c r="D5993" t="str">
        <f>"0340-8744"</f>
        <v>0340-8744</v>
      </c>
      <c r="E5993" t="s">
        <v>8</v>
      </c>
      <c r="F5993" t="s">
        <v>5995</v>
      </c>
      <c r="G5993">
        <v>1</v>
      </c>
    </row>
    <row r="5994" spans="1:7" x14ac:dyDescent="0.25">
      <c r="A5994">
        <v>24</v>
      </c>
      <c r="B5994" t="s">
        <v>5864</v>
      </c>
      <c r="C5994">
        <v>6234</v>
      </c>
      <c r="D5994" t="str">
        <f>"0377-7332"</f>
        <v>0377-7332</v>
      </c>
      <c r="E5994" t="s">
        <v>8</v>
      </c>
      <c r="F5994" t="s">
        <v>5996</v>
      </c>
      <c r="G5994">
        <v>1</v>
      </c>
    </row>
    <row r="5995" spans="1:7" x14ac:dyDescent="0.25">
      <c r="A5995">
        <v>24</v>
      </c>
      <c r="B5995" t="s">
        <v>5864</v>
      </c>
      <c r="C5995">
        <v>61434</v>
      </c>
      <c r="D5995" t="str">
        <f>"0973-0826"</f>
        <v>0973-0826</v>
      </c>
      <c r="E5995" t="s">
        <v>8</v>
      </c>
      <c r="F5995" t="s">
        <v>5997</v>
      </c>
      <c r="G5995">
        <v>1</v>
      </c>
    </row>
    <row r="5996" spans="1:7" x14ac:dyDescent="0.25">
      <c r="A5996">
        <v>24</v>
      </c>
      <c r="B5996" t="s">
        <v>5864</v>
      </c>
      <c r="C5996">
        <v>153953</v>
      </c>
      <c r="D5996" t="str">
        <f>"1556-7249"</f>
        <v>1556-7249</v>
      </c>
      <c r="E5996" t="s">
        <v>8</v>
      </c>
      <c r="F5996" t="s">
        <v>5998</v>
      </c>
      <c r="G5996">
        <v>1</v>
      </c>
    </row>
    <row r="5997" spans="1:7" x14ac:dyDescent="0.25">
      <c r="A5997">
        <v>24</v>
      </c>
      <c r="B5997" t="s">
        <v>5864</v>
      </c>
      <c r="C5997">
        <v>5275</v>
      </c>
      <c r="D5997" t="str">
        <f>"1355-770X"</f>
        <v>1355-770X</v>
      </c>
      <c r="E5997" t="s">
        <v>8</v>
      </c>
      <c r="F5997" t="s">
        <v>5999</v>
      </c>
      <c r="G5997">
        <v>1</v>
      </c>
    </row>
    <row r="5998" spans="1:7" x14ac:dyDescent="0.25">
      <c r="A5998">
        <v>24</v>
      </c>
      <c r="B5998" t="s">
        <v>5864</v>
      </c>
      <c r="C5998">
        <v>6327</v>
      </c>
      <c r="D5998" t="str">
        <f>"0924-6460"</f>
        <v>0924-6460</v>
      </c>
      <c r="E5998" t="s">
        <v>8</v>
      </c>
      <c r="F5998" t="s">
        <v>6000</v>
      </c>
      <c r="G5998">
        <v>1</v>
      </c>
    </row>
    <row r="5999" spans="1:7" x14ac:dyDescent="0.25">
      <c r="A5999">
        <v>24</v>
      </c>
      <c r="B5999" t="s">
        <v>5864</v>
      </c>
      <c r="C5999">
        <v>12452</v>
      </c>
      <c r="D5999" t="str">
        <f>"1432-847X"</f>
        <v>1432-847X</v>
      </c>
      <c r="E5999" t="s">
        <v>8</v>
      </c>
      <c r="F5999" t="s">
        <v>6001</v>
      </c>
      <c r="G5999">
        <v>1</v>
      </c>
    </row>
    <row r="6000" spans="1:7" x14ac:dyDescent="0.25">
      <c r="A6000">
        <v>24</v>
      </c>
      <c r="B6000" t="s">
        <v>5864</v>
      </c>
      <c r="C6000">
        <v>180069</v>
      </c>
      <c r="D6000" t="str">
        <f>"2052-7764"</f>
        <v>2052-7764</v>
      </c>
      <c r="E6000" t="s">
        <v>8</v>
      </c>
      <c r="F6000" t="s">
        <v>6002</v>
      </c>
      <c r="G6000">
        <v>1</v>
      </c>
    </row>
    <row r="6001" spans="1:7" x14ac:dyDescent="0.25">
      <c r="A6001">
        <v>24</v>
      </c>
      <c r="B6001" t="s">
        <v>5864</v>
      </c>
      <c r="C6001">
        <v>1103</v>
      </c>
      <c r="D6001" t="str">
        <f>"0176-2680"</f>
        <v>0176-2680</v>
      </c>
      <c r="E6001" t="s">
        <v>8</v>
      </c>
      <c r="F6001" t="s">
        <v>6003</v>
      </c>
      <c r="G6001">
        <v>1</v>
      </c>
    </row>
    <row r="6002" spans="1:7" x14ac:dyDescent="0.25">
      <c r="A6002">
        <v>24</v>
      </c>
      <c r="B6002" t="s">
        <v>5864</v>
      </c>
      <c r="C6002">
        <v>4851</v>
      </c>
      <c r="D6002" t="str">
        <f>"0165-1587"</f>
        <v>0165-1587</v>
      </c>
      <c r="E6002" t="s">
        <v>8</v>
      </c>
      <c r="F6002" t="s">
        <v>6004</v>
      </c>
      <c r="G6002">
        <v>1</v>
      </c>
    </row>
    <row r="6003" spans="1:7" x14ac:dyDescent="0.25">
      <c r="A6003">
        <v>24</v>
      </c>
      <c r="B6003" t="s">
        <v>5864</v>
      </c>
      <c r="C6003">
        <v>2818</v>
      </c>
      <c r="D6003" t="str">
        <f>"1361-4916"</f>
        <v>1361-4916</v>
      </c>
      <c r="E6003" t="s">
        <v>8</v>
      </c>
      <c r="F6003" t="s">
        <v>6005</v>
      </c>
      <c r="G6003">
        <v>1</v>
      </c>
    </row>
    <row r="6004" spans="1:7" x14ac:dyDescent="0.25">
      <c r="A6004">
        <v>24</v>
      </c>
      <c r="B6004" t="s">
        <v>5864</v>
      </c>
      <c r="C6004">
        <v>38721</v>
      </c>
      <c r="D6004" t="str">
        <f>"1349-4961"</f>
        <v>1349-4961</v>
      </c>
      <c r="E6004" t="s">
        <v>8</v>
      </c>
      <c r="F6004" t="s">
        <v>6006</v>
      </c>
      <c r="G6004">
        <v>1</v>
      </c>
    </row>
    <row r="6005" spans="1:7" x14ac:dyDescent="0.25">
      <c r="A6005">
        <v>24</v>
      </c>
      <c r="B6005" t="s">
        <v>5864</v>
      </c>
      <c r="C6005">
        <v>15647</v>
      </c>
      <c r="D6005" t="str">
        <f>"0014-4983"</f>
        <v>0014-4983</v>
      </c>
      <c r="E6005" t="s">
        <v>8</v>
      </c>
      <c r="F6005" t="s">
        <v>6007</v>
      </c>
      <c r="G6005">
        <v>1</v>
      </c>
    </row>
    <row r="6006" spans="1:7" x14ac:dyDescent="0.25">
      <c r="A6006">
        <v>24</v>
      </c>
      <c r="B6006" t="s">
        <v>5864</v>
      </c>
      <c r="C6006">
        <v>3564</v>
      </c>
      <c r="D6006" t="str">
        <f>"0015-2218"</f>
        <v>0015-2218</v>
      </c>
      <c r="E6006" t="s">
        <v>8</v>
      </c>
      <c r="F6006" t="s">
        <v>6008</v>
      </c>
      <c r="G6006">
        <v>1</v>
      </c>
    </row>
    <row r="6007" spans="1:7" x14ac:dyDescent="0.25">
      <c r="A6007">
        <v>24</v>
      </c>
      <c r="B6007" t="s">
        <v>5864</v>
      </c>
      <c r="C6007">
        <v>15732</v>
      </c>
      <c r="D6007" t="str">
        <f>"0143-5671"</f>
        <v>0143-5671</v>
      </c>
      <c r="E6007" t="s">
        <v>8</v>
      </c>
      <c r="F6007" t="s">
        <v>6009</v>
      </c>
      <c r="G6007">
        <v>1</v>
      </c>
    </row>
    <row r="6008" spans="1:7" x14ac:dyDescent="0.25">
      <c r="A6008">
        <v>24</v>
      </c>
      <c r="B6008" t="s">
        <v>5864</v>
      </c>
      <c r="C6008">
        <v>144279</v>
      </c>
      <c r="D6008" t="str">
        <f>"1558-9544"</f>
        <v>1558-9544</v>
      </c>
      <c r="E6008" t="s">
        <v>8</v>
      </c>
      <c r="F6008" t="s">
        <v>6010</v>
      </c>
      <c r="G6008">
        <v>1</v>
      </c>
    </row>
    <row r="6009" spans="1:7" x14ac:dyDescent="0.25">
      <c r="A6009">
        <v>24</v>
      </c>
      <c r="B6009" t="s">
        <v>5864</v>
      </c>
      <c r="C6009">
        <v>21441</v>
      </c>
      <c r="D6009" t="str">
        <f>"0736-0932"</f>
        <v>0736-0932</v>
      </c>
      <c r="E6009" t="s">
        <v>8</v>
      </c>
      <c r="F6009" t="s">
        <v>6011</v>
      </c>
      <c r="G6009">
        <v>1</v>
      </c>
    </row>
    <row r="6010" spans="1:7" x14ac:dyDescent="0.25">
      <c r="A6010">
        <v>24</v>
      </c>
      <c r="B6010" t="s">
        <v>5864</v>
      </c>
      <c r="C6010">
        <v>12124</v>
      </c>
      <c r="D6010" t="str">
        <f>"1551-3076"</f>
        <v>1551-3076</v>
      </c>
      <c r="E6010" t="s">
        <v>8</v>
      </c>
      <c r="F6010" t="s">
        <v>6012</v>
      </c>
      <c r="G6010">
        <v>1</v>
      </c>
    </row>
    <row r="6011" spans="1:7" x14ac:dyDescent="0.25">
      <c r="A6011">
        <v>24</v>
      </c>
      <c r="B6011" t="s">
        <v>5864</v>
      </c>
      <c r="C6011">
        <v>70952</v>
      </c>
      <c r="D6011" t="str">
        <f>"1547-9846"</f>
        <v>1547-9846</v>
      </c>
      <c r="E6011" t="s">
        <v>8</v>
      </c>
      <c r="F6011" t="s">
        <v>6013</v>
      </c>
      <c r="G6011">
        <v>1</v>
      </c>
    </row>
    <row r="6012" spans="1:7" x14ac:dyDescent="0.25">
      <c r="A6012">
        <v>24</v>
      </c>
      <c r="B6012" t="s">
        <v>5864</v>
      </c>
      <c r="C6012">
        <v>6122</v>
      </c>
      <c r="D6012" t="str">
        <f>"1465-6485"</f>
        <v>1465-6485</v>
      </c>
      <c r="E6012" t="s">
        <v>8</v>
      </c>
      <c r="F6012" t="s">
        <v>6014</v>
      </c>
      <c r="G6012">
        <v>1</v>
      </c>
    </row>
    <row r="6013" spans="1:7" x14ac:dyDescent="0.25">
      <c r="A6013">
        <v>24</v>
      </c>
      <c r="B6013" t="s">
        <v>5864</v>
      </c>
      <c r="C6013">
        <v>19957</v>
      </c>
      <c r="D6013" t="str">
        <f>"1097-4954"</f>
        <v>1097-4954</v>
      </c>
      <c r="E6013" t="s">
        <v>8</v>
      </c>
      <c r="F6013" t="s">
        <v>6015</v>
      </c>
      <c r="G6013">
        <v>1</v>
      </c>
    </row>
    <row r="6014" spans="1:7" x14ac:dyDescent="0.25">
      <c r="A6014">
        <v>24</v>
      </c>
      <c r="B6014" t="s">
        <v>5864</v>
      </c>
      <c r="C6014">
        <v>26096</v>
      </c>
      <c r="D6014" t="str">
        <f>"1226-508X"</f>
        <v>1226-508X</v>
      </c>
      <c r="E6014" t="s">
        <v>8</v>
      </c>
      <c r="F6014" t="s">
        <v>6016</v>
      </c>
      <c r="G6014">
        <v>1</v>
      </c>
    </row>
    <row r="6015" spans="1:7" x14ac:dyDescent="0.25">
      <c r="A6015">
        <v>24</v>
      </c>
      <c r="B6015" t="s">
        <v>5864</v>
      </c>
      <c r="C6015">
        <v>9161</v>
      </c>
      <c r="D6015" t="str">
        <f>"2194-5659"</f>
        <v>2194-5659</v>
      </c>
      <c r="E6015" t="s">
        <v>8</v>
      </c>
      <c r="F6015" t="s">
        <v>6017</v>
      </c>
      <c r="G6015">
        <v>1</v>
      </c>
    </row>
    <row r="6016" spans="1:7" x14ac:dyDescent="0.25">
      <c r="A6016">
        <v>24</v>
      </c>
      <c r="B6016" t="s">
        <v>5864</v>
      </c>
      <c r="C6016">
        <v>7739457</v>
      </c>
      <c r="D6016" t="str">
        <f>"1918-6711"</f>
        <v>1918-6711</v>
      </c>
      <c r="E6016" t="s">
        <v>8</v>
      </c>
      <c r="F6016" t="s">
        <v>6018</v>
      </c>
      <c r="G6016">
        <v>1</v>
      </c>
    </row>
    <row r="6017" spans="1:7" x14ac:dyDescent="0.25">
      <c r="A6017">
        <v>24</v>
      </c>
      <c r="B6017" t="s">
        <v>5864</v>
      </c>
      <c r="C6017">
        <v>97381</v>
      </c>
      <c r="D6017" t="str">
        <f>"1574-0072"</f>
        <v>1574-0072</v>
      </c>
      <c r="E6017" t="s">
        <v>15</v>
      </c>
      <c r="F6017" t="s">
        <v>6019</v>
      </c>
      <c r="G6017">
        <v>1</v>
      </c>
    </row>
    <row r="6018" spans="1:7" x14ac:dyDescent="0.25">
      <c r="A6018">
        <v>24</v>
      </c>
      <c r="B6018" t="s">
        <v>5864</v>
      </c>
      <c r="C6018">
        <v>138680</v>
      </c>
      <c r="D6018" t="str">
        <f>"1574-0021"</f>
        <v>1574-0021</v>
      </c>
      <c r="E6018" t="s">
        <v>15</v>
      </c>
      <c r="F6018" t="s">
        <v>6020</v>
      </c>
      <c r="G6018">
        <v>1</v>
      </c>
    </row>
    <row r="6019" spans="1:7" x14ac:dyDescent="0.25">
      <c r="A6019">
        <v>24</v>
      </c>
      <c r="B6019" t="s">
        <v>5864</v>
      </c>
      <c r="C6019">
        <v>34924</v>
      </c>
      <c r="D6019" t="str">
        <f>"1573-4471"</f>
        <v>1573-4471</v>
      </c>
      <c r="E6019" t="s">
        <v>15</v>
      </c>
      <c r="F6019" t="s">
        <v>6021</v>
      </c>
      <c r="G6019">
        <v>1</v>
      </c>
    </row>
    <row r="6020" spans="1:7" x14ac:dyDescent="0.25">
      <c r="A6020">
        <v>24</v>
      </c>
      <c r="B6020" t="s">
        <v>5864</v>
      </c>
      <c r="C6020">
        <v>77246</v>
      </c>
      <c r="D6020" t="str">
        <f>"1574-0099"</f>
        <v>1574-0099</v>
      </c>
      <c r="E6020" t="s">
        <v>15</v>
      </c>
      <c r="F6020" t="s">
        <v>6022</v>
      </c>
      <c r="G6020">
        <v>1</v>
      </c>
    </row>
    <row r="6021" spans="1:7" x14ac:dyDescent="0.25">
      <c r="A6021">
        <v>24</v>
      </c>
      <c r="B6021" t="s">
        <v>5864</v>
      </c>
      <c r="C6021">
        <v>58422</v>
      </c>
      <c r="D6021" t="str">
        <f>"1574-0064"</f>
        <v>1574-0064</v>
      </c>
      <c r="E6021" t="s">
        <v>15</v>
      </c>
      <c r="F6021" t="s">
        <v>6023</v>
      </c>
      <c r="G6021">
        <v>1</v>
      </c>
    </row>
    <row r="6022" spans="1:7" x14ac:dyDescent="0.25">
      <c r="A6022">
        <v>24</v>
      </c>
      <c r="B6022" t="s">
        <v>5864</v>
      </c>
      <c r="C6022">
        <v>87585</v>
      </c>
      <c r="D6022" t="str">
        <f>"1573-4404"</f>
        <v>1573-4404</v>
      </c>
      <c r="E6022" t="s">
        <v>15</v>
      </c>
      <c r="F6022" t="s">
        <v>6024</v>
      </c>
      <c r="G6022">
        <v>1</v>
      </c>
    </row>
    <row r="6023" spans="1:7" x14ac:dyDescent="0.25">
      <c r="A6023">
        <v>24</v>
      </c>
      <c r="B6023" t="s">
        <v>5864</v>
      </c>
      <c r="C6023">
        <v>143165</v>
      </c>
      <c r="D6023" t="str">
        <f>"1573-4463"</f>
        <v>1573-4463</v>
      </c>
      <c r="E6023" t="s">
        <v>15</v>
      </c>
      <c r="F6023" t="s">
        <v>6025</v>
      </c>
      <c r="G6023">
        <v>1</v>
      </c>
    </row>
    <row r="6024" spans="1:7" x14ac:dyDescent="0.25">
      <c r="A6024">
        <v>24</v>
      </c>
      <c r="B6024" t="s">
        <v>5864</v>
      </c>
      <c r="C6024">
        <v>100353</v>
      </c>
      <c r="D6024" t="str">
        <f>"1573-4498"</f>
        <v>1573-4498</v>
      </c>
      <c r="E6024" t="s">
        <v>15</v>
      </c>
      <c r="F6024" t="s">
        <v>6026</v>
      </c>
      <c r="G6024">
        <v>1</v>
      </c>
    </row>
    <row r="6025" spans="1:7" x14ac:dyDescent="0.25">
      <c r="A6025">
        <v>24</v>
      </c>
      <c r="B6025" t="s">
        <v>5864</v>
      </c>
      <c r="C6025">
        <v>77679</v>
      </c>
      <c r="D6025" t="str">
        <f>"1573-4420"</f>
        <v>1573-4420</v>
      </c>
      <c r="E6025" t="s">
        <v>15</v>
      </c>
      <c r="F6025" t="s">
        <v>6027</v>
      </c>
      <c r="G6025">
        <v>1</v>
      </c>
    </row>
    <row r="6026" spans="1:7" x14ac:dyDescent="0.25">
      <c r="A6026">
        <v>24</v>
      </c>
      <c r="B6026" t="s">
        <v>5864</v>
      </c>
      <c r="C6026">
        <v>7707105</v>
      </c>
      <c r="D6026" t="str">
        <f>"1574-0692"</f>
        <v>1574-0692</v>
      </c>
      <c r="E6026" t="s">
        <v>15</v>
      </c>
      <c r="F6026" t="s">
        <v>6028</v>
      </c>
      <c r="G6026">
        <v>1</v>
      </c>
    </row>
    <row r="6027" spans="1:7" x14ac:dyDescent="0.25">
      <c r="A6027">
        <v>24</v>
      </c>
      <c r="B6027" t="s">
        <v>5864</v>
      </c>
      <c r="C6027">
        <v>1141</v>
      </c>
      <c r="D6027" t="str">
        <f>"0018-280X"</f>
        <v>0018-280X</v>
      </c>
      <c r="E6027" t="s">
        <v>8</v>
      </c>
      <c r="F6027" t="s">
        <v>6029</v>
      </c>
      <c r="G6027">
        <v>1</v>
      </c>
    </row>
    <row r="6028" spans="1:7" x14ac:dyDescent="0.25">
      <c r="A6028">
        <v>24</v>
      </c>
      <c r="B6028" t="s">
        <v>5864</v>
      </c>
      <c r="C6028">
        <v>15699</v>
      </c>
      <c r="D6028" t="str">
        <f>"0943-0180"</f>
        <v>0943-0180</v>
      </c>
      <c r="E6028" t="s">
        <v>8</v>
      </c>
      <c r="F6028" t="s">
        <v>6030</v>
      </c>
      <c r="G6028">
        <v>1</v>
      </c>
    </row>
    <row r="6029" spans="1:7" x14ac:dyDescent="0.25">
      <c r="A6029">
        <v>24</v>
      </c>
      <c r="B6029" t="s">
        <v>5864</v>
      </c>
      <c r="C6029">
        <v>8281</v>
      </c>
      <c r="D6029" t="str">
        <f>"2041-4161"</f>
        <v>2041-4161</v>
      </c>
      <c r="E6029" t="s">
        <v>8</v>
      </c>
      <c r="F6029" t="s">
        <v>6031</v>
      </c>
      <c r="G6029">
        <v>1</v>
      </c>
    </row>
    <row r="6030" spans="1:7" x14ac:dyDescent="0.25">
      <c r="A6030">
        <v>24</v>
      </c>
      <c r="B6030" t="s">
        <v>5864</v>
      </c>
      <c r="C6030">
        <v>2494</v>
      </c>
      <c r="D6030" t="str">
        <f>"0167-6245"</f>
        <v>0167-6245</v>
      </c>
      <c r="E6030" t="s">
        <v>8</v>
      </c>
      <c r="F6030" t="s">
        <v>6032</v>
      </c>
      <c r="G6030">
        <v>1</v>
      </c>
    </row>
    <row r="6031" spans="1:7" x14ac:dyDescent="0.25">
      <c r="A6031">
        <v>24</v>
      </c>
      <c r="B6031" t="s">
        <v>5864</v>
      </c>
      <c r="C6031">
        <v>11313</v>
      </c>
      <c r="D6031" t="str">
        <f>"0020-5346"</f>
        <v>0020-5346</v>
      </c>
      <c r="E6031" t="s">
        <v>8</v>
      </c>
      <c r="F6031" t="s">
        <v>6033</v>
      </c>
      <c r="G6031">
        <v>1</v>
      </c>
    </row>
    <row r="6032" spans="1:7" x14ac:dyDescent="0.25">
      <c r="A6032">
        <v>24</v>
      </c>
      <c r="B6032" t="s">
        <v>5864</v>
      </c>
      <c r="C6032">
        <v>4206</v>
      </c>
      <c r="D6032" t="str">
        <f>"1083-0898"</f>
        <v>1083-0898</v>
      </c>
      <c r="E6032" t="s">
        <v>8</v>
      </c>
      <c r="F6032" t="s">
        <v>6034</v>
      </c>
      <c r="G6032">
        <v>1</v>
      </c>
    </row>
    <row r="6033" spans="1:7" x14ac:dyDescent="0.25">
      <c r="A6033">
        <v>24</v>
      </c>
      <c r="B6033" t="s">
        <v>5864</v>
      </c>
      <c r="C6033">
        <v>11692</v>
      </c>
      <c r="D6033" t="str">
        <f>"1016-8737"</f>
        <v>1016-8737</v>
      </c>
      <c r="E6033" t="s">
        <v>8</v>
      </c>
      <c r="F6033" t="s">
        <v>6035</v>
      </c>
      <c r="G6033">
        <v>1</v>
      </c>
    </row>
    <row r="6034" spans="1:7" x14ac:dyDescent="0.25">
      <c r="A6034">
        <v>24</v>
      </c>
      <c r="B6034" t="s">
        <v>5864</v>
      </c>
      <c r="C6034">
        <v>6633</v>
      </c>
      <c r="D6034" t="str">
        <f>"1612-4804"</f>
        <v>1612-4804</v>
      </c>
      <c r="E6034" t="s">
        <v>8</v>
      </c>
      <c r="F6034" t="s">
        <v>6036</v>
      </c>
      <c r="G6034">
        <v>1</v>
      </c>
    </row>
    <row r="6035" spans="1:7" x14ac:dyDescent="0.25">
      <c r="A6035">
        <v>24</v>
      </c>
      <c r="B6035" t="s">
        <v>5864</v>
      </c>
      <c r="C6035">
        <v>7987</v>
      </c>
      <c r="D6035" t="str">
        <f>"0219-1989"</f>
        <v>0219-1989</v>
      </c>
      <c r="E6035" t="s">
        <v>8</v>
      </c>
      <c r="F6035" t="s">
        <v>6037</v>
      </c>
      <c r="G6035">
        <v>1</v>
      </c>
    </row>
    <row r="6036" spans="1:7" x14ac:dyDescent="0.25">
      <c r="A6036">
        <v>24</v>
      </c>
      <c r="B6036" t="s">
        <v>5864</v>
      </c>
      <c r="C6036">
        <v>76248</v>
      </c>
      <c r="D6036" t="str">
        <f>"1815-4654"</f>
        <v>1815-4654</v>
      </c>
      <c r="E6036" t="s">
        <v>8</v>
      </c>
      <c r="F6036" t="s">
        <v>6038</v>
      </c>
      <c r="G6036">
        <v>1</v>
      </c>
    </row>
    <row r="6037" spans="1:7" x14ac:dyDescent="0.25">
      <c r="A6037">
        <v>24</v>
      </c>
      <c r="B6037" t="s">
        <v>5864</v>
      </c>
      <c r="C6037">
        <v>6157405</v>
      </c>
      <c r="D6037" t="str">
        <f>"1757-1170"</f>
        <v>1757-1170</v>
      </c>
      <c r="E6037" t="s">
        <v>8</v>
      </c>
      <c r="F6037" t="s">
        <v>6039</v>
      </c>
      <c r="G6037">
        <v>1</v>
      </c>
    </row>
    <row r="6038" spans="1:7" x14ac:dyDescent="0.25">
      <c r="A6038">
        <v>24</v>
      </c>
      <c r="B6038" t="s">
        <v>5864</v>
      </c>
      <c r="C6038">
        <v>27187</v>
      </c>
      <c r="D6038" t="str">
        <f>"1446-8956"</f>
        <v>1446-8956</v>
      </c>
      <c r="E6038" t="s">
        <v>8</v>
      </c>
      <c r="F6038" t="s">
        <v>6040</v>
      </c>
      <c r="G6038">
        <v>1</v>
      </c>
    </row>
    <row r="6039" spans="1:7" x14ac:dyDescent="0.25">
      <c r="A6039">
        <v>24</v>
      </c>
      <c r="B6039" t="s">
        <v>5864</v>
      </c>
      <c r="C6039">
        <v>7687211</v>
      </c>
      <c r="D6039" t="str">
        <f>"1791-5120"</f>
        <v>1791-5120</v>
      </c>
      <c r="E6039" t="s">
        <v>8</v>
      </c>
      <c r="F6039" t="s">
        <v>6041</v>
      </c>
      <c r="G6039">
        <v>1</v>
      </c>
    </row>
    <row r="6040" spans="1:7" x14ac:dyDescent="0.25">
      <c r="A6040">
        <v>24</v>
      </c>
      <c r="B6040" t="s">
        <v>5864</v>
      </c>
      <c r="C6040">
        <v>18202</v>
      </c>
      <c r="D6040" t="str">
        <f>"1742-7355"</f>
        <v>1742-7355</v>
      </c>
      <c r="E6040" t="s">
        <v>8</v>
      </c>
      <c r="F6040" t="s">
        <v>6042</v>
      </c>
      <c r="G6040">
        <v>1</v>
      </c>
    </row>
    <row r="6041" spans="1:7" x14ac:dyDescent="0.25">
      <c r="A6041">
        <v>24</v>
      </c>
      <c r="B6041" t="s">
        <v>5864</v>
      </c>
      <c r="C6041">
        <v>20618</v>
      </c>
      <c r="D6041" t="str">
        <f>"1039-6993"</f>
        <v>1039-6993</v>
      </c>
      <c r="E6041" t="s">
        <v>8</v>
      </c>
      <c r="F6041" t="s">
        <v>6043</v>
      </c>
      <c r="G6041">
        <v>1</v>
      </c>
    </row>
    <row r="6042" spans="1:7" x14ac:dyDescent="0.25">
      <c r="A6042">
        <v>24</v>
      </c>
      <c r="B6042" t="s">
        <v>5864</v>
      </c>
      <c r="C6042">
        <v>12148</v>
      </c>
      <c r="D6042" t="str">
        <f>"1076-9307"</f>
        <v>1076-9307</v>
      </c>
      <c r="E6042" t="s">
        <v>8</v>
      </c>
      <c r="F6042" t="s">
        <v>6044</v>
      </c>
      <c r="G6042">
        <v>1</v>
      </c>
    </row>
    <row r="6043" spans="1:7" x14ac:dyDescent="0.25">
      <c r="A6043">
        <v>24</v>
      </c>
      <c r="B6043" t="s">
        <v>5864</v>
      </c>
      <c r="C6043">
        <v>13722</v>
      </c>
      <c r="D6043" t="str">
        <f>"0020-7276"</f>
        <v>0020-7276</v>
      </c>
      <c r="E6043" t="s">
        <v>8</v>
      </c>
      <c r="F6043" t="s">
        <v>6045</v>
      </c>
      <c r="G6043">
        <v>1</v>
      </c>
    </row>
    <row r="6044" spans="1:7" x14ac:dyDescent="0.25">
      <c r="A6044">
        <v>24</v>
      </c>
      <c r="B6044" t="s">
        <v>5864</v>
      </c>
      <c r="C6044">
        <v>23630</v>
      </c>
      <c r="D6044" t="str">
        <f>"1744-9928"</f>
        <v>1744-9928</v>
      </c>
      <c r="E6044" t="s">
        <v>8</v>
      </c>
      <c r="F6044" t="s">
        <v>6046</v>
      </c>
      <c r="G6044">
        <v>1</v>
      </c>
    </row>
    <row r="6045" spans="1:7" x14ac:dyDescent="0.25">
      <c r="A6045">
        <v>24</v>
      </c>
      <c r="B6045" t="s">
        <v>5864</v>
      </c>
      <c r="C6045">
        <v>568</v>
      </c>
      <c r="D6045" t="str">
        <f>"1753-0660"</f>
        <v>1753-0660</v>
      </c>
      <c r="E6045" t="s">
        <v>8</v>
      </c>
      <c r="F6045" t="s">
        <v>6047</v>
      </c>
      <c r="G6045">
        <v>1</v>
      </c>
    </row>
    <row r="6046" spans="1:7" x14ac:dyDescent="0.25">
      <c r="A6046">
        <v>24</v>
      </c>
      <c r="B6046" t="s">
        <v>5864</v>
      </c>
      <c r="C6046">
        <v>153949</v>
      </c>
      <c r="D6046" t="str">
        <f>"1752-0479"</f>
        <v>1752-0479</v>
      </c>
      <c r="E6046" t="s">
        <v>8</v>
      </c>
      <c r="F6046" t="s">
        <v>6048</v>
      </c>
      <c r="G6046">
        <v>1</v>
      </c>
    </row>
    <row r="6047" spans="1:7" x14ac:dyDescent="0.25">
      <c r="A6047">
        <v>24</v>
      </c>
      <c r="B6047" t="s">
        <v>5864</v>
      </c>
      <c r="C6047">
        <v>10489</v>
      </c>
      <c r="D6047" t="str">
        <f>"0306-8293"</f>
        <v>0306-8293</v>
      </c>
      <c r="E6047" t="s">
        <v>8</v>
      </c>
      <c r="F6047" t="s">
        <v>6049</v>
      </c>
      <c r="G6047">
        <v>1</v>
      </c>
    </row>
    <row r="6048" spans="1:7" x14ac:dyDescent="0.25">
      <c r="A6048">
        <v>24</v>
      </c>
      <c r="B6048" t="s">
        <v>5864</v>
      </c>
      <c r="C6048">
        <v>144860</v>
      </c>
      <c r="D6048" t="str">
        <f>"1756-5804"</f>
        <v>1756-5804</v>
      </c>
      <c r="E6048" t="s">
        <v>8</v>
      </c>
      <c r="F6048" t="s">
        <v>6050</v>
      </c>
      <c r="G6048">
        <v>1</v>
      </c>
    </row>
    <row r="6049" spans="1:7" x14ac:dyDescent="0.25">
      <c r="A6049">
        <v>24</v>
      </c>
      <c r="B6049" t="s">
        <v>5864</v>
      </c>
      <c r="C6049">
        <v>10684</v>
      </c>
      <c r="D6049" t="str">
        <f>"0269-2171"</f>
        <v>0269-2171</v>
      </c>
      <c r="E6049" t="s">
        <v>8</v>
      </c>
      <c r="F6049" t="s">
        <v>6051</v>
      </c>
      <c r="G6049">
        <v>1</v>
      </c>
    </row>
    <row r="6050" spans="1:7" x14ac:dyDescent="0.25">
      <c r="A6050">
        <v>24</v>
      </c>
      <c r="B6050" t="s">
        <v>5864</v>
      </c>
      <c r="C6050">
        <v>3448</v>
      </c>
      <c r="D6050" t="str">
        <f>"1865-1704"</f>
        <v>1865-1704</v>
      </c>
      <c r="E6050" t="s">
        <v>8</v>
      </c>
      <c r="F6050" t="s">
        <v>6052</v>
      </c>
      <c r="G6050">
        <v>1</v>
      </c>
    </row>
    <row r="6051" spans="1:7" x14ac:dyDescent="0.25">
      <c r="A6051">
        <v>24</v>
      </c>
      <c r="B6051" t="s">
        <v>5864</v>
      </c>
      <c r="C6051">
        <v>73810</v>
      </c>
      <c r="D6051" t="str">
        <f>"1477-3880"</f>
        <v>1477-3880</v>
      </c>
      <c r="E6051" t="s">
        <v>8</v>
      </c>
      <c r="F6051" t="s">
        <v>6053</v>
      </c>
      <c r="G6051">
        <v>1</v>
      </c>
    </row>
    <row r="6052" spans="1:7" x14ac:dyDescent="0.25">
      <c r="A6052">
        <v>24</v>
      </c>
      <c r="B6052" t="s">
        <v>5864</v>
      </c>
      <c r="C6052">
        <v>112297</v>
      </c>
      <c r="D6052" t="str">
        <f>"1932-1465"</f>
        <v>1932-1465</v>
      </c>
      <c r="E6052" t="s">
        <v>8</v>
      </c>
      <c r="F6052" t="s">
        <v>6054</v>
      </c>
      <c r="G6052">
        <v>1</v>
      </c>
    </row>
    <row r="6053" spans="1:7" x14ac:dyDescent="0.25">
      <c r="A6053">
        <v>24</v>
      </c>
      <c r="B6053" t="s">
        <v>5864</v>
      </c>
      <c r="C6053">
        <v>11576</v>
      </c>
      <c r="D6053" t="str">
        <f>"0927-5940"</f>
        <v>0927-5940</v>
      </c>
      <c r="E6053" t="s">
        <v>8</v>
      </c>
      <c r="F6053" t="s">
        <v>6055</v>
      </c>
      <c r="G6053">
        <v>1</v>
      </c>
    </row>
    <row r="6054" spans="1:7" x14ac:dyDescent="0.25">
      <c r="A6054">
        <v>24</v>
      </c>
      <c r="B6054" t="s">
        <v>5864</v>
      </c>
      <c r="C6054">
        <v>7754362</v>
      </c>
      <c r="D6054" t="str">
        <f>"2193-9039"</f>
        <v>2193-9039</v>
      </c>
      <c r="E6054" t="s">
        <v>8</v>
      </c>
      <c r="F6054" t="s">
        <v>6056</v>
      </c>
      <c r="G6054">
        <v>1</v>
      </c>
    </row>
    <row r="6055" spans="1:7" x14ac:dyDescent="0.25">
      <c r="A6055">
        <v>24</v>
      </c>
      <c r="B6055" t="s">
        <v>5864</v>
      </c>
      <c r="C6055">
        <v>7754357</v>
      </c>
      <c r="E6055" t="s">
        <v>8</v>
      </c>
      <c r="F6055" t="s">
        <v>6057</v>
      </c>
      <c r="G6055">
        <v>1</v>
      </c>
    </row>
    <row r="6056" spans="1:7" x14ac:dyDescent="0.25">
      <c r="A6056">
        <v>24</v>
      </c>
      <c r="B6056" t="s">
        <v>5864</v>
      </c>
      <c r="C6056">
        <v>7754358</v>
      </c>
      <c r="E6056" t="s">
        <v>8</v>
      </c>
      <c r="F6056" t="s">
        <v>6058</v>
      </c>
      <c r="G6056">
        <v>1</v>
      </c>
    </row>
    <row r="6057" spans="1:7" x14ac:dyDescent="0.25">
      <c r="A6057">
        <v>24</v>
      </c>
      <c r="B6057" t="s">
        <v>5864</v>
      </c>
      <c r="C6057">
        <v>7754359</v>
      </c>
      <c r="E6057" t="s">
        <v>8</v>
      </c>
      <c r="F6057" t="s">
        <v>6059</v>
      </c>
      <c r="G6057">
        <v>1</v>
      </c>
    </row>
    <row r="6058" spans="1:7" x14ac:dyDescent="0.25">
      <c r="A6058">
        <v>24</v>
      </c>
      <c r="B6058" t="s">
        <v>5864</v>
      </c>
      <c r="C6058">
        <v>7754360</v>
      </c>
      <c r="E6058" t="s">
        <v>8</v>
      </c>
      <c r="F6058" t="s">
        <v>6060</v>
      </c>
      <c r="G6058">
        <v>1</v>
      </c>
    </row>
    <row r="6059" spans="1:7" x14ac:dyDescent="0.25">
      <c r="A6059">
        <v>24</v>
      </c>
      <c r="B6059" t="s">
        <v>5864</v>
      </c>
      <c r="C6059">
        <v>4306</v>
      </c>
      <c r="D6059" t="str">
        <f>"0021-4027"</f>
        <v>0021-4027</v>
      </c>
      <c r="E6059" t="s">
        <v>8</v>
      </c>
      <c r="F6059" t="s">
        <v>6061</v>
      </c>
      <c r="G6059">
        <v>1</v>
      </c>
    </row>
    <row r="6060" spans="1:7" x14ac:dyDescent="0.25">
      <c r="A6060">
        <v>24</v>
      </c>
      <c r="B6060" t="s">
        <v>5864</v>
      </c>
      <c r="C6060">
        <v>8400</v>
      </c>
      <c r="D6060" t="str">
        <f>"0922-1425"</f>
        <v>0922-1425</v>
      </c>
      <c r="E6060" t="s">
        <v>8</v>
      </c>
      <c r="F6060" t="s">
        <v>6062</v>
      </c>
      <c r="G6060">
        <v>1</v>
      </c>
    </row>
    <row r="6061" spans="1:7" x14ac:dyDescent="0.25">
      <c r="A6061">
        <v>24</v>
      </c>
      <c r="B6061" t="s">
        <v>5864</v>
      </c>
      <c r="C6061">
        <v>107209</v>
      </c>
      <c r="D6061" t="str">
        <f>"0379-6205"</f>
        <v>0379-6205</v>
      </c>
      <c r="E6061" t="s">
        <v>8</v>
      </c>
      <c r="F6061" t="s">
        <v>6063</v>
      </c>
      <c r="G6061">
        <v>1</v>
      </c>
    </row>
    <row r="6062" spans="1:7" x14ac:dyDescent="0.25">
      <c r="A6062">
        <v>24</v>
      </c>
      <c r="B6062" t="s">
        <v>5864</v>
      </c>
      <c r="C6062">
        <v>5070</v>
      </c>
      <c r="D6062" t="str">
        <f>"0963-8024"</f>
        <v>0963-8024</v>
      </c>
      <c r="E6062" t="s">
        <v>8</v>
      </c>
      <c r="F6062" t="s">
        <v>6064</v>
      </c>
      <c r="G6062">
        <v>1</v>
      </c>
    </row>
    <row r="6063" spans="1:7" x14ac:dyDescent="0.25">
      <c r="A6063">
        <v>24</v>
      </c>
      <c r="B6063" t="s">
        <v>5864</v>
      </c>
      <c r="C6063">
        <v>6218</v>
      </c>
      <c r="D6063" t="str">
        <f>"1068-5502"</f>
        <v>1068-5502</v>
      </c>
      <c r="E6063" t="s">
        <v>8</v>
      </c>
      <c r="F6063" t="s">
        <v>6065</v>
      </c>
      <c r="G6063">
        <v>1</v>
      </c>
    </row>
    <row r="6064" spans="1:7" x14ac:dyDescent="0.25">
      <c r="A6064">
        <v>24</v>
      </c>
      <c r="B6064" t="s">
        <v>5864</v>
      </c>
      <c r="C6064">
        <v>1526</v>
      </c>
      <c r="D6064" t="str">
        <f>"0021-857X"</f>
        <v>0021-857X</v>
      </c>
      <c r="E6064" t="s">
        <v>8</v>
      </c>
      <c r="F6064" t="s">
        <v>6066</v>
      </c>
      <c r="G6064">
        <v>1</v>
      </c>
    </row>
    <row r="6065" spans="1:7" x14ac:dyDescent="0.25">
      <c r="A6065">
        <v>24</v>
      </c>
      <c r="B6065" t="s">
        <v>5864</v>
      </c>
      <c r="C6065">
        <v>17634</v>
      </c>
      <c r="D6065" t="str">
        <f>"1514-0326"</f>
        <v>1514-0326</v>
      </c>
      <c r="E6065" t="s">
        <v>8</v>
      </c>
      <c r="F6065" t="s">
        <v>6067</v>
      </c>
      <c r="G6065">
        <v>1</v>
      </c>
    </row>
    <row r="6066" spans="1:7" x14ac:dyDescent="0.25">
      <c r="A6066">
        <v>24</v>
      </c>
      <c r="B6066" t="s">
        <v>5864</v>
      </c>
      <c r="C6066">
        <v>727</v>
      </c>
      <c r="D6066" t="str">
        <f>"1049-0078"</f>
        <v>1049-0078</v>
      </c>
      <c r="E6066" t="s">
        <v>8</v>
      </c>
      <c r="F6066" t="s">
        <v>6068</v>
      </c>
      <c r="G6066">
        <v>1</v>
      </c>
    </row>
    <row r="6067" spans="1:7" x14ac:dyDescent="0.25">
      <c r="A6067">
        <v>24</v>
      </c>
      <c r="B6067" t="s">
        <v>5864</v>
      </c>
      <c r="C6067">
        <v>8781999</v>
      </c>
      <c r="D6067" t="str">
        <f>"2214-8043"</f>
        <v>2214-8043</v>
      </c>
      <c r="E6067" t="s">
        <v>8</v>
      </c>
      <c r="F6067" t="s">
        <v>6069</v>
      </c>
      <c r="G6067">
        <v>1</v>
      </c>
    </row>
    <row r="6068" spans="1:7" x14ac:dyDescent="0.25">
      <c r="A6068">
        <v>24</v>
      </c>
      <c r="B6068" t="s">
        <v>5864</v>
      </c>
      <c r="C6068">
        <v>16227</v>
      </c>
      <c r="D6068" t="str">
        <f>"1387-6996"</f>
        <v>1387-6996</v>
      </c>
      <c r="E6068" t="s">
        <v>8</v>
      </c>
      <c r="F6068" t="s">
        <v>6070</v>
      </c>
      <c r="G6068">
        <v>1</v>
      </c>
    </row>
    <row r="6069" spans="1:7" x14ac:dyDescent="0.25">
      <c r="A6069">
        <v>24</v>
      </c>
      <c r="B6069" t="s">
        <v>5864</v>
      </c>
      <c r="C6069">
        <v>10376</v>
      </c>
      <c r="D6069" t="str">
        <f>"0147-5967"</f>
        <v>0147-5967</v>
      </c>
      <c r="E6069" t="s">
        <v>8</v>
      </c>
      <c r="F6069" t="s">
        <v>6071</v>
      </c>
      <c r="G6069">
        <v>1</v>
      </c>
    </row>
    <row r="6070" spans="1:7" x14ac:dyDescent="0.25">
      <c r="A6070">
        <v>24</v>
      </c>
      <c r="B6070" t="s">
        <v>5864</v>
      </c>
      <c r="C6070">
        <v>7292</v>
      </c>
      <c r="D6070" t="str">
        <f>"0168-7034"</f>
        <v>0168-7034</v>
      </c>
      <c r="E6070" t="s">
        <v>8</v>
      </c>
      <c r="F6070" t="s">
        <v>6072</v>
      </c>
      <c r="G6070">
        <v>1</v>
      </c>
    </row>
    <row r="6071" spans="1:7" x14ac:dyDescent="0.25">
      <c r="A6071">
        <v>24</v>
      </c>
      <c r="B6071" t="s">
        <v>5864</v>
      </c>
      <c r="C6071">
        <v>7697</v>
      </c>
      <c r="D6071" t="str">
        <f>"0885-2545"</f>
        <v>0885-2545</v>
      </c>
      <c r="E6071" t="s">
        <v>8</v>
      </c>
      <c r="F6071" t="s">
        <v>6073</v>
      </c>
      <c r="G6071">
        <v>1</v>
      </c>
    </row>
    <row r="6072" spans="1:7" x14ac:dyDescent="0.25">
      <c r="A6072">
        <v>24</v>
      </c>
      <c r="B6072" t="s">
        <v>5864</v>
      </c>
      <c r="C6072">
        <v>8783299</v>
      </c>
      <c r="D6072" t="str">
        <f>"2054-0892"</f>
        <v>2054-0892</v>
      </c>
      <c r="E6072" t="s">
        <v>8</v>
      </c>
      <c r="F6072" t="s">
        <v>6074</v>
      </c>
      <c r="G6072">
        <v>1</v>
      </c>
    </row>
    <row r="6073" spans="1:7" x14ac:dyDescent="0.25">
      <c r="A6073">
        <v>24</v>
      </c>
      <c r="B6073" t="s">
        <v>5864</v>
      </c>
      <c r="C6073">
        <v>6168926</v>
      </c>
      <c r="D6073" t="str">
        <f>"1943-9342"</f>
        <v>1943-9342</v>
      </c>
      <c r="E6073" t="s">
        <v>8</v>
      </c>
      <c r="F6073" t="s">
        <v>6075</v>
      </c>
      <c r="G6073">
        <v>1</v>
      </c>
    </row>
    <row r="6074" spans="1:7" x14ac:dyDescent="0.25">
      <c r="A6074">
        <v>24</v>
      </c>
      <c r="B6074" t="s">
        <v>5864</v>
      </c>
      <c r="C6074">
        <v>7720759</v>
      </c>
      <c r="D6074" t="str">
        <f>"2156-6674"</f>
        <v>2156-6674</v>
      </c>
      <c r="E6074" t="s">
        <v>8</v>
      </c>
      <c r="F6074" t="s">
        <v>6076</v>
      </c>
      <c r="G6074">
        <v>1</v>
      </c>
    </row>
    <row r="6075" spans="1:7" x14ac:dyDescent="0.25">
      <c r="A6075">
        <v>24</v>
      </c>
      <c r="B6075" t="s">
        <v>5864</v>
      </c>
      <c r="C6075">
        <v>8227</v>
      </c>
      <c r="D6075" t="str">
        <f>"0747-9662"</f>
        <v>0747-9662</v>
      </c>
      <c r="E6075" t="s">
        <v>8</v>
      </c>
      <c r="F6075" t="s">
        <v>6077</v>
      </c>
      <c r="G6075">
        <v>1</v>
      </c>
    </row>
    <row r="6076" spans="1:7" x14ac:dyDescent="0.25">
      <c r="A6076">
        <v>24</v>
      </c>
      <c r="B6076" t="s">
        <v>5864</v>
      </c>
      <c r="C6076">
        <v>20666</v>
      </c>
      <c r="D6076" t="str">
        <f>"1225-651X"</f>
        <v>1225-651X</v>
      </c>
      <c r="E6076" t="s">
        <v>8</v>
      </c>
      <c r="F6076" t="s">
        <v>6078</v>
      </c>
      <c r="G6076">
        <v>1</v>
      </c>
    </row>
    <row r="6077" spans="1:7" x14ac:dyDescent="0.25">
      <c r="A6077">
        <v>24</v>
      </c>
      <c r="B6077" t="s">
        <v>5864</v>
      </c>
      <c r="C6077">
        <v>15444</v>
      </c>
      <c r="D6077" t="str">
        <f>"1860-711X"</f>
        <v>1860-711X</v>
      </c>
      <c r="E6077" t="s">
        <v>8</v>
      </c>
      <c r="F6077" t="s">
        <v>6079</v>
      </c>
      <c r="G6077">
        <v>1</v>
      </c>
    </row>
    <row r="6078" spans="1:7" x14ac:dyDescent="0.25">
      <c r="A6078">
        <v>24</v>
      </c>
      <c r="B6078" t="s">
        <v>5864</v>
      </c>
      <c r="C6078">
        <v>10131</v>
      </c>
      <c r="D6078" t="str">
        <f>"0021-3624"</f>
        <v>0021-3624</v>
      </c>
      <c r="E6078" t="s">
        <v>8</v>
      </c>
      <c r="F6078" t="s">
        <v>6080</v>
      </c>
      <c r="G6078">
        <v>1</v>
      </c>
    </row>
    <row r="6079" spans="1:7" x14ac:dyDescent="0.25">
      <c r="A6079">
        <v>24</v>
      </c>
      <c r="B6079" t="s">
        <v>5864</v>
      </c>
      <c r="C6079">
        <v>10417</v>
      </c>
      <c r="D6079" t="str">
        <f>"0022-0515"</f>
        <v>0022-0515</v>
      </c>
      <c r="E6079" t="s">
        <v>8</v>
      </c>
      <c r="F6079" t="s">
        <v>6081</v>
      </c>
      <c r="G6079">
        <v>1</v>
      </c>
    </row>
    <row r="6080" spans="1:7" x14ac:dyDescent="0.25">
      <c r="A6080">
        <v>24</v>
      </c>
      <c r="B6080" t="s">
        <v>5864</v>
      </c>
      <c r="C6080">
        <v>10369</v>
      </c>
      <c r="D6080" t="str">
        <f>"1350-178X"</f>
        <v>1350-178X</v>
      </c>
      <c r="E6080" t="s">
        <v>8</v>
      </c>
      <c r="F6080" t="s">
        <v>6082</v>
      </c>
      <c r="G6080">
        <v>1</v>
      </c>
    </row>
    <row r="6081" spans="1:7" x14ac:dyDescent="0.25">
      <c r="A6081">
        <v>24</v>
      </c>
      <c r="B6081" t="s">
        <v>5864</v>
      </c>
      <c r="C6081">
        <v>4549</v>
      </c>
      <c r="D6081" t="str">
        <f>"0895-3309"</f>
        <v>0895-3309</v>
      </c>
      <c r="E6081" t="s">
        <v>8</v>
      </c>
      <c r="F6081" t="s">
        <v>6083</v>
      </c>
      <c r="G6081">
        <v>1</v>
      </c>
    </row>
    <row r="6082" spans="1:7" x14ac:dyDescent="0.25">
      <c r="A6082">
        <v>24</v>
      </c>
      <c r="B6082" t="s">
        <v>5864</v>
      </c>
      <c r="C6082">
        <v>5113</v>
      </c>
      <c r="D6082" t="str">
        <f>"0167-4870"</f>
        <v>0167-4870</v>
      </c>
      <c r="E6082" t="s">
        <v>8</v>
      </c>
      <c r="F6082" t="s">
        <v>6084</v>
      </c>
      <c r="G6082">
        <v>1</v>
      </c>
    </row>
    <row r="6083" spans="1:7" x14ac:dyDescent="0.25">
      <c r="A6083">
        <v>24</v>
      </c>
      <c r="B6083" t="s">
        <v>5864</v>
      </c>
      <c r="C6083">
        <v>7191</v>
      </c>
      <c r="D6083" t="str">
        <f>"0144-3585"</f>
        <v>0144-3585</v>
      </c>
      <c r="E6083" t="s">
        <v>8</v>
      </c>
      <c r="F6083" t="s">
        <v>6085</v>
      </c>
      <c r="G6083">
        <v>1</v>
      </c>
    </row>
    <row r="6084" spans="1:7" x14ac:dyDescent="0.25">
      <c r="A6084">
        <v>24</v>
      </c>
      <c r="B6084" t="s">
        <v>5864</v>
      </c>
      <c r="C6084">
        <v>13865</v>
      </c>
      <c r="D6084" t="str">
        <f>"0950-0804"</f>
        <v>0950-0804</v>
      </c>
      <c r="E6084" t="s">
        <v>8</v>
      </c>
      <c r="F6084" t="s">
        <v>6086</v>
      </c>
      <c r="G6084">
        <v>1</v>
      </c>
    </row>
    <row r="6085" spans="1:7" x14ac:dyDescent="0.25">
      <c r="A6085">
        <v>24</v>
      </c>
      <c r="B6085" t="s">
        <v>5864</v>
      </c>
      <c r="C6085">
        <v>4855</v>
      </c>
      <c r="D6085" t="str">
        <f>"0931-8658"</f>
        <v>0931-8658</v>
      </c>
      <c r="E6085" t="s">
        <v>8</v>
      </c>
      <c r="F6085" t="s">
        <v>6087</v>
      </c>
      <c r="G6085">
        <v>1</v>
      </c>
    </row>
    <row r="6086" spans="1:7" x14ac:dyDescent="0.25">
      <c r="A6086">
        <v>24</v>
      </c>
      <c r="B6086" t="s">
        <v>5864</v>
      </c>
      <c r="C6086">
        <v>7754743</v>
      </c>
      <c r="D6086" t="str">
        <f>"2160-6544"</f>
        <v>2160-6544</v>
      </c>
      <c r="E6086" t="s">
        <v>8</v>
      </c>
      <c r="F6086" t="s">
        <v>6088</v>
      </c>
      <c r="G6086">
        <v>1</v>
      </c>
    </row>
    <row r="6087" spans="1:7" x14ac:dyDescent="0.25">
      <c r="A6087">
        <v>24</v>
      </c>
      <c r="B6087" t="s">
        <v>5864</v>
      </c>
      <c r="C6087">
        <v>15969</v>
      </c>
      <c r="D6087" t="str">
        <f>"1058-0476"</f>
        <v>1058-0476</v>
      </c>
      <c r="E6087" t="s">
        <v>8</v>
      </c>
      <c r="F6087" t="s">
        <v>6089</v>
      </c>
      <c r="G6087">
        <v>1</v>
      </c>
    </row>
    <row r="6088" spans="1:7" x14ac:dyDescent="0.25">
      <c r="A6088">
        <v>24</v>
      </c>
      <c r="B6088" t="s">
        <v>5864</v>
      </c>
      <c r="C6088">
        <v>13828</v>
      </c>
      <c r="D6088" t="str">
        <f>"1479-8409"</f>
        <v>1479-8409</v>
      </c>
      <c r="E6088" t="s">
        <v>8</v>
      </c>
      <c r="F6088" t="s">
        <v>6090</v>
      </c>
      <c r="G6088">
        <v>1</v>
      </c>
    </row>
    <row r="6089" spans="1:7" x14ac:dyDescent="0.25">
      <c r="A6089">
        <v>24</v>
      </c>
      <c r="B6089" t="s">
        <v>5864</v>
      </c>
      <c r="C6089">
        <v>6169761</v>
      </c>
      <c r="D6089" t="str">
        <f>"1948-1837"</f>
        <v>1948-1837</v>
      </c>
      <c r="E6089" t="s">
        <v>8</v>
      </c>
      <c r="F6089" t="s">
        <v>6091</v>
      </c>
      <c r="G6089">
        <v>1</v>
      </c>
    </row>
    <row r="6090" spans="1:7" x14ac:dyDescent="0.25">
      <c r="A6090">
        <v>24</v>
      </c>
      <c r="B6090" t="s">
        <v>5864</v>
      </c>
      <c r="C6090">
        <v>5195</v>
      </c>
      <c r="D6090" t="str">
        <f>"1051-1377"</f>
        <v>1051-1377</v>
      </c>
      <c r="E6090" t="s">
        <v>8</v>
      </c>
      <c r="F6090" t="s">
        <v>6092</v>
      </c>
      <c r="G6090">
        <v>1</v>
      </c>
    </row>
    <row r="6091" spans="1:7" x14ac:dyDescent="0.25">
      <c r="A6091">
        <v>24</v>
      </c>
      <c r="B6091" t="s">
        <v>5864</v>
      </c>
      <c r="C6091">
        <v>110273</v>
      </c>
      <c r="D6091" t="str">
        <f>"1932-8575"</f>
        <v>1932-8575</v>
      </c>
      <c r="E6091" t="s">
        <v>8</v>
      </c>
      <c r="F6091" t="s">
        <v>6093</v>
      </c>
      <c r="G6091">
        <v>1</v>
      </c>
    </row>
    <row r="6092" spans="1:7" x14ac:dyDescent="0.25">
      <c r="A6092">
        <v>24</v>
      </c>
      <c r="B6092" t="s">
        <v>5864</v>
      </c>
      <c r="C6092">
        <v>16095</v>
      </c>
      <c r="D6092" t="str">
        <f>"0926-6437"</f>
        <v>0926-6437</v>
      </c>
      <c r="E6092" t="s">
        <v>8</v>
      </c>
      <c r="F6092" t="s">
        <v>6094</v>
      </c>
      <c r="G6092">
        <v>1</v>
      </c>
    </row>
    <row r="6093" spans="1:7" x14ac:dyDescent="0.25">
      <c r="A6093">
        <v>24</v>
      </c>
      <c r="B6093" t="s">
        <v>5864</v>
      </c>
      <c r="C6093">
        <v>5772</v>
      </c>
      <c r="D6093" t="str">
        <f>"0932-4569"</f>
        <v>0932-4569</v>
      </c>
      <c r="E6093" t="s">
        <v>8</v>
      </c>
      <c r="F6093" t="s">
        <v>6095</v>
      </c>
      <c r="G6093">
        <v>1</v>
      </c>
    </row>
    <row r="6094" spans="1:7" x14ac:dyDescent="0.25">
      <c r="A6094">
        <v>24</v>
      </c>
      <c r="B6094" t="s">
        <v>5864</v>
      </c>
      <c r="C6094">
        <v>11550</v>
      </c>
      <c r="D6094" t="str">
        <f>"1744-1374"</f>
        <v>1744-1374</v>
      </c>
      <c r="E6094" t="s">
        <v>8</v>
      </c>
      <c r="F6094" t="s">
        <v>6096</v>
      </c>
      <c r="G6094">
        <v>1</v>
      </c>
    </row>
    <row r="6095" spans="1:7" x14ac:dyDescent="0.25">
      <c r="A6095">
        <v>24</v>
      </c>
      <c r="B6095" t="s">
        <v>5864</v>
      </c>
      <c r="C6095">
        <v>26612</v>
      </c>
      <c r="D6095" t="str">
        <f>"0260-1079"</f>
        <v>0260-1079</v>
      </c>
      <c r="E6095" t="s">
        <v>8</v>
      </c>
      <c r="F6095" t="s">
        <v>6097</v>
      </c>
      <c r="G6095">
        <v>1</v>
      </c>
    </row>
    <row r="6096" spans="1:7" x14ac:dyDescent="0.25">
      <c r="A6096">
        <v>24</v>
      </c>
      <c r="B6096" t="s">
        <v>5864</v>
      </c>
      <c r="C6096">
        <v>14572</v>
      </c>
      <c r="D6096" t="str">
        <f>"0164-0704"</f>
        <v>0164-0704</v>
      </c>
      <c r="E6096" t="s">
        <v>8</v>
      </c>
      <c r="F6096" t="s">
        <v>6098</v>
      </c>
      <c r="G6096">
        <v>1</v>
      </c>
    </row>
    <row r="6097" spans="1:7" x14ac:dyDescent="0.25">
      <c r="A6097">
        <v>24</v>
      </c>
      <c r="B6097" t="s">
        <v>5864</v>
      </c>
      <c r="C6097">
        <v>4749</v>
      </c>
      <c r="D6097" t="str">
        <f>"0304-4068"</f>
        <v>0304-4068</v>
      </c>
      <c r="E6097" t="s">
        <v>8</v>
      </c>
      <c r="F6097" t="s">
        <v>6099</v>
      </c>
      <c r="G6097">
        <v>1</v>
      </c>
    </row>
    <row r="6098" spans="1:7" x14ac:dyDescent="0.25">
      <c r="A6098">
        <v>24</v>
      </c>
      <c r="B6098" t="s">
        <v>5864</v>
      </c>
      <c r="C6098">
        <v>1899</v>
      </c>
      <c r="D6098" t="str">
        <f>"0022-2879"</f>
        <v>0022-2879</v>
      </c>
      <c r="E6098" t="s">
        <v>8</v>
      </c>
      <c r="F6098" t="s">
        <v>6100</v>
      </c>
      <c r="G6098">
        <v>1</v>
      </c>
    </row>
    <row r="6099" spans="1:7" x14ac:dyDescent="0.25">
      <c r="A6099">
        <v>24</v>
      </c>
      <c r="B6099" t="s">
        <v>5864</v>
      </c>
      <c r="C6099">
        <v>16250</v>
      </c>
      <c r="D6099" t="str">
        <f>"0282-423X"</f>
        <v>0282-423X</v>
      </c>
      <c r="E6099" t="s">
        <v>8</v>
      </c>
      <c r="F6099" t="s">
        <v>6101</v>
      </c>
      <c r="G6099">
        <v>1</v>
      </c>
    </row>
    <row r="6100" spans="1:7" x14ac:dyDescent="0.25">
      <c r="A6100">
        <v>24</v>
      </c>
      <c r="B6100" t="s">
        <v>5864</v>
      </c>
      <c r="C6100">
        <v>9816</v>
      </c>
      <c r="D6100" t="str">
        <f>"0161-8938"</f>
        <v>0161-8938</v>
      </c>
      <c r="E6100" t="s">
        <v>8</v>
      </c>
      <c r="F6100" t="s">
        <v>6102</v>
      </c>
      <c r="G6100">
        <v>1</v>
      </c>
    </row>
    <row r="6101" spans="1:7" x14ac:dyDescent="0.25">
      <c r="A6101">
        <v>24</v>
      </c>
      <c r="B6101" t="s">
        <v>5864</v>
      </c>
      <c r="C6101">
        <v>4605</v>
      </c>
      <c r="D6101" t="str">
        <f>"0933-1433"</f>
        <v>0933-1433</v>
      </c>
      <c r="E6101" t="s">
        <v>8</v>
      </c>
      <c r="F6101" t="s">
        <v>6103</v>
      </c>
      <c r="G6101">
        <v>1</v>
      </c>
    </row>
    <row r="6102" spans="1:7" x14ac:dyDescent="0.25">
      <c r="A6102">
        <v>24</v>
      </c>
      <c r="B6102" t="s">
        <v>5864</v>
      </c>
      <c r="C6102">
        <v>4185</v>
      </c>
      <c r="D6102" t="str">
        <f>"0160-3477"</f>
        <v>0160-3477</v>
      </c>
      <c r="E6102" t="s">
        <v>8</v>
      </c>
      <c r="F6102" t="s">
        <v>6104</v>
      </c>
      <c r="G6102">
        <v>1</v>
      </c>
    </row>
    <row r="6103" spans="1:7" x14ac:dyDescent="0.25">
      <c r="A6103">
        <v>24</v>
      </c>
      <c r="B6103" t="s">
        <v>5864</v>
      </c>
      <c r="C6103">
        <v>5405</v>
      </c>
      <c r="D6103" t="str">
        <f>"1087-5549"</f>
        <v>1087-5549</v>
      </c>
      <c r="E6103" t="s">
        <v>8</v>
      </c>
      <c r="F6103" t="s">
        <v>6105</v>
      </c>
      <c r="G6103">
        <v>1</v>
      </c>
    </row>
    <row r="6104" spans="1:7" x14ac:dyDescent="0.25">
      <c r="A6104">
        <v>24</v>
      </c>
      <c r="B6104" t="s">
        <v>5864</v>
      </c>
      <c r="C6104">
        <v>2216</v>
      </c>
      <c r="D6104" t="str">
        <f>"0895-562X"</f>
        <v>0895-562X</v>
      </c>
      <c r="E6104" t="s">
        <v>8</v>
      </c>
      <c r="F6104" t="s">
        <v>6106</v>
      </c>
      <c r="G6104">
        <v>1</v>
      </c>
    </row>
    <row r="6105" spans="1:7" x14ac:dyDescent="0.25">
      <c r="A6105">
        <v>24</v>
      </c>
      <c r="B6105" t="s">
        <v>5864</v>
      </c>
      <c r="C6105">
        <v>12401</v>
      </c>
      <c r="D6105" t="str">
        <f>"1097-3923"</f>
        <v>1097-3923</v>
      </c>
      <c r="E6105" t="s">
        <v>8</v>
      </c>
      <c r="F6105" t="s">
        <v>6107</v>
      </c>
      <c r="G6105">
        <v>1</v>
      </c>
    </row>
    <row r="6106" spans="1:7" x14ac:dyDescent="0.25">
      <c r="A6106">
        <v>24</v>
      </c>
      <c r="B6106" t="s">
        <v>5864</v>
      </c>
      <c r="C6106">
        <v>14873</v>
      </c>
      <c r="D6106" t="str">
        <f>"0922-680X"</f>
        <v>0922-680X</v>
      </c>
      <c r="E6106" t="s">
        <v>8</v>
      </c>
      <c r="F6106" t="s">
        <v>6108</v>
      </c>
      <c r="G6106">
        <v>1</v>
      </c>
    </row>
    <row r="6107" spans="1:7" x14ac:dyDescent="0.25">
      <c r="A6107">
        <v>24</v>
      </c>
      <c r="B6107" t="s">
        <v>5864</v>
      </c>
      <c r="C6107">
        <v>7993</v>
      </c>
      <c r="D6107" t="str">
        <f>"0895-5646"</f>
        <v>0895-5646</v>
      </c>
      <c r="E6107" t="s">
        <v>8</v>
      </c>
      <c r="F6107" t="s">
        <v>6109</v>
      </c>
      <c r="G6107">
        <v>1</v>
      </c>
    </row>
    <row r="6108" spans="1:7" x14ac:dyDescent="0.25">
      <c r="A6108">
        <v>24</v>
      </c>
      <c r="B6108" t="s">
        <v>5864</v>
      </c>
      <c r="C6108">
        <v>8781954</v>
      </c>
      <c r="E6108" t="s">
        <v>8</v>
      </c>
      <c r="F6108" t="s">
        <v>6110</v>
      </c>
      <c r="G6108">
        <v>1</v>
      </c>
    </row>
    <row r="6109" spans="1:7" x14ac:dyDescent="0.25">
      <c r="A6109">
        <v>24</v>
      </c>
      <c r="B6109" t="s">
        <v>5864</v>
      </c>
      <c r="C6109">
        <v>9379</v>
      </c>
      <c r="D6109" t="str">
        <f>"0022-4863"</f>
        <v>0022-4863</v>
      </c>
      <c r="E6109" t="s">
        <v>8</v>
      </c>
      <c r="F6109" t="s">
        <v>6111</v>
      </c>
      <c r="G6109">
        <v>1</v>
      </c>
    </row>
    <row r="6110" spans="1:7" x14ac:dyDescent="0.25">
      <c r="A6110">
        <v>24</v>
      </c>
      <c r="B6110" t="s">
        <v>5864</v>
      </c>
      <c r="C6110">
        <v>8775478</v>
      </c>
      <c r="D6110" t="str">
        <f>"2333-5955"</f>
        <v>2333-5955</v>
      </c>
      <c r="E6110" t="s">
        <v>8</v>
      </c>
      <c r="F6110" t="s">
        <v>6112</v>
      </c>
      <c r="G6110">
        <v>1</v>
      </c>
    </row>
    <row r="6111" spans="1:7" x14ac:dyDescent="0.25">
      <c r="A6111">
        <v>24</v>
      </c>
      <c r="B6111" t="s">
        <v>5864</v>
      </c>
      <c r="C6111">
        <v>7743</v>
      </c>
      <c r="D6111" t="str">
        <f>"0889-1583"</f>
        <v>0889-1583</v>
      </c>
      <c r="E6111" t="s">
        <v>8</v>
      </c>
      <c r="F6111" t="s">
        <v>6113</v>
      </c>
      <c r="G6111">
        <v>1</v>
      </c>
    </row>
    <row r="6112" spans="1:7" x14ac:dyDescent="0.25">
      <c r="A6112">
        <v>24</v>
      </c>
      <c r="B6112" t="s">
        <v>5864</v>
      </c>
      <c r="C6112">
        <v>6172573</v>
      </c>
      <c r="D6112" t="str">
        <f>"1868-7865"</f>
        <v>1868-7865</v>
      </c>
      <c r="E6112" t="s">
        <v>8</v>
      </c>
      <c r="F6112" t="s">
        <v>6114</v>
      </c>
      <c r="G6112">
        <v>1</v>
      </c>
    </row>
    <row r="6113" spans="1:7" x14ac:dyDescent="0.25">
      <c r="A6113">
        <v>24</v>
      </c>
      <c r="B6113" t="s">
        <v>5864</v>
      </c>
      <c r="C6113">
        <v>5617</v>
      </c>
      <c r="D6113" t="str">
        <f>"2050-5868"</f>
        <v>2050-5868</v>
      </c>
      <c r="E6113" t="s">
        <v>8</v>
      </c>
      <c r="F6113" t="s">
        <v>6115</v>
      </c>
      <c r="G6113">
        <v>1</v>
      </c>
    </row>
    <row r="6114" spans="1:7" x14ac:dyDescent="0.25">
      <c r="A6114">
        <v>24</v>
      </c>
      <c r="B6114" t="s">
        <v>5864</v>
      </c>
      <c r="C6114">
        <v>3727</v>
      </c>
      <c r="D6114" t="str">
        <f>"0023-5962"</f>
        <v>0023-5962</v>
      </c>
      <c r="E6114" t="s">
        <v>8</v>
      </c>
      <c r="F6114" t="s">
        <v>6116</v>
      </c>
      <c r="G6114">
        <v>1</v>
      </c>
    </row>
    <row r="6115" spans="1:7" x14ac:dyDescent="0.25">
      <c r="A6115">
        <v>24</v>
      </c>
      <c r="B6115" t="s">
        <v>5864</v>
      </c>
      <c r="C6115">
        <v>117</v>
      </c>
      <c r="D6115" t="str">
        <f>"0023-7639"</f>
        <v>0023-7639</v>
      </c>
      <c r="E6115" t="s">
        <v>8</v>
      </c>
      <c r="F6115" t="s">
        <v>6117</v>
      </c>
      <c r="G6115">
        <v>1</v>
      </c>
    </row>
    <row r="6116" spans="1:7" x14ac:dyDescent="0.25">
      <c r="A6116">
        <v>24</v>
      </c>
      <c r="B6116" t="s">
        <v>5864</v>
      </c>
      <c r="C6116">
        <v>151547</v>
      </c>
      <c r="E6116" t="s">
        <v>8</v>
      </c>
      <c r="F6116" t="s">
        <v>6118</v>
      </c>
      <c r="G6116">
        <v>1</v>
      </c>
    </row>
    <row r="6117" spans="1:7" x14ac:dyDescent="0.25">
      <c r="A6117">
        <v>24</v>
      </c>
      <c r="B6117" t="s">
        <v>5864</v>
      </c>
      <c r="C6117">
        <v>6887</v>
      </c>
      <c r="D6117" t="str">
        <f>"0269-0942"</f>
        <v>0269-0942</v>
      </c>
      <c r="E6117" t="s">
        <v>8</v>
      </c>
      <c r="F6117" t="s">
        <v>6119</v>
      </c>
      <c r="G6117">
        <v>1</v>
      </c>
    </row>
    <row r="6118" spans="1:7" x14ac:dyDescent="0.25">
      <c r="A6118">
        <v>24</v>
      </c>
      <c r="B6118" t="s">
        <v>5864</v>
      </c>
      <c r="C6118">
        <v>7553</v>
      </c>
      <c r="D6118" t="str">
        <f>"1365-1005"</f>
        <v>1365-1005</v>
      </c>
      <c r="E6118" t="s">
        <v>8</v>
      </c>
      <c r="F6118" t="s">
        <v>6120</v>
      </c>
      <c r="G6118">
        <v>1</v>
      </c>
    </row>
    <row r="6119" spans="1:7" x14ac:dyDescent="0.25">
      <c r="A6119">
        <v>24</v>
      </c>
      <c r="B6119" t="s">
        <v>5864</v>
      </c>
      <c r="C6119">
        <v>26370</v>
      </c>
      <c r="D6119" t="str">
        <f>"1752-0843"</f>
        <v>1752-0843</v>
      </c>
      <c r="E6119" t="s">
        <v>8</v>
      </c>
      <c r="F6119" t="s">
        <v>6121</v>
      </c>
      <c r="G6119">
        <v>1</v>
      </c>
    </row>
    <row r="6120" spans="1:7" x14ac:dyDescent="0.25">
      <c r="A6120">
        <v>24</v>
      </c>
      <c r="B6120" t="s">
        <v>5864</v>
      </c>
      <c r="C6120">
        <v>8465</v>
      </c>
      <c r="D6120" t="str">
        <f>"0026-1386"</f>
        <v>0026-1386</v>
      </c>
      <c r="E6120" t="s">
        <v>8</v>
      </c>
      <c r="F6120" t="s">
        <v>6122</v>
      </c>
      <c r="G6120">
        <v>1</v>
      </c>
    </row>
    <row r="6121" spans="1:7" x14ac:dyDescent="0.25">
      <c r="A6121">
        <v>24</v>
      </c>
      <c r="B6121" t="s">
        <v>5864</v>
      </c>
      <c r="C6121">
        <v>26</v>
      </c>
      <c r="D6121" t="str">
        <f>"0027-9501"</f>
        <v>0027-9501</v>
      </c>
      <c r="E6121" t="s">
        <v>8</v>
      </c>
      <c r="F6121" t="s">
        <v>6123</v>
      </c>
      <c r="G6121">
        <v>1</v>
      </c>
    </row>
    <row r="6122" spans="1:7" x14ac:dyDescent="0.25">
      <c r="A6122">
        <v>24</v>
      </c>
      <c r="B6122" t="s">
        <v>5864</v>
      </c>
      <c r="C6122">
        <v>12089</v>
      </c>
      <c r="D6122" t="str">
        <f>"0028-0283"</f>
        <v>0028-0283</v>
      </c>
      <c r="E6122" t="s">
        <v>8</v>
      </c>
      <c r="F6122" t="s">
        <v>6124</v>
      </c>
      <c r="G6122">
        <v>1</v>
      </c>
    </row>
    <row r="6123" spans="1:7" x14ac:dyDescent="0.25">
      <c r="A6123">
        <v>24</v>
      </c>
      <c r="B6123" t="s">
        <v>5864</v>
      </c>
      <c r="C6123">
        <v>9635</v>
      </c>
      <c r="D6123" t="str">
        <f>"0028-0453"</f>
        <v>0028-0453</v>
      </c>
      <c r="E6123" t="s">
        <v>8</v>
      </c>
      <c r="F6123" t="s">
        <v>6125</v>
      </c>
      <c r="G6123">
        <v>1</v>
      </c>
    </row>
    <row r="6124" spans="1:7" x14ac:dyDescent="0.25">
      <c r="A6124">
        <v>24</v>
      </c>
      <c r="B6124" t="s">
        <v>5864</v>
      </c>
      <c r="C6124">
        <v>1305</v>
      </c>
      <c r="D6124" t="str">
        <f>"0889-3365"</f>
        <v>0889-3365</v>
      </c>
      <c r="E6124" t="s">
        <v>15</v>
      </c>
      <c r="F6124" t="s">
        <v>6126</v>
      </c>
      <c r="G6124">
        <v>1</v>
      </c>
    </row>
    <row r="6125" spans="1:7" x14ac:dyDescent="0.25">
      <c r="A6125">
        <v>24</v>
      </c>
      <c r="B6125" t="s">
        <v>5864</v>
      </c>
      <c r="C6125">
        <v>11302</v>
      </c>
      <c r="D6125" t="str">
        <f>"1385-9587"</f>
        <v>1385-9587</v>
      </c>
      <c r="E6125" t="s">
        <v>8</v>
      </c>
      <c r="F6125" t="s">
        <v>6127</v>
      </c>
      <c r="G6125">
        <v>1</v>
      </c>
    </row>
    <row r="6126" spans="1:7" x14ac:dyDescent="0.25">
      <c r="A6126">
        <v>24</v>
      </c>
      <c r="B6126" t="s">
        <v>5864</v>
      </c>
      <c r="C6126">
        <v>7714172</v>
      </c>
      <c r="D6126" t="str">
        <f>"2230-3561"</f>
        <v>2230-3561</v>
      </c>
      <c r="E6126" t="s">
        <v>8</v>
      </c>
      <c r="F6126" t="s">
        <v>6128</v>
      </c>
      <c r="G6126">
        <v>1</v>
      </c>
    </row>
    <row r="6127" spans="1:7" x14ac:dyDescent="0.25">
      <c r="A6127">
        <v>24</v>
      </c>
      <c r="B6127" t="s">
        <v>5864</v>
      </c>
      <c r="C6127">
        <v>180070</v>
      </c>
      <c r="D6127" t="str">
        <f>"1904-4526"</f>
        <v>1904-4526</v>
      </c>
      <c r="E6127" t="s">
        <v>8</v>
      </c>
      <c r="F6127" t="s">
        <v>6129</v>
      </c>
      <c r="G6127">
        <v>1</v>
      </c>
    </row>
    <row r="6128" spans="1:7" x14ac:dyDescent="0.25">
      <c r="A6128">
        <v>24</v>
      </c>
      <c r="B6128" t="s">
        <v>5864</v>
      </c>
      <c r="C6128">
        <v>8709</v>
      </c>
      <c r="D6128" t="str">
        <f>"0805-7508"</f>
        <v>0805-7508</v>
      </c>
      <c r="E6128" t="s">
        <v>8</v>
      </c>
      <c r="F6128" t="s">
        <v>6130</v>
      </c>
      <c r="G6128">
        <v>1</v>
      </c>
    </row>
    <row r="6129" spans="1:7" x14ac:dyDescent="0.25">
      <c r="A6129">
        <v>24</v>
      </c>
      <c r="B6129" t="s">
        <v>5864</v>
      </c>
      <c r="C6129">
        <v>16053</v>
      </c>
      <c r="D6129" t="str">
        <f>"0103-6351"</f>
        <v>0103-6351</v>
      </c>
      <c r="E6129" t="s">
        <v>8</v>
      </c>
      <c r="F6129" t="s">
        <v>6131</v>
      </c>
      <c r="G6129">
        <v>1</v>
      </c>
    </row>
    <row r="6130" spans="1:7" x14ac:dyDescent="0.25">
      <c r="A6130">
        <v>24</v>
      </c>
      <c r="B6130" t="s">
        <v>5864</v>
      </c>
      <c r="C6130">
        <v>12784</v>
      </c>
      <c r="D6130" t="str">
        <f>"0923-7992"</f>
        <v>0923-7992</v>
      </c>
      <c r="E6130" t="s">
        <v>8</v>
      </c>
      <c r="F6130" t="s">
        <v>6132</v>
      </c>
      <c r="G6130">
        <v>1</v>
      </c>
    </row>
    <row r="6131" spans="1:7" x14ac:dyDescent="0.25">
      <c r="A6131">
        <v>24</v>
      </c>
      <c r="B6131" t="s">
        <v>5864</v>
      </c>
      <c r="C6131">
        <v>1983</v>
      </c>
      <c r="D6131" t="str">
        <f>"0305-9049"</f>
        <v>0305-9049</v>
      </c>
      <c r="E6131" t="s">
        <v>8</v>
      </c>
      <c r="F6131" t="s">
        <v>6133</v>
      </c>
      <c r="G6131">
        <v>1</v>
      </c>
    </row>
    <row r="6132" spans="1:7" x14ac:dyDescent="0.25">
      <c r="A6132">
        <v>24</v>
      </c>
      <c r="B6132" t="s">
        <v>5864</v>
      </c>
      <c r="C6132">
        <v>2157</v>
      </c>
      <c r="D6132" t="str">
        <f>"0030-7653"</f>
        <v>0030-7653</v>
      </c>
      <c r="E6132" t="s">
        <v>8</v>
      </c>
      <c r="F6132" t="s">
        <v>6134</v>
      </c>
      <c r="G6132">
        <v>1</v>
      </c>
    </row>
    <row r="6133" spans="1:7" x14ac:dyDescent="0.25">
      <c r="A6133">
        <v>24</v>
      </c>
      <c r="B6133" t="s">
        <v>5864</v>
      </c>
      <c r="C6133">
        <v>13071</v>
      </c>
      <c r="D6133" t="str">
        <f>"0266-903X"</f>
        <v>0266-903X</v>
      </c>
      <c r="E6133" t="s">
        <v>8</v>
      </c>
      <c r="F6133" t="s">
        <v>6135</v>
      </c>
      <c r="G6133">
        <v>1</v>
      </c>
    </row>
    <row r="6134" spans="1:7" x14ac:dyDescent="0.25">
      <c r="A6134">
        <v>24</v>
      </c>
      <c r="B6134" t="s">
        <v>5864</v>
      </c>
      <c r="C6134">
        <v>2519</v>
      </c>
      <c r="D6134" t="str">
        <f>"1361-374X"</f>
        <v>1361-374X</v>
      </c>
      <c r="E6134" t="s">
        <v>8</v>
      </c>
      <c r="F6134" t="s">
        <v>6136</v>
      </c>
      <c r="G6134">
        <v>1</v>
      </c>
    </row>
    <row r="6135" spans="1:7" x14ac:dyDescent="0.25">
      <c r="A6135">
        <v>24</v>
      </c>
      <c r="B6135" t="s">
        <v>5864</v>
      </c>
      <c r="C6135">
        <v>60593</v>
      </c>
      <c r="D6135" t="str">
        <f>"1554-8597"</f>
        <v>1554-8597</v>
      </c>
      <c r="E6135" t="s">
        <v>8</v>
      </c>
      <c r="F6135" t="s">
        <v>6137</v>
      </c>
      <c r="G6135">
        <v>1</v>
      </c>
    </row>
    <row r="6136" spans="1:7" x14ac:dyDescent="0.25">
      <c r="A6136">
        <v>24</v>
      </c>
      <c r="B6136" t="s">
        <v>5864</v>
      </c>
      <c r="C6136">
        <v>8783752</v>
      </c>
      <c r="E6136" t="s">
        <v>15</v>
      </c>
      <c r="F6136" t="s">
        <v>6138</v>
      </c>
      <c r="G6136">
        <v>1</v>
      </c>
    </row>
    <row r="6137" spans="1:7" x14ac:dyDescent="0.25">
      <c r="A6137">
        <v>24</v>
      </c>
      <c r="B6137" t="s">
        <v>5864</v>
      </c>
      <c r="C6137">
        <v>15214</v>
      </c>
      <c r="D6137" t="str">
        <f>"0032-3233"</f>
        <v>0032-3233</v>
      </c>
      <c r="E6137" t="s">
        <v>8</v>
      </c>
      <c r="F6137" t="s">
        <v>6139</v>
      </c>
      <c r="G6137">
        <v>1</v>
      </c>
    </row>
    <row r="6138" spans="1:7" x14ac:dyDescent="0.25">
      <c r="A6138">
        <v>24</v>
      </c>
      <c r="B6138" t="s">
        <v>5864</v>
      </c>
      <c r="C6138">
        <v>4211</v>
      </c>
      <c r="D6138" t="str">
        <f>"1617-982X"</f>
        <v>1617-982X</v>
      </c>
      <c r="E6138" t="s">
        <v>8</v>
      </c>
      <c r="F6138" t="s">
        <v>6140</v>
      </c>
      <c r="G6138">
        <v>1</v>
      </c>
    </row>
    <row r="6139" spans="1:7" x14ac:dyDescent="0.25">
      <c r="A6139">
        <v>24</v>
      </c>
      <c r="B6139" t="s">
        <v>5864</v>
      </c>
      <c r="C6139">
        <v>13331</v>
      </c>
      <c r="D6139" t="str">
        <f>"1463-1377"</f>
        <v>1463-1377</v>
      </c>
      <c r="E6139" t="s">
        <v>8</v>
      </c>
      <c r="F6139" t="s">
        <v>6141</v>
      </c>
      <c r="G6139">
        <v>1</v>
      </c>
    </row>
    <row r="6140" spans="1:7" x14ac:dyDescent="0.25">
      <c r="A6140">
        <v>24</v>
      </c>
      <c r="B6140" t="s">
        <v>5864</v>
      </c>
      <c r="C6140">
        <v>58356</v>
      </c>
      <c r="D6140" t="str">
        <f>"1523-9721"</f>
        <v>1523-9721</v>
      </c>
      <c r="E6140" t="s">
        <v>8</v>
      </c>
      <c r="F6140" t="s">
        <v>6142</v>
      </c>
      <c r="G6140">
        <v>1</v>
      </c>
    </row>
    <row r="6141" spans="1:7" x14ac:dyDescent="0.25">
      <c r="A6141">
        <v>24</v>
      </c>
      <c r="B6141" t="s">
        <v>5864</v>
      </c>
      <c r="C6141">
        <v>16257</v>
      </c>
      <c r="D6141" t="str">
        <f>"1091-1421"</f>
        <v>1091-1421</v>
      </c>
      <c r="E6141" t="s">
        <v>8</v>
      </c>
      <c r="F6141" t="s">
        <v>6143</v>
      </c>
      <c r="G6141">
        <v>1</v>
      </c>
    </row>
    <row r="6142" spans="1:7" x14ac:dyDescent="0.25">
      <c r="A6142">
        <v>24</v>
      </c>
      <c r="B6142" t="s">
        <v>5864</v>
      </c>
      <c r="C6142">
        <v>1527</v>
      </c>
      <c r="D6142" t="str">
        <f>"1080-8620"</f>
        <v>1080-8620</v>
      </c>
      <c r="E6142" t="s">
        <v>8</v>
      </c>
      <c r="F6142" t="s">
        <v>6144</v>
      </c>
      <c r="G6142">
        <v>1</v>
      </c>
    </row>
    <row r="6143" spans="1:7" x14ac:dyDescent="0.25">
      <c r="A6143">
        <v>24</v>
      </c>
      <c r="B6143" t="s">
        <v>5864</v>
      </c>
      <c r="C6143">
        <v>15796</v>
      </c>
      <c r="D6143" t="str">
        <f>"1538-3792"</f>
        <v>1538-3792</v>
      </c>
      <c r="E6143" t="s">
        <v>8</v>
      </c>
      <c r="F6143" t="s">
        <v>6145</v>
      </c>
      <c r="G6143">
        <v>1</v>
      </c>
    </row>
    <row r="6144" spans="1:7" x14ac:dyDescent="0.25">
      <c r="A6144">
        <v>24</v>
      </c>
      <c r="B6144" t="s">
        <v>5864</v>
      </c>
      <c r="C6144">
        <v>35970</v>
      </c>
      <c r="D6144" t="str">
        <f>"1755-9472"</f>
        <v>1755-9472</v>
      </c>
      <c r="E6144" t="s">
        <v>8</v>
      </c>
      <c r="F6144" t="s">
        <v>6146</v>
      </c>
      <c r="G6144">
        <v>1</v>
      </c>
    </row>
    <row r="6145" spans="1:7" x14ac:dyDescent="0.25">
      <c r="A6145">
        <v>24</v>
      </c>
      <c r="B6145" t="s">
        <v>5864</v>
      </c>
      <c r="C6145">
        <v>16899</v>
      </c>
      <c r="D6145" t="str">
        <f>"0166-0462"</f>
        <v>0166-0462</v>
      </c>
      <c r="E6145" t="s">
        <v>8</v>
      </c>
      <c r="F6145" t="s">
        <v>6147</v>
      </c>
      <c r="G6145">
        <v>1</v>
      </c>
    </row>
    <row r="6146" spans="1:7" x14ac:dyDescent="0.25">
      <c r="A6146">
        <v>24</v>
      </c>
      <c r="B6146" t="s">
        <v>5864</v>
      </c>
      <c r="C6146">
        <v>120002</v>
      </c>
      <c r="D6146" t="str">
        <f>"0363-3268"</f>
        <v>0363-3268</v>
      </c>
      <c r="E6146" t="s">
        <v>15</v>
      </c>
      <c r="F6146" t="s">
        <v>6148</v>
      </c>
      <c r="G6146">
        <v>1</v>
      </c>
    </row>
    <row r="6147" spans="1:7" x14ac:dyDescent="0.25">
      <c r="A6147">
        <v>24</v>
      </c>
      <c r="B6147" t="s">
        <v>5864</v>
      </c>
      <c r="C6147">
        <v>16737</v>
      </c>
      <c r="D6147" t="str">
        <f>"1090-9443"</f>
        <v>1090-9443</v>
      </c>
      <c r="E6147" t="s">
        <v>8</v>
      </c>
      <c r="F6147" t="s">
        <v>6149</v>
      </c>
      <c r="G6147">
        <v>1</v>
      </c>
    </row>
    <row r="6148" spans="1:7" x14ac:dyDescent="0.25">
      <c r="A6148">
        <v>24</v>
      </c>
      <c r="B6148" t="s">
        <v>5864</v>
      </c>
      <c r="C6148">
        <v>12231</v>
      </c>
      <c r="D6148" t="str">
        <f>"0193-2306"</f>
        <v>0193-2306</v>
      </c>
      <c r="E6148" t="s">
        <v>15</v>
      </c>
      <c r="F6148" t="s">
        <v>6150</v>
      </c>
      <c r="G6148">
        <v>1</v>
      </c>
    </row>
    <row r="6149" spans="1:7" x14ac:dyDescent="0.25">
      <c r="A6149">
        <v>24</v>
      </c>
      <c r="B6149" t="s">
        <v>5864</v>
      </c>
      <c r="C6149">
        <v>15101</v>
      </c>
      <c r="D6149" t="str">
        <f>"0193-5895"</f>
        <v>0193-5895</v>
      </c>
      <c r="E6149" t="s">
        <v>15</v>
      </c>
      <c r="F6149" t="s">
        <v>6151</v>
      </c>
      <c r="G6149">
        <v>1</v>
      </c>
    </row>
    <row r="6150" spans="1:7" x14ac:dyDescent="0.25">
      <c r="A6150">
        <v>24</v>
      </c>
      <c r="B6150" t="s">
        <v>5864</v>
      </c>
      <c r="C6150">
        <v>152013</v>
      </c>
      <c r="D6150" t="str">
        <f>"0161-7230"</f>
        <v>0161-7230</v>
      </c>
      <c r="E6150" t="s">
        <v>15</v>
      </c>
      <c r="F6150" t="s">
        <v>6152</v>
      </c>
      <c r="G6150">
        <v>1</v>
      </c>
    </row>
    <row r="6151" spans="1:7" x14ac:dyDescent="0.25">
      <c r="A6151">
        <v>24</v>
      </c>
      <c r="B6151" t="s">
        <v>5864</v>
      </c>
      <c r="C6151">
        <v>2847</v>
      </c>
      <c r="D6151" t="str">
        <f>"1049-2585"</f>
        <v>1049-2585</v>
      </c>
      <c r="E6151" t="s">
        <v>15</v>
      </c>
      <c r="F6151" t="s">
        <v>6153</v>
      </c>
      <c r="G6151">
        <v>1</v>
      </c>
    </row>
    <row r="6152" spans="1:7" x14ac:dyDescent="0.25">
      <c r="A6152">
        <v>24</v>
      </c>
      <c r="B6152" t="s">
        <v>5864</v>
      </c>
      <c r="C6152">
        <v>3759</v>
      </c>
      <c r="D6152" t="str">
        <f>"0305-6244"</f>
        <v>0305-6244</v>
      </c>
      <c r="E6152" t="s">
        <v>8</v>
      </c>
      <c r="F6152" t="s">
        <v>6154</v>
      </c>
      <c r="G6152">
        <v>1</v>
      </c>
    </row>
    <row r="6153" spans="1:7" x14ac:dyDescent="0.25">
      <c r="A6153">
        <v>24</v>
      </c>
      <c r="B6153" t="s">
        <v>5864</v>
      </c>
      <c r="C6153">
        <v>7752844</v>
      </c>
      <c r="D6153" t="str">
        <f>"2326-6201"</f>
        <v>2326-6201</v>
      </c>
      <c r="E6153" t="s">
        <v>8</v>
      </c>
      <c r="F6153" t="s">
        <v>6155</v>
      </c>
      <c r="G6153">
        <v>1</v>
      </c>
    </row>
    <row r="6154" spans="1:7" x14ac:dyDescent="0.25">
      <c r="A6154">
        <v>24</v>
      </c>
      <c r="B6154" t="s">
        <v>5864</v>
      </c>
      <c r="C6154">
        <v>1051</v>
      </c>
      <c r="D6154" t="str">
        <f>"1434-4742"</f>
        <v>1434-4742</v>
      </c>
      <c r="E6154" t="s">
        <v>8</v>
      </c>
      <c r="F6154" t="s">
        <v>6156</v>
      </c>
      <c r="G6154">
        <v>1</v>
      </c>
    </row>
    <row r="6155" spans="1:7" x14ac:dyDescent="0.25">
      <c r="A6155">
        <v>24</v>
      </c>
      <c r="B6155" t="s">
        <v>5864</v>
      </c>
      <c r="C6155">
        <v>94174</v>
      </c>
      <c r="D6155" t="str">
        <f>"2038-1379"</f>
        <v>2038-1379</v>
      </c>
      <c r="E6155" t="s">
        <v>8</v>
      </c>
      <c r="F6155" t="s">
        <v>6157</v>
      </c>
      <c r="G6155">
        <v>1</v>
      </c>
    </row>
    <row r="6156" spans="1:7" x14ac:dyDescent="0.25">
      <c r="A6156">
        <v>24</v>
      </c>
      <c r="B6156" t="s">
        <v>5864</v>
      </c>
      <c r="C6156">
        <v>5145</v>
      </c>
      <c r="D6156" t="str">
        <f>"1569-5239"</f>
        <v>1569-5239</v>
      </c>
      <c r="E6156" t="s">
        <v>8</v>
      </c>
      <c r="F6156" t="s">
        <v>6158</v>
      </c>
      <c r="G6156">
        <v>1</v>
      </c>
    </row>
    <row r="6157" spans="1:7" x14ac:dyDescent="0.25">
      <c r="A6157">
        <v>24</v>
      </c>
      <c r="B6157" t="s">
        <v>5864</v>
      </c>
      <c r="C6157">
        <v>9968</v>
      </c>
      <c r="D6157" t="str">
        <f>"0034-6586"</f>
        <v>0034-6586</v>
      </c>
      <c r="E6157" t="s">
        <v>8</v>
      </c>
      <c r="F6157" t="s">
        <v>6159</v>
      </c>
      <c r="G6157">
        <v>1</v>
      </c>
    </row>
    <row r="6158" spans="1:7" x14ac:dyDescent="0.25">
      <c r="A6158">
        <v>24</v>
      </c>
      <c r="B6158" t="s">
        <v>5864</v>
      </c>
      <c r="C6158">
        <v>12152</v>
      </c>
      <c r="D6158" t="str">
        <f>"0965-7576"</f>
        <v>0965-7576</v>
      </c>
      <c r="E6158" t="s">
        <v>8</v>
      </c>
      <c r="F6158" t="s">
        <v>6160</v>
      </c>
      <c r="G6158">
        <v>1</v>
      </c>
    </row>
    <row r="6159" spans="1:7" x14ac:dyDescent="0.25">
      <c r="A6159">
        <v>24</v>
      </c>
      <c r="B6159" t="s">
        <v>5864</v>
      </c>
      <c r="C6159">
        <v>7755027</v>
      </c>
      <c r="D6159" t="str">
        <f>"2049-5323"</f>
        <v>2049-5323</v>
      </c>
      <c r="E6159" t="s">
        <v>8</v>
      </c>
      <c r="F6159" t="s">
        <v>6161</v>
      </c>
      <c r="G6159">
        <v>1</v>
      </c>
    </row>
    <row r="6160" spans="1:7" x14ac:dyDescent="0.25">
      <c r="A6160">
        <v>24</v>
      </c>
      <c r="B6160" t="s">
        <v>5864</v>
      </c>
      <c r="C6160">
        <v>27177</v>
      </c>
      <c r="D6160" t="str">
        <f>"2194-6000"</f>
        <v>2194-6000</v>
      </c>
      <c r="E6160" t="s">
        <v>8</v>
      </c>
      <c r="F6160" t="s">
        <v>6162</v>
      </c>
      <c r="G6160">
        <v>1</v>
      </c>
    </row>
    <row r="6161" spans="1:7" x14ac:dyDescent="0.25">
      <c r="A6161">
        <v>24</v>
      </c>
      <c r="B6161" t="s">
        <v>5864</v>
      </c>
      <c r="C6161">
        <v>6261700</v>
      </c>
      <c r="D6161" t="str">
        <f>"0974-9292"</f>
        <v>0974-9292</v>
      </c>
      <c r="E6161" t="s">
        <v>8</v>
      </c>
      <c r="F6161" t="s">
        <v>6163</v>
      </c>
      <c r="G6161">
        <v>1</v>
      </c>
    </row>
    <row r="6162" spans="1:7" x14ac:dyDescent="0.25">
      <c r="A6162">
        <v>24</v>
      </c>
      <c r="B6162" t="s">
        <v>5864</v>
      </c>
      <c r="C6162">
        <v>5487</v>
      </c>
      <c r="D6162" t="str">
        <f>"0953-8259"</f>
        <v>0953-8259</v>
      </c>
      <c r="E6162" t="s">
        <v>8</v>
      </c>
      <c r="F6162" t="s">
        <v>6164</v>
      </c>
      <c r="G6162">
        <v>1</v>
      </c>
    </row>
    <row r="6163" spans="1:7" x14ac:dyDescent="0.25">
      <c r="A6163">
        <v>24</v>
      </c>
      <c r="B6163" t="s">
        <v>5864</v>
      </c>
      <c r="C6163">
        <v>13060</v>
      </c>
      <c r="D6163" t="str">
        <f>"0486-6134"</f>
        <v>0486-6134</v>
      </c>
      <c r="E6163" t="s">
        <v>8</v>
      </c>
      <c r="F6163" t="s">
        <v>6165</v>
      </c>
      <c r="G6163">
        <v>1</v>
      </c>
    </row>
    <row r="6164" spans="1:7" x14ac:dyDescent="0.25">
      <c r="A6164">
        <v>24</v>
      </c>
      <c r="B6164" t="s">
        <v>5864</v>
      </c>
      <c r="C6164">
        <v>14476</v>
      </c>
      <c r="D6164" t="str">
        <f>"0034-6764"</f>
        <v>0034-6764</v>
      </c>
      <c r="E6164" t="s">
        <v>8</v>
      </c>
      <c r="F6164" t="s">
        <v>6166</v>
      </c>
      <c r="G6164">
        <v>1</v>
      </c>
    </row>
    <row r="6165" spans="1:7" x14ac:dyDescent="0.25">
      <c r="A6165">
        <v>24</v>
      </c>
      <c r="B6165" t="s">
        <v>5864</v>
      </c>
      <c r="C6165">
        <v>14141</v>
      </c>
      <c r="D6165" t="str">
        <f>"1610-2878"</f>
        <v>1610-2878</v>
      </c>
      <c r="E6165" t="s">
        <v>8</v>
      </c>
      <c r="F6165" t="s">
        <v>6167</v>
      </c>
      <c r="G6165">
        <v>1</v>
      </c>
    </row>
    <row r="6166" spans="1:7" x14ac:dyDescent="0.25">
      <c r="A6166">
        <v>24</v>
      </c>
      <c r="B6166" t="s">
        <v>5864</v>
      </c>
      <c r="C6166">
        <v>27108</v>
      </c>
      <c r="D6166" t="str">
        <f>"0101-3157"</f>
        <v>0101-3157</v>
      </c>
      <c r="E6166" t="s">
        <v>8</v>
      </c>
      <c r="F6166" t="s">
        <v>6168</v>
      </c>
      <c r="G6166">
        <v>1</v>
      </c>
    </row>
    <row r="6167" spans="1:7" x14ac:dyDescent="0.25">
      <c r="A6167">
        <v>24</v>
      </c>
      <c r="B6167" t="s">
        <v>5864</v>
      </c>
      <c r="C6167">
        <v>1533</v>
      </c>
      <c r="D6167" t="str">
        <f>"0373-2630"</f>
        <v>0373-2630</v>
      </c>
      <c r="E6167" t="s">
        <v>8</v>
      </c>
      <c r="F6167" t="s">
        <v>6169</v>
      </c>
      <c r="G6167">
        <v>1</v>
      </c>
    </row>
    <row r="6168" spans="1:7" x14ac:dyDescent="0.25">
      <c r="A6168">
        <v>24</v>
      </c>
      <c r="B6168" t="s">
        <v>5864</v>
      </c>
      <c r="C6168">
        <v>7620</v>
      </c>
      <c r="D6168" t="str">
        <f>"0035-2764"</f>
        <v>0035-2764</v>
      </c>
      <c r="E6168" t="s">
        <v>8</v>
      </c>
      <c r="F6168" t="s">
        <v>6170</v>
      </c>
      <c r="G6168">
        <v>1</v>
      </c>
    </row>
    <row r="6169" spans="1:7" x14ac:dyDescent="0.25">
      <c r="A6169">
        <v>24</v>
      </c>
      <c r="B6169" t="s">
        <v>5864</v>
      </c>
      <c r="C6169">
        <v>15426</v>
      </c>
      <c r="D6169" t="str">
        <f>"0303-9692"</f>
        <v>0303-9692</v>
      </c>
      <c r="E6169" t="s">
        <v>8</v>
      </c>
      <c r="F6169" t="s">
        <v>6171</v>
      </c>
      <c r="G6169">
        <v>1</v>
      </c>
    </row>
    <row r="6170" spans="1:7" x14ac:dyDescent="0.25">
      <c r="A6170">
        <v>24</v>
      </c>
      <c r="B6170" t="s">
        <v>5864</v>
      </c>
      <c r="C6170">
        <v>15486</v>
      </c>
      <c r="D6170" t="str">
        <f>"0036-9292"</f>
        <v>0036-9292</v>
      </c>
      <c r="E6170" t="s">
        <v>8</v>
      </c>
      <c r="F6170" t="s">
        <v>6172</v>
      </c>
      <c r="G6170">
        <v>1</v>
      </c>
    </row>
    <row r="6171" spans="1:7" x14ac:dyDescent="0.25">
      <c r="A6171">
        <v>24</v>
      </c>
      <c r="B6171" t="s">
        <v>5864</v>
      </c>
      <c r="C6171">
        <v>6197177</v>
      </c>
      <c r="E6171" t="s">
        <v>15</v>
      </c>
      <c r="F6171" t="s">
        <v>6173</v>
      </c>
      <c r="G6171">
        <v>1</v>
      </c>
    </row>
    <row r="6172" spans="1:7" x14ac:dyDescent="0.25">
      <c r="A6172">
        <v>24</v>
      </c>
      <c r="B6172" t="s">
        <v>5864</v>
      </c>
      <c r="C6172">
        <v>16374</v>
      </c>
      <c r="D6172" t="str">
        <f>"1869-4187"</f>
        <v>1869-4187</v>
      </c>
      <c r="E6172" t="s">
        <v>8</v>
      </c>
      <c r="F6172" t="s">
        <v>6174</v>
      </c>
      <c r="G6172">
        <v>1</v>
      </c>
    </row>
    <row r="6173" spans="1:7" x14ac:dyDescent="0.25">
      <c r="A6173">
        <v>24</v>
      </c>
      <c r="B6173" t="s">
        <v>5864</v>
      </c>
      <c r="C6173">
        <v>9176</v>
      </c>
      <c r="D6173" t="str">
        <f>"0176-1714"</f>
        <v>0176-1714</v>
      </c>
      <c r="E6173" t="s">
        <v>8</v>
      </c>
      <c r="F6173" t="s">
        <v>6175</v>
      </c>
      <c r="G6173">
        <v>1</v>
      </c>
    </row>
    <row r="6174" spans="1:7" x14ac:dyDescent="0.25">
      <c r="A6174">
        <v>24</v>
      </c>
      <c r="B6174" t="s">
        <v>5864</v>
      </c>
      <c r="C6174">
        <v>9861</v>
      </c>
      <c r="D6174" t="str">
        <f>"0038-0121"</f>
        <v>0038-0121</v>
      </c>
      <c r="E6174" t="s">
        <v>8</v>
      </c>
      <c r="F6174" t="s">
        <v>6176</v>
      </c>
      <c r="G6174">
        <v>1</v>
      </c>
    </row>
    <row r="6175" spans="1:7" x14ac:dyDescent="0.25">
      <c r="A6175">
        <v>24</v>
      </c>
      <c r="B6175" t="s">
        <v>5864</v>
      </c>
      <c r="C6175">
        <v>717</v>
      </c>
      <c r="D6175" t="str">
        <f>"0038-2280"</f>
        <v>0038-2280</v>
      </c>
      <c r="E6175" t="s">
        <v>8</v>
      </c>
      <c r="F6175" t="s">
        <v>6177</v>
      </c>
      <c r="G6175">
        <v>1</v>
      </c>
    </row>
    <row r="6176" spans="1:7" x14ac:dyDescent="0.25">
      <c r="A6176">
        <v>24</v>
      </c>
      <c r="B6176" t="s">
        <v>5864</v>
      </c>
      <c r="C6176">
        <v>2407</v>
      </c>
      <c r="D6176" t="str">
        <f>"1391-5614"</f>
        <v>1391-5614</v>
      </c>
      <c r="E6176" t="s">
        <v>8</v>
      </c>
      <c r="F6176" t="s">
        <v>6178</v>
      </c>
      <c r="G6176">
        <v>1</v>
      </c>
    </row>
    <row r="6177" spans="1:7" x14ac:dyDescent="0.25">
      <c r="A6177">
        <v>24</v>
      </c>
      <c r="B6177" t="s">
        <v>5864</v>
      </c>
      <c r="C6177">
        <v>6285514</v>
      </c>
      <c r="D6177" t="str">
        <f>"1840-118X"</f>
        <v>1840-118X</v>
      </c>
      <c r="E6177" t="s">
        <v>8</v>
      </c>
      <c r="F6177" t="s">
        <v>6179</v>
      </c>
      <c r="G6177">
        <v>1</v>
      </c>
    </row>
    <row r="6178" spans="1:7" x14ac:dyDescent="0.25">
      <c r="A6178">
        <v>24</v>
      </c>
      <c r="B6178" t="s">
        <v>5864</v>
      </c>
      <c r="C6178">
        <v>1192</v>
      </c>
      <c r="D6178" t="str">
        <f>"0038-4038"</f>
        <v>0038-4038</v>
      </c>
      <c r="E6178" t="s">
        <v>8</v>
      </c>
      <c r="F6178" t="s">
        <v>6180</v>
      </c>
      <c r="G6178">
        <v>1</v>
      </c>
    </row>
    <row r="6179" spans="1:7" x14ac:dyDescent="0.25">
      <c r="A6179">
        <v>24</v>
      </c>
      <c r="B6179" t="s">
        <v>5864</v>
      </c>
      <c r="C6179">
        <v>5176</v>
      </c>
      <c r="D6179" t="str">
        <f>"1742-1772"</f>
        <v>1742-1772</v>
      </c>
      <c r="E6179" t="s">
        <v>8</v>
      </c>
      <c r="F6179" t="s">
        <v>6181</v>
      </c>
      <c r="G6179">
        <v>1</v>
      </c>
    </row>
    <row r="6180" spans="1:7" x14ac:dyDescent="0.25">
      <c r="A6180">
        <v>24</v>
      </c>
      <c r="B6180" t="s">
        <v>5864</v>
      </c>
      <c r="C6180">
        <v>18599</v>
      </c>
      <c r="D6180" t="str">
        <f>"1874-7655"</f>
        <v>1874-7655</v>
      </c>
      <c r="E6180" t="s">
        <v>8</v>
      </c>
      <c r="F6180" t="s">
        <v>6182</v>
      </c>
      <c r="G6180">
        <v>1</v>
      </c>
    </row>
    <row r="6181" spans="1:7" x14ac:dyDescent="0.25">
      <c r="A6181">
        <v>24</v>
      </c>
      <c r="B6181" t="s">
        <v>5864</v>
      </c>
      <c r="C6181">
        <v>4289</v>
      </c>
      <c r="D6181" t="str">
        <f>"0954-349X"</f>
        <v>0954-349X</v>
      </c>
      <c r="E6181" t="s">
        <v>8</v>
      </c>
      <c r="F6181" t="s">
        <v>6183</v>
      </c>
      <c r="G6181">
        <v>1</v>
      </c>
    </row>
    <row r="6182" spans="1:7" x14ac:dyDescent="0.25">
      <c r="A6182">
        <v>24</v>
      </c>
      <c r="B6182" t="s">
        <v>5864</v>
      </c>
      <c r="C6182">
        <v>21215</v>
      </c>
      <c r="D6182" t="str">
        <f>"1086-7376"</f>
        <v>1086-7376</v>
      </c>
      <c r="E6182" t="s">
        <v>8</v>
      </c>
      <c r="F6182" t="s">
        <v>6184</v>
      </c>
      <c r="G6182">
        <v>1</v>
      </c>
    </row>
    <row r="6183" spans="1:7" x14ac:dyDescent="0.25">
      <c r="A6183">
        <v>24</v>
      </c>
      <c r="B6183" t="s">
        <v>5864</v>
      </c>
      <c r="C6183">
        <v>14242</v>
      </c>
      <c r="D6183" t="str">
        <f>"1081-1826"</f>
        <v>1081-1826</v>
      </c>
      <c r="E6183" t="s">
        <v>8</v>
      </c>
      <c r="F6183" t="s">
        <v>6185</v>
      </c>
      <c r="G6183">
        <v>1</v>
      </c>
    </row>
    <row r="6184" spans="1:7" x14ac:dyDescent="0.25">
      <c r="A6184">
        <v>24</v>
      </c>
      <c r="B6184" t="s">
        <v>5864</v>
      </c>
      <c r="C6184">
        <v>7720</v>
      </c>
      <c r="D6184" t="str">
        <f>"1075-7007"</f>
        <v>1075-7007</v>
      </c>
      <c r="E6184" t="s">
        <v>8</v>
      </c>
      <c r="F6184" t="s">
        <v>6186</v>
      </c>
      <c r="G6184">
        <v>1</v>
      </c>
    </row>
    <row r="6185" spans="1:7" x14ac:dyDescent="0.25">
      <c r="A6185">
        <v>24</v>
      </c>
      <c r="B6185" t="s">
        <v>5864</v>
      </c>
      <c r="C6185">
        <v>11996</v>
      </c>
      <c r="D6185" t="str">
        <f>"0892-8649"</f>
        <v>0892-8649</v>
      </c>
      <c r="E6185" t="s">
        <v>15</v>
      </c>
      <c r="F6185" t="s">
        <v>6187</v>
      </c>
      <c r="G6185">
        <v>1</v>
      </c>
    </row>
    <row r="6186" spans="1:7" x14ac:dyDescent="0.25">
      <c r="A6186">
        <v>24</v>
      </c>
      <c r="B6186" t="s">
        <v>5864</v>
      </c>
      <c r="C6186">
        <v>27418</v>
      </c>
      <c r="D6186" t="str">
        <f>"1551-1383"</f>
        <v>1551-1383</v>
      </c>
      <c r="E6186" t="s">
        <v>8</v>
      </c>
      <c r="F6186" t="s">
        <v>6188</v>
      </c>
      <c r="G6186">
        <v>1</v>
      </c>
    </row>
    <row r="6187" spans="1:7" x14ac:dyDescent="0.25">
      <c r="A6187">
        <v>24</v>
      </c>
      <c r="B6187" t="s">
        <v>5864</v>
      </c>
      <c r="C6187">
        <v>13706</v>
      </c>
      <c r="D6187" t="str">
        <f>"0004-9018"</f>
        <v>0004-9018</v>
      </c>
      <c r="E6187" t="s">
        <v>8</v>
      </c>
      <c r="F6187" t="s">
        <v>6189</v>
      </c>
      <c r="G6187">
        <v>1</v>
      </c>
    </row>
    <row r="6188" spans="1:7" x14ac:dyDescent="0.25">
      <c r="A6188">
        <v>24</v>
      </c>
      <c r="B6188" t="s">
        <v>5864</v>
      </c>
      <c r="C6188">
        <v>7165</v>
      </c>
      <c r="D6188" t="str">
        <f>"1364-985X"</f>
        <v>1364-985X</v>
      </c>
      <c r="E6188" t="s">
        <v>8</v>
      </c>
      <c r="F6188" t="s">
        <v>6190</v>
      </c>
      <c r="G6188">
        <v>1</v>
      </c>
    </row>
    <row r="6189" spans="1:7" x14ac:dyDescent="0.25">
      <c r="A6189">
        <v>24</v>
      </c>
      <c r="B6189" t="s">
        <v>5864</v>
      </c>
      <c r="C6189">
        <v>27718</v>
      </c>
      <c r="D6189" t="str">
        <f>"2194-6108"</f>
        <v>2194-6108</v>
      </c>
      <c r="E6189" t="s">
        <v>8</v>
      </c>
      <c r="F6189" t="s">
        <v>6191</v>
      </c>
      <c r="G6189">
        <v>1</v>
      </c>
    </row>
    <row r="6190" spans="1:7" x14ac:dyDescent="0.25">
      <c r="A6190">
        <v>24</v>
      </c>
      <c r="B6190" t="s">
        <v>5864</v>
      </c>
      <c r="C6190">
        <v>6018</v>
      </c>
      <c r="D6190" t="str">
        <f>"1935-1690"</f>
        <v>1935-1690</v>
      </c>
      <c r="E6190" t="s">
        <v>8</v>
      </c>
      <c r="F6190" t="s">
        <v>6192</v>
      </c>
      <c r="G6190">
        <v>1</v>
      </c>
    </row>
    <row r="6191" spans="1:7" x14ac:dyDescent="0.25">
      <c r="A6191">
        <v>24</v>
      </c>
      <c r="B6191" t="s">
        <v>5864</v>
      </c>
      <c r="C6191">
        <v>7761</v>
      </c>
      <c r="D6191" t="str">
        <f>"2194-6124"</f>
        <v>2194-6124</v>
      </c>
      <c r="E6191" t="s">
        <v>8</v>
      </c>
      <c r="F6191" t="s">
        <v>6193</v>
      </c>
      <c r="G6191">
        <v>1</v>
      </c>
    </row>
    <row r="6192" spans="1:7" x14ac:dyDescent="0.25">
      <c r="A6192">
        <v>24</v>
      </c>
      <c r="B6192" t="s">
        <v>5864</v>
      </c>
      <c r="C6192">
        <v>9688</v>
      </c>
      <c r="D6192" t="str">
        <f>"0013-0249"</f>
        <v>0013-0249</v>
      </c>
      <c r="E6192" t="s">
        <v>8</v>
      </c>
      <c r="F6192" t="s">
        <v>6194</v>
      </c>
      <c r="G6192">
        <v>1</v>
      </c>
    </row>
    <row r="6193" spans="1:7" x14ac:dyDescent="0.25">
      <c r="A6193">
        <v>24</v>
      </c>
      <c r="B6193" t="s">
        <v>5864</v>
      </c>
      <c r="C6193">
        <v>2791</v>
      </c>
      <c r="D6193" t="str">
        <f>"0967-0750"</f>
        <v>0967-0750</v>
      </c>
      <c r="E6193" t="s">
        <v>8</v>
      </c>
      <c r="F6193" t="s">
        <v>6195</v>
      </c>
      <c r="G6193">
        <v>1</v>
      </c>
    </row>
    <row r="6194" spans="1:7" x14ac:dyDescent="0.25">
      <c r="A6194">
        <v>24</v>
      </c>
      <c r="B6194" t="s">
        <v>5864</v>
      </c>
      <c r="C6194">
        <v>84463</v>
      </c>
      <c r="D6194" t="str">
        <f>"1824-2979"</f>
        <v>1824-2979</v>
      </c>
      <c r="E6194" t="s">
        <v>8</v>
      </c>
      <c r="F6194" t="s">
        <v>6196</v>
      </c>
      <c r="G6194">
        <v>1</v>
      </c>
    </row>
    <row r="6195" spans="1:7" x14ac:dyDescent="0.25">
      <c r="A6195">
        <v>24</v>
      </c>
      <c r="B6195" t="s">
        <v>5864</v>
      </c>
      <c r="C6195">
        <v>6977</v>
      </c>
      <c r="D6195" t="str">
        <f>"1018-5895"</f>
        <v>1018-5895</v>
      </c>
      <c r="E6195" t="s">
        <v>8</v>
      </c>
      <c r="F6195" t="s">
        <v>6197</v>
      </c>
      <c r="G6195">
        <v>1</v>
      </c>
    </row>
    <row r="6196" spans="1:7" x14ac:dyDescent="0.25">
      <c r="A6196">
        <v>24</v>
      </c>
      <c r="B6196" t="s">
        <v>5864</v>
      </c>
      <c r="C6196">
        <v>9662</v>
      </c>
      <c r="D6196" t="str">
        <f>"0019-5308"</f>
        <v>0019-5308</v>
      </c>
      <c r="E6196" t="s">
        <v>8</v>
      </c>
      <c r="F6196" t="s">
        <v>6198</v>
      </c>
      <c r="G6196">
        <v>1</v>
      </c>
    </row>
    <row r="6197" spans="1:7" x14ac:dyDescent="0.25">
      <c r="A6197">
        <v>24</v>
      </c>
      <c r="B6197" t="s">
        <v>5864</v>
      </c>
      <c r="C6197">
        <v>6442</v>
      </c>
      <c r="D6197" t="str">
        <f>"1352-4739"</f>
        <v>1352-4739</v>
      </c>
      <c r="E6197" t="s">
        <v>8</v>
      </c>
      <c r="F6197" t="s">
        <v>6199</v>
      </c>
      <c r="G6197">
        <v>1</v>
      </c>
    </row>
    <row r="6198" spans="1:7" x14ac:dyDescent="0.25">
      <c r="A6198">
        <v>24</v>
      </c>
      <c r="B6198" t="s">
        <v>5864</v>
      </c>
      <c r="C6198">
        <v>12383</v>
      </c>
      <c r="D6198" t="str">
        <f>"0022-0485"</f>
        <v>0022-0485</v>
      </c>
      <c r="E6198" t="s">
        <v>8</v>
      </c>
      <c r="F6198" t="s">
        <v>6200</v>
      </c>
      <c r="G6198">
        <v>1</v>
      </c>
    </row>
    <row r="6199" spans="1:7" x14ac:dyDescent="0.25">
      <c r="A6199">
        <v>24</v>
      </c>
      <c r="B6199" t="s">
        <v>5864</v>
      </c>
      <c r="C6199">
        <v>15905</v>
      </c>
      <c r="D6199" t="str">
        <f>"1569-1721"</f>
        <v>1569-1721</v>
      </c>
      <c r="E6199" t="s">
        <v>8</v>
      </c>
      <c r="F6199" t="s">
        <v>6201</v>
      </c>
      <c r="G6199">
        <v>1</v>
      </c>
    </row>
    <row r="6200" spans="1:7" x14ac:dyDescent="0.25">
      <c r="A6200">
        <v>24</v>
      </c>
      <c r="B6200" t="s">
        <v>5864</v>
      </c>
      <c r="C6200">
        <v>9290</v>
      </c>
      <c r="D6200" t="str">
        <f>"1059-8596"</f>
        <v>1059-8596</v>
      </c>
      <c r="E6200" t="s">
        <v>8</v>
      </c>
      <c r="F6200" t="s">
        <v>6202</v>
      </c>
      <c r="G6200">
        <v>1</v>
      </c>
    </row>
    <row r="6201" spans="1:7" x14ac:dyDescent="0.25">
      <c r="A6201">
        <v>24</v>
      </c>
      <c r="B6201" t="s">
        <v>5864</v>
      </c>
      <c r="C6201">
        <v>9693</v>
      </c>
      <c r="D6201" t="str">
        <f>"0963-8199"</f>
        <v>0963-8199</v>
      </c>
      <c r="E6201" t="s">
        <v>8</v>
      </c>
      <c r="F6201" t="s">
        <v>6203</v>
      </c>
      <c r="G6201">
        <v>1</v>
      </c>
    </row>
    <row r="6202" spans="1:7" x14ac:dyDescent="0.25">
      <c r="A6202">
        <v>24</v>
      </c>
      <c r="B6202" t="s">
        <v>5864</v>
      </c>
      <c r="C6202">
        <v>9940</v>
      </c>
      <c r="D6202" t="str">
        <f>"0022-2186"</f>
        <v>0022-2186</v>
      </c>
      <c r="E6202" t="s">
        <v>8</v>
      </c>
      <c r="F6202" t="s">
        <v>6204</v>
      </c>
      <c r="G6202">
        <v>1</v>
      </c>
    </row>
    <row r="6203" spans="1:7" x14ac:dyDescent="0.25">
      <c r="A6203">
        <v>24</v>
      </c>
      <c r="B6203" t="s">
        <v>5864</v>
      </c>
      <c r="C6203">
        <v>7741616</v>
      </c>
      <c r="D6203" t="str">
        <f>"1843-2298"</f>
        <v>1843-2298</v>
      </c>
      <c r="E6203" t="s">
        <v>8</v>
      </c>
      <c r="F6203" t="s">
        <v>6205</v>
      </c>
      <c r="G6203">
        <v>1</v>
      </c>
    </row>
    <row r="6204" spans="1:7" x14ac:dyDescent="0.25">
      <c r="A6204">
        <v>24</v>
      </c>
      <c r="B6204" t="s">
        <v>5864</v>
      </c>
      <c r="C6204">
        <v>26945</v>
      </c>
      <c r="D6204" t="str">
        <f>"1750-6751"</f>
        <v>1750-6751</v>
      </c>
      <c r="E6204" t="s">
        <v>8</v>
      </c>
      <c r="F6204" t="s">
        <v>6206</v>
      </c>
      <c r="G6204">
        <v>1</v>
      </c>
    </row>
    <row r="6205" spans="1:7" x14ac:dyDescent="0.25">
      <c r="A6205">
        <v>24</v>
      </c>
      <c r="B6205" t="s">
        <v>5864</v>
      </c>
      <c r="C6205">
        <v>2707</v>
      </c>
      <c r="D6205" t="str">
        <f>"1463-6786"</f>
        <v>1463-6786</v>
      </c>
      <c r="E6205" t="s">
        <v>8</v>
      </c>
      <c r="F6205" t="s">
        <v>6207</v>
      </c>
      <c r="G6205">
        <v>1</v>
      </c>
    </row>
    <row r="6206" spans="1:7" x14ac:dyDescent="0.25">
      <c r="A6206">
        <v>24</v>
      </c>
      <c r="B6206" t="s">
        <v>5864</v>
      </c>
      <c r="C6206">
        <v>3117</v>
      </c>
      <c r="D6206" t="str">
        <f>"1098-3708"</f>
        <v>1098-3708</v>
      </c>
      <c r="E6206" t="s">
        <v>8</v>
      </c>
      <c r="F6206" t="s">
        <v>6208</v>
      </c>
      <c r="G6206">
        <v>1</v>
      </c>
    </row>
    <row r="6207" spans="1:7" x14ac:dyDescent="0.25">
      <c r="A6207">
        <v>24</v>
      </c>
      <c r="B6207" t="s">
        <v>5864</v>
      </c>
      <c r="C6207">
        <v>23015</v>
      </c>
      <c r="D6207" t="str">
        <f>"0889-3047"</f>
        <v>0889-3047</v>
      </c>
      <c r="E6207" t="s">
        <v>8</v>
      </c>
      <c r="F6207" t="s">
        <v>6209</v>
      </c>
      <c r="G6207">
        <v>1</v>
      </c>
    </row>
    <row r="6208" spans="1:7" x14ac:dyDescent="0.25">
      <c r="A6208">
        <v>24</v>
      </c>
      <c r="B6208" t="s">
        <v>5864</v>
      </c>
      <c r="C6208">
        <v>14583</v>
      </c>
      <c r="D6208" t="str">
        <f>"0034-6446"</f>
        <v>0034-6446</v>
      </c>
      <c r="E6208" t="s">
        <v>8</v>
      </c>
      <c r="F6208" t="s">
        <v>6210</v>
      </c>
      <c r="G6208">
        <v>1</v>
      </c>
    </row>
    <row r="6209" spans="1:7" x14ac:dyDescent="0.25">
      <c r="A6209">
        <v>24</v>
      </c>
      <c r="B6209" t="s">
        <v>5864</v>
      </c>
      <c r="C6209">
        <v>3133</v>
      </c>
      <c r="D6209" t="str">
        <f>"0217-5908"</f>
        <v>0217-5908</v>
      </c>
      <c r="E6209" t="s">
        <v>8</v>
      </c>
      <c r="F6209" t="s">
        <v>6211</v>
      </c>
      <c r="G6209">
        <v>1</v>
      </c>
    </row>
    <row r="6210" spans="1:7" x14ac:dyDescent="0.25">
      <c r="A6210">
        <v>24</v>
      </c>
      <c r="B6210" t="s">
        <v>5864</v>
      </c>
      <c r="C6210">
        <v>12359</v>
      </c>
      <c r="D6210" t="str">
        <f>"0258-6770"</f>
        <v>0258-6770</v>
      </c>
      <c r="E6210" t="s">
        <v>8</v>
      </c>
      <c r="F6210" t="s">
        <v>6212</v>
      </c>
      <c r="G6210">
        <v>1</v>
      </c>
    </row>
    <row r="6211" spans="1:7" x14ac:dyDescent="0.25">
      <c r="A6211">
        <v>24</v>
      </c>
      <c r="B6211" t="s">
        <v>5864</v>
      </c>
      <c r="C6211">
        <v>6176</v>
      </c>
      <c r="D6211" t="str">
        <f>"0040-5833"</f>
        <v>0040-5833</v>
      </c>
      <c r="E6211" t="s">
        <v>8</v>
      </c>
      <c r="F6211" t="s">
        <v>6213</v>
      </c>
      <c r="G6211">
        <v>1</v>
      </c>
    </row>
    <row r="6212" spans="1:7" x14ac:dyDescent="0.25">
      <c r="A6212">
        <v>24</v>
      </c>
      <c r="B6212" t="s">
        <v>5864</v>
      </c>
      <c r="C6212">
        <v>28586</v>
      </c>
      <c r="D6212" t="str">
        <f>"1940-6444"</f>
        <v>1940-6444</v>
      </c>
      <c r="E6212" t="s">
        <v>8</v>
      </c>
      <c r="F6212" t="s">
        <v>6214</v>
      </c>
      <c r="G6212">
        <v>1</v>
      </c>
    </row>
    <row r="6213" spans="1:7" x14ac:dyDescent="0.25">
      <c r="A6213">
        <v>25</v>
      </c>
      <c r="B6213" t="s">
        <v>6215</v>
      </c>
      <c r="C6213">
        <v>14158</v>
      </c>
      <c r="D6213" t="str">
        <f>"0001-3072"</f>
        <v>0001-3072</v>
      </c>
      <c r="E6213" t="s">
        <v>8</v>
      </c>
      <c r="F6213" t="s">
        <v>6216</v>
      </c>
      <c r="G6213">
        <v>2</v>
      </c>
    </row>
    <row r="6214" spans="1:7" x14ac:dyDescent="0.25">
      <c r="A6214">
        <v>25</v>
      </c>
      <c r="B6214" t="s">
        <v>6215</v>
      </c>
      <c r="C6214">
        <v>15624</v>
      </c>
      <c r="D6214" t="str">
        <f>"0001-4273"</f>
        <v>0001-4273</v>
      </c>
      <c r="E6214" t="s">
        <v>8</v>
      </c>
      <c r="F6214" t="s">
        <v>6217</v>
      </c>
      <c r="G6214">
        <v>2</v>
      </c>
    </row>
    <row r="6215" spans="1:7" x14ac:dyDescent="0.25">
      <c r="A6215">
        <v>25</v>
      </c>
      <c r="B6215" t="s">
        <v>6215</v>
      </c>
      <c r="C6215">
        <v>17201</v>
      </c>
      <c r="D6215" t="str">
        <f>"1558-9080"</f>
        <v>1558-9080</v>
      </c>
      <c r="E6215" t="s">
        <v>8</v>
      </c>
      <c r="F6215" t="s">
        <v>6218</v>
      </c>
      <c r="G6215">
        <v>2</v>
      </c>
    </row>
    <row r="6216" spans="1:7" x14ac:dyDescent="0.25">
      <c r="A6216">
        <v>25</v>
      </c>
      <c r="B6216" t="s">
        <v>6215</v>
      </c>
      <c r="C6216">
        <v>13030</v>
      </c>
      <c r="D6216" t="str">
        <f>"0363-7425"</f>
        <v>0363-7425</v>
      </c>
      <c r="E6216" t="s">
        <v>8</v>
      </c>
      <c r="F6216" t="s">
        <v>6219</v>
      </c>
      <c r="G6216">
        <v>2</v>
      </c>
    </row>
    <row r="6217" spans="1:7" x14ac:dyDescent="0.25">
      <c r="A6217">
        <v>25</v>
      </c>
      <c r="B6217" t="s">
        <v>6215</v>
      </c>
      <c r="C6217">
        <v>8436</v>
      </c>
      <c r="D6217" t="str">
        <f>"0888-7993"</f>
        <v>0888-7993</v>
      </c>
      <c r="E6217" t="s">
        <v>8</v>
      </c>
      <c r="F6217" t="s">
        <v>6220</v>
      </c>
      <c r="G6217">
        <v>2</v>
      </c>
    </row>
    <row r="6218" spans="1:7" x14ac:dyDescent="0.25">
      <c r="A6218">
        <v>25</v>
      </c>
      <c r="B6218" t="s">
        <v>6215</v>
      </c>
      <c r="C6218">
        <v>10431</v>
      </c>
      <c r="D6218" t="str">
        <f>"0361-3682"</f>
        <v>0361-3682</v>
      </c>
      <c r="E6218" t="s">
        <v>8</v>
      </c>
      <c r="F6218" t="s">
        <v>6221</v>
      </c>
      <c r="G6218">
        <v>2</v>
      </c>
    </row>
    <row r="6219" spans="1:7" x14ac:dyDescent="0.25">
      <c r="A6219">
        <v>25</v>
      </c>
      <c r="B6219" t="s">
        <v>6215</v>
      </c>
      <c r="C6219">
        <v>2127</v>
      </c>
      <c r="D6219" t="str">
        <f>"0001-8392"</f>
        <v>0001-8392</v>
      </c>
      <c r="E6219" t="s">
        <v>8</v>
      </c>
      <c r="F6219" t="s">
        <v>6222</v>
      </c>
      <c r="G6219">
        <v>2</v>
      </c>
    </row>
    <row r="6220" spans="1:7" x14ac:dyDescent="0.25">
      <c r="A6220">
        <v>25</v>
      </c>
      <c r="B6220" t="s">
        <v>6215</v>
      </c>
      <c r="C6220">
        <v>12732</v>
      </c>
      <c r="D6220" t="str">
        <f>"0217-4561"</f>
        <v>0217-4561</v>
      </c>
      <c r="E6220" t="s">
        <v>8</v>
      </c>
      <c r="F6220" t="s">
        <v>6223</v>
      </c>
      <c r="G6220">
        <v>2</v>
      </c>
    </row>
    <row r="6221" spans="1:7" x14ac:dyDescent="0.25">
      <c r="A6221">
        <v>25</v>
      </c>
      <c r="B6221" t="s">
        <v>6215</v>
      </c>
      <c r="C6221">
        <v>9750</v>
      </c>
      <c r="D6221" t="str">
        <f>"0278-0380"</f>
        <v>0278-0380</v>
      </c>
      <c r="E6221" t="s">
        <v>8</v>
      </c>
      <c r="F6221" t="s">
        <v>6224</v>
      </c>
      <c r="G6221">
        <v>2</v>
      </c>
    </row>
    <row r="6222" spans="1:7" x14ac:dyDescent="0.25">
      <c r="A6222">
        <v>25</v>
      </c>
      <c r="B6222" t="s">
        <v>6215</v>
      </c>
      <c r="C6222">
        <v>12117</v>
      </c>
      <c r="D6222" t="str">
        <f>"1050-4753"</f>
        <v>1050-4753</v>
      </c>
      <c r="E6222" t="s">
        <v>8</v>
      </c>
      <c r="F6222" t="s">
        <v>6225</v>
      </c>
      <c r="G6222">
        <v>2</v>
      </c>
    </row>
    <row r="6223" spans="1:7" x14ac:dyDescent="0.25">
      <c r="A6223">
        <v>25</v>
      </c>
      <c r="B6223" t="s">
        <v>6215</v>
      </c>
      <c r="C6223">
        <v>6215</v>
      </c>
      <c r="D6223" t="str">
        <f>"1045-3172"</f>
        <v>1045-3172</v>
      </c>
      <c r="E6223" t="s">
        <v>8</v>
      </c>
      <c r="F6223" t="s">
        <v>6226</v>
      </c>
      <c r="G6223">
        <v>2</v>
      </c>
    </row>
    <row r="6224" spans="1:7" x14ac:dyDescent="0.25">
      <c r="A6224">
        <v>25</v>
      </c>
      <c r="B6224" t="s">
        <v>6215</v>
      </c>
      <c r="C6224">
        <v>9890</v>
      </c>
      <c r="D6224" t="str">
        <f>"0007-6503"</f>
        <v>0007-6503</v>
      </c>
      <c r="E6224" t="s">
        <v>8</v>
      </c>
      <c r="F6224" t="s">
        <v>6227</v>
      </c>
      <c r="G6224">
        <v>2</v>
      </c>
    </row>
    <row r="6225" spans="1:7" x14ac:dyDescent="0.25">
      <c r="A6225">
        <v>25</v>
      </c>
      <c r="B6225" t="s">
        <v>6215</v>
      </c>
      <c r="C6225">
        <v>9835</v>
      </c>
      <c r="D6225" t="str">
        <f>"0008-1256"</f>
        <v>0008-1256</v>
      </c>
      <c r="E6225" t="s">
        <v>8</v>
      </c>
      <c r="F6225" t="s">
        <v>6228</v>
      </c>
      <c r="G6225">
        <v>2</v>
      </c>
    </row>
    <row r="6226" spans="1:7" x14ac:dyDescent="0.25">
      <c r="A6226">
        <v>25</v>
      </c>
      <c r="B6226" t="s">
        <v>6215</v>
      </c>
      <c r="C6226">
        <v>16006</v>
      </c>
      <c r="D6226" t="str">
        <f>"1025-3866"</f>
        <v>1025-3866</v>
      </c>
      <c r="E6226" t="s">
        <v>8</v>
      </c>
      <c r="F6226" t="s">
        <v>6229</v>
      </c>
      <c r="G6226">
        <v>2</v>
      </c>
    </row>
    <row r="6227" spans="1:7" x14ac:dyDescent="0.25">
      <c r="A6227">
        <v>25</v>
      </c>
      <c r="B6227" t="s">
        <v>6215</v>
      </c>
      <c r="C6227">
        <v>12657</v>
      </c>
      <c r="D6227" t="str">
        <f>"0823-9150"</f>
        <v>0823-9150</v>
      </c>
      <c r="E6227" t="s">
        <v>8</v>
      </c>
      <c r="F6227" t="s">
        <v>6230</v>
      </c>
      <c r="G6227">
        <v>2</v>
      </c>
    </row>
    <row r="6228" spans="1:7" x14ac:dyDescent="0.25">
      <c r="A6228">
        <v>25</v>
      </c>
      <c r="B6228" t="s">
        <v>6215</v>
      </c>
      <c r="C6228">
        <v>1025</v>
      </c>
      <c r="D6228" t="str">
        <f>"0011-7315"</f>
        <v>0011-7315</v>
      </c>
      <c r="E6228" t="s">
        <v>8</v>
      </c>
      <c r="F6228" t="s">
        <v>6231</v>
      </c>
      <c r="G6228">
        <v>2</v>
      </c>
    </row>
    <row r="6229" spans="1:7" x14ac:dyDescent="0.25">
      <c r="A6229">
        <v>25</v>
      </c>
      <c r="B6229" t="s">
        <v>6215</v>
      </c>
      <c r="C6229">
        <v>11000</v>
      </c>
      <c r="D6229" t="str">
        <f>"0898-5626"</f>
        <v>0898-5626</v>
      </c>
      <c r="E6229" t="s">
        <v>8</v>
      </c>
      <c r="F6229" t="s">
        <v>6232</v>
      </c>
      <c r="G6229">
        <v>2</v>
      </c>
    </row>
    <row r="6230" spans="1:7" x14ac:dyDescent="0.25">
      <c r="A6230">
        <v>25</v>
      </c>
      <c r="B6230" t="s">
        <v>6215</v>
      </c>
      <c r="C6230">
        <v>4035</v>
      </c>
      <c r="D6230" t="str">
        <f>"1042-2587"</f>
        <v>1042-2587</v>
      </c>
      <c r="E6230" t="s">
        <v>8</v>
      </c>
      <c r="F6230" t="s">
        <v>6233</v>
      </c>
      <c r="G6230">
        <v>2</v>
      </c>
    </row>
    <row r="6231" spans="1:7" x14ac:dyDescent="0.25">
      <c r="A6231">
        <v>25</v>
      </c>
      <c r="B6231" t="s">
        <v>6215</v>
      </c>
      <c r="C6231">
        <v>9060</v>
      </c>
      <c r="D6231" t="str">
        <f>"0963-8180"</f>
        <v>0963-8180</v>
      </c>
      <c r="E6231" t="s">
        <v>8</v>
      </c>
      <c r="F6231" t="s">
        <v>6234</v>
      </c>
      <c r="G6231">
        <v>2</v>
      </c>
    </row>
    <row r="6232" spans="1:7" x14ac:dyDescent="0.25">
      <c r="A6232">
        <v>25</v>
      </c>
      <c r="B6232" t="s">
        <v>6215</v>
      </c>
      <c r="C6232">
        <v>14111</v>
      </c>
      <c r="D6232" t="str">
        <f>"0309-0566"</f>
        <v>0309-0566</v>
      </c>
      <c r="E6232" t="s">
        <v>8</v>
      </c>
      <c r="F6232" t="s">
        <v>6235</v>
      </c>
      <c r="G6232">
        <v>2</v>
      </c>
    </row>
    <row r="6233" spans="1:7" x14ac:dyDescent="0.25">
      <c r="A6233">
        <v>25</v>
      </c>
      <c r="B6233" t="s">
        <v>6215</v>
      </c>
      <c r="C6233">
        <v>6158</v>
      </c>
      <c r="D6233" t="str">
        <f>"0267-4424"</f>
        <v>0267-4424</v>
      </c>
      <c r="E6233" t="s">
        <v>8</v>
      </c>
      <c r="F6233" t="s">
        <v>6236</v>
      </c>
      <c r="G6233">
        <v>2</v>
      </c>
    </row>
    <row r="6234" spans="1:7" x14ac:dyDescent="0.25">
      <c r="A6234">
        <v>25</v>
      </c>
      <c r="B6234" t="s">
        <v>6215</v>
      </c>
      <c r="C6234">
        <v>13241</v>
      </c>
      <c r="D6234" t="str">
        <f>"0015-198X"</f>
        <v>0015-198X</v>
      </c>
      <c r="E6234" t="s">
        <v>8</v>
      </c>
      <c r="F6234" t="s">
        <v>6237</v>
      </c>
      <c r="G6234">
        <v>2</v>
      </c>
    </row>
    <row r="6235" spans="1:7" x14ac:dyDescent="0.25">
      <c r="A6235">
        <v>25</v>
      </c>
      <c r="B6235" t="s">
        <v>6215</v>
      </c>
      <c r="C6235">
        <v>14545</v>
      </c>
      <c r="D6235" t="str">
        <f>"0046-3892"</f>
        <v>0046-3892</v>
      </c>
      <c r="E6235" t="s">
        <v>8</v>
      </c>
      <c r="F6235" t="s">
        <v>6238</v>
      </c>
      <c r="G6235">
        <v>2</v>
      </c>
    </row>
    <row r="6236" spans="1:7" x14ac:dyDescent="0.25">
      <c r="A6236">
        <v>25</v>
      </c>
      <c r="B6236" t="s">
        <v>6215</v>
      </c>
      <c r="C6236">
        <v>40295</v>
      </c>
      <c r="D6236" t="str">
        <f>"1554-0642"</f>
        <v>1554-0642</v>
      </c>
      <c r="E6236" t="s">
        <v>8</v>
      </c>
      <c r="F6236" t="s">
        <v>6239</v>
      </c>
      <c r="G6236">
        <v>2</v>
      </c>
    </row>
    <row r="6237" spans="1:7" x14ac:dyDescent="0.25">
      <c r="A6237">
        <v>25</v>
      </c>
      <c r="B6237" t="s">
        <v>6215</v>
      </c>
      <c r="C6237">
        <v>156445</v>
      </c>
      <c r="D6237" t="str">
        <f>"2042-5791"</f>
        <v>2042-5791</v>
      </c>
      <c r="E6237" t="s">
        <v>8</v>
      </c>
      <c r="F6237" t="s">
        <v>6240</v>
      </c>
      <c r="G6237">
        <v>2</v>
      </c>
    </row>
    <row r="6238" spans="1:7" x14ac:dyDescent="0.25">
      <c r="A6238">
        <v>25</v>
      </c>
      <c r="B6238" t="s">
        <v>6215</v>
      </c>
      <c r="C6238">
        <v>5003</v>
      </c>
      <c r="D6238" t="str">
        <f>"1059-6011"</f>
        <v>1059-6011</v>
      </c>
      <c r="E6238" t="s">
        <v>8</v>
      </c>
      <c r="F6238" t="s">
        <v>6241</v>
      </c>
      <c r="G6238">
        <v>2</v>
      </c>
    </row>
    <row r="6239" spans="1:7" x14ac:dyDescent="0.25">
      <c r="A6239">
        <v>25</v>
      </c>
      <c r="B6239" t="s">
        <v>6215</v>
      </c>
      <c r="C6239">
        <v>2334</v>
      </c>
      <c r="D6239" t="str">
        <f>"0018-7267"</f>
        <v>0018-7267</v>
      </c>
      <c r="E6239" t="s">
        <v>8</v>
      </c>
      <c r="F6239" t="s">
        <v>6242</v>
      </c>
      <c r="G6239">
        <v>2</v>
      </c>
    </row>
    <row r="6240" spans="1:7" x14ac:dyDescent="0.25">
      <c r="A6240">
        <v>25</v>
      </c>
      <c r="B6240" t="s">
        <v>6215</v>
      </c>
      <c r="C6240">
        <v>5428</v>
      </c>
      <c r="D6240" t="str">
        <f>"0090-4848"</f>
        <v>0090-4848</v>
      </c>
      <c r="E6240" t="s">
        <v>8</v>
      </c>
      <c r="F6240" t="s">
        <v>6243</v>
      </c>
      <c r="G6240">
        <v>2</v>
      </c>
    </row>
    <row r="6241" spans="1:7" x14ac:dyDescent="0.25">
      <c r="A6241">
        <v>25</v>
      </c>
      <c r="B6241" t="s">
        <v>6215</v>
      </c>
      <c r="C6241">
        <v>11104</v>
      </c>
      <c r="D6241" t="str">
        <f>"0954-5395"</f>
        <v>0954-5395</v>
      </c>
      <c r="E6241" t="s">
        <v>8</v>
      </c>
      <c r="F6241" t="s">
        <v>6244</v>
      </c>
      <c r="G6241">
        <v>2</v>
      </c>
    </row>
    <row r="6242" spans="1:7" x14ac:dyDescent="0.25">
      <c r="A6242">
        <v>25</v>
      </c>
      <c r="B6242" t="s">
        <v>6215</v>
      </c>
      <c r="C6242">
        <v>5000</v>
      </c>
      <c r="D6242" t="str">
        <f>"1053-4822"</f>
        <v>1053-4822</v>
      </c>
      <c r="E6242" t="s">
        <v>8</v>
      </c>
      <c r="F6242" t="s">
        <v>6245</v>
      </c>
      <c r="G6242">
        <v>2</v>
      </c>
    </row>
    <row r="6243" spans="1:7" x14ac:dyDescent="0.25">
      <c r="A6243">
        <v>25</v>
      </c>
      <c r="B6243" t="s">
        <v>6215</v>
      </c>
      <c r="C6243">
        <v>14663</v>
      </c>
      <c r="D6243" t="str">
        <f>"0960-6491"</f>
        <v>0960-6491</v>
      </c>
      <c r="E6243" t="s">
        <v>8</v>
      </c>
      <c r="F6243" t="s">
        <v>6246</v>
      </c>
      <c r="G6243">
        <v>2</v>
      </c>
    </row>
    <row r="6244" spans="1:7" x14ac:dyDescent="0.25">
      <c r="A6244">
        <v>25</v>
      </c>
      <c r="B6244" t="s">
        <v>6215</v>
      </c>
      <c r="C6244">
        <v>1309</v>
      </c>
      <c r="D6244" t="str">
        <f>"0019-8501"</f>
        <v>0019-8501</v>
      </c>
      <c r="E6244" t="s">
        <v>8</v>
      </c>
      <c r="F6244" t="s">
        <v>6247</v>
      </c>
      <c r="G6244">
        <v>2</v>
      </c>
    </row>
    <row r="6245" spans="1:7" x14ac:dyDescent="0.25">
      <c r="A6245">
        <v>25</v>
      </c>
      <c r="B6245" t="s">
        <v>6215</v>
      </c>
      <c r="C6245">
        <v>13531</v>
      </c>
      <c r="D6245" t="str">
        <f>"1366-2716"</f>
        <v>1366-2716</v>
      </c>
      <c r="E6245" t="s">
        <v>8</v>
      </c>
      <c r="F6245" t="s">
        <v>6248</v>
      </c>
      <c r="G6245">
        <v>2</v>
      </c>
    </row>
    <row r="6246" spans="1:7" x14ac:dyDescent="0.25">
      <c r="A6246">
        <v>25</v>
      </c>
      <c r="B6246" t="s">
        <v>6215</v>
      </c>
      <c r="C6246">
        <v>15803</v>
      </c>
      <c r="D6246" t="str">
        <f>"0969-5931"</f>
        <v>0969-5931</v>
      </c>
      <c r="E6246" t="s">
        <v>8</v>
      </c>
      <c r="F6246" t="s">
        <v>6249</v>
      </c>
      <c r="G6246">
        <v>2</v>
      </c>
    </row>
    <row r="6247" spans="1:7" x14ac:dyDescent="0.25">
      <c r="A6247">
        <v>25</v>
      </c>
      <c r="B6247" t="s">
        <v>6215</v>
      </c>
      <c r="C6247">
        <v>16103</v>
      </c>
      <c r="D6247" t="str">
        <f>"0169-2070"</f>
        <v>0169-2070</v>
      </c>
      <c r="E6247" t="s">
        <v>8</v>
      </c>
      <c r="F6247" t="s">
        <v>6250</v>
      </c>
      <c r="G6247">
        <v>2</v>
      </c>
    </row>
    <row r="6248" spans="1:7" x14ac:dyDescent="0.25">
      <c r="A6248">
        <v>25</v>
      </c>
      <c r="B6248" t="s">
        <v>6215</v>
      </c>
      <c r="C6248">
        <v>192</v>
      </c>
      <c r="D6248" t="str">
        <f>"1460-8545"</f>
        <v>1460-8545</v>
      </c>
      <c r="E6248" t="s">
        <v>8</v>
      </c>
      <c r="F6248" t="s">
        <v>6251</v>
      </c>
      <c r="G6248">
        <v>2</v>
      </c>
    </row>
    <row r="6249" spans="1:7" x14ac:dyDescent="0.25">
      <c r="A6249">
        <v>25</v>
      </c>
      <c r="B6249" t="s">
        <v>6215</v>
      </c>
      <c r="C6249">
        <v>837</v>
      </c>
      <c r="D6249" t="str">
        <f>"0167-8116"</f>
        <v>0167-8116</v>
      </c>
      <c r="E6249" t="s">
        <v>8</v>
      </c>
      <c r="F6249" t="s">
        <v>6252</v>
      </c>
      <c r="G6249">
        <v>2</v>
      </c>
    </row>
    <row r="6250" spans="1:7" x14ac:dyDescent="0.25">
      <c r="A6250">
        <v>25</v>
      </c>
      <c r="B6250" t="s">
        <v>6215</v>
      </c>
      <c r="C6250">
        <v>611</v>
      </c>
      <c r="D6250" t="str">
        <f>"0266-2426"</f>
        <v>0266-2426</v>
      </c>
      <c r="E6250" t="s">
        <v>8</v>
      </c>
      <c r="F6250" t="s">
        <v>6253</v>
      </c>
      <c r="G6250">
        <v>2</v>
      </c>
    </row>
    <row r="6251" spans="1:7" x14ac:dyDescent="0.25">
      <c r="A6251">
        <v>25</v>
      </c>
      <c r="B6251" t="s">
        <v>6215</v>
      </c>
      <c r="C6251">
        <v>16502</v>
      </c>
      <c r="D6251" t="str">
        <f>"0165-4101"</f>
        <v>0165-4101</v>
      </c>
      <c r="E6251" t="s">
        <v>8</v>
      </c>
      <c r="F6251" t="s">
        <v>6254</v>
      </c>
      <c r="G6251">
        <v>2</v>
      </c>
    </row>
    <row r="6252" spans="1:7" x14ac:dyDescent="0.25">
      <c r="A6252">
        <v>25</v>
      </c>
      <c r="B6252" t="s">
        <v>6215</v>
      </c>
      <c r="C6252">
        <v>13094</v>
      </c>
      <c r="D6252" t="str">
        <f>"0021-8456"</f>
        <v>0021-8456</v>
      </c>
      <c r="E6252" t="s">
        <v>8</v>
      </c>
      <c r="F6252" t="s">
        <v>6255</v>
      </c>
      <c r="G6252">
        <v>2</v>
      </c>
    </row>
    <row r="6253" spans="1:7" x14ac:dyDescent="0.25">
      <c r="A6253">
        <v>25</v>
      </c>
      <c r="B6253" t="s">
        <v>6215</v>
      </c>
      <c r="C6253">
        <v>4667</v>
      </c>
      <c r="D6253" t="str">
        <f>"0378-4266"</f>
        <v>0378-4266</v>
      </c>
      <c r="E6253" t="s">
        <v>8</v>
      </c>
      <c r="F6253" t="s">
        <v>6256</v>
      </c>
      <c r="G6253">
        <v>2</v>
      </c>
    </row>
    <row r="6254" spans="1:7" x14ac:dyDescent="0.25">
      <c r="A6254">
        <v>25</v>
      </c>
      <c r="B6254" t="s">
        <v>6215</v>
      </c>
      <c r="C6254">
        <v>1597</v>
      </c>
      <c r="D6254" t="str">
        <f>"0735-0015"</f>
        <v>0735-0015</v>
      </c>
      <c r="E6254" t="s">
        <v>8</v>
      </c>
      <c r="F6254" t="s">
        <v>6257</v>
      </c>
      <c r="G6254">
        <v>2</v>
      </c>
    </row>
    <row r="6255" spans="1:7" x14ac:dyDescent="0.25">
      <c r="A6255">
        <v>25</v>
      </c>
      <c r="B6255" t="s">
        <v>6215</v>
      </c>
      <c r="C6255">
        <v>11779</v>
      </c>
      <c r="D6255" t="str">
        <f>"0167-4544"</f>
        <v>0167-4544</v>
      </c>
      <c r="E6255" t="s">
        <v>8</v>
      </c>
      <c r="F6255" t="s">
        <v>6258</v>
      </c>
      <c r="G6255">
        <v>2</v>
      </c>
    </row>
    <row r="6256" spans="1:7" x14ac:dyDescent="0.25">
      <c r="A6256">
        <v>25</v>
      </c>
      <c r="B6256" t="s">
        <v>6215</v>
      </c>
      <c r="C6256">
        <v>7517</v>
      </c>
      <c r="D6256" t="str">
        <f>"0306-686X"</f>
        <v>0306-686X</v>
      </c>
      <c r="E6256" t="s">
        <v>8</v>
      </c>
      <c r="F6256" t="s">
        <v>6259</v>
      </c>
      <c r="G6256">
        <v>2</v>
      </c>
    </row>
    <row r="6257" spans="1:7" x14ac:dyDescent="0.25">
      <c r="A6257">
        <v>25</v>
      </c>
      <c r="B6257" t="s">
        <v>6215</v>
      </c>
      <c r="C6257">
        <v>12018</v>
      </c>
      <c r="D6257" t="str">
        <f>"0148-2963"</f>
        <v>0148-2963</v>
      </c>
      <c r="E6257" t="s">
        <v>8</v>
      </c>
      <c r="F6257" t="s">
        <v>6260</v>
      </c>
      <c r="G6257">
        <v>2</v>
      </c>
    </row>
    <row r="6258" spans="1:7" x14ac:dyDescent="0.25">
      <c r="A6258">
        <v>25</v>
      </c>
      <c r="B6258" t="s">
        <v>6215</v>
      </c>
      <c r="C6258">
        <v>9732</v>
      </c>
      <c r="D6258" t="str">
        <f>"0883-9026"</f>
        <v>0883-9026</v>
      </c>
      <c r="E6258" t="s">
        <v>8</v>
      </c>
      <c r="F6258" t="s">
        <v>6261</v>
      </c>
      <c r="G6258">
        <v>2</v>
      </c>
    </row>
    <row r="6259" spans="1:7" x14ac:dyDescent="0.25">
      <c r="A6259">
        <v>25</v>
      </c>
      <c r="B6259" t="s">
        <v>6215</v>
      </c>
      <c r="C6259">
        <v>13386</v>
      </c>
      <c r="D6259" t="str">
        <f>"1051-712X"</f>
        <v>1051-712X</v>
      </c>
      <c r="E6259" t="s">
        <v>8</v>
      </c>
      <c r="F6259" t="s">
        <v>6262</v>
      </c>
      <c r="G6259">
        <v>2</v>
      </c>
    </row>
    <row r="6260" spans="1:7" x14ac:dyDescent="0.25">
      <c r="A6260">
        <v>25</v>
      </c>
      <c r="B6260" t="s">
        <v>6215</v>
      </c>
      <c r="C6260">
        <v>1387</v>
      </c>
      <c r="D6260" t="str">
        <f>"0093-5301"</f>
        <v>0093-5301</v>
      </c>
      <c r="E6260" t="s">
        <v>8</v>
      </c>
      <c r="F6260" t="s">
        <v>6263</v>
      </c>
      <c r="G6260">
        <v>2</v>
      </c>
    </row>
    <row r="6261" spans="1:7" x14ac:dyDescent="0.25">
      <c r="A6261">
        <v>25</v>
      </c>
      <c r="B6261" t="s">
        <v>6215</v>
      </c>
      <c r="C6261">
        <v>5393</v>
      </c>
      <c r="D6261" t="str">
        <f>"0929-1199"</f>
        <v>0929-1199</v>
      </c>
      <c r="E6261" t="s">
        <v>8</v>
      </c>
      <c r="F6261" t="s">
        <v>6264</v>
      </c>
      <c r="G6261">
        <v>2</v>
      </c>
    </row>
    <row r="6262" spans="1:7" x14ac:dyDescent="0.25">
      <c r="A6262">
        <v>25</v>
      </c>
      <c r="B6262" t="s">
        <v>6215</v>
      </c>
      <c r="C6262">
        <v>5478</v>
      </c>
      <c r="D6262" t="str">
        <f>"0167-2681"</f>
        <v>0167-2681</v>
      </c>
      <c r="E6262" t="s">
        <v>8</v>
      </c>
      <c r="F6262" t="s">
        <v>6265</v>
      </c>
      <c r="G6262">
        <v>2</v>
      </c>
    </row>
    <row r="6263" spans="1:7" x14ac:dyDescent="0.25">
      <c r="A6263">
        <v>25</v>
      </c>
      <c r="B6263" t="s">
        <v>6215</v>
      </c>
      <c r="C6263">
        <v>4213</v>
      </c>
      <c r="D6263" t="str">
        <f>"1058-6407"</f>
        <v>1058-6407</v>
      </c>
      <c r="E6263" t="s">
        <v>8</v>
      </c>
      <c r="F6263" t="s">
        <v>6266</v>
      </c>
      <c r="G6263">
        <v>2</v>
      </c>
    </row>
    <row r="6264" spans="1:7" x14ac:dyDescent="0.25">
      <c r="A6264">
        <v>25</v>
      </c>
      <c r="B6264" t="s">
        <v>6215</v>
      </c>
      <c r="C6264">
        <v>13962</v>
      </c>
      <c r="D6264" t="str">
        <f>"0927-5398"</f>
        <v>0927-5398</v>
      </c>
      <c r="E6264" t="s">
        <v>8</v>
      </c>
      <c r="F6264" t="s">
        <v>6267</v>
      </c>
      <c r="G6264">
        <v>2</v>
      </c>
    </row>
    <row r="6265" spans="1:7" x14ac:dyDescent="0.25">
      <c r="A6265">
        <v>25</v>
      </c>
      <c r="B6265" t="s">
        <v>6215</v>
      </c>
      <c r="C6265">
        <v>5553</v>
      </c>
      <c r="D6265" t="str">
        <f>"0022-1090"</f>
        <v>0022-1090</v>
      </c>
      <c r="E6265" t="s">
        <v>8</v>
      </c>
      <c r="F6265" t="s">
        <v>6268</v>
      </c>
      <c r="G6265">
        <v>2</v>
      </c>
    </row>
    <row r="6266" spans="1:7" x14ac:dyDescent="0.25">
      <c r="A6266">
        <v>25</v>
      </c>
      <c r="B6266" t="s">
        <v>6215</v>
      </c>
      <c r="C6266">
        <v>5752</v>
      </c>
      <c r="D6266" t="str">
        <f>"0304-405X"</f>
        <v>0304-405X</v>
      </c>
      <c r="E6266" t="s">
        <v>8</v>
      </c>
      <c r="F6266" t="s">
        <v>6269</v>
      </c>
      <c r="G6266">
        <v>2</v>
      </c>
    </row>
    <row r="6267" spans="1:7" x14ac:dyDescent="0.25">
      <c r="A6267">
        <v>25</v>
      </c>
      <c r="B6267" t="s">
        <v>6215</v>
      </c>
      <c r="C6267">
        <v>10243</v>
      </c>
      <c r="D6267" t="str">
        <f>"1042-9573"</f>
        <v>1042-9573</v>
      </c>
      <c r="E6267" t="s">
        <v>8</v>
      </c>
      <c r="F6267" t="s">
        <v>6270</v>
      </c>
      <c r="G6267">
        <v>2</v>
      </c>
    </row>
    <row r="6268" spans="1:7" x14ac:dyDescent="0.25">
      <c r="A6268">
        <v>25</v>
      </c>
      <c r="B6268" t="s">
        <v>6215</v>
      </c>
      <c r="C6268">
        <v>3170</v>
      </c>
      <c r="D6268" t="str">
        <f>"1386-4181"</f>
        <v>1386-4181</v>
      </c>
      <c r="E6268" t="s">
        <v>8</v>
      </c>
      <c r="F6268" t="s">
        <v>6271</v>
      </c>
      <c r="G6268">
        <v>2</v>
      </c>
    </row>
    <row r="6269" spans="1:7" x14ac:dyDescent="0.25">
      <c r="A6269">
        <v>25</v>
      </c>
      <c r="B6269" t="s">
        <v>6215</v>
      </c>
      <c r="C6269">
        <v>3888</v>
      </c>
      <c r="D6269" t="str">
        <f>"0920-8550"</f>
        <v>0920-8550</v>
      </c>
      <c r="E6269" t="s">
        <v>8</v>
      </c>
      <c r="F6269" t="s">
        <v>6272</v>
      </c>
      <c r="G6269">
        <v>2</v>
      </c>
    </row>
    <row r="6270" spans="1:7" x14ac:dyDescent="0.25">
      <c r="A6270">
        <v>25</v>
      </c>
      <c r="B6270" t="s">
        <v>6215</v>
      </c>
      <c r="C6270">
        <v>15007</v>
      </c>
      <c r="D6270" t="str">
        <f>"1094-9968"</f>
        <v>1094-9968</v>
      </c>
      <c r="E6270" t="s">
        <v>8</v>
      </c>
      <c r="F6270" t="s">
        <v>6273</v>
      </c>
      <c r="G6270">
        <v>2</v>
      </c>
    </row>
    <row r="6271" spans="1:7" x14ac:dyDescent="0.25">
      <c r="A6271">
        <v>25</v>
      </c>
      <c r="B6271" t="s">
        <v>6215</v>
      </c>
      <c r="C6271">
        <v>7355</v>
      </c>
      <c r="D6271" t="str">
        <f>"0047-2506"</f>
        <v>0047-2506</v>
      </c>
      <c r="E6271" t="s">
        <v>8</v>
      </c>
      <c r="F6271" t="s">
        <v>6274</v>
      </c>
      <c r="G6271">
        <v>2</v>
      </c>
    </row>
    <row r="6272" spans="1:7" x14ac:dyDescent="0.25">
      <c r="A6272">
        <v>25</v>
      </c>
      <c r="B6272" t="s">
        <v>6215</v>
      </c>
      <c r="C6272">
        <v>12226</v>
      </c>
      <c r="D6272" t="str">
        <f>"1075-4253"</f>
        <v>1075-4253</v>
      </c>
      <c r="E6272" t="s">
        <v>8</v>
      </c>
      <c r="F6272" t="s">
        <v>6275</v>
      </c>
      <c r="G6272">
        <v>2</v>
      </c>
    </row>
    <row r="6273" spans="1:7" x14ac:dyDescent="0.25">
      <c r="A6273">
        <v>25</v>
      </c>
      <c r="B6273" t="s">
        <v>6215</v>
      </c>
      <c r="C6273">
        <v>16684</v>
      </c>
      <c r="D6273" t="str">
        <f>"1069-031X"</f>
        <v>1069-031X</v>
      </c>
      <c r="E6273" t="s">
        <v>8</v>
      </c>
      <c r="F6273" t="s">
        <v>6276</v>
      </c>
      <c r="G6273">
        <v>2</v>
      </c>
    </row>
    <row r="6274" spans="1:7" x14ac:dyDescent="0.25">
      <c r="A6274">
        <v>25</v>
      </c>
      <c r="B6274" t="s">
        <v>6215</v>
      </c>
      <c r="C6274">
        <v>4713</v>
      </c>
      <c r="D6274" t="str">
        <f>"0261-5606"</f>
        <v>0261-5606</v>
      </c>
      <c r="E6274" t="s">
        <v>8</v>
      </c>
      <c r="F6274" t="s">
        <v>6277</v>
      </c>
      <c r="G6274">
        <v>2</v>
      </c>
    </row>
    <row r="6275" spans="1:7" x14ac:dyDescent="0.25">
      <c r="A6275">
        <v>25</v>
      </c>
      <c r="B6275" t="s">
        <v>6215</v>
      </c>
      <c r="C6275">
        <v>1937</v>
      </c>
      <c r="D6275" t="str">
        <f>"0149-2063"</f>
        <v>0149-2063</v>
      </c>
      <c r="E6275" t="s">
        <v>8</v>
      </c>
      <c r="F6275" t="s">
        <v>6278</v>
      </c>
      <c r="G6275">
        <v>2</v>
      </c>
    </row>
    <row r="6276" spans="1:7" x14ac:dyDescent="0.25">
      <c r="A6276">
        <v>25</v>
      </c>
      <c r="B6276" t="s">
        <v>6215</v>
      </c>
      <c r="C6276">
        <v>2717</v>
      </c>
      <c r="D6276" t="str">
        <f>"0022-2380"</f>
        <v>0022-2380</v>
      </c>
      <c r="E6276" t="s">
        <v>8</v>
      </c>
      <c r="F6276" t="s">
        <v>6279</v>
      </c>
      <c r="G6276">
        <v>2</v>
      </c>
    </row>
    <row r="6277" spans="1:7" x14ac:dyDescent="0.25">
      <c r="A6277">
        <v>25</v>
      </c>
      <c r="B6277" t="s">
        <v>6215</v>
      </c>
      <c r="C6277">
        <v>11337</v>
      </c>
      <c r="D6277" t="str">
        <f>"0022-2429"</f>
        <v>0022-2429</v>
      </c>
      <c r="E6277" t="s">
        <v>8</v>
      </c>
      <c r="F6277" t="s">
        <v>6280</v>
      </c>
      <c r="G6277">
        <v>2</v>
      </c>
    </row>
    <row r="6278" spans="1:7" x14ac:dyDescent="0.25">
      <c r="A6278">
        <v>25</v>
      </c>
      <c r="B6278" t="s">
        <v>6215</v>
      </c>
      <c r="C6278">
        <v>12108</v>
      </c>
      <c r="D6278" t="str">
        <f>"0022-2437"</f>
        <v>0022-2437</v>
      </c>
      <c r="E6278" t="s">
        <v>8</v>
      </c>
      <c r="F6278" t="s">
        <v>6281</v>
      </c>
      <c r="G6278">
        <v>2</v>
      </c>
    </row>
    <row r="6279" spans="1:7" x14ac:dyDescent="0.25">
      <c r="A6279">
        <v>25</v>
      </c>
      <c r="B6279" t="s">
        <v>6215</v>
      </c>
      <c r="C6279">
        <v>3371</v>
      </c>
      <c r="D6279" t="str">
        <f>"0272-6963"</f>
        <v>0272-6963</v>
      </c>
      <c r="E6279" t="s">
        <v>8</v>
      </c>
      <c r="F6279" t="s">
        <v>6282</v>
      </c>
      <c r="G6279">
        <v>2</v>
      </c>
    </row>
    <row r="6280" spans="1:7" x14ac:dyDescent="0.25">
      <c r="A6280">
        <v>25</v>
      </c>
      <c r="B6280" t="s">
        <v>6215</v>
      </c>
      <c r="C6280">
        <v>11669</v>
      </c>
      <c r="D6280" t="str">
        <f>"0894-3796"</f>
        <v>0894-3796</v>
      </c>
      <c r="E6280" t="s">
        <v>8</v>
      </c>
      <c r="F6280" t="s">
        <v>6283</v>
      </c>
      <c r="G6280">
        <v>2</v>
      </c>
    </row>
    <row r="6281" spans="1:7" x14ac:dyDescent="0.25">
      <c r="A6281">
        <v>25</v>
      </c>
      <c r="B6281" t="s">
        <v>6215</v>
      </c>
      <c r="C6281">
        <v>5410</v>
      </c>
      <c r="D6281" t="str">
        <f>"0737-6782"</f>
        <v>0737-6782</v>
      </c>
      <c r="E6281" t="s">
        <v>8</v>
      </c>
      <c r="F6281" t="s">
        <v>6284</v>
      </c>
      <c r="G6281">
        <v>2</v>
      </c>
    </row>
    <row r="6282" spans="1:7" x14ac:dyDescent="0.25">
      <c r="A6282">
        <v>25</v>
      </c>
      <c r="B6282" t="s">
        <v>6215</v>
      </c>
      <c r="C6282">
        <v>37937</v>
      </c>
      <c r="D6282" t="str">
        <f>"0743-9156"</f>
        <v>0743-9156</v>
      </c>
      <c r="E6282" t="s">
        <v>8</v>
      </c>
      <c r="F6282" t="s">
        <v>6285</v>
      </c>
      <c r="G6282">
        <v>2</v>
      </c>
    </row>
    <row r="6283" spans="1:7" x14ac:dyDescent="0.25">
      <c r="A6283">
        <v>25</v>
      </c>
      <c r="B6283" t="s">
        <v>6215</v>
      </c>
      <c r="C6283">
        <v>7442</v>
      </c>
      <c r="D6283" t="str">
        <f>"0022-4359"</f>
        <v>0022-4359</v>
      </c>
      <c r="E6283" t="s">
        <v>8</v>
      </c>
      <c r="F6283" t="s">
        <v>6286</v>
      </c>
      <c r="G6283">
        <v>2</v>
      </c>
    </row>
    <row r="6284" spans="1:7" x14ac:dyDescent="0.25">
      <c r="A6284">
        <v>25</v>
      </c>
      <c r="B6284" t="s">
        <v>6215</v>
      </c>
      <c r="C6284">
        <v>5025</v>
      </c>
      <c r="D6284" t="str">
        <f>"0022-4367"</f>
        <v>0022-4367</v>
      </c>
      <c r="E6284" t="s">
        <v>8</v>
      </c>
      <c r="F6284" t="s">
        <v>6287</v>
      </c>
      <c r="G6284">
        <v>2</v>
      </c>
    </row>
    <row r="6285" spans="1:7" x14ac:dyDescent="0.25">
      <c r="A6285">
        <v>25</v>
      </c>
      <c r="B6285" t="s">
        <v>6215</v>
      </c>
      <c r="C6285">
        <v>11915</v>
      </c>
      <c r="D6285" t="str">
        <f>"1094-6705"</f>
        <v>1094-6705</v>
      </c>
      <c r="E6285" t="s">
        <v>8</v>
      </c>
      <c r="F6285" t="s">
        <v>6288</v>
      </c>
      <c r="G6285">
        <v>2</v>
      </c>
    </row>
    <row r="6286" spans="1:7" x14ac:dyDescent="0.25">
      <c r="A6286">
        <v>25</v>
      </c>
      <c r="B6286" t="s">
        <v>6215</v>
      </c>
      <c r="C6286">
        <v>2107</v>
      </c>
      <c r="D6286" t="str">
        <f>"0047-2778"</f>
        <v>0047-2778</v>
      </c>
      <c r="E6286" t="s">
        <v>8</v>
      </c>
      <c r="F6286" t="s">
        <v>6289</v>
      </c>
      <c r="G6286">
        <v>2</v>
      </c>
    </row>
    <row r="6287" spans="1:7" x14ac:dyDescent="0.25">
      <c r="A6287">
        <v>25</v>
      </c>
      <c r="B6287" t="s">
        <v>6215</v>
      </c>
      <c r="C6287">
        <v>664</v>
      </c>
      <c r="D6287" t="str">
        <f>"1523-2409"</f>
        <v>1523-2409</v>
      </c>
      <c r="E6287" t="s">
        <v>8</v>
      </c>
      <c r="F6287" t="s">
        <v>6290</v>
      </c>
      <c r="G6287">
        <v>2</v>
      </c>
    </row>
    <row r="6288" spans="1:7" x14ac:dyDescent="0.25">
      <c r="A6288">
        <v>25</v>
      </c>
      <c r="B6288" t="s">
        <v>6215</v>
      </c>
      <c r="C6288">
        <v>10241</v>
      </c>
      <c r="D6288" t="str">
        <f>"0092-0703"</f>
        <v>0092-0703</v>
      </c>
      <c r="E6288" t="s">
        <v>8</v>
      </c>
      <c r="F6288" t="s">
        <v>6291</v>
      </c>
      <c r="G6288">
        <v>2</v>
      </c>
    </row>
    <row r="6289" spans="1:7" x14ac:dyDescent="0.25">
      <c r="A6289">
        <v>25</v>
      </c>
      <c r="B6289" t="s">
        <v>6215</v>
      </c>
      <c r="C6289">
        <v>12609</v>
      </c>
      <c r="D6289" t="str">
        <f>"0160-5682"</f>
        <v>0160-5682</v>
      </c>
      <c r="E6289" t="s">
        <v>8</v>
      </c>
      <c r="F6289" t="s">
        <v>6292</v>
      </c>
      <c r="G6289">
        <v>2</v>
      </c>
    </row>
    <row r="6290" spans="1:7" x14ac:dyDescent="0.25">
      <c r="A6290">
        <v>25</v>
      </c>
      <c r="B6290" t="s">
        <v>6215</v>
      </c>
      <c r="C6290">
        <v>789</v>
      </c>
      <c r="D6290" t="str">
        <f>"1090-9516"</f>
        <v>1090-9516</v>
      </c>
      <c r="E6290" t="s">
        <v>8</v>
      </c>
      <c r="F6290" t="s">
        <v>6293</v>
      </c>
      <c r="G6290">
        <v>2</v>
      </c>
    </row>
    <row r="6291" spans="1:7" x14ac:dyDescent="0.25">
      <c r="A6291">
        <v>25</v>
      </c>
      <c r="B6291" t="s">
        <v>6215</v>
      </c>
      <c r="C6291">
        <v>16119</v>
      </c>
      <c r="D6291" t="str">
        <f>"0024-6301"</f>
        <v>0024-6301</v>
      </c>
      <c r="E6291" t="s">
        <v>8</v>
      </c>
      <c r="F6291" t="s">
        <v>6294</v>
      </c>
      <c r="G6291">
        <v>2</v>
      </c>
    </row>
    <row r="6292" spans="1:7" x14ac:dyDescent="0.25">
      <c r="A6292">
        <v>25</v>
      </c>
      <c r="B6292" t="s">
        <v>6215</v>
      </c>
      <c r="C6292">
        <v>3820</v>
      </c>
      <c r="D6292" t="str">
        <f>"1044-5005"</f>
        <v>1044-5005</v>
      </c>
      <c r="E6292" t="s">
        <v>8</v>
      </c>
      <c r="F6292" t="s">
        <v>6295</v>
      </c>
      <c r="G6292">
        <v>2</v>
      </c>
    </row>
    <row r="6293" spans="1:7" x14ac:dyDescent="0.25">
      <c r="A6293">
        <v>25</v>
      </c>
      <c r="B6293" t="s">
        <v>6215</v>
      </c>
      <c r="C6293">
        <v>15564</v>
      </c>
      <c r="D6293" t="str">
        <f>"0025-1909"</f>
        <v>0025-1909</v>
      </c>
      <c r="E6293" t="s">
        <v>8</v>
      </c>
      <c r="F6293" t="s">
        <v>6296</v>
      </c>
      <c r="G6293">
        <v>2</v>
      </c>
    </row>
    <row r="6294" spans="1:7" x14ac:dyDescent="0.25">
      <c r="A6294">
        <v>25</v>
      </c>
      <c r="B6294" t="s">
        <v>6215</v>
      </c>
      <c r="C6294">
        <v>6314</v>
      </c>
      <c r="D6294" t="str">
        <f>"1523-4614"</f>
        <v>1523-4614</v>
      </c>
      <c r="E6294" t="s">
        <v>8</v>
      </c>
      <c r="F6294" t="s">
        <v>6297</v>
      </c>
      <c r="G6294">
        <v>2</v>
      </c>
    </row>
    <row r="6295" spans="1:7" x14ac:dyDescent="0.25">
      <c r="A6295">
        <v>25</v>
      </c>
      <c r="B6295" t="s">
        <v>6215</v>
      </c>
      <c r="C6295">
        <v>12201</v>
      </c>
      <c r="D6295" t="str">
        <f>"0923-0645"</f>
        <v>0923-0645</v>
      </c>
      <c r="E6295" t="s">
        <v>8</v>
      </c>
      <c r="F6295" t="s">
        <v>6298</v>
      </c>
      <c r="G6295">
        <v>2</v>
      </c>
    </row>
    <row r="6296" spans="1:7" x14ac:dyDescent="0.25">
      <c r="A6296">
        <v>25</v>
      </c>
      <c r="B6296" t="s">
        <v>6215</v>
      </c>
      <c r="C6296">
        <v>2158</v>
      </c>
      <c r="D6296" t="str">
        <f>"0732-2399"</f>
        <v>0732-2399</v>
      </c>
      <c r="E6296" t="s">
        <v>8</v>
      </c>
      <c r="F6296" t="s">
        <v>6299</v>
      </c>
      <c r="G6296">
        <v>2</v>
      </c>
    </row>
    <row r="6297" spans="1:7" x14ac:dyDescent="0.25">
      <c r="A6297">
        <v>25</v>
      </c>
      <c r="B6297" t="s">
        <v>6215</v>
      </c>
      <c r="C6297">
        <v>5980</v>
      </c>
      <c r="D6297" t="str">
        <f>"1470-5931"</f>
        <v>1470-5931</v>
      </c>
      <c r="E6297" t="s">
        <v>8</v>
      </c>
      <c r="F6297" t="s">
        <v>6300</v>
      </c>
      <c r="G6297">
        <v>2</v>
      </c>
    </row>
    <row r="6298" spans="1:7" x14ac:dyDescent="0.25">
      <c r="A6298">
        <v>25</v>
      </c>
      <c r="B6298" t="s">
        <v>6215</v>
      </c>
      <c r="C6298">
        <v>4022</v>
      </c>
      <c r="D6298" t="str">
        <f>"1532-9194"</f>
        <v>1532-9194</v>
      </c>
      <c r="E6298" t="s">
        <v>8</v>
      </c>
      <c r="F6298" t="s">
        <v>6301</v>
      </c>
      <c r="G6298">
        <v>2</v>
      </c>
    </row>
    <row r="6299" spans="1:7" x14ac:dyDescent="0.25">
      <c r="A6299">
        <v>25</v>
      </c>
      <c r="B6299" t="s">
        <v>6215</v>
      </c>
      <c r="C6299">
        <v>49</v>
      </c>
      <c r="D6299" t="str">
        <f>"0305-0483"</f>
        <v>0305-0483</v>
      </c>
      <c r="E6299" t="s">
        <v>8</v>
      </c>
      <c r="F6299" t="s">
        <v>6302</v>
      </c>
      <c r="G6299">
        <v>2</v>
      </c>
    </row>
    <row r="6300" spans="1:7" x14ac:dyDescent="0.25">
      <c r="A6300">
        <v>25</v>
      </c>
      <c r="B6300" t="s">
        <v>6215</v>
      </c>
      <c r="C6300">
        <v>2837</v>
      </c>
      <c r="D6300" t="str">
        <f>"0030-364X"</f>
        <v>0030-364X</v>
      </c>
      <c r="E6300" t="s">
        <v>8</v>
      </c>
      <c r="F6300" t="s">
        <v>6303</v>
      </c>
      <c r="G6300">
        <v>2</v>
      </c>
    </row>
    <row r="6301" spans="1:7" x14ac:dyDescent="0.25">
      <c r="A6301">
        <v>25</v>
      </c>
      <c r="B6301" t="s">
        <v>6215</v>
      </c>
      <c r="C6301">
        <v>10562</v>
      </c>
      <c r="D6301" t="str">
        <f>"1350-5084"</f>
        <v>1350-5084</v>
      </c>
      <c r="E6301" t="s">
        <v>8</v>
      </c>
      <c r="F6301" t="s">
        <v>6304</v>
      </c>
      <c r="G6301">
        <v>2</v>
      </c>
    </row>
    <row r="6302" spans="1:7" x14ac:dyDescent="0.25">
      <c r="A6302">
        <v>25</v>
      </c>
      <c r="B6302" t="s">
        <v>6215</v>
      </c>
      <c r="C6302">
        <v>191</v>
      </c>
      <c r="D6302" t="str">
        <f>"1047-7039"</f>
        <v>1047-7039</v>
      </c>
      <c r="E6302" t="s">
        <v>8</v>
      </c>
      <c r="F6302" t="s">
        <v>6305</v>
      </c>
      <c r="G6302">
        <v>2</v>
      </c>
    </row>
    <row r="6303" spans="1:7" x14ac:dyDescent="0.25">
      <c r="A6303">
        <v>25</v>
      </c>
      <c r="B6303" t="s">
        <v>6215</v>
      </c>
      <c r="C6303">
        <v>6914</v>
      </c>
      <c r="D6303" t="str">
        <f>"0170-8406"</f>
        <v>0170-8406</v>
      </c>
      <c r="E6303" t="s">
        <v>8</v>
      </c>
      <c r="F6303" t="s">
        <v>6306</v>
      </c>
      <c r="G6303">
        <v>2</v>
      </c>
    </row>
    <row r="6304" spans="1:7" x14ac:dyDescent="0.25">
      <c r="A6304">
        <v>25</v>
      </c>
      <c r="B6304" t="s">
        <v>6215</v>
      </c>
      <c r="C6304">
        <v>10316</v>
      </c>
      <c r="D6304" t="str">
        <f>"1094-4281"</f>
        <v>1094-4281</v>
      </c>
      <c r="E6304" t="s">
        <v>8</v>
      </c>
      <c r="F6304" t="s">
        <v>6307</v>
      </c>
      <c r="G6304">
        <v>2</v>
      </c>
    </row>
    <row r="6305" spans="1:7" x14ac:dyDescent="0.25">
      <c r="A6305">
        <v>25</v>
      </c>
      <c r="B6305" t="s">
        <v>6215</v>
      </c>
      <c r="C6305">
        <v>4752</v>
      </c>
      <c r="D6305" t="str">
        <f>"0742-6046"</f>
        <v>0742-6046</v>
      </c>
      <c r="E6305" t="s">
        <v>8</v>
      </c>
      <c r="F6305" t="s">
        <v>6308</v>
      </c>
      <c r="G6305">
        <v>2</v>
      </c>
    </row>
    <row r="6306" spans="1:7" x14ac:dyDescent="0.25">
      <c r="A6306">
        <v>25</v>
      </c>
      <c r="B6306" t="s">
        <v>6215</v>
      </c>
      <c r="C6306">
        <v>18024</v>
      </c>
      <c r="D6306" t="str">
        <f>"1570-7156"</f>
        <v>1570-7156</v>
      </c>
      <c r="E6306" t="s">
        <v>8</v>
      </c>
      <c r="F6306" t="s">
        <v>6309</v>
      </c>
      <c r="G6306">
        <v>2</v>
      </c>
    </row>
    <row r="6307" spans="1:7" x14ac:dyDescent="0.25">
      <c r="A6307">
        <v>25</v>
      </c>
      <c r="B6307" t="s">
        <v>6215</v>
      </c>
      <c r="C6307">
        <v>8834</v>
      </c>
      <c r="D6307" t="str">
        <f>"0033-6807"</f>
        <v>0033-6807</v>
      </c>
      <c r="E6307" t="s">
        <v>8</v>
      </c>
      <c r="F6307" t="s">
        <v>6310</v>
      </c>
      <c r="G6307">
        <v>2</v>
      </c>
    </row>
    <row r="6308" spans="1:7" x14ac:dyDescent="0.25">
      <c r="A6308">
        <v>25</v>
      </c>
      <c r="B6308" t="s">
        <v>6215</v>
      </c>
      <c r="C6308">
        <v>2115</v>
      </c>
      <c r="D6308" t="str">
        <f>"0048-7333"</f>
        <v>0048-7333</v>
      </c>
      <c r="E6308" t="s">
        <v>8</v>
      </c>
      <c r="F6308" t="s">
        <v>6311</v>
      </c>
      <c r="G6308">
        <v>2</v>
      </c>
    </row>
    <row r="6309" spans="1:7" x14ac:dyDescent="0.25">
      <c r="A6309">
        <v>25</v>
      </c>
      <c r="B6309" t="s">
        <v>6215</v>
      </c>
      <c r="C6309">
        <v>1964</v>
      </c>
      <c r="D6309" t="str">
        <f>"1380-6653"</f>
        <v>1380-6653</v>
      </c>
      <c r="E6309" t="s">
        <v>8</v>
      </c>
      <c r="F6309" t="s">
        <v>6312</v>
      </c>
      <c r="G6309">
        <v>2</v>
      </c>
    </row>
    <row r="6310" spans="1:7" x14ac:dyDescent="0.25">
      <c r="A6310">
        <v>25</v>
      </c>
      <c r="B6310" t="s">
        <v>6215</v>
      </c>
      <c r="C6310">
        <v>584</v>
      </c>
      <c r="D6310" t="str">
        <f>"1572-3097"</f>
        <v>1572-3097</v>
      </c>
      <c r="E6310" t="s">
        <v>8</v>
      </c>
      <c r="F6310" t="s">
        <v>6313</v>
      </c>
      <c r="G6310">
        <v>2</v>
      </c>
    </row>
    <row r="6311" spans="1:7" x14ac:dyDescent="0.25">
      <c r="A6311">
        <v>25</v>
      </c>
      <c r="B6311" t="s">
        <v>6215</v>
      </c>
      <c r="C6311">
        <v>7246</v>
      </c>
      <c r="D6311" t="str">
        <f>"0956-5221"</f>
        <v>0956-5221</v>
      </c>
      <c r="E6311" t="s">
        <v>8</v>
      </c>
      <c r="F6311" t="s">
        <v>6314</v>
      </c>
      <c r="G6311">
        <v>2</v>
      </c>
    </row>
    <row r="6312" spans="1:7" x14ac:dyDescent="0.25">
      <c r="A6312">
        <v>25</v>
      </c>
      <c r="B6312" t="s">
        <v>6215</v>
      </c>
      <c r="C6312">
        <v>2374</v>
      </c>
      <c r="D6312" t="str">
        <f>"0921-898X"</f>
        <v>0921-898X</v>
      </c>
      <c r="E6312" t="s">
        <v>8</v>
      </c>
      <c r="F6312" t="s">
        <v>6315</v>
      </c>
      <c r="G6312">
        <v>2</v>
      </c>
    </row>
    <row r="6313" spans="1:7" x14ac:dyDescent="0.25">
      <c r="A6313">
        <v>25</v>
      </c>
      <c r="B6313" t="s">
        <v>6215</v>
      </c>
      <c r="C6313">
        <v>12408</v>
      </c>
      <c r="D6313" t="str">
        <f>"1932-4391"</f>
        <v>1932-4391</v>
      </c>
      <c r="E6313" t="s">
        <v>8</v>
      </c>
      <c r="F6313" t="s">
        <v>6316</v>
      </c>
      <c r="G6313">
        <v>2</v>
      </c>
    </row>
    <row r="6314" spans="1:7" x14ac:dyDescent="0.25">
      <c r="A6314">
        <v>25</v>
      </c>
      <c r="B6314" t="s">
        <v>6215</v>
      </c>
      <c r="C6314">
        <v>4688</v>
      </c>
      <c r="D6314" t="str">
        <f>"0143-2095"</f>
        <v>0143-2095</v>
      </c>
      <c r="E6314" t="s">
        <v>8</v>
      </c>
      <c r="F6314" t="s">
        <v>6317</v>
      </c>
      <c r="G6314">
        <v>2</v>
      </c>
    </row>
    <row r="6315" spans="1:7" x14ac:dyDescent="0.25">
      <c r="A6315">
        <v>25</v>
      </c>
      <c r="B6315" t="s">
        <v>6215</v>
      </c>
      <c r="C6315">
        <v>11355</v>
      </c>
      <c r="D6315" t="str">
        <f>"1476-1270"</f>
        <v>1476-1270</v>
      </c>
      <c r="E6315" t="s">
        <v>8</v>
      </c>
      <c r="F6315" t="s">
        <v>6318</v>
      </c>
      <c r="G6315">
        <v>2</v>
      </c>
    </row>
    <row r="6316" spans="1:7" x14ac:dyDescent="0.25">
      <c r="A6316">
        <v>25</v>
      </c>
      <c r="B6316" t="s">
        <v>6215</v>
      </c>
      <c r="C6316">
        <v>8904</v>
      </c>
      <c r="D6316" t="str">
        <f>"1359-8546"</f>
        <v>1359-8546</v>
      </c>
      <c r="E6316" t="s">
        <v>8</v>
      </c>
      <c r="F6316" t="s">
        <v>6319</v>
      </c>
      <c r="G6316">
        <v>2</v>
      </c>
    </row>
    <row r="6317" spans="1:7" x14ac:dyDescent="0.25">
      <c r="A6317">
        <v>25</v>
      </c>
      <c r="B6317" t="s">
        <v>6215</v>
      </c>
      <c r="C6317">
        <v>25856</v>
      </c>
      <c r="D6317" t="str">
        <f>"1941-6520"</f>
        <v>1941-6520</v>
      </c>
      <c r="E6317" t="s">
        <v>8</v>
      </c>
      <c r="F6317" t="s">
        <v>6320</v>
      </c>
      <c r="G6317">
        <v>2</v>
      </c>
    </row>
    <row r="6318" spans="1:7" x14ac:dyDescent="0.25">
      <c r="A6318">
        <v>25</v>
      </c>
      <c r="B6318" t="s">
        <v>6215</v>
      </c>
      <c r="C6318">
        <v>744</v>
      </c>
      <c r="D6318" t="str">
        <f>"0001-4826"</f>
        <v>0001-4826</v>
      </c>
      <c r="E6318" t="s">
        <v>8</v>
      </c>
      <c r="F6318" t="s">
        <v>6321</v>
      </c>
      <c r="G6318">
        <v>2</v>
      </c>
    </row>
    <row r="6319" spans="1:7" x14ac:dyDescent="0.25">
      <c r="A6319">
        <v>25</v>
      </c>
      <c r="B6319" t="s">
        <v>6215</v>
      </c>
      <c r="C6319">
        <v>14938</v>
      </c>
      <c r="D6319" t="str">
        <f>"0958-5192"</f>
        <v>0958-5192</v>
      </c>
      <c r="E6319" t="s">
        <v>8</v>
      </c>
      <c r="F6319" t="s">
        <v>6322</v>
      </c>
      <c r="G6319">
        <v>2</v>
      </c>
    </row>
    <row r="6320" spans="1:7" x14ac:dyDescent="0.25">
      <c r="A6320">
        <v>25</v>
      </c>
      <c r="B6320" t="s">
        <v>6215</v>
      </c>
      <c r="C6320">
        <v>8232</v>
      </c>
      <c r="D6320" t="str">
        <f>"0022-1082"</f>
        <v>0022-1082</v>
      </c>
      <c r="E6320" t="s">
        <v>8</v>
      </c>
      <c r="F6320" t="s">
        <v>6323</v>
      </c>
      <c r="G6320">
        <v>2</v>
      </c>
    </row>
    <row r="6321" spans="1:7" x14ac:dyDescent="0.25">
      <c r="A6321">
        <v>25</v>
      </c>
      <c r="B6321" t="s">
        <v>6215</v>
      </c>
      <c r="C6321">
        <v>9625</v>
      </c>
      <c r="D6321" t="str">
        <f>"1048-9843"</f>
        <v>1048-9843</v>
      </c>
      <c r="E6321" t="s">
        <v>8</v>
      </c>
      <c r="F6321" t="s">
        <v>6324</v>
      </c>
      <c r="G6321">
        <v>2</v>
      </c>
    </row>
    <row r="6322" spans="1:7" x14ac:dyDescent="0.25">
      <c r="A6322">
        <v>25</v>
      </c>
      <c r="B6322" t="s">
        <v>6215</v>
      </c>
      <c r="C6322">
        <v>7700848</v>
      </c>
      <c r="D6322" t="str">
        <f>"2045-9920"</f>
        <v>2045-9920</v>
      </c>
      <c r="E6322" t="s">
        <v>8</v>
      </c>
      <c r="F6322" t="s">
        <v>6325</v>
      </c>
      <c r="G6322">
        <v>2</v>
      </c>
    </row>
    <row r="6323" spans="1:7" x14ac:dyDescent="0.25">
      <c r="A6323">
        <v>25</v>
      </c>
      <c r="B6323" t="s">
        <v>6215</v>
      </c>
      <c r="C6323">
        <v>7754193</v>
      </c>
      <c r="D6323" t="str">
        <f>"2046-9128"</f>
        <v>2046-9128</v>
      </c>
      <c r="E6323" t="s">
        <v>8</v>
      </c>
      <c r="F6323" t="s">
        <v>6326</v>
      </c>
      <c r="G6323">
        <v>2</v>
      </c>
    </row>
    <row r="6324" spans="1:7" x14ac:dyDescent="0.25">
      <c r="A6324">
        <v>25</v>
      </c>
      <c r="B6324" t="s">
        <v>6215</v>
      </c>
      <c r="C6324">
        <v>5987</v>
      </c>
      <c r="D6324" t="str">
        <f>"0893-9454"</f>
        <v>0893-9454</v>
      </c>
      <c r="E6324" t="s">
        <v>8</v>
      </c>
      <c r="F6324" t="s">
        <v>6327</v>
      </c>
      <c r="G6324">
        <v>2</v>
      </c>
    </row>
    <row r="6325" spans="1:7" x14ac:dyDescent="0.25">
      <c r="A6325">
        <v>25</v>
      </c>
      <c r="B6325" t="s">
        <v>6215</v>
      </c>
      <c r="C6325">
        <v>15167</v>
      </c>
      <c r="D6325" t="str">
        <f>"0261-5177"</f>
        <v>0261-5177</v>
      </c>
      <c r="E6325" t="s">
        <v>8</v>
      </c>
      <c r="F6325" t="s">
        <v>6328</v>
      </c>
      <c r="G6325">
        <v>2</v>
      </c>
    </row>
    <row r="6326" spans="1:7" x14ac:dyDescent="0.25">
      <c r="A6326">
        <v>25</v>
      </c>
      <c r="B6326" t="s">
        <v>6215</v>
      </c>
      <c r="C6326">
        <v>339</v>
      </c>
      <c r="D6326" t="str">
        <f>"1087-9595"</f>
        <v>1087-9595</v>
      </c>
      <c r="E6326" t="s">
        <v>8</v>
      </c>
      <c r="F6326" t="s">
        <v>6329</v>
      </c>
      <c r="G6326">
        <v>1</v>
      </c>
    </row>
    <row r="6327" spans="1:7" x14ac:dyDescent="0.25">
      <c r="A6327">
        <v>25</v>
      </c>
      <c r="B6327" t="s">
        <v>6215</v>
      </c>
      <c r="C6327">
        <v>8781977</v>
      </c>
      <c r="D6327" t="str">
        <f>"2168-1007"</f>
        <v>2168-1007</v>
      </c>
      <c r="E6327" t="s">
        <v>8</v>
      </c>
      <c r="F6327" t="s">
        <v>6330</v>
      </c>
      <c r="G6327">
        <v>1</v>
      </c>
    </row>
    <row r="6328" spans="1:7" x14ac:dyDescent="0.25">
      <c r="A6328">
        <v>25</v>
      </c>
      <c r="B6328" t="s">
        <v>6215</v>
      </c>
      <c r="C6328">
        <v>124693</v>
      </c>
      <c r="D6328" t="str">
        <f>"1745-7718"</f>
        <v>1745-7718</v>
      </c>
      <c r="E6328" t="s">
        <v>8</v>
      </c>
      <c r="F6328" t="s">
        <v>6331</v>
      </c>
      <c r="G6328">
        <v>1</v>
      </c>
    </row>
    <row r="6329" spans="1:7" x14ac:dyDescent="0.25">
      <c r="A6329">
        <v>25</v>
      </c>
      <c r="B6329" t="s">
        <v>6215</v>
      </c>
      <c r="C6329">
        <v>6004640</v>
      </c>
      <c r="D6329" t="str">
        <f>"1944-592X"</f>
        <v>1944-592X</v>
      </c>
      <c r="E6329" t="s">
        <v>8</v>
      </c>
      <c r="F6329" t="s">
        <v>6332</v>
      </c>
      <c r="G6329">
        <v>1</v>
      </c>
    </row>
    <row r="6330" spans="1:7" x14ac:dyDescent="0.25">
      <c r="A6330">
        <v>25</v>
      </c>
      <c r="B6330" t="s">
        <v>6215</v>
      </c>
      <c r="C6330">
        <v>16579</v>
      </c>
      <c r="D6330" t="str">
        <f>"0001-4788"</f>
        <v>0001-4788</v>
      </c>
      <c r="E6330" t="s">
        <v>8</v>
      </c>
      <c r="F6330" t="s">
        <v>6333</v>
      </c>
      <c r="G6330">
        <v>1</v>
      </c>
    </row>
    <row r="6331" spans="1:7" x14ac:dyDescent="0.25">
      <c r="A6331">
        <v>25</v>
      </c>
      <c r="B6331" t="s">
        <v>6215</v>
      </c>
      <c r="C6331">
        <v>10385</v>
      </c>
      <c r="D6331" t="str">
        <f>"0810-5391"</f>
        <v>0810-5391</v>
      </c>
      <c r="E6331" t="s">
        <v>8</v>
      </c>
      <c r="F6331" t="s">
        <v>6334</v>
      </c>
      <c r="G6331">
        <v>1</v>
      </c>
    </row>
    <row r="6332" spans="1:7" x14ac:dyDescent="0.25">
      <c r="A6332">
        <v>25</v>
      </c>
      <c r="B6332" t="s">
        <v>6215</v>
      </c>
      <c r="C6332">
        <v>27369</v>
      </c>
      <c r="D6332" t="str">
        <f>"1530-9320"</f>
        <v>1530-9320</v>
      </c>
      <c r="E6332" t="s">
        <v>8</v>
      </c>
      <c r="F6332" t="s">
        <v>6335</v>
      </c>
      <c r="G6332">
        <v>1</v>
      </c>
    </row>
    <row r="6333" spans="1:7" x14ac:dyDescent="0.25">
      <c r="A6333">
        <v>25</v>
      </c>
      <c r="B6333" t="s">
        <v>6215</v>
      </c>
      <c r="C6333">
        <v>389</v>
      </c>
      <c r="D6333" t="str">
        <f>"0963-9284"</f>
        <v>0963-9284</v>
      </c>
      <c r="E6333" t="s">
        <v>8</v>
      </c>
      <c r="F6333" t="s">
        <v>6336</v>
      </c>
      <c r="G6333">
        <v>1</v>
      </c>
    </row>
    <row r="6334" spans="1:7" x14ac:dyDescent="0.25">
      <c r="A6334">
        <v>25</v>
      </c>
      <c r="B6334" t="s">
        <v>6215</v>
      </c>
      <c r="C6334">
        <v>15441</v>
      </c>
      <c r="D6334" t="str">
        <f>"0155-9982"</f>
        <v>0155-9982</v>
      </c>
      <c r="E6334" t="s">
        <v>8</v>
      </c>
      <c r="F6334" t="s">
        <v>6337</v>
      </c>
      <c r="G6334">
        <v>1</v>
      </c>
    </row>
    <row r="6335" spans="1:7" x14ac:dyDescent="0.25">
      <c r="A6335">
        <v>25</v>
      </c>
      <c r="B6335" t="s">
        <v>6215</v>
      </c>
      <c r="C6335">
        <v>13506</v>
      </c>
      <c r="D6335" t="str">
        <f>"0148-4184"</f>
        <v>0148-4184</v>
      </c>
      <c r="E6335" t="s">
        <v>8</v>
      </c>
      <c r="F6335" t="s">
        <v>6338</v>
      </c>
      <c r="G6335">
        <v>1</v>
      </c>
    </row>
    <row r="6336" spans="1:7" x14ac:dyDescent="0.25">
      <c r="A6336">
        <v>25</v>
      </c>
      <c r="B6336" t="s">
        <v>6215</v>
      </c>
      <c r="C6336">
        <v>26600</v>
      </c>
      <c r="D6336" t="str">
        <f>"1032-3732"</f>
        <v>1032-3732</v>
      </c>
      <c r="E6336" t="s">
        <v>8</v>
      </c>
      <c r="F6336" t="s">
        <v>6339</v>
      </c>
      <c r="G6336">
        <v>1</v>
      </c>
    </row>
    <row r="6337" spans="1:7" x14ac:dyDescent="0.25">
      <c r="A6337">
        <v>25</v>
      </c>
      <c r="B6337" t="s">
        <v>6215</v>
      </c>
      <c r="C6337">
        <v>10265</v>
      </c>
      <c r="D6337" t="str">
        <f>"2155-2851"</f>
        <v>2155-2851</v>
      </c>
      <c r="E6337" t="s">
        <v>8</v>
      </c>
      <c r="F6337" t="s">
        <v>6340</v>
      </c>
      <c r="G6337">
        <v>1</v>
      </c>
    </row>
    <row r="6338" spans="1:7" x14ac:dyDescent="0.25">
      <c r="A6338">
        <v>25</v>
      </c>
      <c r="B6338" t="s">
        <v>6215</v>
      </c>
      <c r="C6338">
        <v>18595</v>
      </c>
      <c r="D6338" t="str">
        <f>"1744-9480"</f>
        <v>1744-9480</v>
      </c>
      <c r="E6338" t="s">
        <v>8</v>
      </c>
      <c r="F6338" t="s">
        <v>6341</v>
      </c>
      <c r="G6338">
        <v>1</v>
      </c>
    </row>
    <row r="6339" spans="1:7" x14ac:dyDescent="0.25">
      <c r="A6339">
        <v>25</v>
      </c>
      <c r="B6339" t="s">
        <v>6215</v>
      </c>
      <c r="C6339">
        <v>4958</v>
      </c>
      <c r="D6339" t="str">
        <f>"1911-382X"</f>
        <v>1911-382X</v>
      </c>
      <c r="E6339" t="s">
        <v>8</v>
      </c>
      <c r="F6339" t="s">
        <v>6342</v>
      </c>
      <c r="G6339">
        <v>1</v>
      </c>
    </row>
    <row r="6340" spans="1:7" x14ac:dyDescent="0.25">
      <c r="A6340">
        <v>25</v>
      </c>
      <c r="B6340" t="s">
        <v>6215</v>
      </c>
      <c r="C6340">
        <v>82317</v>
      </c>
      <c r="D6340" t="str">
        <f>"1030-9616"</f>
        <v>1030-9616</v>
      </c>
      <c r="E6340" t="s">
        <v>8</v>
      </c>
      <c r="F6340" t="s">
        <v>6343</v>
      </c>
      <c r="G6340">
        <v>1</v>
      </c>
    </row>
    <row r="6341" spans="1:7" x14ac:dyDescent="0.25">
      <c r="A6341">
        <v>25</v>
      </c>
      <c r="B6341" t="s">
        <v>6215</v>
      </c>
      <c r="C6341">
        <v>96321</v>
      </c>
      <c r="D6341" t="str">
        <f>"1445-954X"</f>
        <v>1445-954X</v>
      </c>
      <c r="E6341" t="s">
        <v>8</v>
      </c>
      <c r="F6341" t="s">
        <v>6344</v>
      </c>
      <c r="G6341">
        <v>1</v>
      </c>
    </row>
    <row r="6342" spans="1:7" x14ac:dyDescent="0.25">
      <c r="A6342">
        <v>25</v>
      </c>
      <c r="B6342" t="s">
        <v>6215</v>
      </c>
      <c r="C6342">
        <v>5734</v>
      </c>
      <c r="D6342" t="str">
        <f>"1368-0668"</f>
        <v>1368-0668</v>
      </c>
      <c r="E6342" t="s">
        <v>8</v>
      </c>
      <c r="F6342" t="s">
        <v>6345</v>
      </c>
      <c r="G6342">
        <v>1</v>
      </c>
    </row>
    <row r="6343" spans="1:7" x14ac:dyDescent="0.25">
      <c r="A6343">
        <v>25</v>
      </c>
      <c r="B6343" t="s">
        <v>6215</v>
      </c>
      <c r="C6343">
        <v>7747503</v>
      </c>
      <c r="D6343" t="str">
        <f>"1692-0279"</f>
        <v>1692-0279</v>
      </c>
      <c r="E6343" t="s">
        <v>8</v>
      </c>
      <c r="F6343" t="s">
        <v>6346</v>
      </c>
      <c r="G6343">
        <v>1</v>
      </c>
    </row>
    <row r="6344" spans="1:7" x14ac:dyDescent="0.25">
      <c r="A6344">
        <v>25</v>
      </c>
      <c r="B6344" t="s">
        <v>6215</v>
      </c>
      <c r="C6344">
        <v>6902</v>
      </c>
      <c r="D6344" t="str">
        <f>"0882-6110"</f>
        <v>0882-6110</v>
      </c>
      <c r="E6344" t="s">
        <v>15</v>
      </c>
      <c r="F6344" t="s">
        <v>6347</v>
      </c>
      <c r="G6344">
        <v>1</v>
      </c>
    </row>
    <row r="6345" spans="1:7" x14ac:dyDescent="0.25">
      <c r="A6345">
        <v>25</v>
      </c>
      <c r="B6345" t="s">
        <v>6215</v>
      </c>
      <c r="C6345">
        <v>73838</v>
      </c>
      <c r="D6345" t="str">
        <f>"1475-1488"</f>
        <v>1475-1488</v>
      </c>
      <c r="E6345" t="s">
        <v>15</v>
      </c>
      <c r="F6345" t="s">
        <v>6348</v>
      </c>
      <c r="G6345">
        <v>1</v>
      </c>
    </row>
    <row r="6346" spans="1:7" x14ac:dyDescent="0.25">
      <c r="A6346">
        <v>25</v>
      </c>
      <c r="B6346" t="s">
        <v>6215</v>
      </c>
      <c r="C6346">
        <v>153304</v>
      </c>
      <c r="D6346" t="str">
        <f>"1527-893X"</f>
        <v>1527-893X</v>
      </c>
      <c r="E6346" t="s">
        <v>15</v>
      </c>
      <c r="F6346" t="s">
        <v>6349</v>
      </c>
      <c r="G6346">
        <v>1</v>
      </c>
    </row>
    <row r="6347" spans="1:7" x14ac:dyDescent="0.25">
      <c r="A6347">
        <v>25</v>
      </c>
      <c r="B6347" t="s">
        <v>6215</v>
      </c>
      <c r="C6347">
        <v>14814</v>
      </c>
      <c r="D6347" t="str">
        <f>"1523-4223"</f>
        <v>1523-4223</v>
      </c>
      <c r="E6347" t="s">
        <v>8</v>
      </c>
      <c r="F6347" t="s">
        <v>6350</v>
      </c>
      <c r="G6347">
        <v>1</v>
      </c>
    </row>
    <row r="6348" spans="1:7" x14ac:dyDescent="0.25">
      <c r="A6348">
        <v>25</v>
      </c>
      <c r="B6348" t="s">
        <v>6215</v>
      </c>
      <c r="C6348">
        <v>180075</v>
      </c>
      <c r="D6348" t="str">
        <f>"1479-3598"</f>
        <v>1479-3598</v>
      </c>
      <c r="E6348" t="s">
        <v>15</v>
      </c>
      <c r="F6348" t="s">
        <v>6351</v>
      </c>
      <c r="G6348">
        <v>1</v>
      </c>
    </row>
    <row r="6349" spans="1:7" x14ac:dyDescent="0.25">
      <c r="A6349">
        <v>25</v>
      </c>
      <c r="B6349" t="s">
        <v>6215</v>
      </c>
      <c r="C6349">
        <v>6282</v>
      </c>
      <c r="D6349" t="str">
        <f>"1745-3542"</f>
        <v>1745-3542</v>
      </c>
      <c r="E6349" t="s">
        <v>15</v>
      </c>
      <c r="F6349" t="s">
        <v>6352</v>
      </c>
      <c r="G6349">
        <v>1</v>
      </c>
    </row>
    <row r="6350" spans="1:7" x14ac:dyDescent="0.25">
      <c r="A6350">
        <v>25</v>
      </c>
      <c r="B6350" t="s">
        <v>6215</v>
      </c>
      <c r="C6350">
        <v>142072</v>
      </c>
      <c r="D6350" t="str">
        <f>"1571-5027"</f>
        <v>1571-5027</v>
      </c>
      <c r="E6350" t="s">
        <v>15</v>
      </c>
      <c r="F6350" t="s">
        <v>6353</v>
      </c>
      <c r="G6350">
        <v>1</v>
      </c>
    </row>
    <row r="6351" spans="1:7" x14ac:dyDescent="0.25">
      <c r="A6351">
        <v>25</v>
      </c>
      <c r="B6351" t="s">
        <v>6215</v>
      </c>
      <c r="C6351">
        <v>6037</v>
      </c>
      <c r="D6351" t="str">
        <f>"1474-7979"</f>
        <v>1474-7979</v>
      </c>
      <c r="E6351" t="s">
        <v>15</v>
      </c>
      <c r="F6351" t="s">
        <v>6354</v>
      </c>
      <c r="G6351">
        <v>1</v>
      </c>
    </row>
    <row r="6352" spans="1:7" x14ac:dyDescent="0.25">
      <c r="A6352">
        <v>25</v>
      </c>
      <c r="B6352" t="s">
        <v>6215</v>
      </c>
      <c r="C6352">
        <v>24169</v>
      </c>
      <c r="D6352" t="str">
        <f>"1041-7060"</f>
        <v>1041-7060</v>
      </c>
      <c r="E6352" t="s">
        <v>15</v>
      </c>
      <c r="F6352" t="s">
        <v>6355</v>
      </c>
      <c r="G6352">
        <v>1</v>
      </c>
    </row>
    <row r="6353" spans="1:7" x14ac:dyDescent="0.25">
      <c r="A6353">
        <v>25</v>
      </c>
      <c r="B6353" t="s">
        <v>6215</v>
      </c>
      <c r="C6353">
        <v>8158</v>
      </c>
      <c r="D6353" t="str">
        <f>"1067-5671"</f>
        <v>1067-5671</v>
      </c>
      <c r="E6353" t="s">
        <v>15</v>
      </c>
      <c r="F6353" t="s">
        <v>6356</v>
      </c>
      <c r="G6353">
        <v>1</v>
      </c>
    </row>
    <row r="6354" spans="1:7" x14ac:dyDescent="0.25">
      <c r="A6354">
        <v>25</v>
      </c>
      <c r="B6354" t="s">
        <v>6215</v>
      </c>
      <c r="C6354">
        <v>3276</v>
      </c>
      <c r="D6354" t="str">
        <f>"0742-3322"</f>
        <v>0742-3322</v>
      </c>
      <c r="E6354" t="s">
        <v>15</v>
      </c>
      <c r="F6354" t="s">
        <v>6357</v>
      </c>
      <c r="G6354">
        <v>1</v>
      </c>
    </row>
    <row r="6355" spans="1:7" x14ac:dyDescent="0.25">
      <c r="A6355">
        <v>25</v>
      </c>
      <c r="B6355" t="s">
        <v>6215</v>
      </c>
      <c r="C6355">
        <v>4236</v>
      </c>
      <c r="D6355" t="str">
        <f>"0885-3339"</f>
        <v>0885-3339</v>
      </c>
      <c r="E6355" t="s">
        <v>15</v>
      </c>
      <c r="F6355" t="s">
        <v>6358</v>
      </c>
      <c r="G6355">
        <v>1</v>
      </c>
    </row>
    <row r="6356" spans="1:7" x14ac:dyDescent="0.25">
      <c r="A6356">
        <v>25</v>
      </c>
      <c r="B6356" t="s">
        <v>6215</v>
      </c>
      <c r="C6356">
        <v>19011</v>
      </c>
      <c r="D6356" t="str">
        <f>"1751-6447"</f>
        <v>1751-6447</v>
      </c>
      <c r="E6356" t="s">
        <v>8</v>
      </c>
      <c r="F6356" t="s">
        <v>6359</v>
      </c>
      <c r="G6356">
        <v>1</v>
      </c>
    </row>
    <row r="6357" spans="1:7" x14ac:dyDescent="0.25">
      <c r="A6357">
        <v>25</v>
      </c>
      <c r="B6357" t="s">
        <v>6215</v>
      </c>
      <c r="C6357">
        <v>15296</v>
      </c>
      <c r="D6357" t="str">
        <f>"0268-7615"</f>
        <v>0268-7615</v>
      </c>
      <c r="E6357" t="s">
        <v>8</v>
      </c>
      <c r="F6357" t="s">
        <v>6360</v>
      </c>
      <c r="G6357">
        <v>1</v>
      </c>
    </row>
    <row r="6358" spans="1:7" x14ac:dyDescent="0.25">
      <c r="A6358">
        <v>25</v>
      </c>
      <c r="B6358" t="s">
        <v>6215</v>
      </c>
      <c r="C6358">
        <v>6827</v>
      </c>
      <c r="D6358" t="str">
        <f>"1869-814X"</f>
        <v>1869-814X</v>
      </c>
      <c r="E6358" t="s">
        <v>8</v>
      </c>
      <c r="F6358" t="s">
        <v>6361</v>
      </c>
      <c r="G6358">
        <v>1</v>
      </c>
    </row>
    <row r="6359" spans="1:7" x14ac:dyDescent="0.25">
      <c r="A6359">
        <v>25</v>
      </c>
      <c r="B6359" t="s">
        <v>6215</v>
      </c>
      <c r="C6359">
        <v>13878</v>
      </c>
      <c r="D6359" t="str">
        <f>"1748-4995"</f>
        <v>1748-4995</v>
      </c>
      <c r="E6359" t="s">
        <v>8</v>
      </c>
      <c r="F6359" t="s">
        <v>6362</v>
      </c>
      <c r="G6359">
        <v>1</v>
      </c>
    </row>
    <row r="6360" spans="1:7" x14ac:dyDescent="0.25">
      <c r="A6360">
        <v>25</v>
      </c>
      <c r="B6360" t="s">
        <v>6215</v>
      </c>
      <c r="C6360">
        <v>47364</v>
      </c>
      <c r="D6360" t="str">
        <f>"1529-7373"</f>
        <v>1529-7373</v>
      </c>
      <c r="E6360" t="s">
        <v>8</v>
      </c>
      <c r="F6360" t="s">
        <v>6363</v>
      </c>
      <c r="G6360">
        <v>1</v>
      </c>
    </row>
    <row r="6361" spans="1:7" x14ac:dyDescent="0.25">
      <c r="A6361">
        <v>25</v>
      </c>
      <c r="B6361" t="s">
        <v>6215</v>
      </c>
      <c r="C6361">
        <v>5317</v>
      </c>
      <c r="D6361" t="str">
        <f>"1614-2446"</f>
        <v>1614-2446</v>
      </c>
      <c r="E6361" t="s">
        <v>8</v>
      </c>
      <c r="F6361" t="s">
        <v>6364</v>
      </c>
      <c r="G6361">
        <v>1</v>
      </c>
    </row>
    <row r="6362" spans="1:7" x14ac:dyDescent="0.25">
      <c r="A6362">
        <v>25</v>
      </c>
      <c r="B6362" t="s">
        <v>6215</v>
      </c>
      <c r="C6362">
        <v>2917</v>
      </c>
      <c r="D6362" t="str">
        <f>"0254-5330"</f>
        <v>0254-5330</v>
      </c>
      <c r="E6362" t="s">
        <v>8</v>
      </c>
      <c r="F6362" t="s">
        <v>6365</v>
      </c>
      <c r="G6362">
        <v>1</v>
      </c>
    </row>
    <row r="6363" spans="1:7" x14ac:dyDescent="0.25">
      <c r="A6363">
        <v>25</v>
      </c>
      <c r="B6363" t="s">
        <v>6215</v>
      </c>
      <c r="C6363">
        <v>6018258</v>
      </c>
      <c r="D6363" t="str">
        <f>"1941-1367"</f>
        <v>1941-1367</v>
      </c>
      <c r="E6363" t="s">
        <v>8</v>
      </c>
      <c r="F6363" t="s">
        <v>6366</v>
      </c>
      <c r="G6363">
        <v>1</v>
      </c>
    </row>
    <row r="6364" spans="1:7" x14ac:dyDescent="0.25">
      <c r="A6364">
        <v>25</v>
      </c>
      <c r="B6364" t="s">
        <v>6215</v>
      </c>
      <c r="C6364">
        <v>12981</v>
      </c>
      <c r="D6364" t="str">
        <f>"0960-3107"</f>
        <v>0960-3107</v>
      </c>
      <c r="E6364" t="s">
        <v>8</v>
      </c>
      <c r="F6364" t="s">
        <v>6367</v>
      </c>
      <c r="G6364">
        <v>1</v>
      </c>
    </row>
    <row r="6365" spans="1:7" x14ac:dyDescent="0.25">
      <c r="A6365">
        <v>25</v>
      </c>
      <c r="B6365" t="s">
        <v>6215</v>
      </c>
      <c r="C6365">
        <v>11261</v>
      </c>
      <c r="D6365" t="str">
        <f>"1350-486X"</f>
        <v>1350-486X</v>
      </c>
      <c r="E6365" t="s">
        <v>8</v>
      </c>
      <c r="F6365" t="s">
        <v>6368</v>
      </c>
      <c r="G6365">
        <v>1</v>
      </c>
    </row>
    <row r="6366" spans="1:7" x14ac:dyDescent="0.25">
      <c r="A6366">
        <v>25</v>
      </c>
      <c r="B6366" t="s">
        <v>6215</v>
      </c>
      <c r="C6366">
        <v>15644</v>
      </c>
      <c r="D6366" t="str">
        <f>"1387-2834"</f>
        <v>1387-2834</v>
      </c>
      <c r="E6366" t="s">
        <v>8</v>
      </c>
      <c r="F6366" t="s">
        <v>6369</v>
      </c>
      <c r="G6366">
        <v>1</v>
      </c>
    </row>
    <row r="6367" spans="1:7" x14ac:dyDescent="0.25">
      <c r="A6367">
        <v>25</v>
      </c>
      <c r="B6367" t="s">
        <v>6215</v>
      </c>
      <c r="C6367">
        <v>180072</v>
      </c>
      <c r="D6367" t="str">
        <f>"2214-7020"</f>
        <v>2214-7020</v>
      </c>
      <c r="E6367" t="s">
        <v>8</v>
      </c>
      <c r="F6367" t="s">
        <v>6370</v>
      </c>
      <c r="G6367">
        <v>1</v>
      </c>
    </row>
    <row r="6368" spans="1:7" x14ac:dyDescent="0.25">
      <c r="A6368">
        <v>25</v>
      </c>
      <c r="B6368" t="s">
        <v>6215</v>
      </c>
      <c r="C6368">
        <v>13663</v>
      </c>
      <c r="D6368" t="str">
        <f>"1360-2381"</f>
        <v>1360-2381</v>
      </c>
      <c r="E6368" t="s">
        <v>8</v>
      </c>
      <c r="F6368" t="s">
        <v>6371</v>
      </c>
      <c r="G6368">
        <v>1</v>
      </c>
    </row>
    <row r="6369" spans="1:7" x14ac:dyDescent="0.25">
      <c r="A6369">
        <v>25</v>
      </c>
      <c r="B6369" t="s">
        <v>6215</v>
      </c>
      <c r="C6369">
        <v>1723</v>
      </c>
      <c r="D6369" t="str">
        <f>"1355-5855"</f>
        <v>1355-5855</v>
      </c>
      <c r="E6369" t="s">
        <v>8</v>
      </c>
      <c r="F6369" t="s">
        <v>6372</v>
      </c>
      <c r="G6369">
        <v>1</v>
      </c>
    </row>
    <row r="6370" spans="1:7" x14ac:dyDescent="0.25">
      <c r="A6370">
        <v>25</v>
      </c>
      <c r="B6370" t="s">
        <v>6215</v>
      </c>
      <c r="C6370">
        <v>5083</v>
      </c>
      <c r="D6370" t="str">
        <f>"1094-1665"</f>
        <v>1094-1665</v>
      </c>
      <c r="E6370" t="s">
        <v>8</v>
      </c>
      <c r="F6370" t="s">
        <v>6373</v>
      </c>
      <c r="G6370">
        <v>1</v>
      </c>
    </row>
    <row r="6371" spans="1:7" x14ac:dyDescent="0.25">
      <c r="A6371">
        <v>25</v>
      </c>
      <c r="B6371" t="s">
        <v>6215</v>
      </c>
      <c r="C6371">
        <v>13454</v>
      </c>
      <c r="D6371" t="str">
        <f>"1472-4782"</f>
        <v>1472-4782</v>
      </c>
      <c r="E6371" t="s">
        <v>8</v>
      </c>
      <c r="F6371" t="s">
        <v>6374</v>
      </c>
      <c r="G6371">
        <v>1</v>
      </c>
    </row>
    <row r="6372" spans="1:7" x14ac:dyDescent="0.25">
      <c r="A6372">
        <v>25</v>
      </c>
      <c r="B6372" t="s">
        <v>6215</v>
      </c>
      <c r="C6372">
        <v>6365</v>
      </c>
      <c r="D6372" t="str">
        <f>"0218-9275"</f>
        <v>0218-9275</v>
      </c>
      <c r="E6372" t="s">
        <v>8</v>
      </c>
      <c r="F6372" t="s">
        <v>6375</v>
      </c>
      <c r="G6372">
        <v>1</v>
      </c>
    </row>
    <row r="6373" spans="1:7" x14ac:dyDescent="0.25">
      <c r="A6373">
        <v>25</v>
      </c>
      <c r="B6373" t="s">
        <v>6215</v>
      </c>
      <c r="C6373">
        <v>27024</v>
      </c>
      <c r="D6373" t="str">
        <f>"1321-7348"</f>
        <v>1321-7348</v>
      </c>
      <c r="E6373" t="s">
        <v>8</v>
      </c>
      <c r="F6373" t="s">
        <v>6376</v>
      </c>
      <c r="G6373">
        <v>1</v>
      </c>
    </row>
    <row r="6374" spans="1:7" x14ac:dyDescent="0.25">
      <c r="A6374">
        <v>25</v>
      </c>
      <c r="B6374" t="s">
        <v>6215</v>
      </c>
      <c r="C6374">
        <v>14290</v>
      </c>
      <c r="D6374" t="str">
        <f>"1608-1625"</f>
        <v>1608-1625</v>
      </c>
      <c r="E6374" t="s">
        <v>8</v>
      </c>
      <c r="F6374" t="s">
        <v>6377</v>
      </c>
      <c r="G6374">
        <v>1</v>
      </c>
    </row>
    <row r="6375" spans="1:7" x14ac:dyDescent="0.25">
      <c r="A6375">
        <v>25</v>
      </c>
      <c r="B6375" t="s">
        <v>6215</v>
      </c>
      <c r="C6375">
        <v>6024435</v>
      </c>
      <c r="D6375" t="str">
        <f>"2041-9945"</f>
        <v>2041-9945</v>
      </c>
      <c r="E6375" t="s">
        <v>8</v>
      </c>
      <c r="F6375" t="s">
        <v>6378</v>
      </c>
      <c r="G6375">
        <v>1</v>
      </c>
    </row>
    <row r="6376" spans="1:7" x14ac:dyDescent="0.25">
      <c r="A6376">
        <v>25</v>
      </c>
      <c r="B6376" t="s">
        <v>6215</v>
      </c>
      <c r="C6376">
        <v>3566</v>
      </c>
      <c r="D6376" t="str">
        <f>"1441-3582"</f>
        <v>1441-3582</v>
      </c>
      <c r="E6376" t="s">
        <v>8</v>
      </c>
      <c r="F6376" t="s">
        <v>6379</v>
      </c>
      <c r="G6376">
        <v>1</v>
      </c>
    </row>
    <row r="6377" spans="1:7" x14ac:dyDescent="0.25">
      <c r="A6377">
        <v>25</v>
      </c>
      <c r="B6377" t="s">
        <v>6215</v>
      </c>
      <c r="C6377">
        <v>5461</v>
      </c>
      <c r="D6377" t="str">
        <f>"1035-6908"</f>
        <v>1035-6908</v>
      </c>
      <c r="E6377" t="s">
        <v>8</v>
      </c>
      <c r="F6377" t="s">
        <v>6380</v>
      </c>
      <c r="G6377">
        <v>1</v>
      </c>
    </row>
    <row r="6378" spans="1:7" x14ac:dyDescent="0.25">
      <c r="A6378">
        <v>25</v>
      </c>
      <c r="B6378" t="s">
        <v>6215</v>
      </c>
      <c r="C6378">
        <v>7284</v>
      </c>
      <c r="D6378" t="str">
        <f>"0312-8962"</f>
        <v>0312-8962</v>
      </c>
      <c r="E6378" t="s">
        <v>8</v>
      </c>
      <c r="F6378" t="s">
        <v>6381</v>
      </c>
      <c r="G6378">
        <v>1</v>
      </c>
    </row>
    <row r="6379" spans="1:7" x14ac:dyDescent="0.25">
      <c r="A6379">
        <v>25</v>
      </c>
      <c r="B6379" t="s">
        <v>6215</v>
      </c>
      <c r="C6379">
        <v>5801</v>
      </c>
      <c r="D6379" t="str">
        <f>"1746-5265"</f>
        <v>1746-5265</v>
      </c>
      <c r="E6379" t="s">
        <v>8</v>
      </c>
      <c r="F6379" t="s">
        <v>6382</v>
      </c>
      <c r="G6379">
        <v>1</v>
      </c>
    </row>
    <row r="6380" spans="1:7" x14ac:dyDescent="0.25">
      <c r="A6380">
        <v>25</v>
      </c>
      <c r="B6380" t="s">
        <v>6215</v>
      </c>
      <c r="C6380">
        <v>4804</v>
      </c>
      <c r="D6380" t="str">
        <f>"1463-5771"</f>
        <v>1463-5771</v>
      </c>
      <c r="E6380" t="s">
        <v>8</v>
      </c>
      <c r="F6380" t="s">
        <v>6383</v>
      </c>
      <c r="G6380">
        <v>1</v>
      </c>
    </row>
    <row r="6381" spans="1:7" x14ac:dyDescent="0.25">
      <c r="A6381">
        <v>25</v>
      </c>
      <c r="B6381" t="s">
        <v>6215</v>
      </c>
      <c r="C6381">
        <v>8245</v>
      </c>
      <c r="E6381" t="s">
        <v>8</v>
      </c>
      <c r="F6381" t="s">
        <v>6384</v>
      </c>
      <c r="G6381">
        <v>1</v>
      </c>
    </row>
    <row r="6382" spans="1:7" x14ac:dyDescent="0.25">
      <c r="A6382">
        <v>25</v>
      </c>
      <c r="B6382" t="s">
        <v>6215</v>
      </c>
      <c r="C6382">
        <v>16507</v>
      </c>
      <c r="D6382" t="str">
        <f>"0340-5370"</f>
        <v>0340-5370</v>
      </c>
      <c r="E6382" t="s">
        <v>8</v>
      </c>
      <c r="F6382" t="s">
        <v>6385</v>
      </c>
      <c r="G6382">
        <v>1</v>
      </c>
    </row>
    <row r="6383" spans="1:7" x14ac:dyDescent="0.25">
      <c r="A6383">
        <v>25</v>
      </c>
      <c r="B6383" t="s">
        <v>6215</v>
      </c>
      <c r="C6383">
        <v>147403</v>
      </c>
      <c r="D6383" t="str">
        <f>"2340-9436"</f>
        <v>2340-9436</v>
      </c>
      <c r="E6383" t="s">
        <v>8</v>
      </c>
      <c r="F6383" t="s">
        <v>6386</v>
      </c>
      <c r="G6383">
        <v>1</v>
      </c>
    </row>
    <row r="6384" spans="1:7" x14ac:dyDescent="0.25">
      <c r="A6384">
        <v>25</v>
      </c>
      <c r="B6384" t="s">
        <v>6215</v>
      </c>
      <c r="C6384">
        <v>87853</v>
      </c>
      <c r="D6384" t="str">
        <f>"0007-6465"</f>
        <v>0007-6465</v>
      </c>
      <c r="E6384" t="s">
        <v>8</v>
      </c>
      <c r="F6384" t="s">
        <v>6387</v>
      </c>
      <c r="G6384">
        <v>1</v>
      </c>
    </row>
    <row r="6385" spans="1:7" x14ac:dyDescent="0.25">
      <c r="A6385">
        <v>25</v>
      </c>
      <c r="B6385" t="s">
        <v>6215</v>
      </c>
      <c r="C6385">
        <v>7745504</v>
      </c>
      <c r="D6385" t="str">
        <f>"1927-6001"</f>
        <v>1927-6001</v>
      </c>
      <c r="E6385" t="s">
        <v>8</v>
      </c>
      <c r="F6385" t="s">
        <v>6388</v>
      </c>
      <c r="G6385">
        <v>1</v>
      </c>
    </row>
    <row r="6386" spans="1:7" x14ac:dyDescent="0.25">
      <c r="A6386">
        <v>25</v>
      </c>
      <c r="B6386" t="s">
        <v>6215</v>
      </c>
      <c r="C6386">
        <v>10537</v>
      </c>
      <c r="D6386" t="str">
        <f>"1369-5258"</f>
        <v>1369-5258</v>
      </c>
      <c r="E6386" t="s">
        <v>8</v>
      </c>
      <c r="F6386" t="s">
        <v>6389</v>
      </c>
      <c r="G6386">
        <v>1</v>
      </c>
    </row>
    <row r="6387" spans="1:7" x14ac:dyDescent="0.25">
      <c r="A6387">
        <v>25</v>
      </c>
      <c r="B6387" t="s">
        <v>6215</v>
      </c>
      <c r="C6387">
        <v>11711</v>
      </c>
      <c r="D6387" t="str">
        <f>"0277-2027"</f>
        <v>0277-2027</v>
      </c>
      <c r="E6387" t="s">
        <v>8</v>
      </c>
      <c r="F6387" t="s">
        <v>6390</v>
      </c>
      <c r="G6387">
        <v>1</v>
      </c>
    </row>
    <row r="6388" spans="1:7" x14ac:dyDescent="0.25">
      <c r="A6388">
        <v>25</v>
      </c>
      <c r="B6388" t="s">
        <v>6215</v>
      </c>
      <c r="C6388">
        <v>10673</v>
      </c>
      <c r="D6388" t="str">
        <f>"0045-3609"</f>
        <v>0045-3609</v>
      </c>
      <c r="E6388" t="s">
        <v>8</v>
      </c>
      <c r="F6388" t="s">
        <v>6391</v>
      </c>
      <c r="G6388">
        <v>1</v>
      </c>
    </row>
    <row r="6389" spans="1:7" x14ac:dyDescent="0.25">
      <c r="A6389">
        <v>25</v>
      </c>
      <c r="B6389" t="s">
        <v>6215</v>
      </c>
      <c r="C6389">
        <v>23663</v>
      </c>
      <c r="D6389" t="str">
        <f>"0007-666X"</f>
        <v>0007-666X</v>
      </c>
      <c r="E6389" t="s">
        <v>8</v>
      </c>
      <c r="F6389" t="s">
        <v>6392</v>
      </c>
      <c r="G6389">
        <v>1</v>
      </c>
    </row>
    <row r="6390" spans="1:7" x14ac:dyDescent="0.25">
      <c r="A6390">
        <v>25</v>
      </c>
      <c r="B6390" t="s">
        <v>6215</v>
      </c>
      <c r="C6390">
        <v>6590</v>
      </c>
      <c r="D6390" t="str">
        <f>"0962-8770"</f>
        <v>0962-8770</v>
      </c>
      <c r="E6390" t="s">
        <v>8</v>
      </c>
      <c r="F6390" t="s">
        <v>6393</v>
      </c>
      <c r="G6390">
        <v>1</v>
      </c>
    </row>
    <row r="6391" spans="1:7" x14ac:dyDescent="0.25">
      <c r="A6391">
        <v>25</v>
      </c>
      <c r="B6391" t="s">
        <v>6215</v>
      </c>
      <c r="C6391">
        <v>11666</v>
      </c>
      <c r="D6391" t="str">
        <f>"1052-150X"</f>
        <v>1052-150X</v>
      </c>
      <c r="E6391" t="s">
        <v>8</v>
      </c>
      <c r="F6391" t="s">
        <v>6394</v>
      </c>
      <c r="G6391">
        <v>1</v>
      </c>
    </row>
    <row r="6392" spans="1:7" x14ac:dyDescent="0.25">
      <c r="A6392">
        <v>25</v>
      </c>
      <c r="B6392" t="s">
        <v>6215</v>
      </c>
      <c r="C6392">
        <v>2652</v>
      </c>
      <c r="D6392" t="str">
        <f>"0007-6813"</f>
        <v>0007-6813</v>
      </c>
      <c r="E6392" t="s">
        <v>8</v>
      </c>
      <c r="F6392" t="s">
        <v>6395</v>
      </c>
      <c r="G6392">
        <v>1</v>
      </c>
    </row>
    <row r="6393" spans="1:7" x14ac:dyDescent="0.25">
      <c r="A6393">
        <v>25</v>
      </c>
      <c r="B6393" t="s">
        <v>6215</v>
      </c>
      <c r="C6393">
        <v>8773</v>
      </c>
      <c r="D6393" t="str">
        <f>"0964-4733"</f>
        <v>0964-4733</v>
      </c>
      <c r="E6393" t="s">
        <v>8</v>
      </c>
      <c r="F6393" t="s">
        <v>6396</v>
      </c>
      <c r="G6393">
        <v>1</v>
      </c>
    </row>
    <row r="6394" spans="1:7" x14ac:dyDescent="0.25">
      <c r="A6394">
        <v>25</v>
      </c>
      <c r="B6394" t="s">
        <v>6215</v>
      </c>
      <c r="C6394">
        <v>8378</v>
      </c>
      <c r="D6394" t="str">
        <f>"0825-0383"</f>
        <v>0825-0383</v>
      </c>
      <c r="E6394" t="s">
        <v>8</v>
      </c>
      <c r="F6394" t="s">
        <v>6397</v>
      </c>
      <c r="G6394">
        <v>1</v>
      </c>
    </row>
    <row r="6395" spans="1:7" x14ac:dyDescent="0.25">
      <c r="A6395">
        <v>25</v>
      </c>
      <c r="B6395" t="s">
        <v>6215</v>
      </c>
      <c r="C6395">
        <v>18564</v>
      </c>
      <c r="D6395" t="str">
        <f>"1362-0436"</f>
        <v>1362-0436</v>
      </c>
      <c r="E6395" t="s">
        <v>8</v>
      </c>
      <c r="F6395" t="s">
        <v>6398</v>
      </c>
      <c r="G6395">
        <v>1</v>
      </c>
    </row>
    <row r="6396" spans="1:7" x14ac:dyDescent="0.25">
      <c r="A6396">
        <v>25</v>
      </c>
      <c r="B6396" t="s">
        <v>6215</v>
      </c>
      <c r="C6396">
        <v>10128</v>
      </c>
      <c r="D6396" t="str">
        <f>"1435-246X"</f>
        <v>1435-246X</v>
      </c>
      <c r="E6396" t="s">
        <v>8</v>
      </c>
      <c r="F6396" t="s">
        <v>6399</v>
      </c>
      <c r="G6396">
        <v>1</v>
      </c>
    </row>
    <row r="6397" spans="1:7" x14ac:dyDescent="0.25">
      <c r="A6397">
        <v>25</v>
      </c>
      <c r="B6397" t="s">
        <v>6215</v>
      </c>
      <c r="C6397">
        <v>7754942</v>
      </c>
      <c r="D6397" t="str">
        <f>"2169-7221"</f>
        <v>2169-7221</v>
      </c>
      <c r="E6397" t="s">
        <v>8</v>
      </c>
      <c r="F6397" t="s">
        <v>6400</v>
      </c>
      <c r="G6397">
        <v>1</v>
      </c>
    </row>
    <row r="6398" spans="1:7" x14ac:dyDescent="0.25">
      <c r="A6398">
        <v>25</v>
      </c>
      <c r="B6398" t="s">
        <v>6215</v>
      </c>
      <c r="C6398">
        <v>3934</v>
      </c>
      <c r="D6398" t="str">
        <f>"0886-3687"</f>
        <v>0886-3687</v>
      </c>
      <c r="E6398" t="s">
        <v>8</v>
      </c>
      <c r="F6398" t="s">
        <v>6401</v>
      </c>
      <c r="G6398">
        <v>1</v>
      </c>
    </row>
    <row r="6399" spans="1:7" x14ac:dyDescent="0.25">
      <c r="A6399">
        <v>25</v>
      </c>
      <c r="B6399" t="s">
        <v>6215</v>
      </c>
      <c r="C6399">
        <v>10934</v>
      </c>
      <c r="D6399" t="str">
        <f>"1024-5294"</f>
        <v>1024-5294</v>
      </c>
      <c r="E6399" t="s">
        <v>8</v>
      </c>
      <c r="F6399" t="s">
        <v>6402</v>
      </c>
      <c r="G6399">
        <v>1</v>
      </c>
    </row>
    <row r="6400" spans="1:7" x14ac:dyDescent="0.25">
      <c r="A6400">
        <v>25</v>
      </c>
      <c r="B6400" t="s">
        <v>6215</v>
      </c>
      <c r="C6400">
        <v>11205</v>
      </c>
      <c r="D6400" t="str">
        <f>"1783-5917"</f>
        <v>1783-5917</v>
      </c>
      <c r="E6400" t="s">
        <v>8</v>
      </c>
      <c r="F6400" t="s">
        <v>6403</v>
      </c>
      <c r="G6400">
        <v>1</v>
      </c>
    </row>
    <row r="6401" spans="1:7" x14ac:dyDescent="0.25">
      <c r="A6401">
        <v>25</v>
      </c>
      <c r="B6401" t="s">
        <v>6215</v>
      </c>
      <c r="C6401">
        <v>93797</v>
      </c>
      <c r="D6401" t="str">
        <f>"1059-5422"</f>
        <v>1059-5422</v>
      </c>
      <c r="E6401" t="s">
        <v>8</v>
      </c>
      <c r="F6401" t="s">
        <v>6404</v>
      </c>
      <c r="G6401">
        <v>1</v>
      </c>
    </row>
    <row r="6402" spans="1:7" x14ac:dyDescent="0.25">
      <c r="A6402">
        <v>25</v>
      </c>
      <c r="B6402" t="s">
        <v>6215</v>
      </c>
      <c r="C6402">
        <v>9072</v>
      </c>
      <c r="D6402" t="str">
        <f>"1938-9655"</f>
        <v>1938-9655</v>
      </c>
      <c r="E6402" t="s">
        <v>8</v>
      </c>
      <c r="F6402" t="s">
        <v>6405</v>
      </c>
      <c r="G6402">
        <v>1</v>
      </c>
    </row>
    <row r="6403" spans="1:7" x14ac:dyDescent="0.25">
      <c r="A6403">
        <v>25</v>
      </c>
      <c r="B6403" t="s">
        <v>6215</v>
      </c>
      <c r="C6403">
        <v>6886</v>
      </c>
      <c r="D6403" t="str">
        <f>"0964-8410"</f>
        <v>0964-8410</v>
      </c>
      <c r="E6403" t="s">
        <v>8</v>
      </c>
      <c r="F6403" t="s">
        <v>6406</v>
      </c>
      <c r="G6403">
        <v>1</v>
      </c>
    </row>
    <row r="6404" spans="1:7" x14ac:dyDescent="0.25">
      <c r="A6404">
        <v>25</v>
      </c>
      <c r="B6404" t="s">
        <v>6215</v>
      </c>
      <c r="C6404">
        <v>16047</v>
      </c>
      <c r="D6404" t="str">
        <f>"1472-0701"</f>
        <v>1472-0701</v>
      </c>
      <c r="E6404" t="s">
        <v>8</v>
      </c>
      <c r="F6404" t="s">
        <v>6407</v>
      </c>
      <c r="G6404">
        <v>1</v>
      </c>
    </row>
    <row r="6405" spans="1:7" x14ac:dyDescent="0.25">
      <c r="A6405">
        <v>25</v>
      </c>
      <c r="B6405" t="s">
        <v>6215</v>
      </c>
      <c r="C6405">
        <v>21537</v>
      </c>
      <c r="D6405" t="str">
        <f>"1727-9232"</f>
        <v>1727-9232</v>
      </c>
      <c r="E6405" t="s">
        <v>8</v>
      </c>
      <c r="F6405" t="s">
        <v>6408</v>
      </c>
      <c r="G6405">
        <v>1</v>
      </c>
    </row>
    <row r="6406" spans="1:7" x14ac:dyDescent="0.25">
      <c r="A6406">
        <v>25</v>
      </c>
      <c r="B6406" t="s">
        <v>6215</v>
      </c>
      <c r="C6406">
        <v>73</v>
      </c>
      <c r="D6406" t="str">
        <f>"1535-3958"</f>
        <v>1535-3958</v>
      </c>
      <c r="E6406" t="s">
        <v>8</v>
      </c>
      <c r="F6406" t="s">
        <v>6409</v>
      </c>
      <c r="G6406">
        <v>1</v>
      </c>
    </row>
    <row r="6407" spans="1:7" x14ac:dyDescent="0.25">
      <c r="A6407">
        <v>25</v>
      </c>
      <c r="B6407" t="s">
        <v>6215</v>
      </c>
      <c r="C6407">
        <v>7731001</v>
      </c>
      <c r="D6407" t="str">
        <f>"2164-5744"</f>
        <v>2164-5744</v>
      </c>
      <c r="E6407" t="s">
        <v>8</v>
      </c>
      <c r="F6407" t="s">
        <v>6410</v>
      </c>
      <c r="G6407">
        <v>1</v>
      </c>
    </row>
    <row r="6408" spans="1:7" x14ac:dyDescent="0.25">
      <c r="A6408">
        <v>25</v>
      </c>
      <c r="B6408" t="s">
        <v>6215</v>
      </c>
      <c r="C6408">
        <v>16838</v>
      </c>
      <c r="D6408" t="str">
        <f>"1045-2354"</f>
        <v>1045-2354</v>
      </c>
      <c r="E6408" t="s">
        <v>8</v>
      </c>
      <c r="F6408" t="s">
        <v>6411</v>
      </c>
      <c r="G6408">
        <v>1</v>
      </c>
    </row>
    <row r="6409" spans="1:7" x14ac:dyDescent="0.25">
      <c r="A6409">
        <v>25</v>
      </c>
      <c r="B6409" t="s">
        <v>6215</v>
      </c>
      <c r="C6409">
        <v>10861</v>
      </c>
      <c r="D6409" t="str">
        <f>"1742-2043"</f>
        <v>1742-2043</v>
      </c>
      <c r="E6409" t="s">
        <v>8</v>
      </c>
      <c r="F6409" t="s">
        <v>6412</v>
      </c>
      <c r="G6409">
        <v>1</v>
      </c>
    </row>
    <row r="6410" spans="1:7" x14ac:dyDescent="0.25">
      <c r="A6410">
        <v>25</v>
      </c>
      <c r="B6410" t="s">
        <v>6215</v>
      </c>
      <c r="C6410">
        <v>4874</v>
      </c>
      <c r="D6410" t="str">
        <f>"1352-7606"</f>
        <v>1352-7606</v>
      </c>
      <c r="E6410" t="s">
        <v>8</v>
      </c>
      <c r="F6410" t="s">
        <v>6413</v>
      </c>
      <c r="G6410">
        <v>1</v>
      </c>
    </row>
    <row r="6411" spans="1:7" x14ac:dyDescent="0.25">
      <c r="A6411">
        <v>25</v>
      </c>
      <c r="B6411" t="s">
        <v>6215</v>
      </c>
      <c r="C6411">
        <v>27104</v>
      </c>
      <c r="D6411" t="str">
        <f>"2246-3887"</f>
        <v>2246-3887</v>
      </c>
      <c r="E6411" t="s">
        <v>8</v>
      </c>
      <c r="F6411" t="s">
        <v>6414</v>
      </c>
      <c r="G6411">
        <v>1</v>
      </c>
    </row>
    <row r="6412" spans="1:7" x14ac:dyDescent="0.25">
      <c r="A6412">
        <v>25</v>
      </c>
      <c r="B6412" t="s">
        <v>6215</v>
      </c>
      <c r="C6412">
        <v>2907</v>
      </c>
      <c r="D6412" t="str">
        <f>"1545-8490"</f>
        <v>1545-8490</v>
      </c>
      <c r="E6412" t="s">
        <v>8</v>
      </c>
      <c r="F6412" t="s">
        <v>6415</v>
      </c>
      <c r="G6412">
        <v>1</v>
      </c>
    </row>
    <row r="6413" spans="1:7" x14ac:dyDescent="0.25">
      <c r="A6413">
        <v>25</v>
      </c>
      <c r="B6413" t="s">
        <v>6215</v>
      </c>
      <c r="C6413">
        <v>2368</v>
      </c>
      <c r="D6413" t="str">
        <f>"1593-8883"</f>
        <v>1593-8883</v>
      </c>
      <c r="E6413" t="s">
        <v>8</v>
      </c>
      <c r="F6413" t="s">
        <v>6416</v>
      </c>
      <c r="G6413">
        <v>1</v>
      </c>
    </row>
    <row r="6414" spans="1:7" x14ac:dyDescent="0.25">
      <c r="A6414">
        <v>25</v>
      </c>
      <c r="B6414" t="s">
        <v>6215</v>
      </c>
      <c r="C6414">
        <v>26326</v>
      </c>
      <c r="D6414" t="str">
        <f>"1477-7282"</f>
        <v>1477-7282</v>
      </c>
      <c r="E6414" t="s">
        <v>8</v>
      </c>
      <c r="F6414" t="s">
        <v>6417</v>
      </c>
      <c r="G6414">
        <v>1</v>
      </c>
    </row>
    <row r="6415" spans="1:7" x14ac:dyDescent="0.25">
      <c r="A6415">
        <v>25</v>
      </c>
      <c r="B6415" t="s">
        <v>6215</v>
      </c>
      <c r="C6415">
        <v>26478</v>
      </c>
      <c r="D6415" t="str">
        <f>"0342-7064"</f>
        <v>0342-7064</v>
      </c>
      <c r="E6415" t="s">
        <v>8</v>
      </c>
      <c r="F6415" t="s">
        <v>6418</v>
      </c>
      <c r="G6415">
        <v>1</v>
      </c>
    </row>
    <row r="6416" spans="1:7" x14ac:dyDescent="0.25">
      <c r="A6416">
        <v>25</v>
      </c>
      <c r="B6416" t="s">
        <v>6215</v>
      </c>
      <c r="C6416">
        <v>19392</v>
      </c>
      <c r="D6416" t="str">
        <f>"0042-059X"</f>
        <v>0042-059X</v>
      </c>
      <c r="E6416" t="s">
        <v>8</v>
      </c>
      <c r="F6416" t="s">
        <v>6419</v>
      </c>
      <c r="G6416">
        <v>1</v>
      </c>
    </row>
    <row r="6417" spans="1:7" x14ac:dyDescent="0.25">
      <c r="A6417">
        <v>25</v>
      </c>
      <c r="B6417" t="s">
        <v>6215</v>
      </c>
      <c r="C6417">
        <v>2682</v>
      </c>
      <c r="E6417" t="s">
        <v>8</v>
      </c>
      <c r="F6417" t="s">
        <v>6420</v>
      </c>
      <c r="G6417">
        <v>1</v>
      </c>
    </row>
    <row r="6418" spans="1:7" x14ac:dyDescent="0.25">
      <c r="A6418">
        <v>25</v>
      </c>
      <c r="B6418" t="s">
        <v>6215</v>
      </c>
      <c r="C6418">
        <v>154424</v>
      </c>
      <c r="D6418" t="str">
        <f>"1212-3609"</f>
        <v>1212-3609</v>
      </c>
      <c r="E6418" t="s">
        <v>8</v>
      </c>
      <c r="F6418" t="s">
        <v>6421</v>
      </c>
      <c r="G6418">
        <v>1</v>
      </c>
    </row>
    <row r="6419" spans="1:7" x14ac:dyDescent="0.25">
      <c r="A6419">
        <v>25</v>
      </c>
      <c r="B6419" t="s">
        <v>6215</v>
      </c>
      <c r="C6419">
        <v>26970</v>
      </c>
      <c r="D6419" t="str">
        <f>"0391-2078"</f>
        <v>0391-2078</v>
      </c>
      <c r="E6419" t="s">
        <v>8</v>
      </c>
      <c r="F6419" t="s">
        <v>6422</v>
      </c>
      <c r="G6419">
        <v>1</v>
      </c>
    </row>
    <row r="6420" spans="1:7" x14ac:dyDescent="0.25">
      <c r="A6420">
        <v>25</v>
      </c>
      <c r="B6420" t="s">
        <v>6215</v>
      </c>
      <c r="C6420">
        <v>7733595</v>
      </c>
      <c r="E6420" t="s">
        <v>8</v>
      </c>
      <c r="F6420" t="s">
        <v>6423</v>
      </c>
      <c r="G6420">
        <v>1</v>
      </c>
    </row>
    <row r="6421" spans="1:7" x14ac:dyDescent="0.25">
      <c r="A6421">
        <v>25</v>
      </c>
      <c r="B6421" t="s">
        <v>6215</v>
      </c>
      <c r="C6421">
        <v>13970</v>
      </c>
      <c r="D6421" t="str">
        <f>"1043-8599"</f>
        <v>1043-8599</v>
      </c>
      <c r="E6421" t="s">
        <v>8</v>
      </c>
      <c r="F6421" t="s">
        <v>6424</v>
      </c>
      <c r="G6421">
        <v>1</v>
      </c>
    </row>
    <row r="6422" spans="1:7" x14ac:dyDescent="0.25">
      <c r="A6422">
        <v>25</v>
      </c>
      <c r="B6422" t="s">
        <v>6215</v>
      </c>
      <c r="C6422">
        <v>6177</v>
      </c>
      <c r="D6422" t="str">
        <f>"1389-5753"</f>
        <v>1389-5753</v>
      </c>
      <c r="E6422" t="s">
        <v>8</v>
      </c>
      <c r="F6422" t="s">
        <v>6425</v>
      </c>
      <c r="G6422">
        <v>1</v>
      </c>
    </row>
    <row r="6423" spans="1:7" x14ac:dyDescent="0.25">
      <c r="A6423">
        <v>25</v>
      </c>
      <c r="B6423" t="s">
        <v>6215</v>
      </c>
      <c r="C6423">
        <v>9211</v>
      </c>
      <c r="E6423" t="s">
        <v>8</v>
      </c>
      <c r="F6423" t="s">
        <v>6426</v>
      </c>
      <c r="G6423">
        <v>1</v>
      </c>
    </row>
    <row r="6424" spans="1:7" x14ac:dyDescent="0.25">
      <c r="A6424">
        <v>25</v>
      </c>
      <c r="B6424" t="s">
        <v>6215</v>
      </c>
      <c r="C6424">
        <v>13369</v>
      </c>
      <c r="D6424" t="str">
        <f>"1521-3250"</f>
        <v>1521-3250</v>
      </c>
      <c r="E6424" t="s">
        <v>8</v>
      </c>
      <c r="F6424" t="s">
        <v>6427</v>
      </c>
      <c r="G6424">
        <v>1</v>
      </c>
    </row>
    <row r="6425" spans="1:7" x14ac:dyDescent="0.25">
      <c r="A6425">
        <v>25</v>
      </c>
      <c r="B6425" t="s">
        <v>6215</v>
      </c>
      <c r="C6425">
        <v>5659</v>
      </c>
      <c r="D6425" t="str">
        <f>"1566-0141"</f>
        <v>1566-0141</v>
      </c>
      <c r="E6425" t="s">
        <v>8</v>
      </c>
      <c r="F6425" t="s">
        <v>6428</v>
      </c>
      <c r="G6425">
        <v>1</v>
      </c>
    </row>
    <row r="6426" spans="1:7" x14ac:dyDescent="0.25">
      <c r="A6426">
        <v>25</v>
      </c>
      <c r="B6426" t="s">
        <v>6215</v>
      </c>
      <c r="C6426">
        <v>48265</v>
      </c>
      <c r="D6426" t="str">
        <f>"1755-1978"</f>
        <v>1755-1978</v>
      </c>
      <c r="E6426" t="s">
        <v>8</v>
      </c>
      <c r="F6426" t="s">
        <v>6429</v>
      </c>
      <c r="G6426">
        <v>1</v>
      </c>
    </row>
    <row r="6427" spans="1:7" x14ac:dyDescent="0.25">
      <c r="A6427">
        <v>25</v>
      </c>
      <c r="B6427" t="s">
        <v>6215</v>
      </c>
      <c r="C6427">
        <v>7720756</v>
      </c>
      <c r="E6427" t="s">
        <v>8</v>
      </c>
      <c r="F6427" t="s">
        <v>6430</v>
      </c>
      <c r="G6427">
        <v>1</v>
      </c>
    </row>
    <row r="6428" spans="1:7" x14ac:dyDescent="0.25">
      <c r="A6428">
        <v>25</v>
      </c>
      <c r="B6428" t="s">
        <v>6215</v>
      </c>
      <c r="C6428">
        <v>7731742</v>
      </c>
      <c r="D6428" t="str">
        <f>"1998-6041"</f>
        <v>1998-6041</v>
      </c>
      <c r="E6428" t="s">
        <v>8</v>
      </c>
      <c r="F6428" t="s">
        <v>6431</v>
      </c>
      <c r="G6428">
        <v>1</v>
      </c>
    </row>
    <row r="6429" spans="1:7" x14ac:dyDescent="0.25">
      <c r="A6429">
        <v>25</v>
      </c>
      <c r="B6429" t="s">
        <v>6215</v>
      </c>
      <c r="C6429">
        <v>8209</v>
      </c>
      <c r="D6429" t="str">
        <f>"1528-8226"</f>
        <v>1528-8226</v>
      </c>
      <c r="E6429" t="s">
        <v>8</v>
      </c>
      <c r="F6429" t="s">
        <v>6432</v>
      </c>
      <c r="G6429">
        <v>1</v>
      </c>
    </row>
    <row r="6430" spans="1:7" x14ac:dyDescent="0.25">
      <c r="A6430">
        <v>25</v>
      </c>
      <c r="B6430" t="s">
        <v>6215</v>
      </c>
      <c r="C6430">
        <v>7706137</v>
      </c>
      <c r="D6430" t="str">
        <f>"1309-4297"</f>
        <v>1309-4297</v>
      </c>
      <c r="E6430" t="s">
        <v>8</v>
      </c>
      <c r="F6430" t="s">
        <v>6433</v>
      </c>
      <c r="G6430">
        <v>1</v>
      </c>
    </row>
    <row r="6431" spans="1:7" x14ac:dyDescent="0.25">
      <c r="A6431">
        <v>25</v>
      </c>
      <c r="B6431" t="s">
        <v>6215</v>
      </c>
      <c r="C6431">
        <v>7738825</v>
      </c>
      <c r="D6431" t="str">
        <f>"2192-4406"</f>
        <v>2192-4406</v>
      </c>
      <c r="E6431" t="s">
        <v>8</v>
      </c>
      <c r="F6431" t="s">
        <v>6434</v>
      </c>
      <c r="G6431">
        <v>1</v>
      </c>
    </row>
    <row r="6432" spans="1:7" x14ac:dyDescent="0.25">
      <c r="A6432">
        <v>25</v>
      </c>
      <c r="B6432" t="s">
        <v>6215</v>
      </c>
      <c r="C6432">
        <v>7738827</v>
      </c>
      <c r="D6432" t="str">
        <f>"2193-9438"</f>
        <v>2193-9438</v>
      </c>
      <c r="E6432" t="s">
        <v>8</v>
      </c>
      <c r="F6432" t="s">
        <v>6435</v>
      </c>
      <c r="G6432">
        <v>1</v>
      </c>
    </row>
    <row r="6433" spans="1:7" x14ac:dyDescent="0.25">
      <c r="A6433">
        <v>25</v>
      </c>
      <c r="B6433" t="s">
        <v>6215</v>
      </c>
      <c r="C6433">
        <v>27537</v>
      </c>
      <c r="D6433" t="str">
        <f>"1450-2194"</f>
        <v>1450-2194</v>
      </c>
      <c r="E6433" t="s">
        <v>8</v>
      </c>
      <c r="F6433" t="s">
        <v>6436</v>
      </c>
      <c r="G6433">
        <v>1</v>
      </c>
    </row>
    <row r="6434" spans="1:7" x14ac:dyDescent="0.25">
      <c r="A6434">
        <v>25</v>
      </c>
      <c r="B6434" t="s">
        <v>6215</v>
      </c>
      <c r="C6434">
        <v>8514</v>
      </c>
      <c r="D6434" t="str">
        <f>"0955-534X"</f>
        <v>0955-534X</v>
      </c>
      <c r="E6434" t="s">
        <v>8</v>
      </c>
      <c r="F6434" t="s">
        <v>6437</v>
      </c>
      <c r="G6434">
        <v>1</v>
      </c>
    </row>
    <row r="6435" spans="1:7" x14ac:dyDescent="0.25">
      <c r="A6435">
        <v>25</v>
      </c>
      <c r="B6435" t="s">
        <v>6215</v>
      </c>
      <c r="C6435">
        <v>6808</v>
      </c>
      <c r="D6435" t="str">
        <f>"1354-7798"</f>
        <v>1354-7798</v>
      </c>
      <c r="E6435" t="s">
        <v>8</v>
      </c>
      <c r="F6435" t="s">
        <v>6438</v>
      </c>
      <c r="G6435">
        <v>1</v>
      </c>
    </row>
    <row r="6436" spans="1:7" x14ac:dyDescent="0.25">
      <c r="A6436">
        <v>25</v>
      </c>
      <c r="B6436" t="s">
        <v>6215</v>
      </c>
      <c r="C6436">
        <v>27299</v>
      </c>
      <c r="D6436" t="str">
        <f>"1758-1508"</f>
        <v>1758-1508</v>
      </c>
      <c r="E6436" t="s">
        <v>8</v>
      </c>
      <c r="F6436" t="s">
        <v>6439</v>
      </c>
      <c r="G6436">
        <v>1</v>
      </c>
    </row>
    <row r="6437" spans="1:7" x14ac:dyDescent="0.25">
      <c r="A6437">
        <v>25</v>
      </c>
      <c r="B6437" t="s">
        <v>6215</v>
      </c>
      <c r="C6437">
        <v>53431</v>
      </c>
      <c r="D6437" t="str">
        <f>"1933-3420"</f>
        <v>1933-3420</v>
      </c>
      <c r="E6437" t="s">
        <v>8</v>
      </c>
      <c r="F6437" t="s">
        <v>6440</v>
      </c>
      <c r="G6437">
        <v>1</v>
      </c>
    </row>
    <row r="6438" spans="1:7" x14ac:dyDescent="0.25">
      <c r="A6438">
        <v>25</v>
      </c>
      <c r="B6438" t="s">
        <v>6215</v>
      </c>
      <c r="C6438">
        <v>8279</v>
      </c>
      <c r="D6438" t="str">
        <f>"1460-1060"</f>
        <v>1460-1060</v>
      </c>
      <c r="E6438" t="s">
        <v>8</v>
      </c>
      <c r="F6438" t="s">
        <v>6441</v>
      </c>
      <c r="G6438">
        <v>1</v>
      </c>
    </row>
    <row r="6439" spans="1:7" x14ac:dyDescent="0.25">
      <c r="A6439">
        <v>25</v>
      </c>
      <c r="B6439" t="s">
        <v>6215</v>
      </c>
      <c r="C6439">
        <v>13259</v>
      </c>
      <c r="D6439" t="str">
        <f>"1751-6757"</f>
        <v>1751-6757</v>
      </c>
      <c r="E6439" t="s">
        <v>8</v>
      </c>
      <c r="F6439" t="s">
        <v>6442</v>
      </c>
      <c r="G6439">
        <v>1</v>
      </c>
    </row>
    <row r="6440" spans="1:7" x14ac:dyDescent="0.25">
      <c r="A6440">
        <v>25</v>
      </c>
      <c r="B6440" t="s">
        <v>6215</v>
      </c>
      <c r="C6440">
        <v>4577</v>
      </c>
      <c r="D6440" t="str">
        <f>"0377-2217"</f>
        <v>0377-2217</v>
      </c>
      <c r="E6440" t="s">
        <v>8</v>
      </c>
      <c r="F6440" t="s">
        <v>6443</v>
      </c>
      <c r="G6440">
        <v>1</v>
      </c>
    </row>
    <row r="6441" spans="1:7" x14ac:dyDescent="0.25">
      <c r="A6441">
        <v>25</v>
      </c>
      <c r="B6441" t="s">
        <v>6215</v>
      </c>
      <c r="C6441">
        <v>12585</v>
      </c>
      <c r="D6441" t="str">
        <f>"0263-2373"</f>
        <v>0263-2373</v>
      </c>
      <c r="E6441" t="s">
        <v>8</v>
      </c>
      <c r="F6441" t="s">
        <v>6444</v>
      </c>
      <c r="G6441">
        <v>1</v>
      </c>
    </row>
    <row r="6442" spans="1:7" x14ac:dyDescent="0.25">
      <c r="A6442">
        <v>25</v>
      </c>
      <c r="B6442" t="s">
        <v>6215</v>
      </c>
      <c r="C6442">
        <v>15987</v>
      </c>
      <c r="D6442" t="str">
        <f>"1740-4754"</f>
        <v>1740-4754</v>
      </c>
      <c r="E6442" t="s">
        <v>8</v>
      </c>
      <c r="F6442" t="s">
        <v>6445</v>
      </c>
      <c r="G6442">
        <v>1</v>
      </c>
    </row>
    <row r="6443" spans="1:7" x14ac:dyDescent="0.25">
      <c r="A6443">
        <v>25</v>
      </c>
      <c r="B6443" t="s">
        <v>6215</v>
      </c>
      <c r="C6443">
        <v>10362</v>
      </c>
      <c r="D6443" t="str">
        <f>"1525-9951"</f>
        <v>1525-9951</v>
      </c>
      <c r="E6443" t="s">
        <v>8</v>
      </c>
      <c r="F6443" t="s">
        <v>6446</v>
      </c>
      <c r="G6443">
        <v>1</v>
      </c>
    </row>
    <row r="6444" spans="1:7" x14ac:dyDescent="0.25">
      <c r="A6444">
        <v>25</v>
      </c>
      <c r="B6444" t="s">
        <v>6215</v>
      </c>
      <c r="C6444">
        <v>7737934</v>
      </c>
      <c r="D6444" t="str">
        <f>"2049-3983"</f>
        <v>2049-3983</v>
      </c>
      <c r="E6444" t="s">
        <v>8</v>
      </c>
      <c r="F6444" t="s">
        <v>6447</v>
      </c>
      <c r="G6444">
        <v>1</v>
      </c>
    </row>
    <row r="6445" spans="1:7" x14ac:dyDescent="0.25">
      <c r="A6445">
        <v>25</v>
      </c>
      <c r="B6445" t="s">
        <v>6215</v>
      </c>
      <c r="C6445">
        <v>9007</v>
      </c>
      <c r="D6445" t="str">
        <f>"1077-727X"</f>
        <v>1077-727X</v>
      </c>
      <c r="E6445" t="s">
        <v>8</v>
      </c>
      <c r="F6445" t="s">
        <v>6448</v>
      </c>
      <c r="G6445">
        <v>1</v>
      </c>
    </row>
    <row r="6446" spans="1:7" x14ac:dyDescent="0.25">
      <c r="A6446">
        <v>25</v>
      </c>
      <c r="B6446" t="s">
        <v>6215</v>
      </c>
      <c r="C6446">
        <v>9992</v>
      </c>
      <c r="D6446" t="str">
        <f>"0894-4865"</f>
        <v>0894-4865</v>
      </c>
      <c r="E6446" t="s">
        <v>8</v>
      </c>
      <c r="F6446" t="s">
        <v>6449</v>
      </c>
      <c r="G6446">
        <v>1</v>
      </c>
    </row>
    <row r="6447" spans="1:7" x14ac:dyDescent="0.25">
      <c r="A6447">
        <v>25</v>
      </c>
      <c r="B6447" t="s">
        <v>6215</v>
      </c>
      <c r="C6447">
        <v>993</v>
      </c>
      <c r="D6447" t="str">
        <f>"0015-1920"</f>
        <v>0015-1920</v>
      </c>
      <c r="E6447" t="s">
        <v>8</v>
      </c>
      <c r="F6447" t="s">
        <v>6450</v>
      </c>
      <c r="G6447">
        <v>1</v>
      </c>
    </row>
    <row r="6448" spans="1:7" x14ac:dyDescent="0.25">
      <c r="A6448">
        <v>25</v>
      </c>
      <c r="B6448" t="s">
        <v>6215</v>
      </c>
      <c r="C6448">
        <v>20042</v>
      </c>
      <c r="D6448" t="str">
        <f>"2666-8041"</f>
        <v>2666-8041</v>
      </c>
      <c r="E6448" t="s">
        <v>8</v>
      </c>
      <c r="F6448" t="s">
        <v>6451</v>
      </c>
      <c r="G6448">
        <v>1</v>
      </c>
    </row>
    <row r="6449" spans="1:7" x14ac:dyDescent="0.25">
      <c r="A6449">
        <v>25</v>
      </c>
      <c r="B6449" t="s">
        <v>6215</v>
      </c>
      <c r="C6449">
        <v>9706</v>
      </c>
      <c r="D6449" t="str">
        <f>"1544-6123"</f>
        <v>1544-6123</v>
      </c>
      <c r="E6449" t="s">
        <v>8</v>
      </c>
      <c r="F6449" t="s">
        <v>6452</v>
      </c>
      <c r="G6449">
        <v>1</v>
      </c>
    </row>
    <row r="6450" spans="1:7" x14ac:dyDescent="0.25">
      <c r="A6450">
        <v>25</v>
      </c>
      <c r="B6450" t="s">
        <v>6215</v>
      </c>
      <c r="C6450">
        <v>10050</v>
      </c>
      <c r="D6450" t="str">
        <f>"1934-4554"</f>
        <v>1934-4554</v>
      </c>
      <c r="E6450" t="s">
        <v>8</v>
      </c>
      <c r="F6450" t="s">
        <v>6453</v>
      </c>
      <c r="G6450">
        <v>1</v>
      </c>
    </row>
    <row r="6451" spans="1:7" x14ac:dyDescent="0.25">
      <c r="A6451">
        <v>25</v>
      </c>
      <c r="B6451" t="s">
        <v>6215</v>
      </c>
      <c r="C6451">
        <v>9738</v>
      </c>
      <c r="D6451" t="str">
        <f>"0963-8008"</f>
        <v>0963-8008</v>
      </c>
      <c r="E6451" t="s">
        <v>8</v>
      </c>
      <c r="F6451" t="s">
        <v>6454</v>
      </c>
      <c r="G6451">
        <v>1</v>
      </c>
    </row>
    <row r="6452" spans="1:7" x14ac:dyDescent="0.25">
      <c r="A6452">
        <v>25</v>
      </c>
      <c r="B6452" t="s">
        <v>6215</v>
      </c>
      <c r="C6452">
        <v>27557</v>
      </c>
      <c r="D6452" t="str">
        <f>"0106-1798"</f>
        <v>0106-1798</v>
      </c>
      <c r="E6452" t="s">
        <v>8</v>
      </c>
      <c r="F6452" t="s">
        <v>6455</v>
      </c>
      <c r="G6452">
        <v>1</v>
      </c>
    </row>
    <row r="6453" spans="1:7" x14ac:dyDescent="0.25">
      <c r="A6453">
        <v>25</v>
      </c>
      <c r="B6453" t="s">
        <v>6215</v>
      </c>
      <c r="C6453">
        <v>8139</v>
      </c>
      <c r="D6453" t="str">
        <f>"1463-6689"</f>
        <v>1463-6689</v>
      </c>
      <c r="E6453" t="s">
        <v>8</v>
      </c>
      <c r="F6453" t="s">
        <v>6456</v>
      </c>
      <c r="G6453">
        <v>1</v>
      </c>
    </row>
    <row r="6454" spans="1:7" x14ac:dyDescent="0.25">
      <c r="A6454">
        <v>25</v>
      </c>
      <c r="B6454" t="s">
        <v>6215</v>
      </c>
      <c r="C6454">
        <v>97815</v>
      </c>
      <c r="D6454" t="str">
        <f>"1551-3114"</f>
        <v>1551-3114</v>
      </c>
      <c r="E6454" t="s">
        <v>8</v>
      </c>
      <c r="F6454" t="s">
        <v>6457</v>
      </c>
      <c r="G6454">
        <v>1</v>
      </c>
    </row>
    <row r="6455" spans="1:7" x14ac:dyDescent="0.25">
      <c r="A6455">
        <v>25</v>
      </c>
      <c r="B6455" t="s">
        <v>6215</v>
      </c>
      <c r="C6455">
        <v>34132</v>
      </c>
      <c r="D6455" t="str">
        <f>"1555-0753"</f>
        <v>1555-0753</v>
      </c>
      <c r="E6455" t="s">
        <v>8</v>
      </c>
      <c r="F6455" t="s">
        <v>6458</v>
      </c>
      <c r="G6455">
        <v>1</v>
      </c>
    </row>
    <row r="6456" spans="1:7" x14ac:dyDescent="0.25">
      <c r="A6456">
        <v>25</v>
      </c>
      <c r="B6456" t="s">
        <v>6215</v>
      </c>
      <c r="C6456">
        <v>11547</v>
      </c>
      <c r="D6456" t="str">
        <f>"0016-3287"</f>
        <v>0016-3287</v>
      </c>
      <c r="E6456" t="s">
        <v>8</v>
      </c>
      <c r="F6456" t="s">
        <v>6459</v>
      </c>
      <c r="G6456">
        <v>1</v>
      </c>
    </row>
    <row r="6457" spans="1:7" x14ac:dyDescent="0.25">
      <c r="A6457">
        <v>25</v>
      </c>
      <c r="B6457" t="s">
        <v>6215</v>
      </c>
      <c r="C6457">
        <v>5246</v>
      </c>
      <c r="D6457" t="str">
        <f>"1568-4539"</f>
        <v>1568-4539</v>
      </c>
      <c r="E6457" t="s">
        <v>8</v>
      </c>
      <c r="F6457" t="s">
        <v>6460</v>
      </c>
      <c r="G6457">
        <v>1</v>
      </c>
    </row>
    <row r="6458" spans="1:7" x14ac:dyDescent="0.25">
      <c r="A6458">
        <v>25</v>
      </c>
      <c r="B6458" t="s">
        <v>6215</v>
      </c>
      <c r="C6458">
        <v>17864</v>
      </c>
      <c r="D6458" t="str">
        <f>"2397-0022"</f>
        <v>2397-0022</v>
      </c>
      <c r="E6458" t="s">
        <v>8</v>
      </c>
      <c r="F6458" t="s">
        <v>6461</v>
      </c>
      <c r="G6458">
        <v>1</v>
      </c>
    </row>
    <row r="6459" spans="1:7" x14ac:dyDescent="0.25">
      <c r="A6459">
        <v>25</v>
      </c>
      <c r="B6459" t="s">
        <v>6215</v>
      </c>
      <c r="C6459">
        <v>152208</v>
      </c>
      <c r="D6459" t="str">
        <f>"1932-2054"</f>
        <v>1932-2054</v>
      </c>
      <c r="E6459" t="s">
        <v>8</v>
      </c>
      <c r="F6459" t="s">
        <v>6462</v>
      </c>
      <c r="G6459">
        <v>1</v>
      </c>
    </row>
    <row r="6460" spans="1:7" x14ac:dyDescent="0.25">
      <c r="A6460">
        <v>25</v>
      </c>
      <c r="B6460" t="s">
        <v>6215</v>
      </c>
      <c r="C6460">
        <v>14787</v>
      </c>
      <c r="D6460" t="str">
        <f>"1044-0283"</f>
        <v>1044-0283</v>
      </c>
      <c r="E6460" t="s">
        <v>8</v>
      </c>
      <c r="F6460" t="s">
        <v>6463</v>
      </c>
      <c r="G6460">
        <v>1</v>
      </c>
    </row>
    <row r="6461" spans="1:7" x14ac:dyDescent="0.25">
      <c r="A6461">
        <v>25</v>
      </c>
      <c r="B6461" t="s">
        <v>6215</v>
      </c>
      <c r="C6461">
        <v>131275</v>
      </c>
      <c r="D6461" t="str">
        <f>"0972-2696"</f>
        <v>0972-2696</v>
      </c>
      <c r="E6461" t="s">
        <v>8</v>
      </c>
      <c r="F6461" t="s">
        <v>6464</v>
      </c>
      <c r="G6461">
        <v>1</v>
      </c>
    </row>
    <row r="6462" spans="1:7" x14ac:dyDescent="0.25">
      <c r="A6462">
        <v>25</v>
      </c>
      <c r="B6462" t="s">
        <v>6215</v>
      </c>
      <c r="C6462">
        <v>53</v>
      </c>
      <c r="D6462" t="str">
        <f>"0969-7500"</f>
        <v>0969-7500</v>
      </c>
      <c r="E6462" t="s">
        <v>8</v>
      </c>
      <c r="F6462" t="s">
        <v>6465</v>
      </c>
      <c r="G6462">
        <v>1</v>
      </c>
    </row>
    <row r="6463" spans="1:7" x14ac:dyDescent="0.25">
      <c r="A6463">
        <v>25</v>
      </c>
      <c r="B6463" t="s">
        <v>6215</v>
      </c>
      <c r="C6463">
        <v>16052</v>
      </c>
      <c r="D6463" t="str">
        <f>"0926-2644"</f>
        <v>0926-2644</v>
      </c>
      <c r="E6463" t="s">
        <v>8</v>
      </c>
      <c r="F6463" t="s">
        <v>6466</v>
      </c>
      <c r="G6463">
        <v>1</v>
      </c>
    </row>
    <row r="6464" spans="1:7" x14ac:dyDescent="0.25">
      <c r="A6464">
        <v>25</v>
      </c>
      <c r="B6464" t="s">
        <v>6215</v>
      </c>
      <c r="C6464">
        <v>7722266</v>
      </c>
      <c r="D6464" t="str">
        <f>"1751-3243"</f>
        <v>1751-3243</v>
      </c>
      <c r="E6464" t="s">
        <v>15</v>
      </c>
      <c r="F6464" t="s">
        <v>6467</v>
      </c>
      <c r="G6464">
        <v>1</v>
      </c>
    </row>
    <row r="6465" spans="1:7" x14ac:dyDescent="0.25">
      <c r="A6465">
        <v>25</v>
      </c>
      <c r="B6465" t="s">
        <v>6215</v>
      </c>
      <c r="C6465">
        <v>13302</v>
      </c>
      <c r="D6465" t="str">
        <f>"0017-8012"</f>
        <v>0017-8012</v>
      </c>
      <c r="E6465" t="s">
        <v>8</v>
      </c>
      <c r="F6465" t="s">
        <v>6468</v>
      </c>
      <c r="G6465">
        <v>1</v>
      </c>
    </row>
    <row r="6466" spans="1:7" x14ac:dyDescent="0.25">
      <c r="A6466">
        <v>25</v>
      </c>
      <c r="B6466" t="s">
        <v>6215</v>
      </c>
      <c r="C6466">
        <v>12523</v>
      </c>
      <c r="D6466" t="str">
        <f>"0735-9683"</f>
        <v>0735-9683</v>
      </c>
      <c r="E6466" t="s">
        <v>8</v>
      </c>
      <c r="F6466" t="s">
        <v>6469</v>
      </c>
      <c r="G6466">
        <v>1</v>
      </c>
    </row>
    <row r="6467" spans="1:7" x14ac:dyDescent="0.25">
      <c r="A6467">
        <v>25</v>
      </c>
      <c r="B6467" t="s">
        <v>6215</v>
      </c>
      <c r="C6467">
        <v>2700</v>
      </c>
      <c r="D6467" t="str">
        <f>"1367-8868"</f>
        <v>1367-8868</v>
      </c>
      <c r="E6467" t="s">
        <v>8</v>
      </c>
      <c r="F6467" t="s">
        <v>6470</v>
      </c>
      <c r="G6467">
        <v>1</v>
      </c>
    </row>
    <row r="6468" spans="1:7" x14ac:dyDescent="0.25">
      <c r="A6468">
        <v>25</v>
      </c>
      <c r="B6468" t="s">
        <v>6215</v>
      </c>
      <c r="C6468">
        <v>15877</v>
      </c>
      <c r="D6468" t="str">
        <f>"1044-8004"</f>
        <v>1044-8004</v>
      </c>
      <c r="E6468" t="s">
        <v>8</v>
      </c>
      <c r="F6468" t="s">
        <v>6471</v>
      </c>
      <c r="G6468">
        <v>1</v>
      </c>
    </row>
    <row r="6469" spans="1:7" x14ac:dyDescent="0.25">
      <c r="A6469">
        <v>25</v>
      </c>
      <c r="B6469" t="s">
        <v>6215</v>
      </c>
      <c r="C6469">
        <v>5897</v>
      </c>
      <c r="D6469" t="str">
        <f>"1534-4843"</f>
        <v>1534-4843</v>
      </c>
      <c r="E6469" t="s">
        <v>8</v>
      </c>
      <c r="F6469" t="s">
        <v>6472</v>
      </c>
      <c r="G6469">
        <v>1</v>
      </c>
    </row>
    <row r="6470" spans="1:7" x14ac:dyDescent="0.25">
      <c r="A6470">
        <v>25</v>
      </c>
      <c r="B6470" t="s">
        <v>6215</v>
      </c>
      <c r="C6470">
        <v>1155</v>
      </c>
      <c r="D6470" t="str">
        <f>"0167-2533"</f>
        <v>0167-2533</v>
      </c>
      <c r="E6470" t="s">
        <v>8</v>
      </c>
      <c r="F6470" t="s">
        <v>6473</v>
      </c>
      <c r="G6470">
        <v>1</v>
      </c>
    </row>
    <row r="6471" spans="1:7" x14ac:dyDescent="0.25">
      <c r="A6471">
        <v>25</v>
      </c>
      <c r="B6471" t="s">
        <v>6215</v>
      </c>
      <c r="C6471">
        <v>2425</v>
      </c>
      <c r="D6471" t="str">
        <f>"0360-8581"</f>
        <v>0360-8581</v>
      </c>
      <c r="E6471" t="s">
        <v>8</v>
      </c>
      <c r="F6471" t="s">
        <v>6474</v>
      </c>
      <c r="G6471">
        <v>1</v>
      </c>
    </row>
    <row r="6472" spans="1:7" x14ac:dyDescent="0.25">
      <c r="A6472">
        <v>25</v>
      </c>
      <c r="B6472" t="s">
        <v>6215</v>
      </c>
      <c r="C6472">
        <v>5785</v>
      </c>
      <c r="D6472" t="str">
        <f>"0018-9391"</f>
        <v>0018-9391</v>
      </c>
      <c r="E6472" t="s">
        <v>8</v>
      </c>
      <c r="F6472" t="s">
        <v>6475</v>
      </c>
      <c r="G6472">
        <v>1</v>
      </c>
    </row>
    <row r="6473" spans="1:7" x14ac:dyDescent="0.25">
      <c r="A6473">
        <v>25</v>
      </c>
      <c r="B6473" t="s">
        <v>6215</v>
      </c>
      <c r="C6473">
        <v>16714</v>
      </c>
      <c r="D6473" t="str">
        <f>"0263-5577"</f>
        <v>0263-5577</v>
      </c>
      <c r="E6473" t="s">
        <v>8</v>
      </c>
      <c r="F6473" t="s">
        <v>6476</v>
      </c>
      <c r="G6473">
        <v>1</v>
      </c>
    </row>
    <row r="6474" spans="1:7" x14ac:dyDescent="0.25">
      <c r="A6474">
        <v>25</v>
      </c>
      <c r="B6474" t="s">
        <v>6215</v>
      </c>
      <c r="C6474">
        <v>13493</v>
      </c>
      <c r="D6474" t="str">
        <f>"1531-3468"</f>
        <v>1531-3468</v>
      </c>
      <c r="E6474" t="s">
        <v>15</v>
      </c>
      <c r="F6474" t="s">
        <v>6477</v>
      </c>
      <c r="G6474">
        <v>1</v>
      </c>
    </row>
    <row r="6475" spans="1:7" x14ac:dyDescent="0.25">
      <c r="A6475">
        <v>25</v>
      </c>
      <c r="B6475" t="s">
        <v>6215</v>
      </c>
      <c r="C6475">
        <v>27141</v>
      </c>
      <c r="D6475" t="str">
        <f>"1447-9338"</f>
        <v>1447-9338</v>
      </c>
      <c r="E6475" t="s">
        <v>8</v>
      </c>
      <c r="F6475" t="s">
        <v>6478</v>
      </c>
      <c r="G6475">
        <v>1</v>
      </c>
    </row>
    <row r="6476" spans="1:7" x14ac:dyDescent="0.25">
      <c r="A6476">
        <v>25</v>
      </c>
      <c r="B6476" t="s">
        <v>6215</v>
      </c>
      <c r="C6476">
        <v>22268</v>
      </c>
      <c r="D6476" t="str">
        <f>"1558-2477"</f>
        <v>1558-2477</v>
      </c>
      <c r="E6476" t="s">
        <v>8</v>
      </c>
      <c r="F6476" t="s">
        <v>6479</v>
      </c>
      <c r="G6476">
        <v>1</v>
      </c>
    </row>
    <row r="6477" spans="1:7" x14ac:dyDescent="0.25">
      <c r="A6477">
        <v>25</v>
      </c>
      <c r="B6477" t="s">
        <v>6215</v>
      </c>
      <c r="C6477">
        <v>27391</v>
      </c>
      <c r="D6477" t="str">
        <f>"1814-2427"</f>
        <v>1814-2427</v>
      </c>
      <c r="E6477" t="s">
        <v>8</v>
      </c>
      <c r="F6477" t="s">
        <v>6480</v>
      </c>
      <c r="G6477">
        <v>1</v>
      </c>
    </row>
    <row r="6478" spans="1:7" x14ac:dyDescent="0.25">
      <c r="A6478">
        <v>25</v>
      </c>
      <c r="B6478" t="s">
        <v>6215</v>
      </c>
      <c r="C6478">
        <v>27861</v>
      </c>
      <c r="E6478" t="s">
        <v>8</v>
      </c>
      <c r="F6478" t="s">
        <v>6481</v>
      </c>
      <c r="G6478">
        <v>1</v>
      </c>
    </row>
    <row r="6479" spans="1:7" x14ac:dyDescent="0.25">
      <c r="A6479">
        <v>25</v>
      </c>
      <c r="B6479" t="s">
        <v>6215</v>
      </c>
      <c r="C6479">
        <v>12080</v>
      </c>
      <c r="D6479" t="str">
        <f>"1367-0271"</f>
        <v>1367-0271</v>
      </c>
      <c r="E6479" t="s">
        <v>8</v>
      </c>
      <c r="F6479" t="s">
        <v>6482</v>
      </c>
      <c r="G6479">
        <v>1</v>
      </c>
    </row>
    <row r="6480" spans="1:7" x14ac:dyDescent="0.25">
      <c r="A6480">
        <v>25</v>
      </c>
      <c r="B6480" t="s">
        <v>6215</v>
      </c>
      <c r="C6480">
        <v>6554</v>
      </c>
      <c r="D6480" t="str">
        <f>"1445-9795"</f>
        <v>1445-9795</v>
      </c>
      <c r="E6480" t="s">
        <v>8</v>
      </c>
      <c r="F6480" t="s">
        <v>6483</v>
      </c>
      <c r="G6480">
        <v>1</v>
      </c>
    </row>
    <row r="6481" spans="1:7" x14ac:dyDescent="0.25">
      <c r="A6481">
        <v>25</v>
      </c>
      <c r="B6481" t="s">
        <v>6215</v>
      </c>
      <c r="C6481">
        <v>7725335</v>
      </c>
      <c r="D6481" t="str">
        <f>"2225-8329"</f>
        <v>2225-8329</v>
      </c>
      <c r="E6481" t="s">
        <v>8</v>
      </c>
      <c r="F6481" t="s">
        <v>6484</v>
      </c>
      <c r="G6481">
        <v>1</v>
      </c>
    </row>
    <row r="6482" spans="1:7" x14ac:dyDescent="0.25">
      <c r="A6482">
        <v>25</v>
      </c>
      <c r="B6482" t="s">
        <v>6215</v>
      </c>
      <c r="C6482">
        <v>7755490</v>
      </c>
      <c r="D6482" t="str">
        <f>"2309-4508"</f>
        <v>2309-4508</v>
      </c>
      <c r="E6482" t="s">
        <v>8</v>
      </c>
      <c r="F6482" t="s">
        <v>6485</v>
      </c>
      <c r="G6482">
        <v>1</v>
      </c>
    </row>
    <row r="6483" spans="1:7" x14ac:dyDescent="0.25">
      <c r="A6483">
        <v>25</v>
      </c>
      <c r="B6483" t="s">
        <v>6215</v>
      </c>
      <c r="C6483">
        <v>3647</v>
      </c>
      <c r="D6483" t="str">
        <f>"1834-7649"</f>
        <v>1834-7649</v>
      </c>
      <c r="E6483" t="s">
        <v>8</v>
      </c>
      <c r="F6483" t="s">
        <v>6486</v>
      </c>
      <c r="G6483">
        <v>1</v>
      </c>
    </row>
    <row r="6484" spans="1:7" x14ac:dyDescent="0.25">
      <c r="A6484">
        <v>25</v>
      </c>
      <c r="B6484" t="s">
        <v>6215</v>
      </c>
      <c r="C6484">
        <v>26079</v>
      </c>
      <c r="D6484" t="str">
        <f>"1740-8008"</f>
        <v>1740-8008</v>
      </c>
      <c r="E6484" t="s">
        <v>8</v>
      </c>
      <c r="F6484" t="s">
        <v>6487</v>
      </c>
      <c r="G6484">
        <v>1</v>
      </c>
    </row>
    <row r="6485" spans="1:7" x14ac:dyDescent="0.25">
      <c r="A6485">
        <v>25</v>
      </c>
      <c r="B6485" t="s">
        <v>6215</v>
      </c>
      <c r="C6485">
        <v>6157045</v>
      </c>
      <c r="D6485" t="str">
        <f>"1758-938X"</f>
        <v>1758-938X</v>
      </c>
      <c r="E6485" t="s">
        <v>8</v>
      </c>
      <c r="F6485" t="s">
        <v>6488</v>
      </c>
      <c r="G6485">
        <v>1</v>
      </c>
    </row>
    <row r="6486" spans="1:7" x14ac:dyDescent="0.25">
      <c r="A6486">
        <v>25</v>
      </c>
      <c r="B6486" t="s">
        <v>6215</v>
      </c>
      <c r="C6486">
        <v>85562</v>
      </c>
      <c r="D6486" t="str">
        <f>"1746-8159"</f>
        <v>1746-8159</v>
      </c>
      <c r="E6486" t="s">
        <v>8</v>
      </c>
      <c r="F6486" t="s">
        <v>6489</v>
      </c>
      <c r="G6486">
        <v>1</v>
      </c>
    </row>
    <row r="6487" spans="1:7" x14ac:dyDescent="0.25">
      <c r="A6487">
        <v>25</v>
      </c>
      <c r="B6487" t="s">
        <v>6215</v>
      </c>
      <c r="C6487">
        <v>15320</v>
      </c>
      <c r="D6487" t="str">
        <f>"1090-6738"</f>
        <v>1090-6738</v>
      </c>
      <c r="E6487" t="s">
        <v>8</v>
      </c>
      <c r="F6487" t="s">
        <v>6490</v>
      </c>
      <c r="G6487">
        <v>1</v>
      </c>
    </row>
    <row r="6488" spans="1:7" x14ac:dyDescent="0.25">
      <c r="A6488">
        <v>25</v>
      </c>
      <c r="B6488" t="s">
        <v>6215</v>
      </c>
      <c r="C6488">
        <v>10422</v>
      </c>
      <c r="D6488" t="str">
        <f>"0265-2323"</f>
        <v>0265-2323</v>
      </c>
      <c r="E6488" t="s">
        <v>8</v>
      </c>
      <c r="F6488" t="s">
        <v>6491</v>
      </c>
      <c r="G6488">
        <v>1</v>
      </c>
    </row>
    <row r="6489" spans="1:7" x14ac:dyDescent="0.25">
      <c r="A6489">
        <v>25</v>
      </c>
      <c r="B6489" t="s">
        <v>6215</v>
      </c>
      <c r="C6489">
        <v>154071</v>
      </c>
      <c r="D6489" t="str">
        <f>"1755-3830"</f>
        <v>1755-3830</v>
      </c>
      <c r="E6489" t="s">
        <v>8</v>
      </c>
      <c r="F6489" t="s">
        <v>6492</v>
      </c>
      <c r="G6489">
        <v>1</v>
      </c>
    </row>
    <row r="6490" spans="1:7" x14ac:dyDescent="0.25">
      <c r="A6490">
        <v>25</v>
      </c>
      <c r="B6490" t="s">
        <v>6215</v>
      </c>
      <c r="C6490">
        <v>20543</v>
      </c>
      <c r="D6490" t="str">
        <f>"1753-1969"</f>
        <v>1753-1969</v>
      </c>
      <c r="E6490" t="s">
        <v>8</v>
      </c>
      <c r="F6490" t="s">
        <v>6493</v>
      </c>
      <c r="G6490">
        <v>1</v>
      </c>
    </row>
    <row r="6491" spans="1:7" x14ac:dyDescent="0.25">
      <c r="A6491">
        <v>25</v>
      </c>
      <c r="B6491" t="s">
        <v>6215</v>
      </c>
      <c r="C6491">
        <v>13450</v>
      </c>
      <c r="D6491" t="str">
        <f>"1607-0704"</f>
        <v>1607-0704</v>
      </c>
      <c r="E6491" t="s">
        <v>8</v>
      </c>
      <c r="F6491" t="s">
        <v>6494</v>
      </c>
      <c r="G6491">
        <v>1</v>
      </c>
    </row>
    <row r="6492" spans="1:7" x14ac:dyDescent="0.25">
      <c r="A6492">
        <v>25</v>
      </c>
      <c r="B6492" t="s">
        <v>6215</v>
      </c>
      <c r="C6492">
        <v>8739</v>
      </c>
      <c r="D6492" t="str">
        <f>"1753-3627"</f>
        <v>1753-3627</v>
      </c>
      <c r="E6492" t="s">
        <v>8</v>
      </c>
      <c r="F6492" t="s">
        <v>6495</v>
      </c>
      <c r="G6492">
        <v>1</v>
      </c>
    </row>
    <row r="6493" spans="1:7" x14ac:dyDescent="0.25">
      <c r="A6493">
        <v>25</v>
      </c>
      <c r="B6493" t="s">
        <v>6215</v>
      </c>
      <c r="C6493">
        <v>14110</v>
      </c>
      <c r="D6493" t="str">
        <f>"1751-200X"</f>
        <v>1751-200X</v>
      </c>
      <c r="E6493" t="s">
        <v>8</v>
      </c>
      <c r="F6493" t="s">
        <v>6496</v>
      </c>
      <c r="G6493">
        <v>1</v>
      </c>
    </row>
    <row r="6494" spans="1:7" x14ac:dyDescent="0.25">
      <c r="A6494">
        <v>25</v>
      </c>
      <c r="B6494" t="s">
        <v>6215</v>
      </c>
      <c r="C6494">
        <v>24098</v>
      </c>
      <c r="D6494" t="str">
        <f>"1740-0589"</f>
        <v>1740-0589</v>
      </c>
      <c r="E6494" t="s">
        <v>8</v>
      </c>
      <c r="F6494" t="s">
        <v>6497</v>
      </c>
      <c r="G6494">
        <v>1</v>
      </c>
    </row>
    <row r="6495" spans="1:7" x14ac:dyDescent="0.25">
      <c r="A6495">
        <v>25</v>
      </c>
      <c r="B6495" t="s">
        <v>6215</v>
      </c>
      <c r="C6495">
        <v>26278</v>
      </c>
      <c r="D6495" t="str">
        <f>"1477-9048"</f>
        <v>1477-9048</v>
      </c>
      <c r="E6495" t="s">
        <v>8</v>
      </c>
      <c r="F6495" t="s">
        <v>6498</v>
      </c>
      <c r="G6495">
        <v>1</v>
      </c>
    </row>
    <row r="6496" spans="1:7" x14ac:dyDescent="0.25">
      <c r="A6496">
        <v>25</v>
      </c>
      <c r="B6496" t="s">
        <v>6215</v>
      </c>
      <c r="C6496">
        <v>5768</v>
      </c>
      <c r="D6496" t="str">
        <f>"1751-0252"</f>
        <v>1751-0252</v>
      </c>
      <c r="E6496" t="s">
        <v>8</v>
      </c>
      <c r="F6496" t="s">
        <v>6499</v>
      </c>
      <c r="G6496">
        <v>1</v>
      </c>
    </row>
    <row r="6497" spans="1:7" x14ac:dyDescent="0.25">
      <c r="A6497">
        <v>25</v>
      </c>
      <c r="B6497" t="s">
        <v>6215</v>
      </c>
      <c r="C6497">
        <v>6157279</v>
      </c>
      <c r="D6497" t="str">
        <f>"1758-9401"</f>
        <v>1758-9401</v>
      </c>
      <c r="E6497" t="s">
        <v>8</v>
      </c>
      <c r="F6497" t="s">
        <v>6500</v>
      </c>
      <c r="G6497">
        <v>1</v>
      </c>
    </row>
    <row r="6498" spans="1:7" x14ac:dyDescent="0.25">
      <c r="A6498">
        <v>25</v>
      </c>
      <c r="B6498" t="s">
        <v>6215</v>
      </c>
      <c r="C6498">
        <v>12177</v>
      </c>
      <c r="D6498" t="str">
        <f>"1368-4892"</f>
        <v>1368-4892</v>
      </c>
      <c r="E6498" t="s">
        <v>8</v>
      </c>
      <c r="F6498" t="s">
        <v>6501</v>
      </c>
      <c r="G6498">
        <v>1</v>
      </c>
    </row>
    <row r="6499" spans="1:7" x14ac:dyDescent="0.25">
      <c r="A6499">
        <v>25</v>
      </c>
      <c r="B6499" t="s">
        <v>6215</v>
      </c>
      <c r="C6499">
        <v>12519</v>
      </c>
      <c r="D6499" t="str">
        <f>"1741-8763"</f>
        <v>1741-8763</v>
      </c>
      <c r="E6499" t="s">
        <v>8</v>
      </c>
      <c r="F6499" t="s">
        <v>6502</v>
      </c>
      <c r="G6499">
        <v>1</v>
      </c>
    </row>
    <row r="6500" spans="1:7" x14ac:dyDescent="0.25">
      <c r="A6500">
        <v>25</v>
      </c>
      <c r="B6500" t="s">
        <v>6215</v>
      </c>
      <c r="C6500">
        <v>10439</v>
      </c>
      <c r="E6500" t="s">
        <v>8</v>
      </c>
      <c r="F6500" t="s">
        <v>6503</v>
      </c>
      <c r="G6500">
        <v>1</v>
      </c>
    </row>
    <row r="6501" spans="1:7" x14ac:dyDescent="0.25">
      <c r="A6501">
        <v>25</v>
      </c>
      <c r="B6501" t="s">
        <v>6215</v>
      </c>
      <c r="C6501">
        <v>148048</v>
      </c>
      <c r="D6501" t="str">
        <f>"1936-699X"</f>
        <v>1936-699X</v>
      </c>
      <c r="E6501" t="s">
        <v>8</v>
      </c>
      <c r="F6501" t="s">
        <v>6504</v>
      </c>
      <c r="G6501">
        <v>1</v>
      </c>
    </row>
    <row r="6502" spans="1:7" x14ac:dyDescent="0.25">
      <c r="A6502">
        <v>25</v>
      </c>
      <c r="B6502" t="s">
        <v>6215</v>
      </c>
      <c r="C6502">
        <v>16891</v>
      </c>
      <c r="D6502" t="str">
        <f>"1470-6423"</f>
        <v>1470-6423</v>
      </c>
      <c r="E6502" t="s">
        <v>8</v>
      </c>
      <c r="F6502" t="s">
        <v>6505</v>
      </c>
      <c r="G6502">
        <v>1</v>
      </c>
    </row>
    <row r="6503" spans="1:7" x14ac:dyDescent="0.25">
      <c r="A6503">
        <v>25</v>
      </c>
      <c r="B6503" t="s">
        <v>6215</v>
      </c>
      <c r="C6503">
        <v>566</v>
      </c>
      <c r="D6503" t="str">
        <f>"0959-6119"</f>
        <v>0959-6119</v>
      </c>
      <c r="E6503" t="s">
        <v>8</v>
      </c>
      <c r="F6503" t="s">
        <v>6506</v>
      </c>
      <c r="G6503">
        <v>1</v>
      </c>
    </row>
    <row r="6504" spans="1:7" x14ac:dyDescent="0.25">
      <c r="A6504">
        <v>25</v>
      </c>
      <c r="B6504" t="s">
        <v>6215</v>
      </c>
      <c r="C6504">
        <v>24604</v>
      </c>
      <c r="D6504" t="str">
        <f>"1754-3037"</f>
        <v>1754-3037</v>
      </c>
      <c r="E6504" t="s">
        <v>8</v>
      </c>
      <c r="F6504" t="s">
        <v>6507</v>
      </c>
      <c r="G6504">
        <v>1</v>
      </c>
    </row>
    <row r="6505" spans="1:7" x14ac:dyDescent="0.25">
      <c r="A6505">
        <v>25</v>
      </c>
      <c r="B6505" t="s">
        <v>6215</v>
      </c>
      <c r="C6505">
        <v>6157484</v>
      </c>
      <c r="D6505" t="str">
        <f>"1757-9848"</f>
        <v>1757-9848</v>
      </c>
      <c r="E6505" t="s">
        <v>8</v>
      </c>
      <c r="F6505" t="s">
        <v>6508</v>
      </c>
      <c r="G6505">
        <v>1</v>
      </c>
    </row>
    <row r="6506" spans="1:7" x14ac:dyDescent="0.25">
      <c r="A6506">
        <v>25</v>
      </c>
      <c r="B6506" t="s">
        <v>6215</v>
      </c>
      <c r="C6506">
        <v>2863</v>
      </c>
      <c r="D6506" t="str">
        <f>"1470-5958"</f>
        <v>1470-5958</v>
      </c>
      <c r="E6506" t="s">
        <v>8</v>
      </c>
      <c r="F6506" t="s">
        <v>6509</v>
      </c>
      <c r="G6506">
        <v>1</v>
      </c>
    </row>
    <row r="6507" spans="1:7" x14ac:dyDescent="0.25">
      <c r="A6507">
        <v>25</v>
      </c>
      <c r="B6507" t="s">
        <v>6215</v>
      </c>
      <c r="C6507">
        <v>6762</v>
      </c>
      <c r="D6507" t="str">
        <f>"1577-8517"</f>
        <v>1577-8517</v>
      </c>
      <c r="E6507" t="s">
        <v>8</v>
      </c>
      <c r="F6507" t="s">
        <v>6510</v>
      </c>
      <c r="G6507">
        <v>1</v>
      </c>
    </row>
    <row r="6508" spans="1:7" x14ac:dyDescent="0.25">
      <c r="A6508">
        <v>25</v>
      </c>
      <c r="B6508" t="s">
        <v>6215</v>
      </c>
      <c r="C6508">
        <v>429</v>
      </c>
      <c r="D6508" t="str">
        <f>"1741-3591"</f>
        <v>1741-3591</v>
      </c>
      <c r="E6508" t="s">
        <v>8</v>
      </c>
      <c r="F6508" t="s">
        <v>6511</v>
      </c>
      <c r="G6508">
        <v>1</v>
      </c>
    </row>
    <row r="6509" spans="1:7" x14ac:dyDescent="0.25">
      <c r="A6509">
        <v>25</v>
      </c>
      <c r="B6509" t="s">
        <v>6215</v>
      </c>
      <c r="C6509">
        <v>6157583</v>
      </c>
      <c r="D6509" t="str">
        <f>"2041-868X"</f>
        <v>2041-868X</v>
      </c>
      <c r="E6509" t="s">
        <v>8</v>
      </c>
      <c r="F6509" t="s">
        <v>6512</v>
      </c>
      <c r="G6509">
        <v>1</v>
      </c>
    </row>
    <row r="6510" spans="1:7" x14ac:dyDescent="0.25">
      <c r="A6510">
        <v>25</v>
      </c>
      <c r="B6510" t="s">
        <v>6215</v>
      </c>
      <c r="C6510">
        <v>7115</v>
      </c>
      <c r="D6510" t="str">
        <f>"1470-6067"</f>
        <v>1470-6067</v>
      </c>
      <c r="E6510" t="s">
        <v>8</v>
      </c>
      <c r="F6510" t="s">
        <v>6513</v>
      </c>
      <c r="G6510">
        <v>1</v>
      </c>
    </row>
    <row r="6511" spans="1:7" x14ac:dyDescent="0.25">
      <c r="A6511">
        <v>25</v>
      </c>
      <c r="B6511" t="s">
        <v>6215</v>
      </c>
      <c r="C6511">
        <v>18557</v>
      </c>
      <c r="D6511" t="str">
        <f>"1741-1025"</f>
        <v>1741-1025</v>
      </c>
      <c r="E6511" t="s">
        <v>8</v>
      </c>
      <c r="F6511" t="s">
        <v>6514</v>
      </c>
      <c r="G6511">
        <v>1</v>
      </c>
    </row>
    <row r="6512" spans="1:7" x14ac:dyDescent="0.25">
      <c r="A6512">
        <v>25</v>
      </c>
      <c r="B6512" t="s">
        <v>6215</v>
      </c>
      <c r="C6512">
        <v>8759</v>
      </c>
      <c r="D6512" t="str">
        <f>"1471-4825"</f>
        <v>1471-4825</v>
      </c>
      <c r="E6512" t="s">
        <v>8</v>
      </c>
      <c r="F6512" t="s">
        <v>6515</v>
      </c>
      <c r="G6512">
        <v>1</v>
      </c>
    </row>
    <row r="6513" spans="1:7" x14ac:dyDescent="0.25">
      <c r="A6513">
        <v>25</v>
      </c>
      <c r="B6513" t="s">
        <v>6215</v>
      </c>
      <c r="C6513">
        <v>25206</v>
      </c>
      <c r="D6513" t="str">
        <f>"1746-8809"</f>
        <v>1746-8809</v>
      </c>
      <c r="E6513" t="s">
        <v>8</v>
      </c>
      <c r="F6513" t="s">
        <v>6516</v>
      </c>
      <c r="G6513">
        <v>1</v>
      </c>
    </row>
    <row r="6514" spans="1:7" x14ac:dyDescent="0.25">
      <c r="A6514">
        <v>25</v>
      </c>
      <c r="B6514" t="s">
        <v>6215</v>
      </c>
      <c r="C6514">
        <v>980</v>
      </c>
      <c r="D6514" t="str">
        <f>"1355-2554"</f>
        <v>1355-2554</v>
      </c>
      <c r="E6514" t="s">
        <v>8</v>
      </c>
      <c r="F6514" t="s">
        <v>6517</v>
      </c>
      <c r="G6514">
        <v>1</v>
      </c>
    </row>
    <row r="6515" spans="1:7" x14ac:dyDescent="0.25">
      <c r="A6515">
        <v>25</v>
      </c>
      <c r="B6515" t="s">
        <v>6215</v>
      </c>
      <c r="C6515">
        <v>19487</v>
      </c>
      <c r="D6515" t="str">
        <f>"1742-5360"</f>
        <v>1742-5360</v>
      </c>
      <c r="E6515" t="s">
        <v>8</v>
      </c>
      <c r="F6515" t="s">
        <v>6518</v>
      </c>
      <c r="G6515">
        <v>1</v>
      </c>
    </row>
    <row r="6516" spans="1:7" x14ac:dyDescent="0.25">
      <c r="A6516">
        <v>25</v>
      </c>
      <c r="B6516" t="s">
        <v>6215</v>
      </c>
      <c r="C6516">
        <v>5231</v>
      </c>
      <c r="D6516" t="str">
        <f>"1465-7503"</f>
        <v>1465-7503</v>
      </c>
      <c r="E6516" t="s">
        <v>8</v>
      </c>
      <c r="F6516" t="s">
        <v>6519</v>
      </c>
      <c r="G6516">
        <v>1</v>
      </c>
    </row>
    <row r="6517" spans="1:7" x14ac:dyDescent="0.25">
      <c r="A6517">
        <v>25</v>
      </c>
      <c r="B6517" t="s">
        <v>6215</v>
      </c>
      <c r="C6517">
        <v>2759</v>
      </c>
      <c r="D6517" t="str">
        <f>"1368-275X"</f>
        <v>1368-275X</v>
      </c>
      <c r="E6517" t="s">
        <v>8</v>
      </c>
      <c r="F6517" t="s">
        <v>6520</v>
      </c>
      <c r="G6517">
        <v>1</v>
      </c>
    </row>
    <row r="6518" spans="1:7" x14ac:dyDescent="0.25">
      <c r="A6518">
        <v>25</v>
      </c>
      <c r="B6518" t="s">
        <v>6215</v>
      </c>
      <c r="C6518">
        <v>7341</v>
      </c>
      <c r="D6518" t="str">
        <f>"1476-1297"</f>
        <v>1476-1297</v>
      </c>
      <c r="E6518" t="s">
        <v>8</v>
      </c>
      <c r="F6518" t="s">
        <v>6521</v>
      </c>
      <c r="G6518">
        <v>1</v>
      </c>
    </row>
    <row r="6519" spans="1:7" x14ac:dyDescent="0.25">
      <c r="A6519">
        <v>25</v>
      </c>
      <c r="B6519" t="s">
        <v>6215</v>
      </c>
      <c r="C6519">
        <v>7741889</v>
      </c>
      <c r="D6519" t="str">
        <f>"2168-4812"</f>
        <v>2168-4812</v>
      </c>
      <c r="E6519" t="s">
        <v>8</v>
      </c>
      <c r="F6519" t="s">
        <v>6522</v>
      </c>
      <c r="G6519">
        <v>1</v>
      </c>
    </row>
    <row r="6520" spans="1:7" x14ac:dyDescent="0.25">
      <c r="A6520">
        <v>25</v>
      </c>
      <c r="B6520" t="s">
        <v>6215</v>
      </c>
      <c r="C6520">
        <v>7725815</v>
      </c>
      <c r="D6520" t="str">
        <f>"2049-0909"</f>
        <v>2049-0909</v>
      </c>
      <c r="E6520" t="s">
        <v>8</v>
      </c>
      <c r="F6520" t="s">
        <v>6523</v>
      </c>
      <c r="G6520">
        <v>1</v>
      </c>
    </row>
    <row r="6521" spans="1:7" x14ac:dyDescent="0.25">
      <c r="A6521">
        <v>25</v>
      </c>
      <c r="B6521" t="s">
        <v>6215</v>
      </c>
      <c r="C6521">
        <v>22519</v>
      </c>
      <c r="D6521" t="str">
        <f>"1740-2816"</f>
        <v>1740-2816</v>
      </c>
      <c r="E6521" t="s">
        <v>8</v>
      </c>
      <c r="F6521" t="s">
        <v>6524</v>
      </c>
      <c r="G6521">
        <v>1</v>
      </c>
    </row>
    <row r="6522" spans="1:7" x14ac:dyDescent="0.25">
      <c r="A6522">
        <v>25</v>
      </c>
      <c r="B6522" t="s">
        <v>6215</v>
      </c>
      <c r="C6522">
        <v>19390</v>
      </c>
      <c r="D6522" t="str">
        <f>"1479-3059"</f>
        <v>1479-3059</v>
      </c>
      <c r="E6522" t="s">
        <v>8</v>
      </c>
      <c r="F6522" t="s">
        <v>6525</v>
      </c>
      <c r="G6522">
        <v>1</v>
      </c>
    </row>
    <row r="6523" spans="1:7" x14ac:dyDescent="0.25">
      <c r="A6523">
        <v>25</v>
      </c>
      <c r="B6523" t="s">
        <v>6215</v>
      </c>
      <c r="C6523">
        <v>8423</v>
      </c>
      <c r="D6523" t="str">
        <f>"0278-4319"</f>
        <v>0278-4319</v>
      </c>
      <c r="E6523" t="s">
        <v>8</v>
      </c>
      <c r="F6523" t="s">
        <v>6526</v>
      </c>
      <c r="G6523">
        <v>1</v>
      </c>
    </row>
    <row r="6524" spans="1:7" x14ac:dyDescent="0.25">
      <c r="A6524">
        <v>25</v>
      </c>
      <c r="B6524" t="s">
        <v>6215</v>
      </c>
      <c r="C6524">
        <v>26287</v>
      </c>
      <c r="D6524" t="str">
        <f>"1465-6612"</f>
        <v>1465-6612</v>
      </c>
      <c r="E6524" t="s">
        <v>8</v>
      </c>
      <c r="F6524" t="s">
        <v>6527</v>
      </c>
      <c r="G6524">
        <v>1</v>
      </c>
    </row>
    <row r="6525" spans="1:7" x14ac:dyDescent="0.25">
      <c r="A6525">
        <v>25</v>
      </c>
      <c r="B6525" t="s">
        <v>6215</v>
      </c>
      <c r="C6525">
        <v>26880</v>
      </c>
      <c r="D6525" t="str">
        <f>"1748-5037"</f>
        <v>1748-5037</v>
      </c>
      <c r="E6525" t="s">
        <v>8</v>
      </c>
      <c r="F6525" t="s">
        <v>6528</v>
      </c>
      <c r="G6525">
        <v>1</v>
      </c>
    </row>
    <row r="6526" spans="1:7" x14ac:dyDescent="0.25">
      <c r="A6526">
        <v>25</v>
      </c>
      <c r="B6526" t="s">
        <v>6215</v>
      </c>
      <c r="C6526">
        <v>8779791</v>
      </c>
      <c r="E6526" t="s">
        <v>8</v>
      </c>
      <c r="F6526" t="s">
        <v>6529</v>
      </c>
      <c r="G6526">
        <v>1</v>
      </c>
    </row>
    <row r="6527" spans="1:7" x14ac:dyDescent="0.25">
      <c r="A6527">
        <v>25</v>
      </c>
      <c r="B6527" t="s">
        <v>6215</v>
      </c>
      <c r="C6527">
        <v>26439</v>
      </c>
      <c r="D6527" t="str">
        <f>"1740-8822"</f>
        <v>1740-8822</v>
      </c>
      <c r="E6527" t="s">
        <v>8</v>
      </c>
      <c r="F6527" t="s">
        <v>6530</v>
      </c>
      <c r="G6527">
        <v>1</v>
      </c>
    </row>
    <row r="6528" spans="1:7" x14ac:dyDescent="0.25">
      <c r="A6528">
        <v>25</v>
      </c>
      <c r="B6528" t="s">
        <v>6215</v>
      </c>
      <c r="C6528">
        <v>4870</v>
      </c>
      <c r="D6528" t="str">
        <f>"0219-8770"</f>
        <v>0219-8770</v>
      </c>
      <c r="E6528" t="s">
        <v>8</v>
      </c>
      <c r="F6528" t="s">
        <v>6531</v>
      </c>
      <c r="G6528">
        <v>1</v>
      </c>
    </row>
    <row r="6529" spans="1:7" x14ac:dyDescent="0.25">
      <c r="A6529">
        <v>25</v>
      </c>
      <c r="B6529" t="s">
        <v>6215</v>
      </c>
      <c r="C6529">
        <v>15364</v>
      </c>
      <c r="D6529" t="str">
        <f>"1363-9196"</f>
        <v>1363-9196</v>
      </c>
      <c r="E6529" t="s">
        <v>8</v>
      </c>
      <c r="F6529" t="s">
        <v>6532</v>
      </c>
      <c r="G6529">
        <v>1</v>
      </c>
    </row>
    <row r="6530" spans="1:7" x14ac:dyDescent="0.25">
      <c r="A6530">
        <v>25</v>
      </c>
      <c r="B6530" t="s">
        <v>6215</v>
      </c>
      <c r="C6530">
        <v>8782617</v>
      </c>
      <c r="D6530" t="str">
        <f>"2096-2487"</f>
        <v>2096-2487</v>
      </c>
      <c r="E6530" t="s">
        <v>8</v>
      </c>
      <c r="F6530" t="s">
        <v>6533</v>
      </c>
      <c r="G6530">
        <v>1</v>
      </c>
    </row>
    <row r="6531" spans="1:7" x14ac:dyDescent="0.25">
      <c r="A6531">
        <v>25</v>
      </c>
      <c r="B6531" t="s">
        <v>6215</v>
      </c>
      <c r="C6531">
        <v>16923</v>
      </c>
      <c r="D6531" t="str">
        <f>"1476-1300"</f>
        <v>1476-1300</v>
      </c>
      <c r="E6531" t="s">
        <v>8</v>
      </c>
      <c r="F6531" t="s">
        <v>6534</v>
      </c>
      <c r="G6531">
        <v>1</v>
      </c>
    </row>
    <row r="6532" spans="1:7" x14ac:dyDescent="0.25">
      <c r="A6532">
        <v>25</v>
      </c>
      <c r="B6532" t="s">
        <v>6215</v>
      </c>
      <c r="C6532">
        <v>15603</v>
      </c>
      <c r="D6532" t="str">
        <f>"1477-5212"</f>
        <v>1477-5212</v>
      </c>
      <c r="E6532" t="s">
        <v>8</v>
      </c>
      <c r="F6532" t="s">
        <v>6535</v>
      </c>
      <c r="G6532">
        <v>1</v>
      </c>
    </row>
    <row r="6533" spans="1:7" x14ac:dyDescent="0.25">
      <c r="A6533">
        <v>25</v>
      </c>
      <c r="B6533" t="s">
        <v>6215</v>
      </c>
      <c r="C6533">
        <v>21046</v>
      </c>
      <c r="D6533" t="str">
        <f>"1746-6962"</f>
        <v>1746-6962</v>
      </c>
      <c r="E6533" t="s">
        <v>8</v>
      </c>
      <c r="F6533" t="s">
        <v>6536</v>
      </c>
      <c r="G6533">
        <v>1</v>
      </c>
    </row>
    <row r="6534" spans="1:7" x14ac:dyDescent="0.25">
      <c r="A6534">
        <v>25</v>
      </c>
      <c r="B6534" t="s">
        <v>6215</v>
      </c>
      <c r="C6534">
        <v>13617</v>
      </c>
      <c r="D6534" t="str">
        <f>"1548-0666"</f>
        <v>1548-0666</v>
      </c>
      <c r="E6534" t="s">
        <v>8</v>
      </c>
      <c r="F6534" t="s">
        <v>6537</v>
      </c>
      <c r="G6534">
        <v>1</v>
      </c>
    </row>
    <row r="6535" spans="1:7" x14ac:dyDescent="0.25">
      <c r="A6535">
        <v>25</v>
      </c>
      <c r="B6535" t="s">
        <v>6215</v>
      </c>
      <c r="C6535">
        <v>10215</v>
      </c>
      <c r="D6535" t="str">
        <f>"1743-8268"</f>
        <v>1743-8268</v>
      </c>
      <c r="E6535" t="s">
        <v>8</v>
      </c>
      <c r="F6535" t="s">
        <v>6538</v>
      </c>
      <c r="G6535">
        <v>1</v>
      </c>
    </row>
    <row r="6536" spans="1:7" x14ac:dyDescent="0.25">
      <c r="A6536">
        <v>25</v>
      </c>
      <c r="B6536" t="s">
        <v>6215</v>
      </c>
      <c r="C6536">
        <v>4276</v>
      </c>
      <c r="D6536" t="str">
        <f>"1447-9524"</f>
        <v>1447-9524</v>
      </c>
      <c r="E6536" t="s">
        <v>8</v>
      </c>
      <c r="F6536" t="s">
        <v>6539</v>
      </c>
      <c r="G6536">
        <v>1</v>
      </c>
    </row>
    <row r="6537" spans="1:7" x14ac:dyDescent="0.25">
      <c r="A6537">
        <v>25</v>
      </c>
      <c r="B6537" t="s">
        <v>6215</v>
      </c>
      <c r="C6537">
        <v>7695831</v>
      </c>
      <c r="D6537" t="str">
        <f>"2155-6393"</f>
        <v>2155-6393</v>
      </c>
      <c r="E6537" t="s">
        <v>8</v>
      </c>
      <c r="F6537" t="s">
        <v>6540</v>
      </c>
      <c r="G6537">
        <v>1</v>
      </c>
    </row>
    <row r="6538" spans="1:7" x14ac:dyDescent="0.25">
      <c r="A6538">
        <v>25</v>
      </c>
      <c r="B6538" t="s">
        <v>6215</v>
      </c>
      <c r="C6538">
        <v>1246</v>
      </c>
      <c r="D6538" t="str">
        <f>"1754-243X"</f>
        <v>1754-243X</v>
      </c>
      <c r="E6538" t="s">
        <v>8</v>
      </c>
      <c r="F6538" t="s">
        <v>6541</v>
      </c>
      <c r="G6538">
        <v>1</v>
      </c>
    </row>
    <row r="6539" spans="1:7" x14ac:dyDescent="0.25">
      <c r="A6539">
        <v>25</v>
      </c>
      <c r="B6539" t="s">
        <v>6215</v>
      </c>
      <c r="C6539">
        <v>6700</v>
      </c>
      <c r="E6539" t="s">
        <v>8</v>
      </c>
      <c r="F6539" t="s">
        <v>6542</v>
      </c>
      <c r="G6539">
        <v>1</v>
      </c>
    </row>
    <row r="6540" spans="1:7" x14ac:dyDescent="0.25">
      <c r="A6540">
        <v>25</v>
      </c>
      <c r="B6540" t="s">
        <v>6215</v>
      </c>
      <c r="C6540">
        <v>6158033</v>
      </c>
      <c r="D6540" t="str">
        <f>" 2040-4166"</f>
        <v xml:space="preserve"> 2040-4166</v>
      </c>
      <c r="E6540" t="s">
        <v>8</v>
      </c>
      <c r="F6540" t="s">
        <v>6543</v>
      </c>
      <c r="G6540">
        <v>1</v>
      </c>
    </row>
    <row r="6541" spans="1:7" x14ac:dyDescent="0.25">
      <c r="A6541">
        <v>25</v>
      </c>
      <c r="B6541" t="s">
        <v>6215</v>
      </c>
      <c r="C6541">
        <v>15497</v>
      </c>
      <c r="D6541" t="str">
        <f>"1479-4853"</f>
        <v>1479-4853</v>
      </c>
      <c r="E6541" t="s">
        <v>8</v>
      </c>
      <c r="F6541" t="s">
        <v>6544</v>
      </c>
      <c r="G6541">
        <v>1</v>
      </c>
    </row>
    <row r="6542" spans="1:7" x14ac:dyDescent="0.25">
      <c r="A6542">
        <v>25</v>
      </c>
      <c r="B6542" t="s">
        <v>6215</v>
      </c>
      <c r="C6542">
        <v>11904</v>
      </c>
      <c r="D6542" t="str">
        <f>"0957-4093"</f>
        <v>0957-4093</v>
      </c>
      <c r="E6542" t="s">
        <v>8</v>
      </c>
      <c r="F6542" t="s">
        <v>6545</v>
      </c>
      <c r="G6542">
        <v>1</v>
      </c>
    </row>
    <row r="6543" spans="1:7" x14ac:dyDescent="0.25">
      <c r="A6543">
        <v>25</v>
      </c>
      <c r="B6543" t="s">
        <v>6215</v>
      </c>
      <c r="C6543">
        <v>3085</v>
      </c>
      <c r="D6543" t="str">
        <f>"1367-5567"</f>
        <v>1367-5567</v>
      </c>
      <c r="E6543" t="s">
        <v>8</v>
      </c>
      <c r="F6543" t="s">
        <v>6546</v>
      </c>
      <c r="G6543">
        <v>1</v>
      </c>
    </row>
    <row r="6544" spans="1:7" x14ac:dyDescent="0.25">
      <c r="A6544">
        <v>25</v>
      </c>
      <c r="B6544" t="s">
        <v>6215</v>
      </c>
      <c r="C6544">
        <v>22233</v>
      </c>
      <c r="D6544" t="str">
        <f>"0813-0183"</f>
        <v>0813-0183</v>
      </c>
      <c r="E6544" t="s">
        <v>8</v>
      </c>
      <c r="F6544" t="s">
        <v>6547</v>
      </c>
      <c r="G6544">
        <v>1</v>
      </c>
    </row>
    <row r="6545" spans="1:7" x14ac:dyDescent="0.25">
      <c r="A6545">
        <v>25</v>
      </c>
      <c r="B6545" t="s">
        <v>6215</v>
      </c>
      <c r="C6545">
        <v>7717243</v>
      </c>
      <c r="D6545" t="str">
        <f>"2163-3843"</f>
        <v>2163-3843</v>
      </c>
      <c r="E6545" t="s">
        <v>8</v>
      </c>
      <c r="F6545" t="s">
        <v>6548</v>
      </c>
      <c r="G6545">
        <v>1</v>
      </c>
    </row>
    <row r="6546" spans="1:7" x14ac:dyDescent="0.25">
      <c r="A6546">
        <v>25</v>
      </c>
      <c r="B6546" t="s">
        <v>6215</v>
      </c>
      <c r="C6546">
        <v>10207</v>
      </c>
      <c r="D6546" t="str">
        <f>"1462-4621"</f>
        <v>1462-4621</v>
      </c>
      <c r="E6546" t="s">
        <v>8</v>
      </c>
      <c r="F6546" t="s">
        <v>6549</v>
      </c>
      <c r="G6546">
        <v>1</v>
      </c>
    </row>
    <row r="6547" spans="1:7" x14ac:dyDescent="0.25">
      <c r="A6547">
        <v>25</v>
      </c>
      <c r="B6547" t="s">
        <v>6215</v>
      </c>
      <c r="C6547">
        <v>518</v>
      </c>
      <c r="D6547" t="str">
        <f>"1468-4330"</f>
        <v>1468-4330</v>
      </c>
      <c r="E6547" t="s">
        <v>8</v>
      </c>
      <c r="F6547" t="s">
        <v>6550</v>
      </c>
      <c r="G6547">
        <v>1</v>
      </c>
    </row>
    <row r="6548" spans="1:7" x14ac:dyDescent="0.25">
      <c r="A6548">
        <v>25</v>
      </c>
      <c r="B6548" t="s">
        <v>6215</v>
      </c>
      <c r="C6548">
        <v>6406</v>
      </c>
      <c r="D6548" t="str">
        <f>"1477-9064"</f>
        <v>1477-9064</v>
      </c>
      <c r="E6548" t="s">
        <v>8</v>
      </c>
      <c r="F6548" t="s">
        <v>6551</v>
      </c>
      <c r="G6548">
        <v>1</v>
      </c>
    </row>
    <row r="6549" spans="1:7" x14ac:dyDescent="0.25">
      <c r="A6549">
        <v>25</v>
      </c>
      <c r="B6549" t="s">
        <v>6215</v>
      </c>
      <c r="C6549">
        <v>25745</v>
      </c>
      <c r="D6549" t="str">
        <f>"1753-6715"</f>
        <v>1753-6715</v>
      </c>
      <c r="E6549" t="s">
        <v>8</v>
      </c>
      <c r="F6549" t="s">
        <v>6552</v>
      </c>
      <c r="G6549">
        <v>1</v>
      </c>
    </row>
    <row r="6550" spans="1:7" x14ac:dyDescent="0.25">
      <c r="A6550">
        <v>25</v>
      </c>
      <c r="B6550" t="s">
        <v>6215</v>
      </c>
      <c r="C6550">
        <v>22280</v>
      </c>
      <c r="D6550" t="str">
        <f>"1743-9132"</f>
        <v>1743-9132</v>
      </c>
      <c r="E6550" t="s">
        <v>8</v>
      </c>
      <c r="F6550" t="s">
        <v>6553</v>
      </c>
      <c r="G6550">
        <v>1</v>
      </c>
    </row>
    <row r="6551" spans="1:7" x14ac:dyDescent="0.25">
      <c r="A6551">
        <v>25</v>
      </c>
      <c r="B6551" t="s">
        <v>6215</v>
      </c>
      <c r="C6551">
        <v>82027</v>
      </c>
      <c r="D6551" t="str">
        <f>"1753-8378"</f>
        <v>1753-8378</v>
      </c>
      <c r="E6551" t="s">
        <v>8</v>
      </c>
      <c r="F6551" t="s">
        <v>6554</v>
      </c>
      <c r="G6551">
        <v>1</v>
      </c>
    </row>
    <row r="6552" spans="1:7" x14ac:dyDescent="0.25">
      <c r="A6552">
        <v>25</v>
      </c>
      <c r="B6552" t="s">
        <v>6215</v>
      </c>
      <c r="C6552">
        <v>570</v>
      </c>
      <c r="D6552" t="str">
        <f>"0143-7720"</f>
        <v>0143-7720</v>
      </c>
      <c r="E6552" t="s">
        <v>8</v>
      </c>
      <c r="F6552" t="s">
        <v>6555</v>
      </c>
      <c r="G6552">
        <v>1</v>
      </c>
    </row>
    <row r="6553" spans="1:7" x14ac:dyDescent="0.25">
      <c r="A6553">
        <v>25</v>
      </c>
      <c r="B6553" t="s">
        <v>6215</v>
      </c>
      <c r="C6553">
        <v>6158096</v>
      </c>
      <c r="D6553" t="str">
        <f>"0218-3382"</f>
        <v>0218-3382</v>
      </c>
      <c r="E6553" t="s">
        <v>8</v>
      </c>
      <c r="F6553" t="s">
        <v>6556</v>
      </c>
      <c r="G6553">
        <v>1</v>
      </c>
    </row>
    <row r="6554" spans="1:7" x14ac:dyDescent="0.25">
      <c r="A6554">
        <v>25</v>
      </c>
      <c r="B6554" t="s">
        <v>6215</v>
      </c>
      <c r="C6554">
        <v>9439</v>
      </c>
      <c r="D6554" t="str">
        <f>"1470-7853"</f>
        <v>1470-7853</v>
      </c>
      <c r="E6554" t="s">
        <v>8</v>
      </c>
      <c r="F6554" t="s">
        <v>6557</v>
      </c>
      <c r="G6554">
        <v>1</v>
      </c>
    </row>
    <row r="6555" spans="1:7" x14ac:dyDescent="0.25">
      <c r="A6555">
        <v>25</v>
      </c>
      <c r="B6555" t="s">
        <v>6215</v>
      </c>
      <c r="C6555">
        <v>27807</v>
      </c>
      <c r="D6555" t="str">
        <f>"1082-1910"</f>
        <v>1082-1910</v>
      </c>
      <c r="E6555" t="s">
        <v>8</v>
      </c>
      <c r="F6555" t="s">
        <v>6558</v>
      </c>
      <c r="G6555">
        <v>1</v>
      </c>
    </row>
    <row r="6556" spans="1:7" x14ac:dyDescent="0.25">
      <c r="A6556">
        <v>25</v>
      </c>
      <c r="B6556" t="s">
        <v>6215</v>
      </c>
      <c r="C6556">
        <v>10003</v>
      </c>
      <c r="D6556" t="str">
        <f>"1093-4537"</f>
        <v>1093-4537</v>
      </c>
      <c r="E6556" t="s">
        <v>8</v>
      </c>
      <c r="F6556" t="s">
        <v>6559</v>
      </c>
      <c r="G6556">
        <v>1</v>
      </c>
    </row>
    <row r="6557" spans="1:7" x14ac:dyDescent="0.25">
      <c r="A6557">
        <v>25</v>
      </c>
      <c r="B6557" t="s">
        <v>6215</v>
      </c>
      <c r="C6557">
        <v>11883</v>
      </c>
      <c r="D6557" t="str">
        <f>"1934-8835"</f>
        <v>1934-8835</v>
      </c>
      <c r="E6557" t="s">
        <v>8</v>
      </c>
      <c r="F6557" t="s">
        <v>6560</v>
      </c>
      <c r="G6557">
        <v>1</v>
      </c>
    </row>
    <row r="6558" spans="1:7" x14ac:dyDescent="0.25">
      <c r="A6558">
        <v>25</v>
      </c>
      <c r="B6558" t="s">
        <v>6215</v>
      </c>
      <c r="C6558">
        <v>11154</v>
      </c>
      <c r="D6558" t="str">
        <f>"0960-0035"</f>
        <v>0960-0035</v>
      </c>
      <c r="E6558" t="s">
        <v>8</v>
      </c>
      <c r="F6558" t="s">
        <v>6561</v>
      </c>
      <c r="G6558">
        <v>1</v>
      </c>
    </row>
    <row r="6559" spans="1:7" x14ac:dyDescent="0.25">
      <c r="A6559">
        <v>25</v>
      </c>
      <c r="B6559" t="s">
        <v>6215</v>
      </c>
      <c r="C6559">
        <v>6158384</v>
      </c>
      <c r="D6559" t="str">
        <f>"1757-5648"</f>
        <v>1757-5648</v>
      </c>
      <c r="E6559" t="s">
        <v>8</v>
      </c>
      <c r="F6559" t="s">
        <v>6562</v>
      </c>
      <c r="G6559">
        <v>1</v>
      </c>
    </row>
    <row r="6560" spans="1:7" x14ac:dyDescent="0.25">
      <c r="A6560">
        <v>25</v>
      </c>
      <c r="B6560" t="s">
        <v>6215</v>
      </c>
      <c r="C6560">
        <v>16529</v>
      </c>
      <c r="D6560" t="str">
        <f>"1753-8432"</f>
        <v>1753-8432</v>
      </c>
      <c r="E6560" t="s">
        <v>8</v>
      </c>
      <c r="F6560" t="s">
        <v>6563</v>
      </c>
      <c r="G6560">
        <v>1</v>
      </c>
    </row>
    <row r="6561" spans="1:7" x14ac:dyDescent="0.25">
      <c r="A6561">
        <v>25</v>
      </c>
      <c r="B6561" t="s">
        <v>6215</v>
      </c>
      <c r="C6561">
        <v>14358</v>
      </c>
      <c r="D6561" t="str">
        <f>"1741-0401"</f>
        <v>1741-0401</v>
      </c>
      <c r="E6561" t="s">
        <v>8</v>
      </c>
      <c r="F6561" t="s">
        <v>6564</v>
      </c>
      <c r="G6561">
        <v>1</v>
      </c>
    </row>
    <row r="6562" spans="1:7" x14ac:dyDescent="0.25">
      <c r="A6562">
        <v>25</v>
      </c>
      <c r="B6562" t="s">
        <v>6215</v>
      </c>
      <c r="C6562">
        <v>19057</v>
      </c>
      <c r="D6562" t="str">
        <f>"1746-6474"</f>
        <v>1746-6474</v>
      </c>
      <c r="E6562" t="s">
        <v>8</v>
      </c>
      <c r="F6562" t="s">
        <v>6565</v>
      </c>
      <c r="G6562">
        <v>1</v>
      </c>
    </row>
    <row r="6563" spans="1:7" x14ac:dyDescent="0.25">
      <c r="A6563">
        <v>25</v>
      </c>
      <c r="B6563" t="s">
        <v>6215</v>
      </c>
      <c r="C6563">
        <v>25705</v>
      </c>
      <c r="D6563" t="str">
        <f>"1740-2891"</f>
        <v>1740-2891</v>
      </c>
      <c r="E6563" t="s">
        <v>8</v>
      </c>
      <c r="F6563" t="s">
        <v>6566</v>
      </c>
      <c r="G6563">
        <v>1</v>
      </c>
    </row>
    <row r="6564" spans="1:7" x14ac:dyDescent="0.25">
      <c r="A6564">
        <v>25</v>
      </c>
      <c r="B6564" t="s">
        <v>6215</v>
      </c>
      <c r="C6564">
        <v>22955</v>
      </c>
      <c r="D6564" t="str">
        <f>"1741-1041"</f>
        <v>1741-1041</v>
      </c>
      <c r="E6564" t="s">
        <v>8</v>
      </c>
      <c r="F6564" t="s">
        <v>6567</v>
      </c>
      <c r="G6564">
        <v>1</v>
      </c>
    </row>
    <row r="6565" spans="1:7" x14ac:dyDescent="0.25">
      <c r="A6565">
        <v>25</v>
      </c>
      <c r="B6565" t="s">
        <v>6215</v>
      </c>
      <c r="C6565">
        <v>7833</v>
      </c>
      <c r="D6565" t="str">
        <f>"0265-671X"</f>
        <v>0265-671X</v>
      </c>
      <c r="E6565" t="s">
        <v>8</v>
      </c>
      <c r="F6565" t="s">
        <v>6568</v>
      </c>
      <c r="G6565">
        <v>1</v>
      </c>
    </row>
    <row r="6566" spans="1:7" x14ac:dyDescent="0.25">
      <c r="A6566">
        <v>25</v>
      </c>
      <c r="B6566" t="s">
        <v>6215</v>
      </c>
      <c r="C6566">
        <v>6158468</v>
      </c>
      <c r="D6566" t="str">
        <f>"1756-669X"</f>
        <v>1756-669X</v>
      </c>
      <c r="E6566" t="s">
        <v>8</v>
      </c>
      <c r="F6566" t="s">
        <v>6569</v>
      </c>
      <c r="G6566">
        <v>1</v>
      </c>
    </row>
    <row r="6567" spans="1:7" x14ac:dyDescent="0.25">
      <c r="A6567">
        <v>25</v>
      </c>
      <c r="B6567" t="s">
        <v>6215</v>
      </c>
      <c r="C6567">
        <v>454</v>
      </c>
      <c r="D6567" t="str">
        <f>"0959-0552"</f>
        <v>0959-0552</v>
      </c>
      <c r="E6567" t="s">
        <v>8</v>
      </c>
      <c r="F6567" t="s">
        <v>6570</v>
      </c>
      <c r="G6567">
        <v>1</v>
      </c>
    </row>
    <row r="6568" spans="1:7" x14ac:dyDescent="0.25">
      <c r="A6568">
        <v>25</v>
      </c>
      <c r="B6568" t="s">
        <v>6215</v>
      </c>
      <c r="C6568">
        <v>7878</v>
      </c>
      <c r="D6568" t="str">
        <f>"1466-8297"</f>
        <v>1466-8297</v>
      </c>
      <c r="E6568" t="s">
        <v>8</v>
      </c>
      <c r="F6568" t="s">
        <v>6571</v>
      </c>
      <c r="G6568">
        <v>1</v>
      </c>
    </row>
    <row r="6569" spans="1:7" x14ac:dyDescent="0.25">
      <c r="A6569">
        <v>25</v>
      </c>
      <c r="B6569" t="s">
        <v>6215</v>
      </c>
      <c r="C6569">
        <v>13110</v>
      </c>
      <c r="D6569" t="str">
        <f>"0965-075X"</f>
        <v>0965-075X</v>
      </c>
      <c r="E6569" t="s">
        <v>8</v>
      </c>
      <c r="F6569" t="s">
        <v>6572</v>
      </c>
      <c r="G6569">
        <v>1</v>
      </c>
    </row>
    <row r="6570" spans="1:7" x14ac:dyDescent="0.25">
      <c r="A6570">
        <v>25</v>
      </c>
      <c r="B6570" t="s">
        <v>6215</v>
      </c>
      <c r="C6570">
        <v>11879</v>
      </c>
      <c r="D6570" t="str">
        <f>"1479-2494"</f>
        <v>1479-2494</v>
      </c>
      <c r="E6570" t="s">
        <v>8</v>
      </c>
      <c r="F6570" t="s">
        <v>6573</v>
      </c>
      <c r="G6570">
        <v>1</v>
      </c>
    </row>
    <row r="6571" spans="1:7" x14ac:dyDescent="0.25">
      <c r="A6571">
        <v>25</v>
      </c>
      <c r="B6571" t="s">
        <v>6215</v>
      </c>
      <c r="C6571">
        <v>7691378</v>
      </c>
      <c r="D6571" t="str">
        <f>"2043-8257"</f>
        <v>2043-8257</v>
      </c>
      <c r="E6571" t="s">
        <v>8</v>
      </c>
      <c r="F6571" t="s">
        <v>6574</v>
      </c>
      <c r="G6571">
        <v>1</v>
      </c>
    </row>
    <row r="6572" spans="1:7" x14ac:dyDescent="0.25">
      <c r="A6572">
        <v>25</v>
      </c>
      <c r="B6572" t="s">
        <v>6215</v>
      </c>
      <c r="C6572">
        <v>154111</v>
      </c>
      <c r="D6572" t="str">
        <f>"1756-6444"</f>
        <v>1756-6444</v>
      </c>
      <c r="E6572" t="s">
        <v>8</v>
      </c>
      <c r="F6572" t="s">
        <v>6575</v>
      </c>
      <c r="G6572">
        <v>1</v>
      </c>
    </row>
    <row r="6573" spans="1:7" x14ac:dyDescent="0.25">
      <c r="A6573">
        <v>25</v>
      </c>
      <c r="B6573" t="s">
        <v>6215</v>
      </c>
      <c r="C6573">
        <v>21192</v>
      </c>
      <c r="D6573" t="str">
        <f>"1740-2859"</f>
        <v>1740-2859</v>
      </c>
      <c r="E6573" t="s">
        <v>8</v>
      </c>
      <c r="F6573" t="s">
        <v>6576</v>
      </c>
      <c r="G6573">
        <v>1</v>
      </c>
    </row>
    <row r="6574" spans="1:7" x14ac:dyDescent="0.25">
      <c r="A6574">
        <v>25</v>
      </c>
      <c r="B6574" t="s">
        <v>6215</v>
      </c>
      <c r="C6574">
        <v>1229</v>
      </c>
      <c r="D6574" t="str">
        <f>"1648-715X"</f>
        <v>1648-715X</v>
      </c>
      <c r="E6574" t="s">
        <v>8</v>
      </c>
      <c r="F6574" t="s">
        <v>6577</v>
      </c>
      <c r="G6574">
        <v>1</v>
      </c>
    </row>
    <row r="6575" spans="1:7" x14ac:dyDescent="0.25">
      <c r="A6575">
        <v>25</v>
      </c>
      <c r="B6575" t="s">
        <v>6215</v>
      </c>
      <c r="C6575">
        <v>7743317</v>
      </c>
      <c r="D6575" t="str">
        <f>"2051-3771"</f>
        <v>2051-3771</v>
      </c>
      <c r="E6575" t="s">
        <v>8</v>
      </c>
      <c r="F6575" t="s">
        <v>6578</v>
      </c>
      <c r="G6575">
        <v>1</v>
      </c>
    </row>
    <row r="6576" spans="1:7" x14ac:dyDescent="0.25">
      <c r="A6576">
        <v>25</v>
      </c>
      <c r="B6576" t="s">
        <v>6215</v>
      </c>
      <c r="C6576">
        <v>154171</v>
      </c>
      <c r="D6576" t="str">
        <f>"1756-2538"</f>
        <v>1756-2538</v>
      </c>
      <c r="E6576" t="s">
        <v>8</v>
      </c>
      <c r="F6576" t="s">
        <v>6579</v>
      </c>
      <c r="G6576">
        <v>1</v>
      </c>
    </row>
    <row r="6577" spans="1:7" x14ac:dyDescent="0.25">
      <c r="A6577">
        <v>25</v>
      </c>
      <c r="B6577" t="s">
        <v>6215</v>
      </c>
      <c r="C6577">
        <v>2226</v>
      </c>
      <c r="D6577" t="str">
        <f>"1746-5370"</f>
        <v>1746-5370</v>
      </c>
      <c r="E6577" t="s">
        <v>8</v>
      </c>
      <c r="F6577" t="s">
        <v>6580</v>
      </c>
      <c r="G6577">
        <v>1</v>
      </c>
    </row>
    <row r="6578" spans="1:7" x14ac:dyDescent="0.25">
      <c r="A6578">
        <v>25</v>
      </c>
      <c r="B6578" t="s">
        <v>6215</v>
      </c>
      <c r="C6578">
        <v>19250</v>
      </c>
      <c r="D6578" t="str">
        <f>"1741-878X"</f>
        <v>1741-878X</v>
      </c>
      <c r="E6578" t="s">
        <v>8</v>
      </c>
      <c r="F6578" t="s">
        <v>6581</v>
      </c>
      <c r="G6578">
        <v>1</v>
      </c>
    </row>
    <row r="6579" spans="1:7" x14ac:dyDescent="0.25">
      <c r="A6579">
        <v>25</v>
      </c>
      <c r="B6579" t="s">
        <v>6215</v>
      </c>
      <c r="C6579">
        <v>20238</v>
      </c>
      <c r="D6579" t="str">
        <f>"1468-4322"</f>
        <v>1468-4322</v>
      </c>
      <c r="E6579" t="s">
        <v>8</v>
      </c>
      <c r="F6579" t="s">
        <v>6582</v>
      </c>
      <c r="G6579">
        <v>1</v>
      </c>
    </row>
    <row r="6580" spans="1:7" x14ac:dyDescent="0.25">
      <c r="A6580">
        <v>25</v>
      </c>
      <c r="B6580" t="s">
        <v>6215</v>
      </c>
      <c r="C6580">
        <v>601</v>
      </c>
      <c r="D6580" t="str">
        <f>"1470-6075"</f>
        <v>1470-6075</v>
      </c>
      <c r="E6580" t="s">
        <v>8</v>
      </c>
      <c r="F6580" t="s">
        <v>6583</v>
      </c>
      <c r="G6580">
        <v>1</v>
      </c>
    </row>
    <row r="6581" spans="1:7" x14ac:dyDescent="0.25">
      <c r="A6581">
        <v>25</v>
      </c>
      <c r="B6581" t="s">
        <v>6215</v>
      </c>
      <c r="C6581">
        <v>14854</v>
      </c>
      <c r="D6581" t="str">
        <f>"1357-1516"</f>
        <v>1357-1516</v>
      </c>
      <c r="E6581" t="s">
        <v>8</v>
      </c>
      <c r="F6581" t="s">
        <v>6584</v>
      </c>
      <c r="G6581">
        <v>1</v>
      </c>
    </row>
    <row r="6582" spans="1:7" x14ac:dyDescent="0.25">
      <c r="A6582">
        <v>25</v>
      </c>
      <c r="B6582" t="s">
        <v>6215</v>
      </c>
      <c r="C6582">
        <v>8523</v>
      </c>
      <c r="D6582" t="str">
        <f>"0219-0249"</f>
        <v>0219-0249</v>
      </c>
      <c r="E6582" t="s">
        <v>8</v>
      </c>
      <c r="F6582" t="s">
        <v>6585</v>
      </c>
      <c r="G6582">
        <v>1</v>
      </c>
    </row>
    <row r="6583" spans="1:7" x14ac:dyDescent="0.25">
      <c r="A6583">
        <v>25</v>
      </c>
      <c r="B6583" t="s">
        <v>6215</v>
      </c>
      <c r="C6583">
        <v>6720</v>
      </c>
      <c r="D6583" t="str">
        <f>"1099-2340"</f>
        <v>1099-2340</v>
      </c>
      <c r="E6583" t="s">
        <v>8</v>
      </c>
      <c r="F6583" t="s">
        <v>6586</v>
      </c>
      <c r="G6583">
        <v>1</v>
      </c>
    </row>
    <row r="6584" spans="1:7" x14ac:dyDescent="0.25">
      <c r="A6584">
        <v>25</v>
      </c>
      <c r="B6584" t="s">
        <v>6215</v>
      </c>
      <c r="C6584">
        <v>5331</v>
      </c>
      <c r="D6584" t="str">
        <f>"1360-3736"</f>
        <v>1360-3736</v>
      </c>
      <c r="E6584" t="s">
        <v>8</v>
      </c>
      <c r="F6584" t="s">
        <v>6587</v>
      </c>
      <c r="G6584">
        <v>1</v>
      </c>
    </row>
    <row r="6585" spans="1:7" x14ac:dyDescent="0.25">
      <c r="A6585">
        <v>25</v>
      </c>
      <c r="B6585" t="s">
        <v>6215</v>
      </c>
      <c r="C6585">
        <v>24210</v>
      </c>
      <c r="D6585" t="str">
        <f>"1741-5357"</f>
        <v>1741-5357</v>
      </c>
      <c r="E6585" t="s">
        <v>8</v>
      </c>
      <c r="F6585" t="s">
        <v>6588</v>
      </c>
      <c r="G6585">
        <v>1</v>
      </c>
    </row>
    <row r="6586" spans="1:7" x14ac:dyDescent="0.25">
      <c r="A6586">
        <v>25</v>
      </c>
      <c r="B6586" t="s">
        <v>6215</v>
      </c>
      <c r="C6586">
        <v>21803</v>
      </c>
      <c r="D6586" t="str">
        <f>"1751-1062"</f>
        <v>1751-1062</v>
      </c>
      <c r="E6586" t="s">
        <v>8</v>
      </c>
      <c r="F6586" t="s">
        <v>6589</v>
      </c>
      <c r="G6586">
        <v>1</v>
      </c>
    </row>
    <row r="6587" spans="1:7" x14ac:dyDescent="0.25">
      <c r="A6587">
        <v>25</v>
      </c>
      <c r="B6587" t="s">
        <v>6215</v>
      </c>
      <c r="C6587">
        <v>975</v>
      </c>
      <c r="D6587" t="str">
        <f>"1424-1277"</f>
        <v>1424-1277</v>
      </c>
      <c r="E6587" t="s">
        <v>8</v>
      </c>
      <c r="F6587" t="s">
        <v>6590</v>
      </c>
      <c r="G6587">
        <v>1</v>
      </c>
    </row>
    <row r="6588" spans="1:7" x14ac:dyDescent="0.25">
      <c r="A6588">
        <v>25</v>
      </c>
      <c r="B6588" t="s">
        <v>6215</v>
      </c>
      <c r="C6588">
        <v>9755</v>
      </c>
      <c r="D6588" t="str">
        <f>"0020-7780"</f>
        <v>0020-7780</v>
      </c>
      <c r="E6588" t="s">
        <v>8</v>
      </c>
      <c r="F6588" t="s">
        <v>6591</v>
      </c>
      <c r="G6588">
        <v>1</v>
      </c>
    </row>
    <row r="6589" spans="1:7" x14ac:dyDescent="0.25">
      <c r="A6589">
        <v>25</v>
      </c>
      <c r="B6589" t="s">
        <v>6215</v>
      </c>
      <c r="C6589">
        <v>649</v>
      </c>
      <c r="D6589" t="str">
        <f>"0265-1335"</f>
        <v>0265-1335</v>
      </c>
      <c r="E6589" t="s">
        <v>8</v>
      </c>
      <c r="F6589" t="s">
        <v>6592</v>
      </c>
      <c r="G6589">
        <v>1</v>
      </c>
    </row>
    <row r="6590" spans="1:7" x14ac:dyDescent="0.25">
      <c r="A6590">
        <v>25</v>
      </c>
      <c r="B6590" t="s">
        <v>6215</v>
      </c>
      <c r="C6590">
        <v>11025</v>
      </c>
      <c r="D6590" t="str">
        <f>"1059-0560"</f>
        <v>1059-0560</v>
      </c>
      <c r="E6590" t="s">
        <v>8</v>
      </c>
      <c r="F6590" t="s">
        <v>6593</v>
      </c>
      <c r="G6590">
        <v>1</v>
      </c>
    </row>
    <row r="6591" spans="1:7" x14ac:dyDescent="0.25">
      <c r="A6591">
        <v>25</v>
      </c>
      <c r="B6591" t="s">
        <v>6215</v>
      </c>
      <c r="C6591">
        <v>587</v>
      </c>
      <c r="D6591" t="str">
        <f>"2009-2822"</f>
        <v>2009-2822</v>
      </c>
      <c r="E6591" t="s">
        <v>8</v>
      </c>
      <c r="F6591" t="s">
        <v>6594</v>
      </c>
      <c r="G6591">
        <v>1</v>
      </c>
    </row>
    <row r="6592" spans="1:7" x14ac:dyDescent="0.25">
      <c r="A6592">
        <v>25</v>
      </c>
      <c r="B6592" t="s">
        <v>6215</v>
      </c>
      <c r="C6592">
        <v>9189</v>
      </c>
      <c r="D6592" t="str">
        <f>"1369-412X"</f>
        <v>1369-412X</v>
      </c>
      <c r="E6592" t="s">
        <v>8</v>
      </c>
      <c r="F6592" t="s">
        <v>6595</v>
      </c>
      <c r="G6592">
        <v>1</v>
      </c>
    </row>
    <row r="6593" spans="1:7" x14ac:dyDescent="0.25">
      <c r="A6593">
        <v>25</v>
      </c>
      <c r="B6593" t="s">
        <v>6215</v>
      </c>
      <c r="C6593">
        <v>13272</v>
      </c>
      <c r="D6593" t="str">
        <f>"1057-5219"</f>
        <v>1057-5219</v>
      </c>
      <c r="E6593" t="s">
        <v>8</v>
      </c>
      <c r="F6593" t="s">
        <v>6596</v>
      </c>
      <c r="G6593">
        <v>1</v>
      </c>
    </row>
    <row r="6594" spans="1:7" x14ac:dyDescent="0.25">
      <c r="A6594">
        <v>25</v>
      </c>
      <c r="B6594" t="s">
        <v>6215</v>
      </c>
      <c r="C6594">
        <v>27895</v>
      </c>
      <c r="D6594" t="str">
        <f>"1865-1984"</f>
        <v>1865-1984</v>
      </c>
      <c r="E6594" t="s">
        <v>8</v>
      </c>
      <c r="F6594" t="s">
        <v>6597</v>
      </c>
      <c r="G6594">
        <v>1</v>
      </c>
    </row>
    <row r="6595" spans="1:7" x14ac:dyDescent="0.25">
      <c r="A6595">
        <v>25</v>
      </c>
      <c r="B6595" t="s">
        <v>6215</v>
      </c>
      <c r="C6595">
        <v>15875</v>
      </c>
      <c r="D6595" t="str">
        <f>"0020-8825"</f>
        <v>0020-8825</v>
      </c>
      <c r="E6595" t="s">
        <v>8</v>
      </c>
      <c r="F6595" t="s">
        <v>6598</v>
      </c>
      <c r="G6595">
        <v>1</v>
      </c>
    </row>
    <row r="6596" spans="1:7" x14ac:dyDescent="0.25">
      <c r="A6596">
        <v>25</v>
      </c>
      <c r="B6596" t="s">
        <v>6215</v>
      </c>
      <c r="C6596">
        <v>13381</v>
      </c>
      <c r="D6596" t="str">
        <f>"0969-6016"</f>
        <v>0969-6016</v>
      </c>
      <c r="E6596" t="s">
        <v>8</v>
      </c>
      <c r="F6596" t="s">
        <v>6599</v>
      </c>
      <c r="G6596">
        <v>1</v>
      </c>
    </row>
    <row r="6597" spans="1:7" x14ac:dyDescent="0.25">
      <c r="A6597">
        <v>25</v>
      </c>
      <c r="B6597" t="s">
        <v>6215</v>
      </c>
      <c r="C6597">
        <v>7743733</v>
      </c>
      <c r="D6597" t="str">
        <f>"2201-6058"</f>
        <v>2201-6058</v>
      </c>
      <c r="E6597" t="s">
        <v>8</v>
      </c>
      <c r="F6597" t="s">
        <v>6600</v>
      </c>
      <c r="G6597">
        <v>1</v>
      </c>
    </row>
    <row r="6598" spans="1:7" x14ac:dyDescent="0.25">
      <c r="A6598">
        <v>25</v>
      </c>
      <c r="B6598" t="s">
        <v>6215</v>
      </c>
      <c r="C6598">
        <v>7143598</v>
      </c>
      <c r="D6598" t="str">
        <f>"1944-1967"</f>
        <v>1944-1967</v>
      </c>
      <c r="E6598" t="s">
        <v>8</v>
      </c>
      <c r="F6598" t="s">
        <v>6601</v>
      </c>
      <c r="G6598">
        <v>1</v>
      </c>
    </row>
    <row r="6599" spans="1:7" x14ac:dyDescent="0.25">
      <c r="A6599">
        <v>25</v>
      </c>
      <c r="B6599" t="s">
        <v>6215</v>
      </c>
      <c r="C6599">
        <v>2167</v>
      </c>
      <c r="D6599" t="str">
        <f>"0739-3172"</f>
        <v>0739-3172</v>
      </c>
      <c r="E6599" t="s">
        <v>8</v>
      </c>
      <c r="F6599" t="s">
        <v>6602</v>
      </c>
      <c r="G6599">
        <v>1</v>
      </c>
    </row>
    <row r="6600" spans="1:7" x14ac:dyDescent="0.25">
      <c r="A6600">
        <v>25</v>
      </c>
      <c r="B6600" t="s">
        <v>6215</v>
      </c>
      <c r="C6600">
        <v>27035</v>
      </c>
      <c r="D6600" t="str">
        <f>"1542-8710"</f>
        <v>1542-8710</v>
      </c>
      <c r="E6600" t="s">
        <v>8</v>
      </c>
      <c r="F6600" t="s">
        <v>6603</v>
      </c>
      <c r="G6600">
        <v>1</v>
      </c>
    </row>
    <row r="6601" spans="1:7" x14ac:dyDescent="0.25">
      <c r="A6601">
        <v>25</v>
      </c>
      <c r="B6601" t="s">
        <v>6215</v>
      </c>
      <c r="C6601">
        <v>19136</v>
      </c>
      <c r="D6601" t="str">
        <f>"1832-5912"</f>
        <v>1832-5912</v>
      </c>
      <c r="E6601" t="s">
        <v>8</v>
      </c>
      <c r="F6601" t="s">
        <v>6604</v>
      </c>
      <c r="G6601">
        <v>1</v>
      </c>
    </row>
    <row r="6602" spans="1:7" x14ac:dyDescent="0.25">
      <c r="A6602">
        <v>25</v>
      </c>
      <c r="B6602" t="s">
        <v>6215</v>
      </c>
      <c r="C6602">
        <v>50259</v>
      </c>
      <c r="D6602" t="str">
        <f>"1583-4387"</f>
        <v>1583-4387</v>
      </c>
      <c r="E6602" t="s">
        <v>8</v>
      </c>
      <c r="F6602" t="s">
        <v>6605</v>
      </c>
      <c r="G6602">
        <v>1</v>
      </c>
    </row>
    <row r="6603" spans="1:7" x14ac:dyDescent="0.25">
      <c r="A6603">
        <v>25</v>
      </c>
      <c r="B6603" t="s">
        <v>6215</v>
      </c>
      <c r="C6603">
        <v>16765</v>
      </c>
      <c r="D6603" t="str">
        <f>"0278-4254"</f>
        <v>0278-4254</v>
      </c>
      <c r="E6603" t="s">
        <v>8</v>
      </c>
      <c r="F6603" t="s">
        <v>6606</v>
      </c>
      <c r="G6603">
        <v>1</v>
      </c>
    </row>
    <row r="6604" spans="1:7" x14ac:dyDescent="0.25">
      <c r="A6604">
        <v>25</v>
      </c>
      <c r="B6604" t="s">
        <v>6215</v>
      </c>
      <c r="C6604">
        <v>11507</v>
      </c>
      <c r="D6604" t="str">
        <f>"0148-558X"</f>
        <v>0148-558X</v>
      </c>
      <c r="E6604" t="s">
        <v>8</v>
      </c>
      <c r="F6604" t="s">
        <v>6607</v>
      </c>
      <c r="G6604">
        <v>1</v>
      </c>
    </row>
    <row r="6605" spans="1:7" x14ac:dyDescent="0.25">
      <c r="A6605">
        <v>25</v>
      </c>
      <c r="B6605" t="s">
        <v>6215</v>
      </c>
      <c r="C6605">
        <v>7707534</v>
      </c>
      <c r="D6605" t="str">
        <f>"2042-1168"</f>
        <v>2042-1168</v>
      </c>
      <c r="E6605" t="s">
        <v>8</v>
      </c>
      <c r="F6605" t="s">
        <v>6608</v>
      </c>
      <c r="G6605">
        <v>1</v>
      </c>
    </row>
    <row r="6606" spans="1:7" x14ac:dyDescent="0.25">
      <c r="A6606">
        <v>25</v>
      </c>
      <c r="B6606" t="s">
        <v>6215</v>
      </c>
      <c r="C6606">
        <v>2685</v>
      </c>
      <c r="D6606" t="str">
        <f>"0737-4607"</f>
        <v>0737-4607</v>
      </c>
      <c r="E6606" t="s">
        <v>8</v>
      </c>
      <c r="F6606" t="s">
        <v>6609</v>
      </c>
      <c r="G6606">
        <v>1</v>
      </c>
    </row>
    <row r="6607" spans="1:7" x14ac:dyDescent="0.25">
      <c r="A6607">
        <v>25</v>
      </c>
      <c r="B6607" t="s">
        <v>6215</v>
      </c>
      <c r="C6607">
        <v>99704</v>
      </c>
      <c r="D6607" t="str">
        <f>"0216-423X"</f>
        <v>0216-423X</v>
      </c>
      <c r="E6607" t="s">
        <v>8</v>
      </c>
      <c r="F6607" t="s">
        <v>6610</v>
      </c>
      <c r="G6607">
        <v>1</v>
      </c>
    </row>
    <row r="6608" spans="1:7" x14ac:dyDescent="0.25">
      <c r="A6608">
        <v>25</v>
      </c>
      <c r="B6608" t="s">
        <v>6215</v>
      </c>
      <c r="C6608">
        <v>154440</v>
      </c>
      <c r="D6608" t="str">
        <f>"1556-5793"</f>
        <v>1556-5793</v>
      </c>
      <c r="E6608" t="s">
        <v>8</v>
      </c>
      <c r="F6608" t="s">
        <v>6611</v>
      </c>
      <c r="G6608">
        <v>1</v>
      </c>
    </row>
    <row r="6609" spans="1:7" x14ac:dyDescent="0.25">
      <c r="A6609">
        <v>25</v>
      </c>
      <c r="B6609" t="s">
        <v>6215</v>
      </c>
      <c r="C6609">
        <v>1097</v>
      </c>
      <c r="D6609" t="str">
        <f>"0091-3367"</f>
        <v>0091-3367</v>
      </c>
      <c r="E6609" t="s">
        <v>8</v>
      </c>
      <c r="F6609" t="s">
        <v>6612</v>
      </c>
      <c r="G6609">
        <v>1</v>
      </c>
    </row>
    <row r="6610" spans="1:7" x14ac:dyDescent="0.25">
      <c r="A6610">
        <v>25</v>
      </c>
      <c r="B6610" t="s">
        <v>6215</v>
      </c>
      <c r="C6610">
        <v>2281</v>
      </c>
      <c r="D6610" t="str">
        <f>"0021-8499"</f>
        <v>0021-8499</v>
      </c>
      <c r="E6610" t="s">
        <v>8</v>
      </c>
      <c r="F6610" t="s">
        <v>6613</v>
      </c>
      <c r="G6610">
        <v>1</v>
      </c>
    </row>
    <row r="6611" spans="1:7" x14ac:dyDescent="0.25">
      <c r="A6611">
        <v>25</v>
      </c>
      <c r="B6611" t="s">
        <v>6215</v>
      </c>
      <c r="C6611">
        <v>9704</v>
      </c>
      <c r="D6611" t="str">
        <f>"1522-8916"</f>
        <v>1522-8916</v>
      </c>
      <c r="E6611" t="s">
        <v>8</v>
      </c>
      <c r="F6611" t="s">
        <v>6614</v>
      </c>
      <c r="G6611">
        <v>1</v>
      </c>
    </row>
    <row r="6612" spans="1:7" x14ac:dyDescent="0.25">
      <c r="A6612">
        <v>25</v>
      </c>
      <c r="B6612" t="s">
        <v>6215</v>
      </c>
      <c r="C6612">
        <v>11593</v>
      </c>
      <c r="D6612" t="str">
        <f>"0967-5426"</f>
        <v>0967-5426</v>
      </c>
      <c r="E6612" t="s">
        <v>8</v>
      </c>
      <c r="F6612" t="s">
        <v>6615</v>
      </c>
      <c r="G6612">
        <v>1</v>
      </c>
    </row>
    <row r="6613" spans="1:7" x14ac:dyDescent="0.25">
      <c r="A6613">
        <v>25</v>
      </c>
      <c r="B6613" t="s">
        <v>6215</v>
      </c>
      <c r="C6613">
        <v>27561</v>
      </c>
      <c r="D6613" t="str">
        <f>"0892-7626"</f>
        <v>0892-7626</v>
      </c>
      <c r="E6613" t="s">
        <v>8</v>
      </c>
      <c r="F6613" t="s">
        <v>6616</v>
      </c>
      <c r="G6613">
        <v>1</v>
      </c>
    </row>
    <row r="6614" spans="1:7" x14ac:dyDescent="0.25">
      <c r="A6614">
        <v>25</v>
      </c>
      <c r="B6614" t="s">
        <v>6215</v>
      </c>
      <c r="C6614">
        <v>9727</v>
      </c>
      <c r="D6614" t="str">
        <f>"1078-1196"</f>
        <v>1078-1196</v>
      </c>
      <c r="E6614" t="s">
        <v>8</v>
      </c>
      <c r="F6614" t="s">
        <v>6617</v>
      </c>
      <c r="G6614">
        <v>1</v>
      </c>
    </row>
    <row r="6615" spans="1:7" x14ac:dyDescent="0.25">
      <c r="A6615">
        <v>25</v>
      </c>
      <c r="B6615" t="s">
        <v>6215</v>
      </c>
      <c r="C6615">
        <v>48101</v>
      </c>
      <c r="D6615" t="str">
        <f>"1443-9905"</f>
        <v>1443-9905</v>
      </c>
      <c r="E6615" t="s">
        <v>8</v>
      </c>
      <c r="F6615" t="s">
        <v>6618</v>
      </c>
      <c r="G6615">
        <v>1</v>
      </c>
    </row>
    <row r="6616" spans="1:7" x14ac:dyDescent="0.25">
      <c r="A6616">
        <v>25</v>
      </c>
      <c r="B6616" t="s">
        <v>6215</v>
      </c>
      <c r="C6616">
        <v>10084</v>
      </c>
      <c r="D6616" t="str">
        <f>"1077-1158"</f>
        <v>1077-1158</v>
      </c>
      <c r="E6616" t="s">
        <v>8</v>
      </c>
      <c r="F6616" t="s">
        <v>6619</v>
      </c>
      <c r="G6616">
        <v>1</v>
      </c>
    </row>
    <row r="6617" spans="1:7" x14ac:dyDescent="0.25">
      <c r="A6617">
        <v>25</v>
      </c>
      <c r="B6617" t="s">
        <v>6215</v>
      </c>
      <c r="C6617">
        <v>7289</v>
      </c>
      <c r="D6617" t="str">
        <f>"1557-7244"</f>
        <v>1557-7244</v>
      </c>
      <c r="E6617" t="s">
        <v>8</v>
      </c>
      <c r="F6617" t="s">
        <v>6620</v>
      </c>
      <c r="G6617">
        <v>1</v>
      </c>
    </row>
    <row r="6618" spans="1:7" x14ac:dyDescent="0.25">
      <c r="A6618">
        <v>25</v>
      </c>
      <c r="B6618" t="s">
        <v>6215</v>
      </c>
      <c r="C6618">
        <v>5031</v>
      </c>
      <c r="D6618" t="str">
        <f>"1059-9231"</f>
        <v>1059-9231</v>
      </c>
      <c r="E6618" t="s">
        <v>8</v>
      </c>
      <c r="F6618" t="s">
        <v>6621</v>
      </c>
      <c r="G6618">
        <v>1</v>
      </c>
    </row>
    <row r="6619" spans="1:7" x14ac:dyDescent="0.25">
      <c r="A6619">
        <v>25</v>
      </c>
      <c r="B6619" t="s">
        <v>6215</v>
      </c>
      <c r="C6619">
        <v>15865</v>
      </c>
      <c r="E6619" t="s">
        <v>8</v>
      </c>
      <c r="F6619" t="s">
        <v>6622</v>
      </c>
      <c r="G6619">
        <v>1</v>
      </c>
    </row>
    <row r="6620" spans="1:7" x14ac:dyDescent="0.25">
      <c r="A6620">
        <v>25</v>
      </c>
      <c r="B6620" t="s">
        <v>6215</v>
      </c>
      <c r="C6620">
        <v>14760</v>
      </c>
      <c r="D6620" t="str">
        <f>"1068-0055"</f>
        <v>1068-0055</v>
      </c>
      <c r="E6620" t="s">
        <v>8</v>
      </c>
      <c r="F6620" t="s">
        <v>6623</v>
      </c>
      <c r="G6620">
        <v>1</v>
      </c>
    </row>
    <row r="6621" spans="1:7" x14ac:dyDescent="0.25">
      <c r="A6621">
        <v>25</v>
      </c>
      <c r="B6621" t="s">
        <v>6215</v>
      </c>
      <c r="C6621">
        <v>15866</v>
      </c>
      <c r="D6621" t="str">
        <f>"1470-8272"</f>
        <v>1470-8272</v>
      </c>
      <c r="E6621" t="s">
        <v>8</v>
      </c>
      <c r="F6621" t="s">
        <v>6624</v>
      </c>
      <c r="G6621">
        <v>1</v>
      </c>
    </row>
    <row r="6622" spans="1:7" x14ac:dyDescent="0.25">
      <c r="A6622">
        <v>25</v>
      </c>
      <c r="B6622" t="s">
        <v>6215</v>
      </c>
      <c r="C6622">
        <v>27706</v>
      </c>
      <c r="D6622" t="str">
        <f>"1930-0158"</f>
        <v>1930-0158</v>
      </c>
      <c r="E6622" t="s">
        <v>8</v>
      </c>
      <c r="F6622" t="s">
        <v>6625</v>
      </c>
      <c r="G6622">
        <v>1</v>
      </c>
    </row>
    <row r="6623" spans="1:7" x14ac:dyDescent="0.25">
      <c r="A6623">
        <v>25</v>
      </c>
      <c r="B6623" t="s">
        <v>6215</v>
      </c>
      <c r="C6623">
        <v>11327</v>
      </c>
      <c r="D6623" t="str">
        <f>"1542-7560"</f>
        <v>1542-7560</v>
      </c>
      <c r="E6623" t="s">
        <v>8</v>
      </c>
      <c r="F6623" t="s">
        <v>6626</v>
      </c>
      <c r="G6623">
        <v>1</v>
      </c>
    </row>
    <row r="6624" spans="1:7" x14ac:dyDescent="0.25">
      <c r="A6624">
        <v>25</v>
      </c>
      <c r="B6624" t="s">
        <v>6215</v>
      </c>
      <c r="C6624">
        <v>20361</v>
      </c>
      <c r="D6624" t="str">
        <f>"1042-6337"</f>
        <v>1042-6337</v>
      </c>
      <c r="E6624" t="s">
        <v>8</v>
      </c>
      <c r="F6624" t="s">
        <v>6627</v>
      </c>
      <c r="G6624">
        <v>1</v>
      </c>
    </row>
    <row r="6625" spans="1:7" x14ac:dyDescent="0.25">
      <c r="A6625">
        <v>25</v>
      </c>
      <c r="B6625" t="s">
        <v>6215</v>
      </c>
      <c r="C6625">
        <v>14793</v>
      </c>
      <c r="D6625" t="str">
        <f>"0885-8624"</f>
        <v>0885-8624</v>
      </c>
      <c r="E6625" t="s">
        <v>8</v>
      </c>
      <c r="F6625" t="s">
        <v>6628</v>
      </c>
      <c r="G6625">
        <v>1</v>
      </c>
    </row>
    <row r="6626" spans="1:7" x14ac:dyDescent="0.25">
      <c r="A6626">
        <v>25</v>
      </c>
      <c r="B6626" t="s">
        <v>6215</v>
      </c>
      <c r="C6626">
        <v>8889</v>
      </c>
      <c r="D6626" t="str">
        <f>"0889-3268"</f>
        <v>0889-3268</v>
      </c>
      <c r="E6626" t="s">
        <v>8</v>
      </c>
      <c r="F6626" t="s">
        <v>6629</v>
      </c>
      <c r="G6626">
        <v>1</v>
      </c>
    </row>
    <row r="6627" spans="1:7" x14ac:dyDescent="0.25">
      <c r="A6627">
        <v>25</v>
      </c>
      <c r="B6627" t="s">
        <v>6215</v>
      </c>
      <c r="C6627">
        <v>21368</v>
      </c>
      <c r="D6627" t="str">
        <f>"0044-2372"</f>
        <v>0044-2372</v>
      </c>
      <c r="E6627" t="s">
        <v>8</v>
      </c>
      <c r="F6627" t="s">
        <v>6630</v>
      </c>
      <c r="G6627">
        <v>1</v>
      </c>
    </row>
    <row r="6628" spans="1:7" x14ac:dyDescent="0.25">
      <c r="A6628">
        <v>25</v>
      </c>
      <c r="B6628" t="s">
        <v>6215</v>
      </c>
      <c r="C6628">
        <v>78606</v>
      </c>
      <c r="D6628" t="str">
        <f>"1611-1699"</f>
        <v>1611-1699</v>
      </c>
      <c r="E6628" t="s">
        <v>8</v>
      </c>
      <c r="F6628" t="s">
        <v>6631</v>
      </c>
      <c r="G6628">
        <v>1</v>
      </c>
    </row>
    <row r="6629" spans="1:7" x14ac:dyDescent="0.25">
      <c r="A6629">
        <v>25</v>
      </c>
      <c r="B6629" t="s">
        <v>6215</v>
      </c>
      <c r="C6629">
        <v>14911</v>
      </c>
      <c r="D6629" t="str">
        <f>"1649-5195"</f>
        <v>1649-5195</v>
      </c>
      <c r="E6629" t="s">
        <v>8</v>
      </c>
      <c r="F6629" t="s">
        <v>6632</v>
      </c>
      <c r="G6629">
        <v>1</v>
      </c>
    </row>
    <row r="6630" spans="1:7" x14ac:dyDescent="0.25">
      <c r="A6630">
        <v>25</v>
      </c>
      <c r="B6630" t="s">
        <v>6215</v>
      </c>
      <c r="C6630">
        <v>16181</v>
      </c>
      <c r="D6630" t="str">
        <f>"0735-3766"</f>
        <v>0735-3766</v>
      </c>
      <c r="E6630" t="s">
        <v>8</v>
      </c>
      <c r="F6630" t="s">
        <v>6633</v>
      </c>
      <c r="G6630">
        <v>1</v>
      </c>
    </row>
    <row r="6631" spans="1:7" x14ac:dyDescent="0.25">
      <c r="A6631">
        <v>25</v>
      </c>
      <c r="B6631" t="s">
        <v>6215</v>
      </c>
      <c r="C6631">
        <v>20758</v>
      </c>
      <c r="D6631" t="str">
        <f>"1864-0753"</f>
        <v>1864-0753</v>
      </c>
      <c r="E6631" t="s">
        <v>8</v>
      </c>
      <c r="F6631" t="s">
        <v>6634</v>
      </c>
      <c r="G6631">
        <v>1</v>
      </c>
    </row>
    <row r="6632" spans="1:7" x14ac:dyDescent="0.25">
      <c r="A6632">
        <v>25</v>
      </c>
      <c r="B6632" t="s">
        <v>6215</v>
      </c>
      <c r="C6632">
        <v>8771206</v>
      </c>
      <c r="E6632" t="s">
        <v>8</v>
      </c>
      <c r="F6632" t="s">
        <v>6635</v>
      </c>
      <c r="G6632">
        <v>1</v>
      </c>
    </row>
    <row r="6633" spans="1:7" x14ac:dyDescent="0.25">
      <c r="A6633">
        <v>25</v>
      </c>
      <c r="B6633" t="s">
        <v>6215</v>
      </c>
      <c r="C6633">
        <v>18779</v>
      </c>
      <c r="D6633" t="str">
        <f>"0887-2058"</f>
        <v>0887-2058</v>
      </c>
      <c r="E6633" t="s">
        <v>8</v>
      </c>
      <c r="F6633" t="s">
        <v>6636</v>
      </c>
      <c r="G6633">
        <v>1</v>
      </c>
    </row>
    <row r="6634" spans="1:7" x14ac:dyDescent="0.25">
      <c r="A6634">
        <v>25</v>
      </c>
      <c r="B6634" t="s">
        <v>6215</v>
      </c>
      <c r="C6634">
        <v>26691</v>
      </c>
      <c r="D6634" t="str">
        <f>"0275-6668"</f>
        <v>0275-6668</v>
      </c>
      <c r="E6634" t="s">
        <v>8</v>
      </c>
      <c r="F6634" t="s">
        <v>6637</v>
      </c>
      <c r="G6634">
        <v>1</v>
      </c>
    </row>
    <row r="6635" spans="1:7" x14ac:dyDescent="0.25">
      <c r="A6635">
        <v>25</v>
      </c>
      <c r="B6635" t="s">
        <v>6215</v>
      </c>
      <c r="C6635">
        <v>8783011</v>
      </c>
      <c r="D6635" t="str">
        <f>"2352-6734"</f>
        <v>2352-6734</v>
      </c>
      <c r="E6635" t="s">
        <v>8</v>
      </c>
      <c r="F6635" t="s">
        <v>6638</v>
      </c>
      <c r="G6635">
        <v>1</v>
      </c>
    </row>
    <row r="6636" spans="1:7" x14ac:dyDescent="0.25">
      <c r="A6636">
        <v>25</v>
      </c>
      <c r="B6636" t="s">
        <v>6215</v>
      </c>
      <c r="C6636">
        <v>9791</v>
      </c>
      <c r="D6636" t="str">
        <f>"1476-5284"</f>
        <v>1476-5284</v>
      </c>
      <c r="E6636" t="s">
        <v>8</v>
      </c>
      <c r="F6636" t="s">
        <v>6639</v>
      </c>
      <c r="G6636">
        <v>1</v>
      </c>
    </row>
    <row r="6637" spans="1:7" x14ac:dyDescent="0.25">
      <c r="A6637">
        <v>25</v>
      </c>
      <c r="B6637" t="s">
        <v>6215</v>
      </c>
      <c r="C6637">
        <v>13730</v>
      </c>
      <c r="D6637" t="str">
        <f>"1363-254X"</f>
        <v>1363-254X</v>
      </c>
      <c r="E6637" t="s">
        <v>8</v>
      </c>
      <c r="F6637" t="s">
        <v>6640</v>
      </c>
      <c r="G6637">
        <v>1</v>
      </c>
    </row>
    <row r="6638" spans="1:7" x14ac:dyDescent="0.25">
      <c r="A6638">
        <v>25</v>
      </c>
      <c r="B6638" t="s">
        <v>6215</v>
      </c>
      <c r="C6638">
        <v>14360</v>
      </c>
      <c r="D6638" t="str">
        <f>"1460-1559"</f>
        <v>1460-1559</v>
      </c>
      <c r="E6638" t="s">
        <v>8</v>
      </c>
      <c r="F6638" t="s">
        <v>6641</v>
      </c>
      <c r="G6638">
        <v>1</v>
      </c>
    </row>
    <row r="6639" spans="1:7" x14ac:dyDescent="0.25">
      <c r="A6639">
        <v>25</v>
      </c>
      <c r="B6639" t="s">
        <v>6215</v>
      </c>
      <c r="C6639">
        <v>15268</v>
      </c>
      <c r="D6639" t="str">
        <f>"0022-0078"</f>
        <v>0022-0078</v>
      </c>
      <c r="E6639" t="s">
        <v>8</v>
      </c>
      <c r="F6639" t="s">
        <v>6642</v>
      </c>
      <c r="G6639">
        <v>1</v>
      </c>
    </row>
    <row r="6640" spans="1:7" x14ac:dyDescent="0.25">
      <c r="A6640">
        <v>25</v>
      </c>
      <c r="B6640" t="s">
        <v>6215</v>
      </c>
      <c r="C6640">
        <v>2361</v>
      </c>
      <c r="D6640" t="str">
        <f>"1472-0817"</f>
        <v>1472-0817</v>
      </c>
      <c r="E6640" t="s">
        <v>8</v>
      </c>
      <c r="F6640" t="s">
        <v>6643</v>
      </c>
      <c r="G6640">
        <v>1</v>
      </c>
    </row>
    <row r="6641" spans="1:7" x14ac:dyDescent="0.25">
      <c r="A6641">
        <v>25</v>
      </c>
      <c r="B6641" t="s">
        <v>6215</v>
      </c>
      <c r="C6641">
        <v>3383</v>
      </c>
      <c r="D6641" t="str">
        <f>"0736-3761"</f>
        <v>0736-3761</v>
      </c>
      <c r="E6641" t="s">
        <v>8</v>
      </c>
      <c r="F6641" t="s">
        <v>6644</v>
      </c>
      <c r="G6641">
        <v>1</v>
      </c>
    </row>
    <row r="6642" spans="1:7" x14ac:dyDescent="0.25">
      <c r="A6642">
        <v>25</v>
      </c>
      <c r="B6642" t="s">
        <v>6215</v>
      </c>
      <c r="C6642">
        <v>4612</v>
      </c>
      <c r="D6642" t="str">
        <f>"1057-7408"</f>
        <v>1057-7408</v>
      </c>
      <c r="E6642" t="s">
        <v>8</v>
      </c>
      <c r="F6642" t="s">
        <v>6645</v>
      </c>
      <c r="G6642">
        <v>1</v>
      </c>
    </row>
    <row r="6643" spans="1:7" x14ac:dyDescent="0.25">
      <c r="A6643">
        <v>25</v>
      </c>
      <c r="B6643" t="s">
        <v>6215</v>
      </c>
      <c r="C6643">
        <v>153893</v>
      </c>
      <c r="D6643" t="str">
        <f>"1815-5669"</f>
        <v>1815-5669</v>
      </c>
      <c r="E6643" t="s">
        <v>8</v>
      </c>
      <c r="F6643" t="s">
        <v>6646</v>
      </c>
      <c r="G6643">
        <v>1</v>
      </c>
    </row>
    <row r="6644" spans="1:7" x14ac:dyDescent="0.25">
      <c r="A6644">
        <v>25</v>
      </c>
      <c r="B6644" t="s">
        <v>6215</v>
      </c>
      <c r="C6644">
        <v>7151</v>
      </c>
      <c r="D6644" t="str">
        <f>"0966-0879"</f>
        <v>0966-0879</v>
      </c>
      <c r="E6644" t="s">
        <v>8</v>
      </c>
      <c r="F6644" t="s">
        <v>6647</v>
      </c>
      <c r="G6644">
        <v>1</v>
      </c>
    </row>
    <row r="6645" spans="1:7" x14ac:dyDescent="0.25">
      <c r="A6645">
        <v>25</v>
      </c>
      <c r="B6645" t="s">
        <v>6215</v>
      </c>
      <c r="C6645">
        <v>1732</v>
      </c>
      <c r="D6645" t="str">
        <f>"1470-5001"</f>
        <v>1470-5001</v>
      </c>
      <c r="E6645" t="s">
        <v>8</v>
      </c>
      <c r="F6645" t="s">
        <v>6648</v>
      </c>
      <c r="G6645">
        <v>1</v>
      </c>
    </row>
    <row r="6646" spans="1:7" x14ac:dyDescent="0.25">
      <c r="A6646">
        <v>25</v>
      </c>
      <c r="B6646" t="s">
        <v>6215</v>
      </c>
      <c r="C6646">
        <v>14131</v>
      </c>
      <c r="D6646" t="str">
        <f>"1463-001X"</f>
        <v>1463-001X</v>
      </c>
      <c r="E6646" t="s">
        <v>8</v>
      </c>
      <c r="F6646" t="s">
        <v>6649</v>
      </c>
      <c r="G6646">
        <v>1</v>
      </c>
    </row>
    <row r="6647" spans="1:7" x14ac:dyDescent="0.25">
      <c r="A6647">
        <v>25</v>
      </c>
      <c r="B6647" t="s">
        <v>6215</v>
      </c>
      <c r="C6647">
        <v>8758261</v>
      </c>
      <c r="D6647" t="str">
        <f>"2351-6186"</f>
        <v>2351-6186</v>
      </c>
      <c r="E6647" t="s">
        <v>8</v>
      </c>
      <c r="F6647" t="s">
        <v>6650</v>
      </c>
      <c r="G6647">
        <v>1</v>
      </c>
    </row>
    <row r="6648" spans="1:7" x14ac:dyDescent="0.25">
      <c r="A6648">
        <v>25</v>
      </c>
      <c r="B6648" t="s">
        <v>6215</v>
      </c>
      <c r="C6648">
        <v>20871</v>
      </c>
      <c r="D6648" t="str">
        <f>"1064-1734"</f>
        <v>1064-1734</v>
      </c>
      <c r="E6648" t="s">
        <v>8</v>
      </c>
      <c r="F6648" t="s">
        <v>6651</v>
      </c>
      <c r="G6648">
        <v>1</v>
      </c>
    </row>
    <row r="6649" spans="1:7" x14ac:dyDescent="0.25">
      <c r="A6649">
        <v>25</v>
      </c>
      <c r="B6649" t="s">
        <v>6215</v>
      </c>
      <c r="C6649">
        <v>7738596</v>
      </c>
      <c r="D6649" t="str">
        <f>"2212-571X"</f>
        <v>2212-571X</v>
      </c>
      <c r="E6649" t="s">
        <v>8</v>
      </c>
      <c r="F6649" t="s">
        <v>6652</v>
      </c>
      <c r="G6649">
        <v>1</v>
      </c>
    </row>
    <row r="6650" spans="1:7" x14ac:dyDescent="0.25">
      <c r="A6650">
        <v>25</v>
      </c>
      <c r="B6650" t="s">
        <v>6215</v>
      </c>
      <c r="C6650">
        <v>7330</v>
      </c>
      <c r="D6650" t="str">
        <f>"1084-9467"</f>
        <v>1084-9467</v>
      </c>
      <c r="E6650" t="s">
        <v>8</v>
      </c>
      <c r="F6650" t="s">
        <v>6653</v>
      </c>
      <c r="G6650">
        <v>1</v>
      </c>
    </row>
    <row r="6651" spans="1:7" x14ac:dyDescent="0.25">
      <c r="A6651">
        <v>25</v>
      </c>
      <c r="B6651" t="s">
        <v>6215</v>
      </c>
      <c r="C6651">
        <v>11267</v>
      </c>
      <c r="D6651" t="str">
        <f>"1066-9868"</f>
        <v>1066-9868</v>
      </c>
      <c r="E6651" t="s">
        <v>8</v>
      </c>
      <c r="F6651" t="s">
        <v>6654</v>
      </c>
      <c r="G6651">
        <v>1</v>
      </c>
    </row>
    <row r="6652" spans="1:7" x14ac:dyDescent="0.25">
      <c r="A6652">
        <v>25</v>
      </c>
      <c r="B6652" t="s">
        <v>6215</v>
      </c>
      <c r="C6652">
        <v>12999</v>
      </c>
      <c r="D6652" t="str">
        <f>"0148-6195"</f>
        <v>0148-6195</v>
      </c>
      <c r="E6652" t="s">
        <v>8</v>
      </c>
      <c r="F6652" t="s">
        <v>6655</v>
      </c>
      <c r="G6652">
        <v>1</v>
      </c>
    </row>
    <row r="6653" spans="1:7" x14ac:dyDescent="0.25">
      <c r="A6653">
        <v>25</v>
      </c>
      <c r="B6653" t="s">
        <v>6215</v>
      </c>
      <c r="C6653">
        <v>9270</v>
      </c>
      <c r="D6653" t="str">
        <f>"1055-0925"</f>
        <v>1055-0925</v>
      </c>
      <c r="E6653" t="s">
        <v>8</v>
      </c>
      <c r="F6653" t="s">
        <v>6656</v>
      </c>
      <c r="G6653">
        <v>1</v>
      </c>
    </row>
    <row r="6654" spans="1:7" x14ac:dyDescent="0.25">
      <c r="A6654">
        <v>25</v>
      </c>
      <c r="B6654" t="s">
        <v>6215</v>
      </c>
      <c r="C6654">
        <v>16850</v>
      </c>
      <c r="D6654" t="str">
        <f>"0883-2323"</f>
        <v>0883-2323</v>
      </c>
      <c r="E6654" t="s">
        <v>8</v>
      </c>
      <c r="F6654" t="s">
        <v>6657</v>
      </c>
      <c r="G6654">
        <v>1</v>
      </c>
    </row>
    <row r="6655" spans="1:7" x14ac:dyDescent="0.25">
      <c r="A6655">
        <v>25</v>
      </c>
      <c r="B6655" t="s">
        <v>6215</v>
      </c>
      <c r="C6655">
        <v>6532</v>
      </c>
      <c r="D6655" t="str">
        <f>"1539-2937"</f>
        <v>1539-2937</v>
      </c>
      <c r="E6655" t="s">
        <v>8</v>
      </c>
      <c r="F6655" t="s">
        <v>6658</v>
      </c>
      <c r="G6655">
        <v>1</v>
      </c>
    </row>
    <row r="6656" spans="1:7" x14ac:dyDescent="0.25">
      <c r="A6656">
        <v>25</v>
      </c>
      <c r="B6656" t="s">
        <v>6215</v>
      </c>
      <c r="C6656">
        <v>3363</v>
      </c>
      <c r="D6656" t="str">
        <f>"1938-9027"</f>
        <v>1938-9027</v>
      </c>
      <c r="E6656" t="s">
        <v>8</v>
      </c>
      <c r="F6656" t="s">
        <v>6659</v>
      </c>
      <c r="G6656">
        <v>1</v>
      </c>
    </row>
    <row r="6657" spans="1:7" x14ac:dyDescent="0.25">
      <c r="A6657">
        <v>25</v>
      </c>
      <c r="B6657" t="s">
        <v>6215</v>
      </c>
      <c r="C6657">
        <v>10150</v>
      </c>
      <c r="D6657" t="str">
        <f>"0972-6527"</f>
        <v>0972-6527</v>
      </c>
      <c r="E6657" t="s">
        <v>8</v>
      </c>
      <c r="F6657" t="s">
        <v>6660</v>
      </c>
      <c r="G6657">
        <v>1</v>
      </c>
    </row>
    <row r="6658" spans="1:7" x14ac:dyDescent="0.25">
      <c r="A6658">
        <v>25</v>
      </c>
      <c r="B6658" t="s">
        <v>6215</v>
      </c>
      <c r="C6658">
        <v>44660</v>
      </c>
      <c r="D6658" t="str">
        <f>"1554-1908"</f>
        <v>1554-1908</v>
      </c>
      <c r="E6658" t="s">
        <v>8</v>
      </c>
      <c r="F6658" t="s">
        <v>6661</v>
      </c>
      <c r="G6658">
        <v>1</v>
      </c>
    </row>
    <row r="6659" spans="1:7" x14ac:dyDescent="0.25">
      <c r="A6659">
        <v>25</v>
      </c>
      <c r="B6659" t="s">
        <v>6215</v>
      </c>
      <c r="C6659">
        <v>7168</v>
      </c>
      <c r="D6659" t="str">
        <f>"1756-3607"</f>
        <v>1756-3607</v>
      </c>
      <c r="E6659" t="s">
        <v>8</v>
      </c>
      <c r="F6659" t="s">
        <v>6662</v>
      </c>
      <c r="G6659">
        <v>1</v>
      </c>
    </row>
    <row r="6660" spans="1:7" x14ac:dyDescent="0.25">
      <c r="A6660">
        <v>25</v>
      </c>
      <c r="B6660" t="s">
        <v>6215</v>
      </c>
      <c r="C6660">
        <v>10420</v>
      </c>
      <c r="D6660" t="str">
        <f>"0923-4748"</f>
        <v>0923-4748</v>
      </c>
      <c r="E6660" t="s">
        <v>8</v>
      </c>
      <c r="F6660" t="s">
        <v>6663</v>
      </c>
      <c r="G6660">
        <v>1</v>
      </c>
    </row>
    <row r="6661" spans="1:7" x14ac:dyDescent="0.25">
      <c r="A6661">
        <v>25</v>
      </c>
      <c r="B6661" t="s">
        <v>6215</v>
      </c>
      <c r="C6661">
        <v>5230</v>
      </c>
      <c r="D6661" t="str">
        <f>"1750-6204"</f>
        <v>1750-6204</v>
      </c>
      <c r="E6661" t="s">
        <v>8</v>
      </c>
      <c r="F6661" t="s">
        <v>6664</v>
      </c>
      <c r="G6661">
        <v>1</v>
      </c>
    </row>
    <row r="6662" spans="1:7" x14ac:dyDescent="0.25">
      <c r="A6662">
        <v>25</v>
      </c>
      <c r="B6662" t="s">
        <v>6215</v>
      </c>
      <c r="C6662">
        <v>8604</v>
      </c>
      <c r="D6662" t="str">
        <f>"0218-4958"</f>
        <v>0218-4958</v>
      </c>
      <c r="E6662" t="s">
        <v>8</v>
      </c>
      <c r="F6662" t="s">
        <v>6665</v>
      </c>
      <c r="G6662">
        <v>1</v>
      </c>
    </row>
    <row r="6663" spans="1:7" x14ac:dyDescent="0.25">
      <c r="A6663">
        <v>25</v>
      </c>
      <c r="B6663" t="s">
        <v>6215</v>
      </c>
      <c r="C6663">
        <v>7707538</v>
      </c>
      <c r="D6663" t="str">
        <f>"2045-2101"</f>
        <v>2045-2101</v>
      </c>
      <c r="E6663" t="s">
        <v>8</v>
      </c>
      <c r="F6663" t="s">
        <v>6666</v>
      </c>
      <c r="G6663">
        <v>1</v>
      </c>
    </row>
    <row r="6664" spans="1:7" x14ac:dyDescent="0.25">
      <c r="A6664">
        <v>25</v>
      </c>
      <c r="B6664" t="s">
        <v>6215</v>
      </c>
      <c r="C6664">
        <v>1947</v>
      </c>
      <c r="D6664" t="str">
        <f>"1098-8394"</f>
        <v>1098-8394</v>
      </c>
      <c r="E6664" t="s">
        <v>8</v>
      </c>
      <c r="F6664" t="s">
        <v>6667</v>
      </c>
      <c r="G6664">
        <v>1</v>
      </c>
    </row>
    <row r="6665" spans="1:7" x14ac:dyDescent="0.25">
      <c r="A6665">
        <v>25</v>
      </c>
      <c r="B6665" t="s">
        <v>6215</v>
      </c>
      <c r="C6665">
        <v>707</v>
      </c>
      <c r="D6665" t="str">
        <f>"1049-6483"</f>
        <v>1049-6483</v>
      </c>
      <c r="E6665" t="s">
        <v>8</v>
      </c>
      <c r="F6665" t="s">
        <v>6668</v>
      </c>
      <c r="G6665">
        <v>1</v>
      </c>
    </row>
    <row r="6666" spans="1:7" x14ac:dyDescent="0.25">
      <c r="A6666">
        <v>25</v>
      </c>
      <c r="B6666" t="s">
        <v>6215</v>
      </c>
      <c r="C6666">
        <v>12485</v>
      </c>
      <c r="D6666" t="str">
        <f>"0936-9937"</f>
        <v>0936-9937</v>
      </c>
      <c r="E6666" t="s">
        <v>8</v>
      </c>
      <c r="F6666" t="s">
        <v>6669</v>
      </c>
      <c r="G6666">
        <v>1</v>
      </c>
    </row>
    <row r="6667" spans="1:7" x14ac:dyDescent="0.25">
      <c r="A6667">
        <v>25</v>
      </c>
      <c r="B6667" t="s">
        <v>6215</v>
      </c>
      <c r="C6667">
        <v>16812</v>
      </c>
      <c r="D6667" t="str">
        <f>"0022-0140"</f>
        <v>0022-0140</v>
      </c>
      <c r="E6667" t="s">
        <v>8</v>
      </c>
      <c r="F6667" t="s">
        <v>6670</v>
      </c>
      <c r="G6667">
        <v>1</v>
      </c>
    </row>
    <row r="6668" spans="1:7" x14ac:dyDescent="0.25">
      <c r="A6668">
        <v>25</v>
      </c>
      <c r="B6668" t="s">
        <v>6215</v>
      </c>
      <c r="C6668">
        <v>1840</v>
      </c>
      <c r="D6668" t="str">
        <f>"1361-2026"</f>
        <v>1361-2026</v>
      </c>
      <c r="E6668" t="s">
        <v>8</v>
      </c>
      <c r="F6668" t="s">
        <v>6671</v>
      </c>
      <c r="G6668">
        <v>1</v>
      </c>
    </row>
    <row r="6669" spans="1:7" x14ac:dyDescent="0.25">
      <c r="A6669">
        <v>25</v>
      </c>
      <c r="B6669" t="s">
        <v>6215</v>
      </c>
      <c r="C6669">
        <v>7688969</v>
      </c>
      <c r="D6669" t="str">
        <f>"2153-2818"</f>
        <v>2153-2818</v>
      </c>
      <c r="E6669" t="s">
        <v>8</v>
      </c>
      <c r="F6669" t="s">
        <v>6672</v>
      </c>
      <c r="G6669">
        <v>1</v>
      </c>
    </row>
    <row r="6670" spans="1:7" x14ac:dyDescent="0.25">
      <c r="A6670">
        <v>25</v>
      </c>
      <c r="B6670" t="s">
        <v>6215</v>
      </c>
      <c r="C6670">
        <v>7944</v>
      </c>
      <c r="D6670" t="str">
        <f>"1359-0790"</f>
        <v>1359-0790</v>
      </c>
      <c r="E6670" t="s">
        <v>8</v>
      </c>
      <c r="F6670" t="s">
        <v>6673</v>
      </c>
      <c r="G6670">
        <v>1</v>
      </c>
    </row>
    <row r="6671" spans="1:7" x14ac:dyDescent="0.25">
      <c r="A6671">
        <v>25</v>
      </c>
      <c r="B6671" t="s">
        <v>6215</v>
      </c>
      <c r="C6671">
        <v>6416</v>
      </c>
      <c r="D6671" t="str">
        <f>"1358-1988"</f>
        <v>1358-1988</v>
      </c>
      <c r="E6671" t="s">
        <v>8</v>
      </c>
      <c r="F6671" t="s">
        <v>6674</v>
      </c>
      <c r="G6671">
        <v>1</v>
      </c>
    </row>
    <row r="6672" spans="1:7" x14ac:dyDescent="0.25">
      <c r="A6672">
        <v>25</v>
      </c>
      <c r="B6672" t="s">
        <v>6215</v>
      </c>
      <c r="C6672">
        <v>6169534</v>
      </c>
      <c r="D6672" t="str">
        <f>"1985-2517"</f>
        <v>1985-2517</v>
      </c>
      <c r="E6672" t="s">
        <v>8</v>
      </c>
      <c r="F6672" t="s">
        <v>6675</v>
      </c>
      <c r="G6672">
        <v>1</v>
      </c>
    </row>
    <row r="6673" spans="1:7" x14ac:dyDescent="0.25">
      <c r="A6673">
        <v>25</v>
      </c>
      <c r="B6673" t="s">
        <v>6215</v>
      </c>
      <c r="C6673">
        <v>641</v>
      </c>
      <c r="D6673" t="str">
        <f>"0270-2592"</f>
        <v>0270-2592</v>
      </c>
      <c r="E6673" t="s">
        <v>8</v>
      </c>
      <c r="F6673" t="s">
        <v>6676</v>
      </c>
      <c r="G6673">
        <v>1</v>
      </c>
    </row>
    <row r="6674" spans="1:7" x14ac:dyDescent="0.25">
      <c r="A6674">
        <v>25</v>
      </c>
      <c r="B6674" t="s">
        <v>6215</v>
      </c>
      <c r="C6674">
        <v>7738349</v>
      </c>
      <c r="D6674" t="str">
        <f>"2167-9533"</f>
        <v>2167-9533</v>
      </c>
      <c r="E6674" t="s">
        <v>8</v>
      </c>
      <c r="F6674" t="s">
        <v>6677</v>
      </c>
      <c r="G6674">
        <v>1</v>
      </c>
    </row>
    <row r="6675" spans="1:7" x14ac:dyDescent="0.25">
      <c r="A6675">
        <v>25</v>
      </c>
      <c r="B6675" t="s">
        <v>6215</v>
      </c>
      <c r="C6675">
        <v>5185</v>
      </c>
      <c r="D6675" t="str">
        <f>"1363-0539"</f>
        <v>1363-0539</v>
      </c>
      <c r="E6675" t="s">
        <v>8</v>
      </c>
      <c r="F6675" t="s">
        <v>6678</v>
      </c>
      <c r="G6675">
        <v>1</v>
      </c>
    </row>
    <row r="6676" spans="1:7" x14ac:dyDescent="0.25">
      <c r="A6676">
        <v>25</v>
      </c>
      <c r="B6676" t="s">
        <v>6215</v>
      </c>
      <c r="C6676">
        <v>22421</v>
      </c>
      <c r="D6676" t="str">
        <f>"1572-3089"</f>
        <v>1572-3089</v>
      </c>
      <c r="E6676" t="s">
        <v>8</v>
      </c>
      <c r="F6676" t="s">
        <v>6679</v>
      </c>
      <c r="G6676">
        <v>1</v>
      </c>
    </row>
    <row r="6677" spans="1:7" x14ac:dyDescent="0.25">
      <c r="A6677">
        <v>25</v>
      </c>
      <c r="B6677" t="s">
        <v>6215</v>
      </c>
      <c r="C6677">
        <v>180074</v>
      </c>
      <c r="D6677" t="str">
        <f>"1755-3628"</f>
        <v>1755-3628</v>
      </c>
      <c r="E6677" t="s">
        <v>8</v>
      </c>
      <c r="F6677" t="s">
        <v>6680</v>
      </c>
      <c r="G6677">
        <v>1</v>
      </c>
    </row>
    <row r="6678" spans="1:7" x14ac:dyDescent="0.25">
      <c r="A6678">
        <v>25</v>
      </c>
      <c r="B6678" t="s">
        <v>6215</v>
      </c>
      <c r="C6678">
        <v>13668</v>
      </c>
      <c r="D6678" t="str">
        <f>"1045-4446"</f>
        <v>1045-4446</v>
      </c>
      <c r="E6678" t="s">
        <v>8</v>
      </c>
      <c r="F6678" t="s">
        <v>6681</v>
      </c>
      <c r="G6678">
        <v>1</v>
      </c>
    </row>
    <row r="6679" spans="1:7" x14ac:dyDescent="0.25">
      <c r="A6679">
        <v>25</v>
      </c>
      <c r="B6679" t="s">
        <v>6215</v>
      </c>
      <c r="C6679">
        <v>20432</v>
      </c>
      <c r="D6679" t="str">
        <f>"1537-8020"</f>
        <v>1537-8020</v>
      </c>
      <c r="E6679" t="s">
        <v>8</v>
      </c>
      <c r="F6679" t="s">
        <v>6682</v>
      </c>
      <c r="G6679">
        <v>1</v>
      </c>
    </row>
    <row r="6680" spans="1:7" x14ac:dyDescent="0.25">
      <c r="A6680">
        <v>25</v>
      </c>
      <c r="B6680" t="s">
        <v>6215</v>
      </c>
      <c r="C6680">
        <v>11235</v>
      </c>
      <c r="D6680" t="str">
        <f>"0277-6693"</f>
        <v>0277-6693</v>
      </c>
      <c r="E6680" t="s">
        <v>8</v>
      </c>
      <c r="F6680" t="s">
        <v>6683</v>
      </c>
      <c r="G6680">
        <v>1</v>
      </c>
    </row>
    <row r="6681" spans="1:7" x14ac:dyDescent="0.25">
      <c r="A6681">
        <v>25</v>
      </c>
      <c r="B6681" t="s">
        <v>6215</v>
      </c>
      <c r="C6681">
        <v>16083</v>
      </c>
      <c r="D6681" t="str">
        <f>"0306-3070"</f>
        <v>0306-3070</v>
      </c>
      <c r="E6681" t="s">
        <v>8</v>
      </c>
      <c r="F6681" t="s">
        <v>6684</v>
      </c>
      <c r="G6681">
        <v>1</v>
      </c>
    </row>
    <row r="6682" spans="1:7" x14ac:dyDescent="0.25">
      <c r="A6682">
        <v>25</v>
      </c>
      <c r="B6682" t="s">
        <v>6215</v>
      </c>
      <c r="C6682">
        <v>4446</v>
      </c>
      <c r="D6682" t="str">
        <f>"0891-1762"</f>
        <v>0891-1762</v>
      </c>
      <c r="E6682" t="s">
        <v>8</v>
      </c>
      <c r="F6682" t="s">
        <v>6685</v>
      </c>
      <c r="G6682">
        <v>1</v>
      </c>
    </row>
    <row r="6683" spans="1:7" x14ac:dyDescent="0.25">
      <c r="A6683">
        <v>25</v>
      </c>
      <c r="B6683" t="s">
        <v>6215</v>
      </c>
      <c r="C6683">
        <v>7735553</v>
      </c>
      <c r="D6683" t="str">
        <f>"2049-8799"</f>
        <v>2049-8799</v>
      </c>
      <c r="E6683" t="s">
        <v>8</v>
      </c>
      <c r="F6683" t="s">
        <v>6686</v>
      </c>
      <c r="G6683">
        <v>1</v>
      </c>
    </row>
    <row r="6684" spans="1:7" x14ac:dyDescent="0.25">
      <c r="A6684">
        <v>25</v>
      </c>
      <c r="B6684" t="s">
        <v>6215</v>
      </c>
      <c r="C6684">
        <v>113054</v>
      </c>
      <c r="D6684" t="str">
        <f>"1753-8297"</f>
        <v>1753-8297</v>
      </c>
      <c r="E6684" t="s">
        <v>8</v>
      </c>
      <c r="F6684" t="s">
        <v>6687</v>
      </c>
      <c r="G6684">
        <v>1</v>
      </c>
    </row>
    <row r="6685" spans="1:7" x14ac:dyDescent="0.25">
      <c r="A6685">
        <v>25</v>
      </c>
      <c r="B6685" t="s">
        <v>6215</v>
      </c>
      <c r="C6685">
        <v>27362</v>
      </c>
      <c r="D6685" t="str">
        <f>"1755-750X"</f>
        <v>1755-750X</v>
      </c>
      <c r="E6685" t="s">
        <v>8</v>
      </c>
      <c r="F6685" t="s">
        <v>6688</v>
      </c>
      <c r="G6685">
        <v>1</v>
      </c>
    </row>
    <row r="6686" spans="1:7" x14ac:dyDescent="0.25">
      <c r="A6686">
        <v>25</v>
      </c>
      <c r="B6686" t="s">
        <v>6215</v>
      </c>
      <c r="C6686">
        <v>3083</v>
      </c>
      <c r="D6686" t="str">
        <f>"1096-3480"</f>
        <v>1096-3480</v>
      </c>
      <c r="E6686" t="s">
        <v>8</v>
      </c>
      <c r="F6686" t="s">
        <v>6689</v>
      </c>
      <c r="G6686">
        <v>1</v>
      </c>
    </row>
    <row r="6687" spans="1:7" x14ac:dyDescent="0.25">
      <c r="A6687">
        <v>25</v>
      </c>
      <c r="B6687" t="s">
        <v>6215</v>
      </c>
      <c r="C6687">
        <v>18251</v>
      </c>
      <c r="D6687" t="str">
        <f>"1936-8623"</f>
        <v>1936-8623</v>
      </c>
      <c r="E6687" t="s">
        <v>8</v>
      </c>
      <c r="F6687" t="s">
        <v>6690</v>
      </c>
      <c r="G6687">
        <v>1</v>
      </c>
    </row>
    <row r="6688" spans="1:7" x14ac:dyDescent="0.25">
      <c r="A6688">
        <v>25</v>
      </c>
      <c r="B6688" t="s">
        <v>6215</v>
      </c>
      <c r="C6688">
        <v>2511</v>
      </c>
      <c r="D6688" t="str">
        <f>"1533-2845"</f>
        <v>1533-2845</v>
      </c>
      <c r="E6688" t="s">
        <v>8</v>
      </c>
      <c r="F6688" t="s">
        <v>6691</v>
      </c>
      <c r="G6688">
        <v>1</v>
      </c>
    </row>
    <row r="6689" spans="1:7" x14ac:dyDescent="0.25">
      <c r="A6689">
        <v>25</v>
      </c>
      <c r="B6689" t="s">
        <v>6215</v>
      </c>
      <c r="C6689">
        <v>4929</v>
      </c>
      <c r="D6689" t="str">
        <f>"1547-5816"</f>
        <v>1547-5816</v>
      </c>
      <c r="E6689" t="s">
        <v>8</v>
      </c>
      <c r="F6689" t="s">
        <v>6692</v>
      </c>
      <c r="G6689">
        <v>1</v>
      </c>
    </row>
    <row r="6690" spans="1:7" x14ac:dyDescent="0.25">
      <c r="A6690">
        <v>25</v>
      </c>
      <c r="B6690" t="s">
        <v>6215</v>
      </c>
      <c r="C6690">
        <v>6170066</v>
      </c>
      <c r="D6690" t="str">
        <f>"2013-8423"</f>
        <v>2013-8423</v>
      </c>
      <c r="E6690" t="s">
        <v>8</v>
      </c>
      <c r="F6690" t="s">
        <v>6693</v>
      </c>
      <c r="G6690">
        <v>1</v>
      </c>
    </row>
    <row r="6691" spans="1:7" x14ac:dyDescent="0.25">
      <c r="A6691">
        <v>25</v>
      </c>
      <c r="B6691" t="s">
        <v>6215</v>
      </c>
      <c r="C6691">
        <v>4475</v>
      </c>
      <c r="D6691" t="str">
        <f>"1566-1679"</f>
        <v>1566-1679</v>
      </c>
      <c r="E6691" t="s">
        <v>8</v>
      </c>
      <c r="F6691" t="s">
        <v>6694</v>
      </c>
      <c r="G6691">
        <v>1</v>
      </c>
    </row>
    <row r="6692" spans="1:7" x14ac:dyDescent="0.25">
      <c r="A6692">
        <v>25</v>
      </c>
      <c r="B6692" t="s">
        <v>6215</v>
      </c>
      <c r="C6692">
        <v>160025</v>
      </c>
      <c r="D6692" t="str">
        <f>"2032-5355"</f>
        <v>2032-5355</v>
      </c>
      <c r="E6692" t="s">
        <v>8</v>
      </c>
      <c r="F6692" t="s">
        <v>6695</v>
      </c>
      <c r="G6692">
        <v>1</v>
      </c>
    </row>
    <row r="6693" spans="1:7" x14ac:dyDescent="0.25">
      <c r="A6693">
        <v>25</v>
      </c>
      <c r="B6693" t="s">
        <v>6215</v>
      </c>
      <c r="C6693">
        <v>22839</v>
      </c>
      <c r="D6693" t="str">
        <f>"0736-248X"</f>
        <v>0736-248X</v>
      </c>
      <c r="E6693" t="s">
        <v>8</v>
      </c>
      <c r="F6693" t="s">
        <v>6696</v>
      </c>
      <c r="G6693">
        <v>1</v>
      </c>
    </row>
    <row r="6694" spans="1:7" x14ac:dyDescent="0.25">
      <c r="A6694">
        <v>25</v>
      </c>
      <c r="B6694" t="s">
        <v>6215</v>
      </c>
      <c r="C6694">
        <v>3781</v>
      </c>
      <c r="D6694" t="str">
        <f>"1469-1930"</f>
        <v>1469-1930</v>
      </c>
      <c r="E6694" t="s">
        <v>8</v>
      </c>
      <c r="F6694" t="s">
        <v>6697</v>
      </c>
      <c r="G6694">
        <v>1</v>
      </c>
    </row>
    <row r="6695" spans="1:7" x14ac:dyDescent="0.25">
      <c r="A6695">
        <v>25</v>
      </c>
      <c r="B6695" t="s">
        <v>6215</v>
      </c>
      <c r="C6695">
        <v>15447</v>
      </c>
      <c r="D6695" t="str">
        <f>"1542-6297"</f>
        <v>1542-6297</v>
      </c>
      <c r="E6695" t="s">
        <v>8</v>
      </c>
      <c r="F6695" t="s">
        <v>6698</v>
      </c>
      <c r="G6695">
        <v>1</v>
      </c>
    </row>
    <row r="6696" spans="1:7" x14ac:dyDescent="0.25">
      <c r="A6696">
        <v>25</v>
      </c>
      <c r="B6696" t="s">
        <v>6215</v>
      </c>
      <c r="C6696">
        <v>8319</v>
      </c>
      <c r="D6696" t="str">
        <f>"1061-9518"</f>
        <v>1061-9518</v>
      </c>
      <c r="E6696" t="s">
        <v>8</v>
      </c>
      <c r="F6696" t="s">
        <v>6699</v>
      </c>
      <c r="G6696">
        <v>1</v>
      </c>
    </row>
    <row r="6697" spans="1:7" x14ac:dyDescent="0.25">
      <c r="A6697">
        <v>25</v>
      </c>
      <c r="B6697" t="s">
        <v>6215</v>
      </c>
      <c r="C6697">
        <v>89142</v>
      </c>
      <c r="D6697" t="str">
        <f>"1527-8603"</f>
        <v>1527-8603</v>
      </c>
      <c r="E6697" t="s">
        <v>8</v>
      </c>
      <c r="F6697" t="s">
        <v>6700</v>
      </c>
      <c r="G6697">
        <v>1</v>
      </c>
    </row>
    <row r="6698" spans="1:7" x14ac:dyDescent="0.25">
      <c r="A6698">
        <v>25</v>
      </c>
      <c r="B6698" t="s">
        <v>6215</v>
      </c>
      <c r="C6698">
        <v>2180</v>
      </c>
      <c r="D6698" t="str">
        <f>"0896-1530"</f>
        <v>0896-1530</v>
      </c>
      <c r="E6698" t="s">
        <v>8</v>
      </c>
      <c r="F6698" t="s">
        <v>6701</v>
      </c>
      <c r="G6698">
        <v>1</v>
      </c>
    </row>
    <row r="6699" spans="1:7" x14ac:dyDescent="0.25">
      <c r="A6699">
        <v>25</v>
      </c>
      <c r="B6699" t="s">
        <v>6215</v>
      </c>
      <c r="C6699">
        <v>802</v>
      </c>
      <c r="D6699" t="str">
        <f>"1570-7385"</f>
        <v>1570-7385</v>
      </c>
      <c r="E6699" t="s">
        <v>8</v>
      </c>
      <c r="F6699" t="s">
        <v>6702</v>
      </c>
      <c r="G6699">
        <v>1</v>
      </c>
    </row>
    <row r="6700" spans="1:7" x14ac:dyDescent="0.25">
      <c r="A6700">
        <v>25</v>
      </c>
      <c r="B6700" t="s">
        <v>6215</v>
      </c>
      <c r="C6700">
        <v>74</v>
      </c>
      <c r="D6700" t="str">
        <f>"0954-1314"</f>
        <v>0954-1314</v>
      </c>
      <c r="E6700" t="s">
        <v>8</v>
      </c>
      <c r="F6700" t="s">
        <v>6703</v>
      </c>
      <c r="G6700">
        <v>1</v>
      </c>
    </row>
    <row r="6701" spans="1:7" x14ac:dyDescent="0.25">
      <c r="A6701">
        <v>25</v>
      </c>
      <c r="B6701" t="s">
        <v>6215</v>
      </c>
      <c r="C6701">
        <v>1338</v>
      </c>
      <c r="D6701" t="str">
        <f>"1042-4431"</f>
        <v>1042-4431</v>
      </c>
      <c r="E6701" t="s">
        <v>8</v>
      </c>
      <c r="F6701" t="s">
        <v>6704</v>
      </c>
      <c r="G6701">
        <v>1</v>
      </c>
    </row>
    <row r="6702" spans="1:7" x14ac:dyDescent="0.25">
      <c r="A6702">
        <v>25</v>
      </c>
      <c r="B6702" t="s">
        <v>6215</v>
      </c>
      <c r="C6702">
        <v>5274</v>
      </c>
      <c r="D6702" t="str">
        <f>"0897-4438"</f>
        <v>0897-4438</v>
      </c>
      <c r="E6702" t="s">
        <v>8</v>
      </c>
      <c r="F6702" t="s">
        <v>6705</v>
      </c>
      <c r="G6702">
        <v>1</v>
      </c>
    </row>
    <row r="6703" spans="1:7" x14ac:dyDescent="0.25">
      <c r="A6703">
        <v>25</v>
      </c>
      <c r="B6703" t="s">
        <v>6215</v>
      </c>
      <c r="C6703">
        <v>16521</v>
      </c>
      <c r="D6703" t="str">
        <f>"1533-2861"</f>
        <v>1533-2861</v>
      </c>
      <c r="E6703" t="s">
        <v>8</v>
      </c>
      <c r="F6703" t="s">
        <v>6706</v>
      </c>
      <c r="G6703">
        <v>1</v>
      </c>
    </row>
    <row r="6704" spans="1:7" x14ac:dyDescent="0.25">
      <c r="A6704">
        <v>25</v>
      </c>
      <c r="B6704" t="s">
        <v>6215</v>
      </c>
      <c r="C6704">
        <v>1537</v>
      </c>
      <c r="D6704" t="str">
        <f>"1545-9144"</f>
        <v>1545-9144</v>
      </c>
      <c r="E6704" t="s">
        <v>8</v>
      </c>
      <c r="F6704" t="s">
        <v>6707</v>
      </c>
      <c r="G6704">
        <v>1</v>
      </c>
    </row>
    <row r="6705" spans="1:7" x14ac:dyDescent="0.25">
      <c r="A6705">
        <v>25</v>
      </c>
      <c r="B6705" t="s">
        <v>6215</v>
      </c>
      <c r="C6705">
        <v>6170379</v>
      </c>
      <c r="D6705" t="str">
        <f>"1759-0817"</f>
        <v>1759-0817</v>
      </c>
      <c r="E6705" t="s">
        <v>8</v>
      </c>
      <c r="F6705" t="s">
        <v>6708</v>
      </c>
      <c r="G6705">
        <v>1</v>
      </c>
    </row>
    <row r="6706" spans="1:7" x14ac:dyDescent="0.25">
      <c r="A6706">
        <v>25</v>
      </c>
      <c r="B6706" t="s">
        <v>6215</v>
      </c>
      <c r="C6706">
        <v>6170383</v>
      </c>
      <c r="D6706" t="str">
        <f>"1759-0833"</f>
        <v>1759-0833</v>
      </c>
      <c r="E6706" t="s">
        <v>8</v>
      </c>
      <c r="F6706" t="s">
        <v>6709</v>
      </c>
      <c r="G6706">
        <v>1</v>
      </c>
    </row>
    <row r="6707" spans="1:7" x14ac:dyDescent="0.25">
      <c r="A6707">
        <v>25</v>
      </c>
      <c r="B6707" t="s">
        <v>6215</v>
      </c>
      <c r="C6707">
        <v>2777</v>
      </c>
      <c r="D6707" t="str">
        <f>"0195-3613"</f>
        <v>0195-3613</v>
      </c>
      <c r="E6707" t="s">
        <v>8</v>
      </c>
      <c r="F6707" t="s">
        <v>6710</v>
      </c>
      <c r="G6707">
        <v>1</v>
      </c>
    </row>
    <row r="6708" spans="1:7" x14ac:dyDescent="0.25">
      <c r="A6708">
        <v>25</v>
      </c>
      <c r="B6708" t="s">
        <v>6215</v>
      </c>
      <c r="C6708">
        <v>12115</v>
      </c>
      <c r="D6708" t="str">
        <f>"1935-2611"</f>
        <v>1935-2611</v>
      </c>
      <c r="E6708" t="s">
        <v>8</v>
      </c>
      <c r="F6708" t="s">
        <v>6711</v>
      </c>
      <c r="G6708">
        <v>1</v>
      </c>
    </row>
    <row r="6709" spans="1:7" x14ac:dyDescent="0.25">
      <c r="A6709">
        <v>25</v>
      </c>
      <c r="B6709" t="s">
        <v>6215</v>
      </c>
      <c r="C6709">
        <v>15767</v>
      </c>
      <c r="D6709" t="str">
        <f>"0276-1467"</f>
        <v>0276-1467</v>
      </c>
      <c r="E6709" t="s">
        <v>8</v>
      </c>
      <c r="F6709" t="s">
        <v>6712</v>
      </c>
      <c r="G6709">
        <v>1</v>
      </c>
    </row>
    <row r="6710" spans="1:7" x14ac:dyDescent="0.25">
      <c r="A6710">
        <v>25</v>
      </c>
      <c r="B6710" t="s">
        <v>6215</v>
      </c>
      <c r="C6710">
        <v>13258</v>
      </c>
      <c r="D6710" t="str">
        <f>"1385-3457"</f>
        <v>1385-3457</v>
      </c>
      <c r="E6710" t="s">
        <v>8</v>
      </c>
      <c r="F6710" t="s">
        <v>6713</v>
      </c>
      <c r="G6710">
        <v>1</v>
      </c>
    </row>
    <row r="6711" spans="1:7" x14ac:dyDescent="0.25">
      <c r="A6711">
        <v>25</v>
      </c>
      <c r="B6711" t="s">
        <v>6215</v>
      </c>
      <c r="C6711">
        <v>23702</v>
      </c>
      <c r="D6711" t="str">
        <f>"1833-3672"</f>
        <v>1833-3672</v>
      </c>
      <c r="E6711" t="s">
        <v>8</v>
      </c>
      <c r="F6711" t="s">
        <v>6714</v>
      </c>
      <c r="G6711">
        <v>1</v>
      </c>
    </row>
    <row r="6712" spans="1:7" x14ac:dyDescent="0.25">
      <c r="A6712">
        <v>25</v>
      </c>
      <c r="B6712" t="s">
        <v>6215</v>
      </c>
      <c r="C6712">
        <v>15856</v>
      </c>
      <c r="D6712" t="str">
        <f>"1049-2127"</f>
        <v>1049-2127</v>
      </c>
      <c r="E6712" t="s">
        <v>8</v>
      </c>
      <c r="F6712" t="s">
        <v>6715</v>
      </c>
      <c r="G6712">
        <v>1</v>
      </c>
    </row>
    <row r="6713" spans="1:7" x14ac:dyDescent="0.25">
      <c r="A6713">
        <v>25</v>
      </c>
      <c r="B6713" t="s">
        <v>6215</v>
      </c>
      <c r="C6713">
        <v>21871</v>
      </c>
      <c r="D6713" t="str">
        <f>"2191-4761"</f>
        <v>2191-4761</v>
      </c>
      <c r="E6713" t="s">
        <v>8</v>
      </c>
      <c r="F6713" t="s">
        <v>6716</v>
      </c>
      <c r="G6713">
        <v>1</v>
      </c>
    </row>
    <row r="6714" spans="1:7" x14ac:dyDescent="0.25">
      <c r="A6714">
        <v>25</v>
      </c>
      <c r="B6714" t="s">
        <v>6215</v>
      </c>
      <c r="C6714">
        <v>16685</v>
      </c>
      <c r="D6714" t="str">
        <f>"0262-1711"</f>
        <v>0262-1711</v>
      </c>
      <c r="E6714" t="s">
        <v>8</v>
      </c>
      <c r="F6714" t="s">
        <v>6717</v>
      </c>
      <c r="G6714">
        <v>1</v>
      </c>
    </row>
    <row r="6715" spans="1:7" x14ac:dyDescent="0.25">
      <c r="A6715">
        <v>25</v>
      </c>
      <c r="B6715" t="s">
        <v>6215</v>
      </c>
      <c r="C6715">
        <v>8044</v>
      </c>
      <c r="D6715" t="str">
        <f>"1056-4926"</f>
        <v>1056-4926</v>
      </c>
      <c r="E6715" t="s">
        <v>8</v>
      </c>
      <c r="F6715" t="s">
        <v>6718</v>
      </c>
      <c r="G6715">
        <v>1</v>
      </c>
    </row>
    <row r="6716" spans="1:7" x14ac:dyDescent="0.25">
      <c r="A6716">
        <v>25</v>
      </c>
      <c r="B6716" t="s">
        <v>6215</v>
      </c>
      <c r="C6716">
        <v>9386</v>
      </c>
      <c r="D6716" t="str">
        <f>"1741-038X"</f>
        <v>1741-038X</v>
      </c>
      <c r="E6716" t="s">
        <v>8</v>
      </c>
      <c r="F6716" t="s">
        <v>6719</v>
      </c>
      <c r="G6716">
        <v>1</v>
      </c>
    </row>
    <row r="6717" spans="1:7" x14ac:dyDescent="0.25">
      <c r="A6717">
        <v>25</v>
      </c>
      <c r="B6717" t="s">
        <v>6215</v>
      </c>
      <c r="C6717">
        <v>7752841</v>
      </c>
      <c r="D6717" t="str">
        <f>"2326-5698"</f>
        <v>2326-5698</v>
      </c>
      <c r="E6717" t="s">
        <v>8</v>
      </c>
      <c r="F6717" t="s">
        <v>6720</v>
      </c>
      <c r="G6717">
        <v>1</v>
      </c>
    </row>
    <row r="6718" spans="1:7" x14ac:dyDescent="0.25">
      <c r="A6718">
        <v>25</v>
      </c>
      <c r="B6718" t="s">
        <v>6215</v>
      </c>
      <c r="C6718">
        <v>14042</v>
      </c>
      <c r="D6718" t="str">
        <f>"1046-669X"</f>
        <v>1046-669X</v>
      </c>
      <c r="E6718" t="s">
        <v>8</v>
      </c>
      <c r="F6718" t="s">
        <v>6721</v>
      </c>
      <c r="G6718">
        <v>1</v>
      </c>
    </row>
    <row r="6719" spans="1:7" x14ac:dyDescent="0.25">
      <c r="A6719">
        <v>25</v>
      </c>
      <c r="B6719" t="s">
        <v>6215</v>
      </c>
      <c r="C6719">
        <v>8326</v>
      </c>
      <c r="D6719" t="str">
        <f>"0273-4753"</f>
        <v>0273-4753</v>
      </c>
      <c r="E6719" t="s">
        <v>8</v>
      </c>
      <c r="F6719" t="s">
        <v>6722</v>
      </c>
      <c r="G6719">
        <v>1</v>
      </c>
    </row>
    <row r="6720" spans="1:7" x14ac:dyDescent="0.25">
      <c r="A6720">
        <v>25</v>
      </c>
      <c r="B6720" t="s">
        <v>6215</v>
      </c>
      <c r="C6720">
        <v>479</v>
      </c>
      <c r="D6720" t="str">
        <f>"0884-1241"</f>
        <v>0884-1241</v>
      </c>
      <c r="E6720" t="s">
        <v>8</v>
      </c>
      <c r="F6720" t="s">
        <v>6723</v>
      </c>
      <c r="G6720">
        <v>1</v>
      </c>
    </row>
    <row r="6721" spans="1:7" x14ac:dyDescent="0.25">
      <c r="A6721">
        <v>25</v>
      </c>
      <c r="B6721" t="s">
        <v>6215</v>
      </c>
      <c r="C6721">
        <v>8035</v>
      </c>
      <c r="D6721" t="str">
        <f>"0267-257X"</f>
        <v>0267-257X</v>
      </c>
      <c r="E6721" t="s">
        <v>8</v>
      </c>
      <c r="F6721" t="s">
        <v>6724</v>
      </c>
      <c r="G6721">
        <v>1</v>
      </c>
    </row>
    <row r="6722" spans="1:7" x14ac:dyDescent="0.25">
      <c r="A6722">
        <v>25</v>
      </c>
      <c r="B6722" t="s">
        <v>6215</v>
      </c>
      <c r="C6722">
        <v>12683</v>
      </c>
      <c r="D6722" t="str">
        <f>"1069-6679"</f>
        <v>1069-6679</v>
      </c>
      <c r="E6722" t="s">
        <v>8</v>
      </c>
      <c r="F6722" t="s">
        <v>6725</v>
      </c>
      <c r="G6722">
        <v>1</v>
      </c>
    </row>
    <row r="6723" spans="1:7" x14ac:dyDescent="0.25">
      <c r="A6723">
        <v>25</v>
      </c>
      <c r="B6723" t="s">
        <v>6215</v>
      </c>
      <c r="C6723">
        <v>16213</v>
      </c>
      <c r="D6723" t="str">
        <f>"1438-4957"</f>
        <v>1438-4957</v>
      </c>
      <c r="E6723" t="s">
        <v>8</v>
      </c>
      <c r="F6723" t="s">
        <v>6726</v>
      </c>
      <c r="G6723">
        <v>1</v>
      </c>
    </row>
    <row r="6724" spans="1:7" x14ac:dyDescent="0.25">
      <c r="A6724">
        <v>25</v>
      </c>
      <c r="B6724" t="s">
        <v>6215</v>
      </c>
      <c r="C6724">
        <v>20077</v>
      </c>
      <c r="D6724" t="str">
        <f>"1745-7904"</f>
        <v>1745-7904</v>
      </c>
      <c r="E6724" t="s">
        <v>8</v>
      </c>
      <c r="F6724" t="s">
        <v>6727</v>
      </c>
      <c r="G6724">
        <v>1</v>
      </c>
    </row>
    <row r="6725" spans="1:7" x14ac:dyDescent="0.25">
      <c r="A6725">
        <v>25</v>
      </c>
      <c r="B6725" t="s">
        <v>6215</v>
      </c>
      <c r="C6725">
        <v>6727</v>
      </c>
      <c r="D6725" t="str">
        <f>"1746-5664"</f>
        <v>1746-5664</v>
      </c>
      <c r="E6725" t="s">
        <v>8</v>
      </c>
      <c r="F6725" t="s">
        <v>6728</v>
      </c>
      <c r="G6725">
        <v>1</v>
      </c>
    </row>
    <row r="6726" spans="1:7" x14ac:dyDescent="0.25">
      <c r="A6726">
        <v>25</v>
      </c>
      <c r="B6726" t="s">
        <v>6215</v>
      </c>
      <c r="C6726">
        <v>4174</v>
      </c>
      <c r="D6726" t="str">
        <f>"1368-5201"</f>
        <v>1368-5201</v>
      </c>
      <c r="E6726" t="s">
        <v>8</v>
      </c>
      <c r="F6726" t="s">
        <v>6729</v>
      </c>
      <c r="G6726">
        <v>1</v>
      </c>
    </row>
    <row r="6727" spans="1:7" x14ac:dyDescent="0.25">
      <c r="A6727">
        <v>25</v>
      </c>
      <c r="B6727" t="s">
        <v>6215</v>
      </c>
      <c r="C6727">
        <v>15545</v>
      </c>
      <c r="D6727" t="str">
        <f>"1057-9214"</f>
        <v>1057-9214</v>
      </c>
      <c r="E6727" t="s">
        <v>8</v>
      </c>
      <c r="F6727" t="s">
        <v>6730</v>
      </c>
      <c r="G6727">
        <v>1</v>
      </c>
    </row>
    <row r="6728" spans="1:7" x14ac:dyDescent="0.25">
      <c r="A6728">
        <v>25</v>
      </c>
      <c r="B6728" t="s">
        <v>6215</v>
      </c>
      <c r="C6728">
        <v>5715</v>
      </c>
      <c r="D6728" t="str">
        <f>"1042-444X"</f>
        <v>1042-444X</v>
      </c>
      <c r="E6728" t="s">
        <v>8</v>
      </c>
      <c r="F6728" t="s">
        <v>6731</v>
      </c>
      <c r="G6728">
        <v>1</v>
      </c>
    </row>
    <row r="6729" spans="1:7" x14ac:dyDescent="0.25">
      <c r="A6729">
        <v>25</v>
      </c>
      <c r="B6729" t="s">
        <v>6215</v>
      </c>
      <c r="C6729">
        <v>4502</v>
      </c>
      <c r="D6729" t="str">
        <f>"1049-5142"</f>
        <v>1049-5142</v>
      </c>
      <c r="E6729" t="s">
        <v>8</v>
      </c>
      <c r="F6729" t="s">
        <v>6732</v>
      </c>
      <c r="G6729">
        <v>1</v>
      </c>
    </row>
    <row r="6730" spans="1:7" x14ac:dyDescent="0.25">
      <c r="A6730">
        <v>25</v>
      </c>
      <c r="B6730" t="s">
        <v>6215</v>
      </c>
      <c r="C6730">
        <v>8758269</v>
      </c>
      <c r="E6730" t="s">
        <v>8</v>
      </c>
      <c r="F6730" t="s">
        <v>6733</v>
      </c>
      <c r="G6730">
        <v>1</v>
      </c>
    </row>
    <row r="6731" spans="1:7" x14ac:dyDescent="0.25">
      <c r="A6731">
        <v>25</v>
      </c>
      <c r="B6731" t="s">
        <v>6215</v>
      </c>
      <c r="C6731">
        <v>6620</v>
      </c>
      <c r="D6731" t="str">
        <f>"0160-8061"</f>
        <v>0160-8061</v>
      </c>
      <c r="E6731" t="s">
        <v>8</v>
      </c>
      <c r="F6731" t="s">
        <v>6734</v>
      </c>
      <c r="G6731">
        <v>1</v>
      </c>
    </row>
    <row r="6732" spans="1:7" x14ac:dyDescent="0.25">
      <c r="A6732">
        <v>25</v>
      </c>
      <c r="B6732" t="s">
        <v>6215</v>
      </c>
      <c r="C6732">
        <v>15326</v>
      </c>
      <c r="D6732" t="str">
        <f>"0953-4814"</f>
        <v>0953-4814</v>
      </c>
      <c r="E6732" t="s">
        <v>8</v>
      </c>
      <c r="F6732" t="s">
        <v>6735</v>
      </c>
      <c r="G6732">
        <v>1</v>
      </c>
    </row>
    <row r="6733" spans="1:7" x14ac:dyDescent="0.25">
      <c r="A6733">
        <v>25</v>
      </c>
      <c r="B6733" t="s">
        <v>6215</v>
      </c>
      <c r="C6733">
        <v>7753468</v>
      </c>
      <c r="D6733" t="str">
        <f>"2051-6614"</f>
        <v>2051-6614</v>
      </c>
      <c r="E6733" t="s">
        <v>8</v>
      </c>
      <c r="F6733" t="s">
        <v>6736</v>
      </c>
      <c r="G6733">
        <v>1</v>
      </c>
    </row>
    <row r="6734" spans="1:7" x14ac:dyDescent="0.25">
      <c r="A6734">
        <v>25</v>
      </c>
      <c r="B6734" t="s">
        <v>6215</v>
      </c>
      <c r="C6734">
        <v>10310</v>
      </c>
      <c r="D6734" t="str">
        <f>"1474-7472"</f>
        <v>1474-7472</v>
      </c>
      <c r="E6734" t="s">
        <v>8</v>
      </c>
      <c r="F6734" t="s">
        <v>6737</v>
      </c>
      <c r="G6734">
        <v>1</v>
      </c>
    </row>
    <row r="6735" spans="1:7" x14ac:dyDescent="0.25">
      <c r="A6735">
        <v>25</v>
      </c>
      <c r="B6735" t="s">
        <v>6215</v>
      </c>
      <c r="C6735">
        <v>16709</v>
      </c>
      <c r="D6735" t="str">
        <f>"0885-3134"</f>
        <v>0885-3134</v>
      </c>
      <c r="E6735" t="s">
        <v>8</v>
      </c>
      <c r="F6735" t="s">
        <v>6738</v>
      </c>
      <c r="G6735">
        <v>1</v>
      </c>
    </row>
    <row r="6736" spans="1:7" x14ac:dyDescent="0.25">
      <c r="A6736">
        <v>25</v>
      </c>
      <c r="B6736" t="s">
        <v>6215</v>
      </c>
      <c r="C6736">
        <v>27027</v>
      </c>
      <c r="D6736" t="str">
        <f>"1940-7963"</f>
        <v>1940-7963</v>
      </c>
      <c r="E6736" t="s">
        <v>8</v>
      </c>
      <c r="F6736" t="s">
        <v>6739</v>
      </c>
      <c r="G6736">
        <v>1</v>
      </c>
    </row>
    <row r="6737" spans="1:7" x14ac:dyDescent="0.25">
      <c r="A6737">
        <v>25</v>
      </c>
      <c r="B6737" t="s">
        <v>6215</v>
      </c>
      <c r="C6737">
        <v>9242</v>
      </c>
      <c r="D6737" t="str">
        <f>"1537-7857"</f>
        <v>1537-7857</v>
      </c>
      <c r="E6737" t="s">
        <v>8</v>
      </c>
      <c r="F6737" t="s">
        <v>6740</v>
      </c>
      <c r="G6737">
        <v>1</v>
      </c>
    </row>
    <row r="6738" spans="1:7" x14ac:dyDescent="0.25">
      <c r="A6738">
        <v>25</v>
      </c>
      <c r="B6738" t="s">
        <v>6215</v>
      </c>
      <c r="C6738">
        <v>2870</v>
      </c>
      <c r="D6738" t="str">
        <f>"1061-0421"</f>
        <v>1061-0421</v>
      </c>
      <c r="E6738" t="s">
        <v>8</v>
      </c>
      <c r="F6738" t="s">
        <v>6741</v>
      </c>
      <c r="G6738">
        <v>1</v>
      </c>
    </row>
    <row r="6739" spans="1:7" x14ac:dyDescent="0.25">
      <c r="A6739">
        <v>25</v>
      </c>
      <c r="B6739" t="s">
        <v>6215</v>
      </c>
      <c r="C6739">
        <v>2482</v>
      </c>
      <c r="D6739" t="str">
        <f>"1049-6491"</f>
        <v>1049-6491</v>
      </c>
      <c r="E6739" t="s">
        <v>8</v>
      </c>
      <c r="F6739" t="s">
        <v>6742</v>
      </c>
      <c r="G6739">
        <v>1</v>
      </c>
    </row>
    <row r="6740" spans="1:7" x14ac:dyDescent="0.25">
      <c r="A6740">
        <v>25</v>
      </c>
      <c r="B6740" t="s">
        <v>6215</v>
      </c>
      <c r="C6740">
        <v>16478</v>
      </c>
      <c r="D6740" t="str">
        <f>"1463-578X"</f>
        <v>1463-578X</v>
      </c>
      <c r="E6740" t="s">
        <v>8</v>
      </c>
      <c r="F6740" t="s">
        <v>6743</v>
      </c>
      <c r="G6740">
        <v>1</v>
      </c>
    </row>
    <row r="6741" spans="1:7" x14ac:dyDescent="0.25">
      <c r="A6741">
        <v>25</v>
      </c>
      <c r="B6741" t="s">
        <v>6215</v>
      </c>
      <c r="C6741">
        <v>13392</v>
      </c>
      <c r="D6741" t="str">
        <f>"0959-9916"</f>
        <v>0959-9916</v>
      </c>
      <c r="E6741" t="s">
        <v>8</v>
      </c>
      <c r="F6741" t="s">
        <v>6744</v>
      </c>
      <c r="G6741">
        <v>1</v>
      </c>
    </row>
    <row r="6742" spans="1:7" x14ac:dyDescent="0.25">
      <c r="A6742">
        <v>25</v>
      </c>
      <c r="B6742" t="s">
        <v>6215</v>
      </c>
      <c r="C6742">
        <v>24644</v>
      </c>
      <c r="D6742" t="str">
        <f>"1096-3367"</f>
        <v>1096-3367</v>
      </c>
      <c r="E6742" t="s">
        <v>8</v>
      </c>
      <c r="F6742" t="s">
        <v>6745</v>
      </c>
      <c r="G6742">
        <v>1</v>
      </c>
    </row>
    <row r="6743" spans="1:7" x14ac:dyDescent="0.25">
      <c r="A6743">
        <v>25</v>
      </c>
      <c r="B6743" t="s">
        <v>6215</v>
      </c>
      <c r="C6743">
        <v>3125</v>
      </c>
      <c r="D6743" t="str">
        <f>"1478-4092"</f>
        <v>1478-4092</v>
      </c>
      <c r="E6743" t="s">
        <v>8</v>
      </c>
      <c r="F6743" t="s">
        <v>6746</v>
      </c>
      <c r="G6743">
        <v>1</v>
      </c>
    </row>
    <row r="6744" spans="1:7" x14ac:dyDescent="0.25">
      <c r="A6744">
        <v>25</v>
      </c>
      <c r="B6744" t="s">
        <v>6215</v>
      </c>
      <c r="C6744">
        <v>12744</v>
      </c>
      <c r="D6744" t="str">
        <f>"1528-008X"</f>
        <v>1528-008X</v>
      </c>
      <c r="E6744" t="s">
        <v>8</v>
      </c>
      <c r="F6744" t="s">
        <v>6747</v>
      </c>
      <c r="G6744">
        <v>1</v>
      </c>
    </row>
    <row r="6745" spans="1:7" x14ac:dyDescent="0.25">
      <c r="A6745">
        <v>25</v>
      </c>
      <c r="B6745" t="s">
        <v>6215</v>
      </c>
      <c r="C6745">
        <v>5353</v>
      </c>
      <c r="D6745" t="str">
        <f>"0895-5638"</f>
        <v>0895-5638</v>
      </c>
      <c r="E6745" t="s">
        <v>8</v>
      </c>
      <c r="F6745" t="s">
        <v>6748</v>
      </c>
      <c r="G6745">
        <v>1</v>
      </c>
    </row>
    <row r="6746" spans="1:7" x14ac:dyDescent="0.25">
      <c r="A6746">
        <v>25</v>
      </c>
      <c r="B6746" t="s">
        <v>6215</v>
      </c>
      <c r="C6746">
        <v>16180</v>
      </c>
      <c r="D6746" t="str">
        <f>"0927-7544"</f>
        <v>0927-7544</v>
      </c>
      <c r="E6746" t="s">
        <v>8</v>
      </c>
      <c r="F6746" t="s">
        <v>6749</v>
      </c>
      <c r="G6746">
        <v>1</v>
      </c>
    </row>
    <row r="6747" spans="1:7" x14ac:dyDescent="0.25">
      <c r="A6747">
        <v>25</v>
      </c>
      <c r="B6747" t="s">
        <v>6215</v>
      </c>
      <c r="C6747">
        <v>16190</v>
      </c>
      <c r="D6747" t="str">
        <f>"0896-5803"</f>
        <v>0896-5803</v>
      </c>
      <c r="E6747" t="s">
        <v>8</v>
      </c>
      <c r="F6747" t="s">
        <v>6750</v>
      </c>
      <c r="G6747">
        <v>1</v>
      </c>
    </row>
    <row r="6748" spans="1:7" x14ac:dyDescent="0.25">
      <c r="A6748">
        <v>25</v>
      </c>
      <c r="B6748" t="s">
        <v>6215</v>
      </c>
      <c r="C6748">
        <v>14891</v>
      </c>
      <c r="D6748" t="str">
        <f>"1533-2667"</f>
        <v>1533-2667</v>
      </c>
      <c r="E6748" t="s">
        <v>8</v>
      </c>
      <c r="F6748" t="s">
        <v>6751</v>
      </c>
      <c r="G6748">
        <v>1</v>
      </c>
    </row>
    <row r="6749" spans="1:7" x14ac:dyDescent="0.25">
      <c r="A6749">
        <v>25</v>
      </c>
      <c r="B6749" t="s">
        <v>6215</v>
      </c>
      <c r="C6749">
        <v>27407</v>
      </c>
      <c r="E6749" t="s">
        <v>8</v>
      </c>
      <c r="F6749" t="s">
        <v>6752</v>
      </c>
      <c r="G6749">
        <v>1</v>
      </c>
    </row>
    <row r="6750" spans="1:7" x14ac:dyDescent="0.25">
      <c r="A6750">
        <v>25</v>
      </c>
      <c r="B6750" t="s">
        <v>6215</v>
      </c>
      <c r="C6750">
        <v>4377</v>
      </c>
      <c r="D6750" t="str">
        <f>"1471-5201"</f>
        <v>1471-5201</v>
      </c>
      <c r="E6750" t="s">
        <v>8</v>
      </c>
      <c r="F6750" t="s">
        <v>6753</v>
      </c>
      <c r="G6750">
        <v>1</v>
      </c>
    </row>
    <row r="6751" spans="1:7" x14ac:dyDescent="0.25">
      <c r="A6751">
        <v>25</v>
      </c>
      <c r="B6751" t="s">
        <v>6215</v>
      </c>
      <c r="C6751">
        <v>10480</v>
      </c>
      <c r="D6751" t="str">
        <f>"0969-6989"</f>
        <v>0969-6989</v>
      </c>
      <c r="E6751" t="s">
        <v>8</v>
      </c>
      <c r="F6751" t="s">
        <v>6754</v>
      </c>
      <c r="G6751">
        <v>1</v>
      </c>
    </row>
    <row r="6752" spans="1:7" x14ac:dyDescent="0.25">
      <c r="A6752">
        <v>25</v>
      </c>
      <c r="B6752" t="s">
        <v>6215</v>
      </c>
      <c r="C6752">
        <v>3106</v>
      </c>
      <c r="D6752" t="str">
        <f>"1476-6930"</f>
        <v>1476-6930</v>
      </c>
      <c r="E6752" t="s">
        <v>8</v>
      </c>
      <c r="F6752" t="s">
        <v>6755</v>
      </c>
      <c r="G6752">
        <v>1</v>
      </c>
    </row>
    <row r="6753" spans="1:7" x14ac:dyDescent="0.25">
      <c r="A6753">
        <v>25</v>
      </c>
      <c r="B6753" t="s">
        <v>6215</v>
      </c>
      <c r="C6753">
        <v>16238</v>
      </c>
      <c r="D6753" t="str">
        <f>"1465-1211"</f>
        <v>1465-1211</v>
      </c>
      <c r="E6753" t="s">
        <v>8</v>
      </c>
      <c r="F6753" t="s">
        <v>6756</v>
      </c>
      <c r="G6753">
        <v>1</v>
      </c>
    </row>
    <row r="6754" spans="1:7" x14ac:dyDescent="0.25">
      <c r="A6754">
        <v>25</v>
      </c>
      <c r="B6754" t="s">
        <v>6215</v>
      </c>
      <c r="C6754">
        <v>12985</v>
      </c>
      <c r="D6754" t="str">
        <f>"1757-5818"</f>
        <v>1757-5818</v>
      </c>
      <c r="E6754" t="s">
        <v>8</v>
      </c>
      <c r="F6754" t="s">
        <v>6757</v>
      </c>
      <c r="G6754">
        <v>1</v>
      </c>
    </row>
    <row r="6755" spans="1:7" x14ac:dyDescent="0.25">
      <c r="A6755">
        <v>25</v>
      </c>
      <c r="B6755" t="s">
        <v>6215</v>
      </c>
      <c r="C6755">
        <v>12414</v>
      </c>
      <c r="E6755" t="s">
        <v>8</v>
      </c>
      <c r="F6755" t="s">
        <v>6758</v>
      </c>
      <c r="G6755">
        <v>1</v>
      </c>
    </row>
    <row r="6756" spans="1:7" x14ac:dyDescent="0.25">
      <c r="A6756">
        <v>25</v>
      </c>
      <c r="B6756" t="s">
        <v>6215</v>
      </c>
      <c r="C6756">
        <v>204</v>
      </c>
      <c r="D6756" t="str">
        <f>"1462-6004"</f>
        <v>1462-6004</v>
      </c>
      <c r="E6756" t="s">
        <v>8</v>
      </c>
      <c r="F6756" t="s">
        <v>6759</v>
      </c>
      <c r="G6756">
        <v>1</v>
      </c>
    </row>
    <row r="6757" spans="1:7" x14ac:dyDescent="0.25">
      <c r="A6757">
        <v>25</v>
      </c>
      <c r="B6757" t="s">
        <v>6215</v>
      </c>
      <c r="C6757">
        <v>1032</v>
      </c>
      <c r="D6757" t="str">
        <f>"0827-6331"</f>
        <v>0827-6331</v>
      </c>
      <c r="E6757" t="s">
        <v>8</v>
      </c>
      <c r="F6757" t="s">
        <v>6760</v>
      </c>
      <c r="G6757">
        <v>1</v>
      </c>
    </row>
    <row r="6758" spans="1:7" x14ac:dyDescent="0.25">
      <c r="A6758">
        <v>25</v>
      </c>
      <c r="B6758" t="s">
        <v>6215</v>
      </c>
      <c r="C6758">
        <v>16888</v>
      </c>
      <c r="D6758" t="str">
        <f>"0965-254X"</f>
        <v>0965-254X</v>
      </c>
      <c r="E6758" t="s">
        <v>8</v>
      </c>
      <c r="F6758" t="s">
        <v>6761</v>
      </c>
      <c r="G6758">
        <v>1</v>
      </c>
    </row>
    <row r="6759" spans="1:7" x14ac:dyDescent="0.25">
      <c r="A6759">
        <v>25</v>
      </c>
      <c r="B6759" t="s">
        <v>6215</v>
      </c>
      <c r="C6759">
        <v>30247</v>
      </c>
      <c r="D6759" t="str">
        <f>"1755-425X"</f>
        <v>1755-425X</v>
      </c>
      <c r="E6759" t="s">
        <v>8</v>
      </c>
      <c r="F6759" t="s">
        <v>6762</v>
      </c>
      <c r="G6759">
        <v>1</v>
      </c>
    </row>
    <row r="6760" spans="1:7" x14ac:dyDescent="0.25">
      <c r="A6760">
        <v>25</v>
      </c>
      <c r="B6760" t="s">
        <v>6215</v>
      </c>
      <c r="C6760">
        <v>4373</v>
      </c>
      <c r="D6760" t="str">
        <f>"0897-5930"</f>
        <v>0897-5930</v>
      </c>
      <c r="E6760" t="s">
        <v>8</v>
      </c>
      <c r="F6760" t="s">
        <v>6763</v>
      </c>
      <c r="G6760">
        <v>1</v>
      </c>
    </row>
    <row r="6761" spans="1:7" x14ac:dyDescent="0.25">
      <c r="A6761">
        <v>25</v>
      </c>
      <c r="B6761" t="s">
        <v>6215</v>
      </c>
      <c r="C6761">
        <v>8783332</v>
      </c>
      <c r="E6761" t="s">
        <v>8</v>
      </c>
      <c r="F6761" t="s">
        <v>6764</v>
      </c>
      <c r="G6761">
        <v>1</v>
      </c>
    </row>
    <row r="6762" spans="1:7" x14ac:dyDescent="0.25">
      <c r="A6762">
        <v>25</v>
      </c>
      <c r="B6762" t="s">
        <v>6215</v>
      </c>
      <c r="C6762">
        <v>1501</v>
      </c>
      <c r="D6762" t="str">
        <f>"1547-5778"</f>
        <v>1547-5778</v>
      </c>
      <c r="E6762" t="s">
        <v>8</v>
      </c>
      <c r="F6762" t="s">
        <v>6765</v>
      </c>
      <c r="G6762">
        <v>1</v>
      </c>
    </row>
    <row r="6763" spans="1:7" x14ac:dyDescent="0.25">
      <c r="A6763">
        <v>25</v>
      </c>
      <c r="B6763" t="s">
        <v>6215</v>
      </c>
      <c r="C6763">
        <v>10481</v>
      </c>
      <c r="D6763" t="str">
        <f>"1054-8408"</f>
        <v>1054-8408</v>
      </c>
      <c r="E6763" t="s">
        <v>8</v>
      </c>
      <c r="F6763" t="s">
        <v>6766</v>
      </c>
      <c r="G6763">
        <v>1</v>
      </c>
    </row>
    <row r="6764" spans="1:7" x14ac:dyDescent="0.25">
      <c r="A6764">
        <v>25</v>
      </c>
      <c r="B6764" t="s">
        <v>6215</v>
      </c>
      <c r="C6764">
        <v>156444</v>
      </c>
      <c r="D6764" t="str">
        <f>"2151-5581"</f>
        <v>2151-5581</v>
      </c>
      <c r="E6764" t="s">
        <v>8</v>
      </c>
      <c r="F6764" t="s">
        <v>6767</v>
      </c>
      <c r="G6764">
        <v>1</v>
      </c>
    </row>
    <row r="6765" spans="1:7" x14ac:dyDescent="0.25">
      <c r="A6765">
        <v>25</v>
      </c>
      <c r="B6765" t="s">
        <v>6215</v>
      </c>
      <c r="C6765">
        <v>7430</v>
      </c>
      <c r="D6765" t="str">
        <f>"1356-7667"</f>
        <v>1356-7667</v>
      </c>
      <c r="E6765" t="s">
        <v>8</v>
      </c>
      <c r="F6765" t="s">
        <v>6768</v>
      </c>
      <c r="G6765">
        <v>1</v>
      </c>
    </row>
    <row r="6766" spans="1:7" x14ac:dyDescent="0.25">
      <c r="A6766">
        <v>25</v>
      </c>
      <c r="B6766" t="s">
        <v>6215</v>
      </c>
      <c r="C6766">
        <v>11076</v>
      </c>
      <c r="D6766" t="str">
        <f>"1569-1829"</f>
        <v>1569-1829</v>
      </c>
      <c r="E6766" t="s">
        <v>8</v>
      </c>
      <c r="F6766" t="s">
        <v>6769</v>
      </c>
      <c r="G6766">
        <v>1</v>
      </c>
    </row>
    <row r="6767" spans="1:7" x14ac:dyDescent="0.25">
      <c r="A6767">
        <v>25</v>
      </c>
      <c r="B6767" t="s">
        <v>6215</v>
      </c>
      <c r="C6767">
        <v>4364</v>
      </c>
      <c r="E6767" t="s">
        <v>8</v>
      </c>
      <c r="F6767" t="s">
        <v>6770</v>
      </c>
      <c r="G6767">
        <v>1</v>
      </c>
    </row>
    <row r="6768" spans="1:7" x14ac:dyDescent="0.25">
      <c r="A6768">
        <v>25</v>
      </c>
      <c r="B6768" t="s">
        <v>6215</v>
      </c>
      <c r="C6768">
        <v>11094</v>
      </c>
      <c r="D6768" t="str">
        <f>"1477-8238"</f>
        <v>1477-8238</v>
      </c>
      <c r="E6768" t="s">
        <v>8</v>
      </c>
      <c r="F6768" t="s">
        <v>6771</v>
      </c>
      <c r="G6768">
        <v>1</v>
      </c>
    </row>
    <row r="6769" spans="1:7" x14ac:dyDescent="0.25">
      <c r="A6769">
        <v>25</v>
      </c>
      <c r="B6769" t="s">
        <v>6215</v>
      </c>
      <c r="C6769">
        <v>7694674</v>
      </c>
      <c r="D6769" t="str">
        <f>"1335-1745"</f>
        <v>1335-1745</v>
      </c>
      <c r="E6769" t="s">
        <v>8</v>
      </c>
      <c r="F6769" t="s">
        <v>6772</v>
      </c>
      <c r="G6769">
        <v>1</v>
      </c>
    </row>
    <row r="6770" spans="1:7" x14ac:dyDescent="0.25">
      <c r="A6770">
        <v>25</v>
      </c>
      <c r="B6770" t="s">
        <v>6215</v>
      </c>
      <c r="C6770">
        <v>10192</v>
      </c>
      <c r="E6770" t="s">
        <v>8</v>
      </c>
      <c r="F6770" t="s">
        <v>6773</v>
      </c>
      <c r="G6770">
        <v>1</v>
      </c>
    </row>
    <row r="6771" spans="1:7" x14ac:dyDescent="0.25">
      <c r="A6771">
        <v>25</v>
      </c>
      <c r="B6771" t="s">
        <v>6215</v>
      </c>
      <c r="C6771">
        <v>9336</v>
      </c>
      <c r="D6771" t="str">
        <f>"1742-7150"</f>
        <v>1742-7150</v>
      </c>
      <c r="E6771" t="s">
        <v>8</v>
      </c>
      <c r="F6771" t="s">
        <v>6774</v>
      </c>
      <c r="G6771">
        <v>1</v>
      </c>
    </row>
    <row r="6772" spans="1:7" x14ac:dyDescent="0.25">
      <c r="A6772">
        <v>25</v>
      </c>
      <c r="B6772" t="s">
        <v>6215</v>
      </c>
      <c r="C6772">
        <v>5173</v>
      </c>
      <c r="D6772" t="str">
        <f>"0143-7739"</f>
        <v>0143-7739</v>
      </c>
      <c r="E6772" t="s">
        <v>8</v>
      </c>
      <c r="F6772" t="s">
        <v>6775</v>
      </c>
      <c r="G6772">
        <v>1</v>
      </c>
    </row>
    <row r="6773" spans="1:7" x14ac:dyDescent="0.25">
      <c r="A6773">
        <v>25</v>
      </c>
      <c r="B6773" t="s">
        <v>6215</v>
      </c>
      <c r="C6773">
        <v>26983</v>
      </c>
      <c r="D6773" t="str">
        <f>"1329-4539"</f>
        <v>1329-4539</v>
      </c>
      <c r="E6773" t="s">
        <v>8</v>
      </c>
      <c r="F6773" t="s">
        <v>6776</v>
      </c>
      <c r="G6773">
        <v>1</v>
      </c>
    </row>
    <row r="6774" spans="1:7" x14ac:dyDescent="0.25">
      <c r="A6774">
        <v>25</v>
      </c>
      <c r="B6774" t="s">
        <v>6215</v>
      </c>
      <c r="C6774">
        <v>26975</v>
      </c>
      <c r="D6774" t="str">
        <f>"1865-035X"</f>
        <v>1865-035X</v>
      </c>
      <c r="E6774" t="s">
        <v>8</v>
      </c>
      <c r="F6774" t="s">
        <v>6777</v>
      </c>
      <c r="G6774">
        <v>1</v>
      </c>
    </row>
    <row r="6775" spans="1:7" x14ac:dyDescent="0.25">
      <c r="A6775">
        <v>25</v>
      </c>
      <c r="B6775" t="s">
        <v>6215</v>
      </c>
      <c r="C6775">
        <v>8782447</v>
      </c>
      <c r="E6775" t="s">
        <v>8</v>
      </c>
      <c r="F6775" t="s">
        <v>6778</v>
      </c>
      <c r="G6775">
        <v>1</v>
      </c>
    </row>
    <row r="6776" spans="1:7" x14ac:dyDescent="0.25">
      <c r="A6776">
        <v>25</v>
      </c>
      <c r="B6776" t="s">
        <v>6215</v>
      </c>
      <c r="C6776">
        <v>465</v>
      </c>
      <c r="E6776" t="s">
        <v>8</v>
      </c>
      <c r="F6776" t="s">
        <v>6779</v>
      </c>
      <c r="G6776">
        <v>1</v>
      </c>
    </row>
    <row r="6777" spans="1:7" x14ac:dyDescent="0.25">
      <c r="A6777">
        <v>25</v>
      </c>
      <c r="B6777" t="s">
        <v>6215</v>
      </c>
      <c r="C6777">
        <v>4566</v>
      </c>
      <c r="D6777" t="str">
        <f>"1500-0788"</f>
        <v>1500-0788</v>
      </c>
      <c r="E6777" t="s">
        <v>8</v>
      </c>
      <c r="F6777" t="s">
        <v>6780</v>
      </c>
      <c r="G6777">
        <v>1</v>
      </c>
    </row>
    <row r="6778" spans="1:7" x14ac:dyDescent="0.25">
      <c r="A6778">
        <v>25</v>
      </c>
      <c r="B6778" t="s">
        <v>6215</v>
      </c>
      <c r="C6778">
        <v>12620</v>
      </c>
      <c r="D6778" t="str">
        <f>"1331-0194"</f>
        <v>1331-0194</v>
      </c>
      <c r="E6778" t="s">
        <v>8</v>
      </c>
      <c r="F6778" t="s">
        <v>6781</v>
      </c>
      <c r="G6778">
        <v>1</v>
      </c>
    </row>
    <row r="6779" spans="1:7" x14ac:dyDescent="0.25">
      <c r="A6779">
        <v>25</v>
      </c>
      <c r="B6779" t="s">
        <v>6215</v>
      </c>
      <c r="C6779">
        <v>3441</v>
      </c>
      <c r="D6779" t="str">
        <f>"1744-9359"</f>
        <v>1744-9359</v>
      </c>
      <c r="E6779" t="s">
        <v>8</v>
      </c>
      <c r="F6779" t="s">
        <v>6782</v>
      </c>
      <c r="G6779">
        <v>1</v>
      </c>
    </row>
    <row r="6780" spans="1:7" x14ac:dyDescent="0.25">
      <c r="A6780">
        <v>25</v>
      </c>
      <c r="B6780" t="s">
        <v>6215</v>
      </c>
      <c r="C6780">
        <v>7356783</v>
      </c>
      <c r="D6780" t="str">
        <f>"1528-5359"</f>
        <v>1528-5359</v>
      </c>
      <c r="E6780" t="s">
        <v>8</v>
      </c>
      <c r="F6780" t="s">
        <v>6783</v>
      </c>
      <c r="G6780">
        <v>1</v>
      </c>
    </row>
    <row r="6781" spans="1:7" x14ac:dyDescent="0.25">
      <c r="A6781">
        <v>25</v>
      </c>
      <c r="B6781" t="s">
        <v>6215</v>
      </c>
      <c r="C6781">
        <v>11051</v>
      </c>
      <c r="D6781" t="str">
        <f>"1740-8776"</f>
        <v>1740-8776</v>
      </c>
      <c r="E6781" t="s">
        <v>8</v>
      </c>
      <c r="F6781" t="s">
        <v>6784</v>
      </c>
      <c r="G6781">
        <v>1</v>
      </c>
    </row>
    <row r="6782" spans="1:7" x14ac:dyDescent="0.25">
      <c r="A6782">
        <v>25</v>
      </c>
      <c r="B6782" t="s">
        <v>6215</v>
      </c>
      <c r="C6782">
        <v>3080</v>
      </c>
      <c r="D6782" t="str">
        <f>"0025-1747"</f>
        <v>0025-1747</v>
      </c>
      <c r="E6782" t="s">
        <v>8</v>
      </c>
      <c r="F6782" t="s">
        <v>6785</v>
      </c>
      <c r="G6782">
        <v>1</v>
      </c>
    </row>
    <row r="6783" spans="1:7" x14ac:dyDescent="0.25">
      <c r="A6783">
        <v>25</v>
      </c>
      <c r="B6783" t="s">
        <v>6215</v>
      </c>
      <c r="C6783">
        <v>27891</v>
      </c>
      <c r="D6783" t="str">
        <f>"0938-8249"</f>
        <v>0938-8249</v>
      </c>
      <c r="E6783" t="s">
        <v>8</v>
      </c>
      <c r="F6783" t="s">
        <v>6786</v>
      </c>
      <c r="G6783">
        <v>1</v>
      </c>
    </row>
    <row r="6784" spans="1:7" x14ac:dyDescent="0.25">
      <c r="A6784">
        <v>25</v>
      </c>
      <c r="B6784" t="s">
        <v>6215</v>
      </c>
      <c r="C6784">
        <v>22932</v>
      </c>
      <c r="D6784" t="str">
        <f>"2040-8277"</f>
        <v>2040-8277</v>
      </c>
      <c r="E6784" t="s">
        <v>8</v>
      </c>
      <c r="F6784" t="s">
        <v>6787</v>
      </c>
      <c r="G6784">
        <v>1</v>
      </c>
    </row>
    <row r="6785" spans="1:7" x14ac:dyDescent="0.25">
      <c r="A6785">
        <v>25</v>
      </c>
      <c r="B6785" t="s">
        <v>6215</v>
      </c>
      <c r="C6785">
        <v>7303</v>
      </c>
      <c r="D6785" t="str">
        <f>"2198-1620"</f>
        <v>2198-1620</v>
      </c>
      <c r="E6785" t="s">
        <v>8</v>
      </c>
      <c r="F6785" t="s">
        <v>6788</v>
      </c>
      <c r="G6785">
        <v>1</v>
      </c>
    </row>
    <row r="6786" spans="1:7" x14ac:dyDescent="0.25">
      <c r="A6786">
        <v>25</v>
      </c>
      <c r="B6786" t="s">
        <v>6215</v>
      </c>
      <c r="C6786">
        <v>4883</v>
      </c>
      <c r="D6786" t="str">
        <f>"0935-9915"</f>
        <v>0935-9915</v>
      </c>
      <c r="E6786" t="s">
        <v>8</v>
      </c>
      <c r="F6786" t="s">
        <v>6789</v>
      </c>
      <c r="G6786">
        <v>1</v>
      </c>
    </row>
    <row r="6787" spans="1:7" x14ac:dyDescent="0.25">
      <c r="A6787">
        <v>25</v>
      </c>
      <c r="B6787" t="s">
        <v>6215</v>
      </c>
      <c r="C6787">
        <v>14858</v>
      </c>
      <c r="D6787" t="str">
        <f>"0143-6570"</f>
        <v>0143-6570</v>
      </c>
      <c r="E6787" t="s">
        <v>8</v>
      </c>
      <c r="F6787" t="s">
        <v>6790</v>
      </c>
      <c r="G6787">
        <v>1</v>
      </c>
    </row>
    <row r="6788" spans="1:7" x14ac:dyDescent="0.25">
      <c r="A6788">
        <v>25</v>
      </c>
      <c r="B6788" t="s">
        <v>6215</v>
      </c>
      <c r="C6788">
        <v>8441</v>
      </c>
      <c r="D6788" t="str">
        <f>"0268-6902"</f>
        <v>0268-6902</v>
      </c>
      <c r="E6788" t="s">
        <v>8</v>
      </c>
      <c r="F6788" t="s">
        <v>6791</v>
      </c>
      <c r="G6788">
        <v>1</v>
      </c>
    </row>
    <row r="6789" spans="1:7" x14ac:dyDescent="0.25">
      <c r="A6789">
        <v>25</v>
      </c>
      <c r="B6789" t="s">
        <v>6215</v>
      </c>
      <c r="C6789">
        <v>14336</v>
      </c>
      <c r="D6789" t="str">
        <f>"0307-4358"</f>
        <v>0307-4358</v>
      </c>
      <c r="E6789" t="s">
        <v>8</v>
      </c>
      <c r="F6789" t="s">
        <v>6792</v>
      </c>
      <c r="G6789">
        <v>1</v>
      </c>
    </row>
    <row r="6790" spans="1:7" x14ac:dyDescent="0.25">
      <c r="A6790">
        <v>25</v>
      </c>
      <c r="B6790" t="s">
        <v>6215</v>
      </c>
      <c r="C6790">
        <v>10954</v>
      </c>
      <c r="D6790" t="str">
        <f>"0960-4529"</f>
        <v>0960-4529</v>
      </c>
      <c r="E6790" t="s">
        <v>8</v>
      </c>
      <c r="F6790" t="s">
        <v>6793</v>
      </c>
      <c r="G6790">
        <v>1</v>
      </c>
    </row>
    <row r="6791" spans="1:7" x14ac:dyDescent="0.25">
      <c r="A6791">
        <v>25</v>
      </c>
      <c r="B6791" t="s">
        <v>6215</v>
      </c>
      <c r="C6791">
        <v>1819</v>
      </c>
      <c r="D6791" t="str">
        <f>"1479-2931"</f>
        <v>1479-2931</v>
      </c>
      <c r="E6791" t="s">
        <v>8</v>
      </c>
      <c r="F6791" t="s">
        <v>6794</v>
      </c>
      <c r="G6791">
        <v>1</v>
      </c>
    </row>
    <row r="6792" spans="1:7" x14ac:dyDescent="0.25">
      <c r="A6792">
        <v>25</v>
      </c>
      <c r="B6792" t="s">
        <v>6215</v>
      </c>
      <c r="C6792">
        <v>6743</v>
      </c>
      <c r="D6792" t="str">
        <f>"0263-4503"</f>
        <v>0263-4503</v>
      </c>
      <c r="E6792" t="s">
        <v>8</v>
      </c>
      <c r="F6792" t="s">
        <v>6795</v>
      </c>
      <c r="G6792">
        <v>1</v>
      </c>
    </row>
    <row r="6793" spans="1:7" x14ac:dyDescent="0.25">
      <c r="A6793">
        <v>25</v>
      </c>
      <c r="B6793" t="s">
        <v>6215</v>
      </c>
      <c r="C6793">
        <v>5058</v>
      </c>
      <c r="D6793" t="str">
        <f>"1040-8460"</f>
        <v>1040-8460</v>
      </c>
      <c r="E6793" t="s">
        <v>8</v>
      </c>
      <c r="F6793" t="s">
        <v>6796</v>
      </c>
      <c r="G6793">
        <v>1</v>
      </c>
    </row>
    <row r="6794" spans="1:7" x14ac:dyDescent="0.25">
      <c r="A6794">
        <v>25</v>
      </c>
      <c r="B6794" t="s">
        <v>6215</v>
      </c>
      <c r="C6794">
        <v>8783331</v>
      </c>
      <c r="E6794" t="s">
        <v>8</v>
      </c>
      <c r="F6794" t="s">
        <v>6797</v>
      </c>
      <c r="G6794">
        <v>1</v>
      </c>
    </row>
    <row r="6795" spans="1:7" x14ac:dyDescent="0.25">
      <c r="A6795">
        <v>25</v>
      </c>
      <c r="B6795" t="s">
        <v>6215</v>
      </c>
      <c r="C6795">
        <v>16648</v>
      </c>
      <c r="D6795" t="str">
        <f>"1368-3047"</f>
        <v>1368-3047</v>
      </c>
      <c r="E6795" t="s">
        <v>8</v>
      </c>
      <c r="F6795" t="s">
        <v>6798</v>
      </c>
      <c r="G6795">
        <v>1</v>
      </c>
    </row>
    <row r="6796" spans="1:7" x14ac:dyDescent="0.25">
      <c r="A6796">
        <v>25</v>
      </c>
      <c r="B6796" t="s">
        <v>6215</v>
      </c>
      <c r="C6796">
        <v>16489</v>
      </c>
      <c r="D6796" t="str">
        <f>"0275-5823"</f>
        <v>0275-5823</v>
      </c>
      <c r="E6796" t="s">
        <v>15</v>
      </c>
      <c r="F6796" t="s">
        <v>6799</v>
      </c>
      <c r="G6796">
        <v>1</v>
      </c>
    </row>
    <row r="6797" spans="1:7" x14ac:dyDescent="0.25">
      <c r="A6797">
        <v>25</v>
      </c>
      <c r="B6797" t="s">
        <v>6215</v>
      </c>
      <c r="C6797">
        <v>437</v>
      </c>
      <c r="D6797" t="str">
        <f>"1096-1879"</f>
        <v>1096-1879</v>
      </c>
      <c r="E6797" t="s">
        <v>8</v>
      </c>
      <c r="F6797" t="s">
        <v>6800</v>
      </c>
      <c r="G6797">
        <v>1</v>
      </c>
    </row>
    <row r="6798" spans="1:7" x14ac:dyDescent="0.25">
      <c r="A6798">
        <v>25</v>
      </c>
      <c r="B6798" t="s">
        <v>6215</v>
      </c>
      <c r="C6798">
        <v>9986</v>
      </c>
      <c r="D6798" t="str">
        <f>"0271-0579"</f>
        <v>0271-0579</v>
      </c>
      <c r="E6798" t="s">
        <v>8</v>
      </c>
      <c r="F6798" t="s">
        <v>6801</v>
      </c>
      <c r="G6798">
        <v>1</v>
      </c>
    </row>
    <row r="6799" spans="1:7" x14ac:dyDescent="0.25">
      <c r="A6799">
        <v>25</v>
      </c>
      <c r="B6799" t="s">
        <v>6215</v>
      </c>
      <c r="C6799">
        <v>13102</v>
      </c>
      <c r="D6799" t="str">
        <f>"1550-333X"</f>
        <v>1550-333X</v>
      </c>
      <c r="E6799" t="s">
        <v>8</v>
      </c>
      <c r="F6799" t="s">
        <v>6802</v>
      </c>
      <c r="G6799">
        <v>1</v>
      </c>
    </row>
    <row r="6800" spans="1:7" x14ac:dyDescent="0.25">
      <c r="A6800">
        <v>25</v>
      </c>
      <c r="B6800" t="s">
        <v>6215</v>
      </c>
      <c r="C6800">
        <v>23075</v>
      </c>
      <c r="D6800" t="str">
        <f>"1048-6682"</f>
        <v>1048-6682</v>
      </c>
      <c r="E6800" t="s">
        <v>8</v>
      </c>
      <c r="F6800" t="s">
        <v>6803</v>
      </c>
      <c r="G6800">
        <v>1</v>
      </c>
    </row>
    <row r="6801" spans="1:7" x14ac:dyDescent="0.25">
      <c r="A6801">
        <v>25</v>
      </c>
      <c r="B6801" t="s">
        <v>6215</v>
      </c>
      <c r="C6801">
        <v>56</v>
      </c>
      <c r="D6801" t="str">
        <f>"2342-9003"</f>
        <v>2342-9003</v>
      </c>
      <c r="E6801" t="s">
        <v>8</v>
      </c>
      <c r="F6801" t="s">
        <v>6804</v>
      </c>
      <c r="G6801">
        <v>1</v>
      </c>
    </row>
    <row r="6802" spans="1:7" x14ac:dyDescent="0.25">
      <c r="A6802">
        <v>25</v>
      </c>
      <c r="B6802" t="s">
        <v>6215</v>
      </c>
      <c r="C6802">
        <v>3990</v>
      </c>
      <c r="D6802" t="str">
        <f>"1459-5877"</f>
        <v>1459-5877</v>
      </c>
      <c r="E6802" t="s">
        <v>8</v>
      </c>
      <c r="F6802" t="s">
        <v>6805</v>
      </c>
      <c r="G6802">
        <v>1</v>
      </c>
    </row>
    <row r="6803" spans="1:7" x14ac:dyDescent="0.25">
      <c r="A6803">
        <v>25</v>
      </c>
      <c r="B6803" t="s">
        <v>6215</v>
      </c>
      <c r="C6803">
        <v>8367</v>
      </c>
      <c r="D6803" t="str">
        <f>"1501-8237"</f>
        <v>1501-8237</v>
      </c>
      <c r="E6803" t="s">
        <v>8</v>
      </c>
      <c r="F6803" t="s">
        <v>6806</v>
      </c>
      <c r="G6803">
        <v>1</v>
      </c>
    </row>
    <row r="6804" spans="1:7" x14ac:dyDescent="0.25">
      <c r="A6804">
        <v>25</v>
      </c>
      <c r="B6804" t="s">
        <v>6215</v>
      </c>
      <c r="C6804">
        <v>7743858</v>
      </c>
      <c r="D6804" t="str">
        <f>"2169-3404"</f>
        <v>2169-3404</v>
      </c>
      <c r="E6804" t="s">
        <v>8</v>
      </c>
      <c r="F6804" t="s">
        <v>6807</v>
      </c>
      <c r="G6804">
        <v>1</v>
      </c>
    </row>
    <row r="6805" spans="1:7" x14ac:dyDescent="0.25">
      <c r="A6805">
        <v>25</v>
      </c>
      <c r="B6805" t="s">
        <v>6215</v>
      </c>
      <c r="C6805">
        <v>8782689</v>
      </c>
      <c r="D6805" t="str">
        <f>"1979-3561"</f>
        <v>1979-3561</v>
      </c>
      <c r="E6805" t="s">
        <v>8</v>
      </c>
      <c r="F6805" t="s">
        <v>6808</v>
      </c>
      <c r="G6805">
        <v>1</v>
      </c>
    </row>
    <row r="6806" spans="1:7" x14ac:dyDescent="0.25">
      <c r="A6806">
        <v>25</v>
      </c>
      <c r="B6806" t="s">
        <v>6215</v>
      </c>
      <c r="C6806">
        <v>27420</v>
      </c>
      <c r="D6806" t="str">
        <f>"1936-9735"</f>
        <v>1936-9735</v>
      </c>
      <c r="E6806" t="s">
        <v>8</v>
      </c>
      <c r="F6806" t="s">
        <v>6809</v>
      </c>
      <c r="G6806">
        <v>1</v>
      </c>
    </row>
    <row r="6807" spans="1:7" x14ac:dyDescent="0.25">
      <c r="A6807">
        <v>25</v>
      </c>
      <c r="B6807" t="s">
        <v>6215</v>
      </c>
      <c r="C6807">
        <v>7561</v>
      </c>
      <c r="D6807" t="str">
        <f>"0171-6468"</f>
        <v>0171-6468</v>
      </c>
      <c r="E6807" t="s">
        <v>8</v>
      </c>
      <c r="F6807" t="s">
        <v>6810</v>
      </c>
      <c r="G6807">
        <v>1</v>
      </c>
    </row>
    <row r="6808" spans="1:7" x14ac:dyDescent="0.25">
      <c r="A6808">
        <v>25</v>
      </c>
      <c r="B6808" t="s">
        <v>6215</v>
      </c>
      <c r="C6808">
        <v>73342</v>
      </c>
      <c r="D6808" t="str">
        <f>"1318-5454"</f>
        <v>1318-5454</v>
      </c>
      <c r="E6808" t="s">
        <v>8</v>
      </c>
      <c r="F6808" t="s">
        <v>6811</v>
      </c>
      <c r="G6808">
        <v>1</v>
      </c>
    </row>
    <row r="6809" spans="1:7" x14ac:dyDescent="0.25">
      <c r="A6809">
        <v>25</v>
      </c>
      <c r="B6809" t="s">
        <v>6215</v>
      </c>
      <c r="C6809">
        <v>8172</v>
      </c>
      <c r="D6809" t="str">
        <f>"0090-2616"</f>
        <v>0090-2616</v>
      </c>
      <c r="E6809" t="s">
        <v>8</v>
      </c>
      <c r="F6809" t="s">
        <v>6812</v>
      </c>
      <c r="G6809">
        <v>1</v>
      </c>
    </row>
    <row r="6810" spans="1:7" x14ac:dyDescent="0.25">
      <c r="A6810">
        <v>25</v>
      </c>
      <c r="B6810" t="s">
        <v>6215</v>
      </c>
      <c r="C6810">
        <v>12621</v>
      </c>
      <c r="D6810" t="str">
        <f>"1444-5921"</f>
        <v>1444-5921</v>
      </c>
      <c r="E6810" t="s">
        <v>8</v>
      </c>
      <c r="F6810" t="s">
        <v>6813</v>
      </c>
      <c r="G6810">
        <v>1</v>
      </c>
    </row>
    <row r="6811" spans="1:7" x14ac:dyDescent="0.25">
      <c r="A6811">
        <v>25</v>
      </c>
      <c r="B6811" t="s">
        <v>6215</v>
      </c>
      <c r="C6811">
        <v>15794</v>
      </c>
      <c r="D6811" t="str">
        <f>"0927-538X"</f>
        <v>0927-538X</v>
      </c>
      <c r="E6811" t="s">
        <v>8</v>
      </c>
      <c r="F6811" t="s">
        <v>6814</v>
      </c>
      <c r="G6811">
        <v>1</v>
      </c>
    </row>
    <row r="6812" spans="1:7" x14ac:dyDescent="0.25">
      <c r="A6812">
        <v>25</v>
      </c>
      <c r="B6812" t="s">
        <v>6215</v>
      </c>
      <c r="C6812">
        <v>22848</v>
      </c>
      <c r="D6812" t="str">
        <f>"0898-5952"</f>
        <v>0898-5952</v>
      </c>
      <c r="E6812" t="s">
        <v>8</v>
      </c>
      <c r="F6812" t="s">
        <v>6815</v>
      </c>
      <c r="G6812">
        <v>1</v>
      </c>
    </row>
    <row r="6813" spans="1:7" x14ac:dyDescent="0.25">
      <c r="A6813">
        <v>25</v>
      </c>
      <c r="B6813" t="s">
        <v>6215</v>
      </c>
      <c r="C6813">
        <v>156004</v>
      </c>
      <c r="D6813" t="str">
        <f>"1740-3812"</f>
        <v>1740-3812</v>
      </c>
      <c r="E6813" t="s">
        <v>8</v>
      </c>
      <c r="F6813" t="s">
        <v>6816</v>
      </c>
      <c r="G6813">
        <v>1</v>
      </c>
    </row>
    <row r="6814" spans="1:7" x14ac:dyDescent="0.25">
      <c r="A6814">
        <v>25</v>
      </c>
      <c r="B6814" t="s">
        <v>6215</v>
      </c>
      <c r="C6814">
        <v>24775</v>
      </c>
      <c r="D6814" t="str">
        <f>"0263-7472"</f>
        <v>0263-7472</v>
      </c>
      <c r="E6814" t="s">
        <v>8</v>
      </c>
      <c r="F6814" t="s">
        <v>6817</v>
      </c>
      <c r="G6814">
        <v>1</v>
      </c>
    </row>
    <row r="6815" spans="1:7" x14ac:dyDescent="0.25">
      <c r="A6815">
        <v>25</v>
      </c>
      <c r="B6815" t="s">
        <v>6215</v>
      </c>
      <c r="C6815">
        <v>11264</v>
      </c>
      <c r="D6815" t="str">
        <f>"0091-0260"</f>
        <v>0091-0260</v>
      </c>
      <c r="E6815" t="s">
        <v>8</v>
      </c>
      <c r="F6815" t="s">
        <v>6818</v>
      </c>
      <c r="G6815">
        <v>1</v>
      </c>
    </row>
    <row r="6816" spans="1:7" x14ac:dyDescent="0.25">
      <c r="A6816">
        <v>25</v>
      </c>
      <c r="B6816" t="s">
        <v>6215</v>
      </c>
      <c r="C6816">
        <v>14339</v>
      </c>
      <c r="D6816" t="str">
        <f>"1522-8959"</f>
        <v>1522-8959</v>
      </c>
      <c r="E6816" t="s">
        <v>8</v>
      </c>
      <c r="F6816" t="s">
        <v>6819</v>
      </c>
      <c r="G6816">
        <v>1</v>
      </c>
    </row>
    <row r="6817" spans="1:7" x14ac:dyDescent="0.25">
      <c r="A6817">
        <v>25</v>
      </c>
      <c r="B6817" t="s">
        <v>6215</v>
      </c>
      <c r="C6817">
        <v>2797</v>
      </c>
      <c r="D6817" t="str">
        <f>"1087-724X"</f>
        <v>1087-724X</v>
      </c>
      <c r="E6817" t="s">
        <v>8</v>
      </c>
      <c r="F6817" t="s">
        <v>6820</v>
      </c>
      <c r="G6817">
        <v>1</v>
      </c>
    </row>
    <row r="6818" spans="1:7" x14ac:dyDescent="0.25">
      <c r="A6818">
        <v>25</v>
      </c>
      <c r="B6818" t="s">
        <v>6215</v>
      </c>
      <c r="C6818">
        <v>6028</v>
      </c>
      <c r="D6818" t="str">
        <f>"1352-2752"</f>
        <v>1352-2752</v>
      </c>
      <c r="E6818" t="s">
        <v>8</v>
      </c>
      <c r="F6818" t="s">
        <v>6821</v>
      </c>
      <c r="G6818">
        <v>1</v>
      </c>
    </row>
    <row r="6819" spans="1:7" x14ac:dyDescent="0.25">
      <c r="A6819">
        <v>25</v>
      </c>
      <c r="B6819" t="s">
        <v>6215</v>
      </c>
      <c r="C6819">
        <v>22202</v>
      </c>
      <c r="D6819" t="str">
        <f>"1176-6093"</f>
        <v>1176-6093</v>
      </c>
      <c r="E6819" t="s">
        <v>8</v>
      </c>
      <c r="F6819" t="s">
        <v>6822</v>
      </c>
      <c r="G6819">
        <v>1</v>
      </c>
    </row>
    <row r="6820" spans="1:7" x14ac:dyDescent="0.25">
      <c r="A6820">
        <v>25</v>
      </c>
      <c r="B6820" t="s">
        <v>6215</v>
      </c>
      <c r="C6820">
        <v>6253294</v>
      </c>
      <c r="D6820" t="str">
        <f>"1755-4179"</f>
        <v>1755-4179</v>
      </c>
      <c r="E6820" t="s">
        <v>8</v>
      </c>
      <c r="F6820" t="s">
        <v>6823</v>
      </c>
      <c r="G6820">
        <v>1</v>
      </c>
    </row>
    <row r="6821" spans="1:7" x14ac:dyDescent="0.25">
      <c r="A6821">
        <v>25</v>
      </c>
      <c r="B6821" t="s">
        <v>6215</v>
      </c>
      <c r="C6821">
        <v>16336</v>
      </c>
      <c r="D6821" t="str">
        <f>"1068-6967"</f>
        <v>1068-6967</v>
      </c>
      <c r="E6821" t="s">
        <v>8</v>
      </c>
      <c r="F6821" t="s">
        <v>6824</v>
      </c>
      <c r="G6821">
        <v>1</v>
      </c>
    </row>
    <row r="6822" spans="1:7" x14ac:dyDescent="0.25">
      <c r="A6822">
        <v>25</v>
      </c>
      <c r="B6822" t="s">
        <v>6215</v>
      </c>
      <c r="C6822">
        <v>4150</v>
      </c>
      <c r="D6822" t="str">
        <f>"0033-524X"</f>
        <v>0033-524X</v>
      </c>
      <c r="E6822" t="s">
        <v>8</v>
      </c>
      <c r="F6822" t="s">
        <v>6825</v>
      </c>
      <c r="G6822">
        <v>1</v>
      </c>
    </row>
    <row r="6823" spans="1:7" x14ac:dyDescent="0.25">
      <c r="A6823">
        <v>25</v>
      </c>
      <c r="B6823" t="s">
        <v>6215</v>
      </c>
      <c r="C6823">
        <v>12296</v>
      </c>
      <c r="D6823" t="str">
        <f>"1684-3703"</f>
        <v>1684-3703</v>
      </c>
      <c r="E6823" t="s">
        <v>8</v>
      </c>
      <c r="F6823" t="s">
        <v>6826</v>
      </c>
      <c r="G6823">
        <v>1</v>
      </c>
    </row>
    <row r="6824" spans="1:7" x14ac:dyDescent="0.25">
      <c r="A6824">
        <v>25</v>
      </c>
      <c r="B6824" t="s">
        <v>6215</v>
      </c>
      <c r="C6824">
        <v>10400</v>
      </c>
      <c r="D6824" t="str">
        <f>"1469-7688"</f>
        <v>1469-7688</v>
      </c>
      <c r="E6824" t="s">
        <v>8</v>
      </c>
      <c r="F6824" t="s">
        <v>6827</v>
      </c>
      <c r="G6824">
        <v>1</v>
      </c>
    </row>
    <row r="6825" spans="1:7" x14ac:dyDescent="0.25">
      <c r="A6825">
        <v>25</v>
      </c>
      <c r="B6825" t="s">
        <v>6215</v>
      </c>
      <c r="C6825">
        <v>3034</v>
      </c>
      <c r="D6825" t="str">
        <f>"0399-0559"</f>
        <v>0399-0559</v>
      </c>
      <c r="E6825" t="s">
        <v>8</v>
      </c>
      <c r="F6825" t="s">
        <v>6828</v>
      </c>
      <c r="G6825">
        <v>1</v>
      </c>
    </row>
    <row r="6826" spans="1:7" x14ac:dyDescent="0.25">
      <c r="A6826">
        <v>25</v>
      </c>
      <c r="B6826" t="s">
        <v>6215</v>
      </c>
      <c r="C6826">
        <v>48314</v>
      </c>
      <c r="D6826" t="str">
        <f>"0767-3701"</f>
        <v>0767-3701</v>
      </c>
      <c r="E6826" t="s">
        <v>8</v>
      </c>
      <c r="F6826" t="s">
        <v>6829</v>
      </c>
      <c r="G6826">
        <v>1</v>
      </c>
    </row>
    <row r="6827" spans="1:7" x14ac:dyDescent="0.25">
      <c r="A6827">
        <v>25</v>
      </c>
      <c r="B6827" t="s">
        <v>6215</v>
      </c>
      <c r="C6827">
        <v>25311</v>
      </c>
      <c r="D6827" t="str">
        <f>"0275-5319"</f>
        <v>0275-5319</v>
      </c>
      <c r="E6827" t="s">
        <v>8</v>
      </c>
      <c r="F6827" t="s">
        <v>6830</v>
      </c>
      <c r="G6827">
        <v>1</v>
      </c>
    </row>
    <row r="6828" spans="1:7" x14ac:dyDescent="0.25">
      <c r="A6828">
        <v>25</v>
      </c>
      <c r="B6828" t="s">
        <v>6215</v>
      </c>
      <c r="C6828">
        <v>1813</v>
      </c>
      <c r="D6828" t="str">
        <f>"0147-9121"</f>
        <v>0147-9121</v>
      </c>
      <c r="E6828" t="s">
        <v>15</v>
      </c>
      <c r="F6828" t="s">
        <v>6831</v>
      </c>
      <c r="G6828">
        <v>1</v>
      </c>
    </row>
    <row r="6829" spans="1:7" x14ac:dyDescent="0.25">
      <c r="A6829">
        <v>25</v>
      </c>
      <c r="B6829" t="s">
        <v>6215</v>
      </c>
      <c r="C6829">
        <v>7724225</v>
      </c>
      <c r="D6829" t="str">
        <f>"2210-5395"</f>
        <v>2210-5395</v>
      </c>
      <c r="E6829" t="s">
        <v>8</v>
      </c>
      <c r="F6829" t="s">
        <v>6832</v>
      </c>
      <c r="G6829">
        <v>1</v>
      </c>
    </row>
    <row r="6830" spans="1:7" x14ac:dyDescent="0.25">
      <c r="A6830">
        <v>25</v>
      </c>
      <c r="B6830" t="s">
        <v>6215</v>
      </c>
      <c r="C6830">
        <v>7723249</v>
      </c>
      <c r="D6830" t="str">
        <f>"2222-1697"</f>
        <v>2222-1697</v>
      </c>
      <c r="E6830" t="s">
        <v>8</v>
      </c>
      <c r="F6830" t="s">
        <v>6833</v>
      </c>
      <c r="G6830">
        <v>1</v>
      </c>
    </row>
    <row r="6831" spans="1:7" x14ac:dyDescent="0.25">
      <c r="A6831">
        <v>25</v>
      </c>
      <c r="B6831" t="s">
        <v>6215</v>
      </c>
      <c r="C6831">
        <v>85747</v>
      </c>
      <c r="D6831" t="str">
        <f>"1574-0765"</f>
        <v>1574-0765</v>
      </c>
      <c r="E6831" t="s">
        <v>15</v>
      </c>
      <c r="F6831" t="s">
        <v>6834</v>
      </c>
      <c r="G6831">
        <v>1</v>
      </c>
    </row>
    <row r="6832" spans="1:7" x14ac:dyDescent="0.25">
      <c r="A6832">
        <v>25</v>
      </c>
      <c r="B6832" t="s">
        <v>6215</v>
      </c>
      <c r="C6832">
        <v>6890</v>
      </c>
      <c r="D6832" t="str">
        <f>"0895-6308"</f>
        <v>0895-6308</v>
      </c>
      <c r="E6832" t="s">
        <v>8</v>
      </c>
      <c r="F6832" t="s">
        <v>6835</v>
      </c>
      <c r="G6832">
        <v>1</v>
      </c>
    </row>
    <row r="6833" spans="1:7" x14ac:dyDescent="0.25">
      <c r="A6833">
        <v>25</v>
      </c>
      <c r="B6833" t="s">
        <v>6215</v>
      </c>
      <c r="C6833">
        <v>24661</v>
      </c>
      <c r="D6833" t="str">
        <f>"1475-7702"</f>
        <v>1475-7702</v>
      </c>
      <c r="E6833" t="s">
        <v>8</v>
      </c>
      <c r="F6833" t="s">
        <v>6836</v>
      </c>
      <c r="G6833">
        <v>1</v>
      </c>
    </row>
    <row r="6834" spans="1:7" x14ac:dyDescent="0.25">
      <c r="A6834">
        <v>25</v>
      </c>
      <c r="B6834" t="s">
        <v>6215</v>
      </c>
      <c r="C6834">
        <v>6261616</v>
      </c>
      <c r="D6834" t="str">
        <f>"1940-5979"</f>
        <v>1940-5979</v>
      </c>
      <c r="E6834" t="s">
        <v>8</v>
      </c>
      <c r="F6834" t="s">
        <v>6837</v>
      </c>
      <c r="G6834">
        <v>1</v>
      </c>
    </row>
    <row r="6835" spans="1:7" x14ac:dyDescent="0.25">
      <c r="A6835">
        <v>25</v>
      </c>
      <c r="B6835" t="s">
        <v>6215</v>
      </c>
      <c r="C6835">
        <v>7721686</v>
      </c>
      <c r="D6835" t="str">
        <f>"2150-3338"</f>
        <v>2150-3338</v>
      </c>
      <c r="E6835" t="s">
        <v>8</v>
      </c>
      <c r="F6835" t="s">
        <v>6838</v>
      </c>
      <c r="G6835">
        <v>1</v>
      </c>
    </row>
    <row r="6836" spans="1:7" x14ac:dyDescent="0.25">
      <c r="A6836">
        <v>25</v>
      </c>
      <c r="B6836" t="s">
        <v>6215</v>
      </c>
      <c r="C6836">
        <v>14601</v>
      </c>
      <c r="D6836" t="str">
        <f>"1380-6645"</f>
        <v>1380-6645</v>
      </c>
      <c r="E6836" t="s">
        <v>8</v>
      </c>
      <c r="F6836" t="s">
        <v>6839</v>
      </c>
      <c r="G6836">
        <v>1</v>
      </c>
    </row>
    <row r="6837" spans="1:7" x14ac:dyDescent="0.25">
      <c r="A6837">
        <v>25</v>
      </c>
      <c r="B6837" t="s">
        <v>6215</v>
      </c>
      <c r="C6837">
        <v>9415</v>
      </c>
      <c r="D6837" t="str">
        <f>"1058-3300"</f>
        <v>1058-3300</v>
      </c>
      <c r="E6837" t="s">
        <v>8</v>
      </c>
      <c r="F6837" t="s">
        <v>6840</v>
      </c>
      <c r="G6837">
        <v>1</v>
      </c>
    </row>
    <row r="6838" spans="1:7" x14ac:dyDescent="0.25">
      <c r="A6838">
        <v>25</v>
      </c>
      <c r="B6838" t="s">
        <v>6215</v>
      </c>
      <c r="C6838">
        <v>5593</v>
      </c>
      <c r="D6838" t="str">
        <f>"0889-938X"</f>
        <v>0889-938X</v>
      </c>
      <c r="E6838" t="s">
        <v>8</v>
      </c>
      <c r="F6838" t="s">
        <v>6841</v>
      </c>
      <c r="G6838">
        <v>1</v>
      </c>
    </row>
    <row r="6839" spans="1:7" x14ac:dyDescent="0.25">
      <c r="A6839">
        <v>25</v>
      </c>
      <c r="B6839" t="s">
        <v>6215</v>
      </c>
      <c r="C6839">
        <v>23182</v>
      </c>
      <c r="D6839" t="str">
        <f>"1863-6683"</f>
        <v>1863-6683</v>
      </c>
      <c r="E6839" t="s">
        <v>8</v>
      </c>
      <c r="F6839" t="s">
        <v>6842</v>
      </c>
      <c r="G6839">
        <v>1</v>
      </c>
    </row>
    <row r="6840" spans="1:7" x14ac:dyDescent="0.25">
      <c r="A6840">
        <v>25</v>
      </c>
      <c r="B6840" t="s">
        <v>6215</v>
      </c>
      <c r="C6840">
        <v>18457</v>
      </c>
      <c r="D6840" t="str">
        <f>"1548-6435"</f>
        <v>1548-6435</v>
      </c>
      <c r="E6840" t="s">
        <v>15</v>
      </c>
      <c r="F6840" t="s">
        <v>6843</v>
      </c>
      <c r="G6840">
        <v>1</v>
      </c>
    </row>
    <row r="6841" spans="1:7" x14ac:dyDescent="0.25">
      <c r="A6841">
        <v>25</v>
      </c>
      <c r="B6841" t="s">
        <v>6215</v>
      </c>
      <c r="C6841">
        <v>27586</v>
      </c>
      <c r="D6841" t="str">
        <f>"1546-5616"</f>
        <v>1546-5616</v>
      </c>
      <c r="E6841" t="s">
        <v>8</v>
      </c>
      <c r="F6841" t="s">
        <v>6844</v>
      </c>
      <c r="G6841">
        <v>1</v>
      </c>
    </row>
    <row r="6842" spans="1:7" x14ac:dyDescent="0.25">
      <c r="A6842">
        <v>25</v>
      </c>
      <c r="B6842" t="s">
        <v>6215</v>
      </c>
      <c r="C6842">
        <v>8536</v>
      </c>
      <c r="D6842" t="str">
        <f>"1475-3685"</f>
        <v>1475-3685</v>
      </c>
      <c r="E6842" t="s">
        <v>8</v>
      </c>
      <c r="F6842" t="s">
        <v>6845</v>
      </c>
      <c r="G6842">
        <v>1</v>
      </c>
    </row>
    <row r="6843" spans="1:7" x14ac:dyDescent="0.25">
      <c r="A6843">
        <v>25</v>
      </c>
      <c r="B6843" t="s">
        <v>6215</v>
      </c>
      <c r="C6843">
        <v>383</v>
      </c>
      <c r="E6843" t="s">
        <v>8</v>
      </c>
      <c r="F6843" t="s">
        <v>6846</v>
      </c>
      <c r="G6843">
        <v>1</v>
      </c>
    </row>
    <row r="6844" spans="1:7" x14ac:dyDescent="0.25">
      <c r="A6844">
        <v>25</v>
      </c>
      <c r="B6844" t="s">
        <v>6215</v>
      </c>
      <c r="C6844">
        <v>4175</v>
      </c>
      <c r="D6844" t="str">
        <f>"0219-0915"</f>
        <v>0219-0915</v>
      </c>
      <c r="E6844" t="s">
        <v>8</v>
      </c>
      <c r="F6844" t="s">
        <v>6847</v>
      </c>
      <c r="G6844">
        <v>1</v>
      </c>
    </row>
    <row r="6845" spans="1:7" x14ac:dyDescent="0.25">
      <c r="A6845">
        <v>25</v>
      </c>
      <c r="B6845" t="s">
        <v>6215</v>
      </c>
      <c r="C6845">
        <v>10330</v>
      </c>
      <c r="D6845" t="str">
        <f>"0734-371X"</f>
        <v>0734-371X</v>
      </c>
      <c r="E6845" t="s">
        <v>8</v>
      </c>
      <c r="F6845" t="s">
        <v>6848</v>
      </c>
      <c r="G6845">
        <v>1</v>
      </c>
    </row>
    <row r="6846" spans="1:7" x14ac:dyDescent="0.25">
      <c r="A6846">
        <v>25</v>
      </c>
      <c r="B6846" t="s">
        <v>6215</v>
      </c>
      <c r="C6846">
        <v>13810</v>
      </c>
      <c r="D6846" t="str">
        <f>"0924-865X"</f>
        <v>0924-865X</v>
      </c>
      <c r="E6846" t="s">
        <v>8</v>
      </c>
      <c r="F6846" t="s">
        <v>6849</v>
      </c>
      <c r="G6846">
        <v>1</v>
      </c>
    </row>
    <row r="6847" spans="1:7" x14ac:dyDescent="0.25">
      <c r="A6847">
        <v>25</v>
      </c>
      <c r="B6847" t="s">
        <v>6215</v>
      </c>
      <c r="C6847">
        <v>96465</v>
      </c>
      <c r="D6847" t="str">
        <f>"1679-0731"</f>
        <v>1679-0731</v>
      </c>
      <c r="E6847" t="s">
        <v>8</v>
      </c>
      <c r="F6847" t="s">
        <v>6850</v>
      </c>
      <c r="G6847">
        <v>1</v>
      </c>
    </row>
    <row r="6848" spans="1:7" x14ac:dyDescent="0.25">
      <c r="A6848">
        <v>25</v>
      </c>
      <c r="B6848" t="s">
        <v>6215</v>
      </c>
      <c r="C6848">
        <v>11731</v>
      </c>
      <c r="D6848" t="str">
        <f>"1460-3799"</f>
        <v>1460-3799</v>
      </c>
      <c r="E6848" t="s">
        <v>8</v>
      </c>
      <c r="F6848" t="s">
        <v>6851</v>
      </c>
      <c r="G6848">
        <v>1</v>
      </c>
    </row>
    <row r="6849" spans="1:7" x14ac:dyDescent="0.25">
      <c r="A6849">
        <v>25</v>
      </c>
      <c r="B6849" t="s">
        <v>6215</v>
      </c>
      <c r="C6849">
        <v>8667</v>
      </c>
      <c r="D6849" t="str">
        <f>"1098-1616"</f>
        <v>1098-1616</v>
      </c>
      <c r="E6849" t="s">
        <v>8</v>
      </c>
      <c r="F6849" t="s">
        <v>6852</v>
      </c>
      <c r="G6849">
        <v>1</v>
      </c>
    </row>
    <row r="6850" spans="1:7" x14ac:dyDescent="0.25">
      <c r="A6850">
        <v>25</v>
      </c>
      <c r="B6850" t="s">
        <v>6215</v>
      </c>
      <c r="C6850">
        <v>5726</v>
      </c>
      <c r="E6850" t="s">
        <v>8</v>
      </c>
      <c r="F6850" t="s">
        <v>6853</v>
      </c>
      <c r="G6850">
        <v>1</v>
      </c>
    </row>
    <row r="6851" spans="1:7" x14ac:dyDescent="0.25">
      <c r="A6851">
        <v>25</v>
      </c>
      <c r="B6851" t="s">
        <v>6215</v>
      </c>
      <c r="C6851">
        <v>8758265</v>
      </c>
      <c r="E6851" t="s">
        <v>8</v>
      </c>
      <c r="F6851" t="s">
        <v>6854</v>
      </c>
      <c r="G6851">
        <v>1</v>
      </c>
    </row>
    <row r="6852" spans="1:7" x14ac:dyDescent="0.25">
      <c r="A6852">
        <v>25</v>
      </c>
      <c r="B6852" t="s">
        <v>6215</v>
      </c>
      <c r="C6852">
        <v>11049</v>
      </c>
      <c r="D6852" t="str">
        <f>"0341-2687"</f>
        <v>0341-2687</v>
      </c>
      <c r="E6852" t="s">
        <v>8</v>
      </c>
      <c r="F6852" t="s">
        <v>6855</v>
      </c>
      <c r="G6852">
        <v>1</v>
      </c>
    </row>
    <row r="6853" spans="1:7" x14ac:dyDescent="0.25">
      <c r="A6853">
        <v>25</v>
      </c>
      <c r="B6853" t="s">
        <v>6215</v>
      </c>
      <c r="C6853">
        <v>21305</v>
      </c>
      <c r="D6853" t="str">
        <f>"1862-8516"</f>
        <v>1862-8516</v>
      </c>
      <c r="E6853" t="s">
        <v>8</v>
      </c>
      <c r="F6853" t="s">
        <v>6856</v>
      </c>
      <c r="G6853">
        <v>1</v>
      </c>
    </row>
    <row r="6854" spans="1:7" x14ac:dyDescent="0.25">
      <c r="A6854">
        <v>25</v>
      </c>
      <c r="B6854" t="s">
        <v>6215</v>
      </c>
      <c r="C6854">
        <v>1092</v>
      </c>
      <c r="D6854" t="str">
        <f>"1533-2969"</f>
        <v>1533-2969</v>
      </c>
      <c r="E6854" t="s">
        <v>8</v>
      </c>
      <c r="F6854" t="s">
        <v>6857</v>
      </c>
      <c r="G6854">
        <v>1</v>
      </c>
    </row>
    <row r="6855" spans="1:7" x14ac:dyDescent="0.25">
      <c r="A6855">
        <v>25</v>
      </c>
      <c r="B6855" t="s">
        <v>6215</v>
      </c>
      <c r="C6855">
        <v>12930</v>
      </c>
      <c r="D6855" t="str">
        <f>"1321-5906"</f>
        <v>1321-5906</v>
      </c>
      <c r="E6855" t="s">
        <v>8</v>
      </c>
      <c r="F6855" t="s">
        <v>6858</v>
      </c>
      <c r="G6855">
        <v>1</v>
      </c>
    </row>
    <row r="6856" spans="1:7" x14ac:dyDescent="0.25">
      <c r="A6856">
        <v>25</v>
      </c>
      <c r="B6856" t="s">
        <v>6215</v>
      </c>
      <c r="C6856">
        <v>7649</v>
      </c>
      <c r="D6856" t="str">
        <f>"1750-8614"</f>
        <v>1750-8614</v>
      </c>
      <c r="E6856" t="s">
        <v>8</v>
      </c>
      <c r="F6856" t="s">
        <v>6859</v>
      </c>
      <c r="G6856">
        <v>1</v>
      </c>
    </row>
    <row r="6857" spans="1:7" x14ac:dyDescent="0.25">
      <c r="A6857">
        <v>25</v>
      </c>
      <c r="B6857" t="s">
        <v>6215</v>
      </c>
      <c r="C6857">
        <v>4394</v>
      </c>
      <c r="D6857" t="str">
        <f>"1524-5004"</f>
        <v>1524-5004</v>
      </c>
      <c r="E6857" t="s">
        <v>8</v>
      </c>
      <c r="F6857" t="s">
        <v>6860</v>
      </c>
      <c r="G6857">
        <v>1</v>
      </c>
    </row>
    <row r="6858" spans="1:7" x14ac:dyDescent="0.25">
      <c r="A6858">
        <v>25</v>
      </c>
      <c r="B6858" t="s">
        <v>6215</v>
      </c>
      <c r="C6858">
        <v>8758267</v>
      </c>
      <c r="D6858" t="str">
        <f>"1869-5450"</f>
        <v>1869-5450</v>
      </c>
      <c r="E6858" t="s">
        <v>8</v>
      </c>
      <c r="F6858" t="s">
        <v>6861</v>
      </c>
      <c r="G6858">
        <v>1</v>
      </c>
    </row>
    <row r="6859" spans="1:7" x14ac:dyDescent="0.25">
      <c r="A6859">
        <v>25</v>
      </c>
      <c r="B6859" t="s">
        <v>6215</v>
      </c>
      <c r="C6859">
        <v>18640</v>
      </c>
      <c r="D6859" t="str">
        <f>"1746-5680"</f>
        <v>1746-5680</v>
      </c>
      <c r="E6859" t="s">
        <v>8</v>
      </c>
      <c r="F6859" t="s">
        <v>6862</v>
      </c>
      <c r="G6859">
        <v>1</v>
      </c>
    </row>
    <row r="6860" spans="1:7" x14ac:dyDescent="0.25">
      <c r="A6860">
        <v>25</v>
      </c>
      <c r="B6860" t="s">
        <v>6215</v>
      </c>
      <c r="C6860">
        <v>6461</v>
      </c>
      <c r="D6860" t="str">
        <f>"0210-2412"</f>
        <v>0210-2412</v>
      </c>
      <c r="E6860" t="s">
        <v>8</v>
      </c>
      <c r="F6860" t="s">
        <v>6863</v>
      </c>
      <c r="G6860">
        <v>1</v>
      </c>
    </row>
    <row r="6861" spans="1:7" x14ac:dyDescent="0.25">
      <c r="A6861">
        <v>25</v>
      </c>
      <c r="B6861" t="s">
        <v>6215</v>
      </c>
      <c r="C6861">
        <v>3630</v>
      </c>
      <c r="D6861" t="str">
        <f>"1441-3523"</f>
        <v>1441-3523</v>
      </c>
      <c r="E6861" t="s">
        <v>8</v>
      </c>
      <c r="F6861" t="s">
        <v>6864</v>
      </c>
      <c r="G6861">
        <v>1</v>
      </c>
    </row>
    <row r="6862" spans="1:7" x14ac:dyDescent="0.25">
      <c r="A6862">
        <v>25</v>
      </c>
      <c r="B6862" t="s">
        <v>6215</v>
      </c>
      <c r="C6862">
        <v>7707548</v>
      </c>
      <c r="D6862" t="str">
        <f>"2042-678X"</f>
        <v>2042-678X</v>
      </c>
      <c r="E6862" t="s">
        <v>8</v>
      </c>
      <c r="F6862" t="s">
        <v>6865</v>
      </c>
      <c r="G6862">
        <v>1</v>
      </c>
    </row>
    <row r="6863" spans="1:7" x14ac:dyDescent="0.25">
      <c r="A6863">
        <v>25</v>
      </c>
      <c r="B6863" t="s">
        <v>6215</v>
      </c>
      <c r="C6863">
        <v>7687881</v>
      </c>
      <c r="D6863" t="str">
        <f>"1944-012X"</f>
        <v>1944-012X</v>
      </c>
      <c r="E6863" t="s">
        <v>8</v>
      </c>
      <c r="F6863" t="s">
        <v>6866</v>
      </c>
      <c r="G6863">
        <v>1</v>
      </c>
    </row>
    <row r="6864" spans="1:7" x14ac:dyDescent="0.25">
      <c r="A6864">
        <v>25</v>
      </c>
      <c r="B6864" t="s">
        <v>6215</v>
      </c>
      <c r="C6864">
        <v>27778</v>
      </c>
      <c r="D6864" t="str">
        <f>"1930-4560"</f>
        <v>1930-4560</v>
      </c>
      <c r="E6864" t="s">
        <v>8</v>
      </c>
      <c r="F6864" t="s">
        <v>6867</v>
      </c>
      <c r="G6864">
        <v>1</v>
      </c>
    </row>
    <row r="6865" spans="1:7" x14ac:dyDescent="0.25">
      <c r="A6865">
        <v>25</v>
      </c>
      <c r="B6865" t="s">
        <v>6215</v>
      </c>
      <c r="C6865">
        <v>26578</v>
      </c>
      <c r="D6865" t="str">
        <f>"1087-8572"</f>
        <v>1087-8572</v>
      </c>
      <c r="E6865" t="s">
        <v>8</v>
      </c>
      <c r="F6865" t="s">
        <v>6868</v>
      </c>
      <c r="G6865">
        <v>1</v>
      </c>
    </row>
    <row r="6866" spans="1:7" x14ac:dyDescent="0.25">
      <c r="A6866">
        <v>25</v>
      </c>
      <c r="B6866" t="s">
        <v>6215</v>
      </c>
      <c r="C6866">
        <v>8766904</v>
      </c>
      <c r="D6866" t="str">
        <f>"2333-2050"</f>
        <v>2333-2050</v>
      </c>
      <c r="E6866" t="s">
        <v>8</v>
      </c>
      <c r="F6866" t="s">
        <v>6869</v>
      </c>
      <c r="G6866">
        <v>1</v>
      </c>
    </row>
    <row r="6867" spans="1:7" x14ac:dyDescent="0.25">
      <c r="A6867">
        <v>25</v>
      </c>
      <c r="B6867" t="s">
        <v>6215</v>
      </c>
      <c r="C6867">
        <v>123801</v>
      </c>
      <c r="D6867" t="str">
        <f>"0586-5050"</f>
        <v>0586-5050</v>
      </c>
      <c r="E6867" t="s">
        <v>15</v>
      </c>
      <c r="F6867" t="s">
        <v>6870</v>
      </c>
      <c r="G6867">
        <v>1</v>
      </c>
    </row>
    <row r="6868" spans="1:7" x14ac:dyDescent="0.25">
      <c r="A6868">
        <v>25</v>
      </c>
      <c r="B6868" t="s">
        <v>6215</v>
      </c>
      <c r="C6868">
        <v>180073</v>
      </c>
      <c r="D6868" t="str">
        <f>"1479-3512"</f>
        <v>1479-3512</v>
      </c>
      <c r="E6868" t="s">
        <v>15</v>
      </c>
      <c r="F6868" t="s">
        <v>6871</v>
      </c>
      <c r="G6868">
        <v>1</v>
      </c>
    </row>
    <row r="6869" spans="1:7" x14ac:dyDescent="0.25">
      <c r="A6869">
        <v>25</v>
      </c>
      <c r="B6869" t="s">
        <v>6215</v>
      </c>
      <c r="C6869">
        <v>12210</v>
      </c>
      <c r="D6869" t="str">
        <f>"0883-7066"</f>
        <v>0883-7066</v>
      </c>
      <c r="E6869" t="s">
        <v>8</v>
      </c>
      <c r="F6869" t="s">
        <v>6872</v>
      </c>
      <c r="G6869">
        <v>1</v>
      </c>
    </row>
    <row r="6870" spans="1:7" x14ac:dyDescent="0.25">
      <c r="A6870">
        <v>25</v>
      </c>
      <c r="B6870" t="s">
        <v>6215</v>
      </c>
      <c r="C6870">
        <v>6157</v>
      </c>
      <c r="D6870" t="str">
        <f>"1094-429X"</f>
        <v>1094-429X</v>
      </c>
      <c r="E6870" t="s">
        <v>8</v>
      </c>
      <c r="F6870" t="s">
        <v>6873</v>
      </c>
      <c r="G6870">
        <v>1</v>
      </c>
    </row>
    <row r="6871" spans="1:7" x14ac:dyDescent="0.25">
      <c r="A6871">
        <v>25</v>
      </c>
      <c r="B6871" t="s">
        <v>6215</v>
      </c>
      <c r="C6871">
        <v>12005</v>
      </c>
      <c r="D6871" t="str">
        <f>"1092-7026"</f>
        <v>1092-7026</v>
      </c>
      <c r="E6871" t="s">
        <v>8</v>
      </c>
      <c r="F6871" t="s">
        <v>6874</v>
      </c>
      <c r="G6871">
        <v>1</v>
      </c>
    </row>
    <row r="6872" spans="1:7" x14ac:dyDescent="0.25">
      <c r="A6872">
        <v>25</v>
      </c>
      <c r="B6872" t="s">
        <v>6215</v>
      </c>
      <c r="C6872">
        <v>6243</v>
      </c>
      <c r="D6872" t="str">
        <f>"1535-7740"</f>
        <v>1535-7740</v>
      </c>
      <c r="E6872" t="s">
        <v>8</v>
      </c>
      <c r="F6872" t="s">
        <v>6875</v>
      </c>
      <c r="G6872">
        <v>1</v>
      </c>
    </row>
    <row r="6873" spans="1:7" x14ac:dyDescent="0.25">
      <c r="A6873">
        <v>25</v>
      </c>
      <c r="B6873" t="s">
        <v>6215</v>
      </c>
      <c r="C6873">
        <v>25602</v>
      </c>
      <c r="D6873" t="str">
        <f>"1352-7592"</f>
        <v>1352-7592</v>
      </c>
      <c r="E6873" t="s">
        <v>8</v>
      </c>
      <c r="F6873" t="s">
        <v>6876</v>
      </c>
      <c r="G6873">
        <v>1</v>
      </c>
    </row>
    <row r="6874" spans="1:7" x14ac:dyDescent="0.25">
      <c r="A6874">
        <v>25</v>
      </c>
      <c r="B6874" t="s">
        <v>6215</v>
      </c>
      <c r="C6874">
        <v>12161</v>
      </c>
      <c r="D6874" t="str">
        <f>"0890-8389"</f>
        <v>0890-8389</v>
      </c>
      <c r="E6874" t="s">
        <v>8</v>
      </c>
      <c r="F6874" t="s">
        <v>6877</v>
      </c>
      <c r="G6874">
        <v>1</v>
      </c>
    </row>
    <row r="6875" spans="1:7" x14ac:dyDescent="0.25">
      <c r="A6875">
        <v>25</v>
      </c>
      <c r="B6875" t="s">
        <v>6215</v>
      </c>
      <c r="C6875">
        <v>7718849</v>
      </c>
      <c r="D6875" t="str">
        <f>"2161-1823"</f>
        <v>2161-1823</v>
      </c>
      <c r="E6875" t="s">
        <v>8</v>
      </c>
      <c r="F6875" t="s">
        <v>6878</v>
      </c>
      <c r="G6875">
        <v>1</v>
      </c>
    </row>
    <row r="6876" spans="1:7" x14ac:dyDescent="0.25">
      <c r="A6876">
        <v>25</v>
      </c>
      <c r="B6876" t="s">
        <v>6215</v>
      </c>
      <c r="C6876">
        <v>14739</v>
      </c>
      <c r="D6876" t="str">
        <f>"0013-791X"</f>
        <v>0013-791X</v>
      </c>
      <c r="E6876" t="s">
        <v>8</v>
      </c>
      <c r="F6876" t="s">
        <v>6879</v>
      </c>
      <c r="G6876">
        <v>1</v>
      </c>
    </row>
    <row r="6877" spans="1:7" x14ac:dyDescent="0.25">
      <c r="A6877">
        <v>25</v>
      </c>
      <c r="B6877" t="s">
        <v>6215</v>
      </c>
      <c r="C6877">
        <v>16897</v>
      </c>
      <c r="D6877" t="str">
        <f>"1351-847X"</f>
        <v>1351-847X</v>
      </c>
      <c r="E6877" t="s">
        <v>8</v>
      </c>
      <c r="F6877" t="s">
        <v>6880</v>
      </c>
      <c r="G6877">
        <v>1</v>
      </c>
    </row>
    <row r="6878" spans="1:7" x14ac:dyDescent="0.25">
      <c r="A6878">
        <v>25</v>
      </c>
      <c r="B6878" t="s">
        <v>6215</v>
      </c>
      <c r="C6878">
        <v>495</v>
      </c>
      <c r="D6878" t="str">
        <f>"0732-8516"</f>
        <v>0732-8516</v>
      </c>
      <c r="E6878" t="s">
        <v>8</v>
      </c>
      <c r="F6878" t="s">
        <v>6881</v>
      </c>
      <c r="G6878">
        <v>1</v>
      </c>
    </row>
    <row r="6879" spans="1:7" x14ac:dyDescent="0.25">
      <c r="A6879">
        <v>25</v>
      </c>
      <c r="B6879" t="s">
        <v>6215</v>
      </c>
      <c r="C6879">
        <v>1178</v>
      </c>
      <c r="D6879" t="str">
        <f>"2059-1403"</f>
        <v>2059-1403</v>
      </c>
      <c r="E6879" t="s">
        <v>8</v>
      </c>
      <c r="F6879" t="s">
        <v>6882</v>
      </c>
      <c r="G6879">
        <v>1</v>
      </c>
    </row>
    <row r="6880" spans="1:7" x14ac:dyDescent="0.25">
      <c r="A6880">
        <v>25</v>
      </c>
      <c r="B6880" t="s">
        <v>6215</v>
      </c>
      <c r="C6880">
        <v>9849</v>
      </c>
      <c r="D6880" t="str">
        <f>"1715-3816"</f>
        <v>1715-3816</v>
      </c>
      <c r="E6880" t="s">
        <v>8</v>
      </c>
      <c r="F6880" t="s">
        <v>6883</v>
      </c>
      <c r="G6880">
        <v>1</v>
      </c>
    </row>
    <row r="6881" spans="1:7" x14ac:dyDescent="0.25">
      <c r="A6881">
        <v>25</v>
      </c>
      <c r="B6881" t="s">
        <v>6215</v>
      </c>
      <c r="C6881">
        <v>3380</v>
      </c>
      <c r="D6881" t="str">
        <f>"1554-7191"</f>
        <v>1554-7191</v>
      </c>
      <c r="E6881" t="s">
        <v>8</v>
      </c>
      <c r="F6881" t="s">
        <v>6884</v>
      </c>
      <c r="G6881">
        <v>1</v>
      </c>
    </row>
    <row r="6882" spans="1:7" x14ac:dyDescent="0.25">
      <c r="A6882">
        <v>25</v>
      </c>
      <c r="B6882" t="s">
        <v>6215</v>
      </c>
      <c r="C6882">
        <v>15741</v>
      </c>
      <c r="D6882" t="str">
        <f>"1094-4060"</f>
        <v>1094-4060</v>
      </c>
      <c r="E6882" t="s">
        <v>8</v>
      </c>
      <c r="F6882" t="s">
        <v>6885</v>
      </c>
      <c r="G6882">
        <v>1</v>
      </c>
    </row>
    <row r="6883" spans="1:7" x14ac:dyDescent="0.25">
      <c r="A6883">
        <v>25</v>
      </c>
      <c r="B6883" t="s">
        <v>6215</v>
      </c>
      <c r="C6883">
        <v>3035</v>
      </c>
      <c r="D6883" t="str">
        <f>"0959-3969"</f>
        <v>0959-3969</v>
      </c>
      <c r="E6883" t="s">
        <v>8</v>
      </c>
      <c r="F6883" t="s">
        <v>6886</v>
      </c>
      <c r="G6883">
        <v>1</v>
      </c>
    </row>
    <row r="6884" spans="1:7" x14ac:dyDescent="0.25">
      <c r="A6884">
        <v>25</v>
      </c>
      <c r="B6884" t="s">
        <v>6215</v>
      </c>
      <c r="C6884">
        <v>5895</v>
      </c>
      <c r="D6884" t="str">
        <f>"0885-3908"</f>
        <v>0885-3908</v>
      </c>
      <c r="E6884" t="s">
        <v>8</v>
      </c>
      <c r="F6884" t="s">
        <v>6887</v>
      </c>
      <c r="G6884">
        <v>1</v>
      </c>
    </row>
    <row r="6885" spans="1:7" x14ac:dyDescent="0.25">
      <c r="A6885">
        <v>25</v>
      </c>
      <c r="B6885" t="s">
        <v>6215</v>
      </c>
      <c r="C6885">
        <v>16405</v>
      </c>
      <c r="D6885" t="str">
        <f>"1350-231X"</f>
        <v>1350-231X</v>
      </c>
      <c r="E6885" t="s">
        <v>8</v>
      </c>
      <c r="F6885" t="s">
        <v>6888</v>
      </c>
      <c r="G6885">
        <v>1</v>
      </c>
    </row>
    <row r="6886" spans="1:7" x14ac:dyDescent="0.25">
      <c r="A6886">
        <v>25</v>
      </c>
      <c r="B6886" t="s">
        <v>6215</v>
      </c>
      <c r="C6886">
        <v>5076</v>
      </c>
      <c r="D6886" t="str">
        <f>"1469-7017"</f>
        <v>1469-7017</v>
      </c>
      <c r="E6886" t="s">
        <v>8</v>
      </c>
      <c r="F6886" t="s">
        <v>6889</v>
      </c>
      <c r="G6886">
        <v>1</v>
      </c>
    </row>
    <row r="6887" spans="1:7" x14ac:dyDescent="0.25">
      <c r="A6887">
        <v>25</v>
      </c>
      <c r="B6887" t="s">
        <v>6215</v>
      </c>
      <c r="C6887">
        <v>27360</v>
      </c>
      <c r="D6887" t="str">
        <f>"1744-6619"</f>
        <v>1744-6619</v>
      </c>
      <c r="E6887" t="s">
        <v>8</v>
      </c>
      <c r="F6887" t="s">
        <v>6890</v>
      </c>
      <c r="G6887">
        <v>1</v>
      </c>
    </row>
    <row r="6888" spans="1:7" x14ac:dyDescent="0.25">
      <c r="A6888">
        <v>25</v>
      </c>
      <c r="B6888" t="s">
        <v>6215</v>
      </c>
      <c r="C6888">
        <v>2724</v>
      </c>
      <c r="D6888" t="str">
        <f>"1074-1240"</f>
        <v>1074-1240</v>
      </c>
      <c r="E6888" t="s">
        <v>8</v>
      </c>
      <c r="F6888" t="s">
        <v>6891</v>
      </c>
      <c r="G6888">
        <v>1</v>
      </c>
    </row>
    <row r="6889" spans="1:7" x14ac:dyDescent="0.25">
      <c r="A6889">
        <v>25</v>
      </c>
      <c r="B6889" t="s">
        <v>6215</v>
      </c>
      <c r="C6889">
        <v>6572</v>
      </c>
      <c r="D6889" t="str">
        <f>"0971-3557"</f>
        <v>0971-3557</v>
      </c>
      <c r="E6889" t="s">
        <v>8</v>
      </c>
      <c r="F6889" t="s">
        <v>6892</v>
      </c>
      <c r="G6889">
        <v>1</v>
      </c>
    </row>
    <row r="6890" spans="1:7" x14ac:dyDescent="0.25">
      <c r="A6890">
        <v>25</v>
      </c>
      <c r="B6890" t="s">
        <v>6215</v>
      </c>
      <c r="C6890">
        <v>10091</v>
      </c>
      <c r="D6890" t="str">
        <f>"0270-7314"</f>
        <v>0270-7314</v>
      </c>
      <c r="E6890" t="s">
        <v>8</v>
      </c>
      <c r="F6890" t="s">
        <v>6893</v>
      </c>
      <c r="G6890">
        <v>1</v>
      </c>
    </row>
    <row r="6891" spans="1:7" x14ac:dyDescent="0.25">
      <c r="A6891">
        <v>25</v>
      </c>
      <c r="B6891" t="s">
        <v>6215</v>
      </c>
      <c r="C6891">
        <v>11173</v>
      </c>
      <c r="D6891" t="str">
        <f>"1047-8310"</f>
        <v>1047-8310</v>
      </c>
      <c r="E6891" t="s">
        <v>8</v>
      </c>
      <c r="F6891" t="s">
        <v>6894</v>
      </c>
      <c r="G6891">
        <v>1</v>
      </c>
    </row>
    <row r="6892" spans="1:7" x14ac:dyDescent="0.25">
      <c r="A6892">
        <v>25</v>
      </c>
      <c r="B6892" t="s">
        <v>6215</v>
      </c>
      <c r="C6892">
        <v>2155</v>
      </c>
      <c r="D6892" t="str">
        <f>"1744-6740"</f>
        <v>1744-6740</v>
      </c>
      <c r="E6892" t="s">
        <v>8</v>
      </c>
      <c r="F6892" t="s">
        <v>6895</v>
      </c>
      <c r="G6892">
        <v>1</v>
      </c>
    </row>
    <row r="6893" spans="1:7" x14ac:dyDescent="0.25">
      <c r="A6893">
        <v>25</v>
      </c>
      <c r="B6893" t="s">
        <v>6215</v>
      </c>
      <c r="C6893">
        <v>10125</v>
      </c>
      <c r="D6893" t="str">
        <f>"0095-4918"</f>
        <v>0095-4918</v>
      </c>
      <c r="E6893" t="s">
        <v>8</v>
      </c>
      <c r="F6893" t="s">
        <v>6896</v>
      </c>
      <c r="G6893">
        <v>1</v>
      </c>
    </row>
    <row r="6894" spans="1:7" x14ac:dyDescent="0.25">
      <c r="A6894">
        <v>25</v>
      </c>
      <c r="B6894" t="s">
        <v>6215</v>
      </c>
      <c r="C6894">
        <v>14018</v>
      </c>
      <c r="D6894" t="str">
        <f>"1096-5572"</f>
        <v>1096-5572</v>
      </c>
      <c r="E6894" t="s">
        <v>8</v>
      </c>
      <c r="F6894" t="s">
        <v>6897</v>
      </c>
      <c r="G6894">
        <v>1</v>
      </c>
    </row>
    <row r="6895" spans="1:7" x14ac:dyDescent="0.25">
      <c r="A6895">
        <v>25</v>
      </c>
      <c r="B6895" t="s">
        <v>6215</v>
      </c>
      <c r="C6895">
        <v>24277</v>
      </c>
      <c r="D6895" t="str">
        <f>"1083-5547"</f>
        <v>1083-5547</v>
      </c>
      <c r="E6895" t="s">
        <v>8</v>
      </c>
      <c r="F6895" t="s">
        <v>6898</v>
      </c>
      <c r="G6895">
        <v>1</v>
      </c>
    </row>
    <row r="6896" spans="1:7" x14ac:dyDescent="0.25">
      <c r="A6896">
        <v>25</v>
      </c>
      <c r="B6896" t="s">
        <v>6215</v>
      </c>
      <c r="C6896">
        <v>4754</v>
      </c>
      <c r="D6896" t="str">
        <f>"1526-5943"</f>
        <v>1526-5943</v>
      </c>
      <c r="E6896" t="s">
        <v>8</v>
      </c>
      <c r="F6896" t="s">
        <v>6899</v>
      </c>
      <c r="G6896">
        <v>1</v>
      </c>
    </row>
    <row r="6897" spans="1:7" x14ac:dyDescent="0.25">
      <c r="A6897">
        <v>25</v>
      </c>
      <c r="B6897" t="s">
        <v>6215</v>
      </c>
      <c r="C6897">
        <v>16326</v>
      </c>
      <c r="D6897" t="str">
        <f>"1534-7524"</f>
        <v>1534-7524</v>
      </c>
      <c r="E6897" t="s">
        <v>8</v>
      </c>
      <c r="F6897" t="s">
        <v>6900</v>
      </c>
      <c r="G6897">
        <v>1</v>
      </c>
    </row>
    <row r="6898" spans="1:7" x14ac:dyDescent="0.25">
      <c r="A6898">
        <v>25</v>
      </c>
      <c r="B6898" t="s">
        <v>6215</v>
      </c>
      <c r="C6898">
        <v>8001</v>
      </c>
      <c r="D6898" t="str">
        <f>"1062-9408"</f>
        <v>1062-9408</v>
      </c>
      <c r="E6898" t="s">
        <v>8</v>
      </c>
      <c r="F6898" t="s">
        <v>6901</v>
      </c>
      <c r="G6898">
        <v>1</v>
      </c>
    </row>
    <row r="6899" spans="1:7" x14ac:dyDescent="0.25">
      <c r="A6899">
        <v>25</v>
      </c>
      <c r="B6899" t="s">
        <v>6215</v>
      </c>
      <c r="C6899">
        <v>7287</v>
      </c>
      <c r="D6899" t="str">
        <f>"1062-9769"</f>
        <v>1062-9769</v>
      </c>
      <c r="E6899" t="s">
        <v>8</v>
      </c>
      <c r="F6899" t="s">
        <v>6902</v>
      </c>
      <c r="G6899">
        <v>1</v>
      </c>
    </row>
    <row r="6900" spans="1:7" x14ac:dyDescent="0.25">
      <c r="A6900">
        <v>25</v>
      </c>
      <c r="B6900" t="s">
        <v>6215</v>
      </c>
      <c r="C6900">
        <v>8350</v>
      </c>
      <c r="D6900" t="str">
        <f>"0264-2069"</f>
        <v>0264-2069</v>
      </c>
      <c r="E6900" t="s">
        <v>8</v>
      </c>
      <c r="F6900" t="s">
        <v>6903</v>
      </c>
      <c r="G6900">
        <v>1</v>
      </c>
    </row>
    <row r="6901" spans="1:7" x14ac:dyDescent="0.25">
      <c r="A6901">
        <v>25</v>
      </c>
      <c r="B6901" t="s">
        <v>6215</v>
      </c>
      <c r="C6901">
        <v>20709</v>
      </c>
      <c r="D6901" t="str">
        <f>"1754-2731"</f>
        <v>1754-2731</v>
      </c>
      <c r="E6901" t="s">
        <v>8</v>
      </c>
      <c r="F6901" t="s">
        <v>6904</v>
      </c>
      <c r="G6901">
        <v>1</v>
      </c>
    </row>
    <row r="6902" spans="1:7" x14ac:dyDescent="0.25">
      <c r="A6902">
        <v>25</v>
      </c>
      <c r="B6902" t="s">
        <v>6215</v>
      </c>
      <c r="C6902">
        <v>24956</v>
      </c>
      <c r="D6902" t="str">
        <f>"1096-4762"</f>
        <v>1096-4762</v>
      </c>
      <c r="E6902" t="s">
        <v>8</v>
      </c>
      <c r="F6902" t="s">
        <v>6905</v>
      </c>
      <c r="G6902">
        <v>1</v>
      </c>
    </row>
    <row r="6903" spans="1:7" x14ac:dyDescent="0.25">
      <c r="A6903">
        <v>25</v>
      </c>
      <c r="B6903" t="s">
        <v>6215</v>
      </c>
      <c r="C6903">
        <v>6487</v>
      </c>
      <c r="D6903" t="str">
        <f>"1359-5474"</f>
        <v>1359-5474</v>
      </c>
      <c r="E6903" t="s">
        <v>8</v>
      </c>
      <c r="F6903" t="s">
        <v>6906</v>
      </c>
      <c r="G6903">
        <v>1</v>
      </c>
    </row>
    <row r="6904" spans="1:7" x14ac:dyDescent="0.25">
      <c r="A6904">
        <v>25</v>
      </c>
      <c r="B6904" t="s">
        <v>6215</v>
      </c>
      <c r="C6904">
        <v>8213</v>
      </c>
      <c r="D6904" t="str">
        <f>"1478-3363"</f>
        <v>1478-3363</v>
      </c>
      <c r="E6904" t="s">
        <v>8</v>
      </c>
      <c r="F6904" t="s">
        <v>6907</v>
      </c>
      <c r="G6904">
        <v>1</v>
      </c>
    </row>
    <row r="6905" spans="1:7" x14ac:dyDescent="0.25">
      <c r="A6905">
        <v>25</v>
      </c>
      <c r="B6905" t="s">
        <v>6215</v>
      </c>
      <c r="C6905">
        <v>15323</v>
      </c>
      <c r="D6905" t="str">
        <f>"1354-8166"</f>
        <v>1354-8166</v>
      </c>
      <c r="E6905" t="s">
        <v>8</v>
      </c>
      <c r="F6905" t="s">
        <v>6908</v>
      </c>
      <c r="G6905">
        <v>1</v>
      </c>
    </row>
    <row r="6906" spans="1:7" x14ac:dyDescent="0.25">
      <c r="A6906">
        <v>25</v>
      </c>
      <c r="B6906" t="s">
        <v>6215</v>
      </c>
      <c r="C6906">
        <v>7738727</v>
      </c>
      <c r="D6906" t="str">
        <f>"2211-9736"</f>
        <v>2211-9736</v>
      </c>
      <c r="E6906" t="s">
        <v>8</v>
      </c>
      <c r="F6906" t="s">
        <v>6909</v>
      </c>
      <c r="G6906">
        <v>1</v>
      </c>
    </row>
    <row r="6907" spans="1:7" x14ac:dyDescent="0.25">
      <c r="A6907">
        <v>25</v>
      </c>
      <c r="B6907" t="s">
        <v>6215</v>
      </c>
      <c r="C6907">
        <v>6966</v>
      </c>
      <c r="D6907" t="str">
        <f>"0250-8281"</f>
        <v>0250-8281</v>
      </c>
      <c r="E6907" t="s">
        <v>8</v>
      </c>
      <c r="F6907" t="s">
        <v>6910</v>
      </c>
      <c r="G6907">
        <v>1</v>
      </c>
    </row>
    <row r="6908" spans="1:7" x14ac:dyDescent="0.25">
      <c r="A6908">
        <v>25</v>
      </c>
      <c r="B6908" t="s">
        <v>6215</v>
      </c>
      <c r="C6908">
        <v>26307</v>
      </c>
      <c r="D6908" t="str">
        <f>"1660-5373"</f>
        <v>1660-5373</v>
      </c>
      <c r="E6908" t="s">
        <v>8</v>
      </c>
      <c r="F6908" t="s">
        <v>6911</v>
      </c>
      <c r="G6908">
        <v>1</v>
      </c>
    </row>
    <row r="6909" spans="1:7" x14ac:dyDescent="0.25">
      <c r="A6909">
        <v>25</v>
      </c>
      <c r="B6909" t="s">
        <v>6215</v>
      </c>
      <c r="C6909">
        <v>21429</v>
      </c>
      <c r="D6909" t="str">
        <f>"1544-2721"</f>
        <v>1544-2721</v>
      </c>
      <c r="E6909" t="s">
        <v>8</v>
      </c>
      <c r="F6909" t="s">
        <v>6912</v>
      </c>
      <c r="G6909">
        <v>1</v>
      </c>
    </row>
    <row r="6910" spans="1:7" x14ac:dyDescent="0.25">
      <c r="A6910">
        <v>25</v>
      </c>
      <c r="B6910" t="s">
        <v>6215</v>
      </c>
      <c r="C6910">
        <v>23885</v>
      </c>
      <c r="D6910" t="str">
        <f>"1014-9562"</f>
        <v>1014-9562</v>
      </c>
      <c r="E6910" t="s">
        <v>8</v>
      </c>
      <c r="F6910" t="s">
        <v>6913</v>
      </c>
      <c r="G6910">
        <v>1</v>
      </c>
    </row>
    <row r="6911" spans="1:7" x14ac:dyDescent="0.25">
      <c r="A6911">
        <v>25</v>
      </c>
      <c r="B6911" t="s">
        <v>6215</v>
      </c>
      <c r="C6911">
        <v>8758266</v>
      </c>
      <c r="E6911" t="s">
        <v>8</v>
      </c>
      <c r="F6911" t="s">
        <v>6914</v>
      </c>
      <c r="G6911">
        <v>1</v>
      </c>
    </row>
    <row r="6912" spans="1:7" x14ac:dyDescent="0.25">
      <c r="A6912">
        <v>25</v>
      </c>
      <c r="B6912" t="s">
        <v>6215</v>
      </c>
      <c r="C6912">
        <v>7715358</v>
      </c>
      <c r="D6912" t="str">
        <f>"0353-4790"</f>
        <v>0353-4790</v>
      </c>
      <c r="E6912" t="s">
        <v>8</v>
      </c>
      <c r="F6912" t="s">
        <v>6915</v>
      </c>
      <c r="G6912">
        <v>1</v>
      </c>
    </row>
    <row r="6913" spans="1:7" x14ac:dyDescent="0.25">
      <c r="A6913">
        <v>25</v>
      </c>
      <c r="B6913" t="s">
        <v>6215</v>
      </c>
      <c r="C6913">
        <v>8758264</v>
      </c>
      <c r="D6913" t="str">
        <f>"2331-950X"</f>
        <v>2331-950X</v>
      </c>
      <c r="E6913" t="s">
        <v>8</v>
      </c>
      <c r="F6913" t="s">
        <v>6916</v>
      </c>
      <c r="G6913">
        <v>1</v>
      </c>
    </row>
    <row r="6914" spans="1:7" x14ac:dyDescent="0.25">
      <c r="A6914">
        <v>25</v>
      </c>
      <c r="B6914" t="s">
        <v>6215</v>
      </c>
      <c r="C6914">
        <v>11230</v>
      </c>
      <c r="D6914" t="str">
        <f>"1369-1066"</f>
        <v>1369-1066</v>
      </c>
      <c r="E6914" t="s">
        <v>8</v>
      </c>
      <c r="F6914" t="s">
        <v>6917</v>
      </c>
      <c r="G6914">
        <v>1</v>
      </c>
    </row>
    <row r="6915" spans="1:7" x14ac:dyDescent="0.25">
      <c r="A6915">
        <v>25</v>
      </c>
      <c r="B6915" t="s">
        <v>6215</v>
      </c>
      <c r="C6915">
        <v>782</v>
      </c>
      <c r="D6915" t="str">
        <f>"1746-0573"</f>
        <v>1746-0573</v>
      </c>
      <c r="E6915" t="s">
        <v>8</v>
      </c>
      <c r="F6915" t="s">
        <v>6918</v>
      </c>
      <c r="G6915">
        <v>1</v>
      </c>
    </row>
    <row r="6916" spans="1:7" x14ac:dyDescent="0.25">
      <c r="A6916">
        <v>25</v>
      </c>
      <c r="B6916" t="s">
        <v>6215</v>
      </c>
      <c r="C6916">
        <v>21048</v>
      </c>
      <c r="D6916" t="str">
        <f>"1747-3616"</f>
        <v>1747-3616</v>
      </c>
      <c r="E6916" t="s">
        <v>8</v>
      </c>
      <c r="F6916" t="s">
        <v>6919</v>
      </c>
      <c r="G6916">
        <v>1</v>
      </c>
    </row>
    <row r="6917" spans="1:7" x14ac:dyDescent="0.25">
      <c r="A6917">
        <v>25</v>
      </c>
      <c r="B6917" t="s">
        <v>6215</v>
      </c>
      <c r="C6917">
        <v>19803</v>
      </c>
      <c r="D6917" t="str">
        <f>"0354-0243"</f>
        <v>0354-0243</v>
      </c>
      <c r="E6917" t="s">
        <v>8</v>
      </c>
      <c r="F6917" t="s">
        <v>6920</v>
      </c>
      <c r="G6917">
        <v>1</v>
      </c>
    </row>
    <row r="6918" spans="1:7" x14ac:dyDescent="0.25">
      <c r="A6918">
        <v>25</v>
      </c>
      <c r="B6918" t="s">
        <v>6215</v>
      </c>
      <c r="C6918">
        <v>20947</v>
      </c>
      <c r="D6918" t="str">
        <f>"1860-4633"</f>
        <v>1860-4633</v>
      </c>
      <c r="E6918" t="s">
        <v>8</v>
      </c>
      <c r="F6918" t="s">
        <v>6921</v>
      </c>
      <c r="G6918">
        <v>1</v>
      </c>
    </row>
    <row r="6919" spans="1:7" x14ac:dyDescent="0.25">
      <c r="A6919">
        <v>26</v>
      </c>
      <c r="B6919" t="s">
        <v>6922</v>
      </c>
      <c r="C6919">
        <v>1688</v>
      </c>
      <c r="D6919" t="str">
        <f>"0001-6918"</f>
        <v>0001-6918</v>
      </c>
      <c r="E6919" t="s">
        <v>8</v>
      </c>
      <c r="F6919" t="s">
        <v>6923</v>
      </c>
      <c r="G6919">
        <v>2</v>
      </c>
    </row>
    <row r="6920" spans="1:7" x14ac:dyDescent="0.25">
      <c r="A6920">
        <v>26</v>
      </c>
      <c r="B6920" t="s">
        <v>6922</v>
      </c>
      <c r="C6920">
        <v>14611</v>
      </c>
      <c r="D6920" t="str">
        <f>"0065-2601"</f>
        <v>0065-2601</v>
      </c>
      <c r="E6920" t="s">
        <v>15</v>
      </c>
      <c r="F6920" t="s">
        <v>6924</v>
      </c>
      <c r="G6920">
        <v>2</v>
      </c>
    </row>
    <row r="6921" spans="1:7" x14ac:dyDescent="0.25">
      <c r="A6921">
        <v>26</v>
      </c>
      <c r="B6921" t="s">
        <v>6922</v>
      </c>
      <c r="C6921">
        <v>19067</v>
      </c>
      <c r="D6921" t="str">
        <f>"1548-5943"</f>
        <v>1548-5943</v>
      </c>
      <c r="E6921" t="s">
        <v>8</v>
      </c>
      <c r="F6921" t="s">
        <v>6925</v>
      </c>
      <c r="G6921">
        <v>2</v>
      </c>
    </row>
    <row r="6922" spans="1:7" x14ac:dyDescent="0.25">
      <c r="A6922">
        <v>26</v>
      </c>
      <c r="B6922" t="s">
        <v>6922</v>
      </c>
      <c r="C6922">
        <v>5141</v>
      </c>
      <c r="D6922" t="str">
        <f>"0066-4308"</f>
        <v>0066-4308</v>
      </c>
      <c r="E6922" t="s">
        <v>8</v>
      </c>
      <c r="F6922" t="s">
        <v>6926</v>
      </c>
      <c r="G6922">
        <v>2</v>
      </c>
    </row>
    <row r="6923" spans="1:7" x14ac:dyDescent="0.25">
      <c r="A6923">
        <v>26</v>
      </c>
      <c r="B6923" t="s">
        <v>6922</v>
      </c>
      <c r="C6923">
        <v>10565</v>
      </c>
      <c r="D6923" t="str">
        <f>"0004-0002"</f>
        <v>0004-0002</v>
      </c>
      <c r="E6923" t="s">
        <v>8</v>
      </c>
      <c r="F6923" t="s">
        <v>6927</v>
      </c>
      <c r="G6923">
        <v>2</v>
      </c>
    </row>
    <row r="6924" spans="1:7" x14ac:dyDescent="0.25">
      <c r="A6924">
        <v>26</v>
      </c>
      <c r="B6924" t="s">
        <v>6922</v>
      </c>
      <c r="C6924">
        <v>1803</v>
      </c>
      <c r="D6924" t="str">
        <f>"1461-6734"</f>
        <v>1461-6734</v>
      </c>
      <c r="E6924" t="s">
        <v>8</v>
      </c>
      <c r="F6924" t="s">
        <v>6928</v>
      </c>
      <c r="G6924">
        <v>2</v>
      </c>
    </row>
    <row r="6925" spans="1:7" x14ac:dyDescent="0.25">
      <c r="A6925">
        <v>26</v>
      </c>
      <c r="B6925" t="s">
        <v>6922</v>
      </c>
      <c r="C6925">
        <v>1510</v>
      </c>
      <c r="D6925" t="str">
        <f>"1943-3921"</f>
        <v>1943-3921</v>
      </c>
      <c r="E6925" t="s">
        <v>8</v>
      </c>
      <c r="F6925" t="s">
        <v>6929</v>
      </c>
      <c r="G6925">
        <v>2</v>
      </c>
    </row>
    <row r="6926" spans="1:7" x14ac:dyDescent="0.25">
      <c r="A6926">
        <v>26</v>
      </c>
      <c r="B6926" t="s">
        <v>6922</v>
      </c>
      <c r="C6926">
        <v>13870</v>
      </c>
      <c r="D6926" t="str">
        <f>"0005-7967"</f>
        <v>0005-7967</v>
      </c>
      <c r="E6926" t="s">
        <v>8</v>
      </c>
      <c r="F6926" t="s">
        <v>6930</v>
      </c>
      <c r="G6926">
        <v>2</v>
      </c>
    </row>
    <row r="6927" spans="1:7" x14ac:dyDescent="0.25">
      <c r="A6927">
        <v>26</v>
      </c>
      <c r="B6927" t="s">
        <v>6922</v>
      </c>
      <c r="C6927">
        <v>10727</v>
      </c>
      <c r="D6927" t="str">
        <f>"0301-0511"</f>
        <v>0301-0511</v>
      </c>
      <c r="E6927" t="s">
        <v>8</v>
      </c>
      <c r="F6927" t="s">
        <v>6931</v>
      </c>
      <c r="G6927">
        <v>2</v>
      </c>
    </row>
    <row r="6928" spans="1:7" x14ac:dyDescent="0.25">
      <c r="A6928">
        <v>26</v>
      </c>
      <c r="B6928" t="s">
        <v>6922</v>
      </c>
      <c r="C6928">
        <v>14564</v>
      </c>
      <c r="D6928" t="str">
        <f>"0278-2626"</f>
        <v>0278-2626</v>
      </c>
      <c r="E6928" t="s">
        <v>8</v>
      </c>
      <c r="F6928" t="s">
        <v>6932</v>
      </c>
      <c r="G6928">
        <v>2</v>
      </c>
    </row>
    <row r="6929" spans="1:7" x14ac:dyDescent="0.25">
      <c r="A6929">
        <v>26</v>
      </c>
      <c r="B6929" t="s">
        <v>6922</v>
      </c>
      <c r="C6929">
        <v>2960</v>
      </c>
      <c r="D6929" t="str">
        <f>"0009-3920"</f>
        <v>0009-3920</v>
      </c>
      <c r="E6929" t="s">
        <v>8</v>
      </c>
      <c r="F6929" t="s">
        <v>6933</v>
      </c>
      <c r="G6929">
        <v>2</v>
      </c>
    </row>
    <row r="6930" spans="1:7" x14ac:dyDescent="0.25">
      <c r="A6930">
        <v>26</v>
      </c>
      <c r="B6930" t="s">
        <v>6922</v>
      </c>
      <c r="C6930">
        <v>10341</v>
      </c>
      <c r="D6930" t="str">
        <f>"1096-4037"</f>
        <v>1096-4037</v>
      </c>
      <c r="E6930" t="s">
        <v>8</v>
      </c>
      <c r="F6930" t="s">
        <v>6934</v>
      </c>
      <c r="G6930">
        <v>2</v>
      </c>
    </row>
    <row r="6931" spans="1:7" x14ac:dyDescent="0.25">
      <c r="A6931">
        <v>26</v>
      </c>
      <c r="B6931" t="s">
        <v>6922</v>
      </c>
      <c r="C6931">
        <v>4204</v>
      </c>
      <c r="D6931" t="str">
        <f>"0272-7358"</f>
        <v>0272-7358</v>
      </c>
      <c r="E6931" t="s">
        <v>8</v>
      </c>
      <c r="F6931" t="s">
        <v>6935</v>
      </c>
      <c r="G6931">
        <v>2</v>
      </c>
    </row>
    <row r="6932" spans="1:7" x14ac:dyDescent="0.25">
      <c r="A6932">
        <v>26</v>
      </c>
      <c r="B6932" t="s">
        <v>6922</v>
      </c>
      <c r="C6932">
        <v>12092</v>
      </c>
      <c r="D6932" t="str">
        <f>"0010-0277"</f>
        <v>0010-0277</v>
      </c>
      <c r="E6932" t="s">
        <v>8</v>
      </c>
      <c r="F6932" t="s">
        <v>6936</v>
      </c>
      <c r="G6932">
        <v>2</v>
      </c>
    </row>
    <row r="6933" spans="1:7" x14ac:dyDescent="0.25">
      <c r="A6933">
        <v>26</v>
      </c>
      <c r="B6933" t="s">
        <v>6922</v>
      </c>
      <c r="C6933">
        <v>2997</v>
      </c>
      <c r="D6933" t="str">
        <f>"0269-9931"</f>
        <v>0269-9931</v>
      </c>
      <c r="E6933" t="s">
        <v>8</v>
      </c>
      <c r="F6933" t="s">
        <v>6937</v>
      </c>
      <c r="G6933">
        <v>2</v>
      </c>
    </row>
    <row r="6934" spans="1:7" x14ac:dyDescent="0.25">
      <c r="A6934">
        <v>26</v>
      </c>
      <c r="B6934" t="s">
        <v>6922</v>
      </c>
      <c r="C6934">
        <v>14651</v>
      </c>
      <c r="D6934" t="str">
        <f>"0264-3294"</f>
        <v>0264-3294</v>
      </c>
      <c r="E6934" t="s">
        <v>8</v>
      </c>
      <c r="F6934" t="s">
        <v>6938</v>
      </c>
      <c r="G6934">
        <v>2</v>
      </c>
    </row>
    <row r="6935" spans="1:7" x14ac:dyDescent="0.25">
      <c r="A6935">
        <v>26</v>
      </c>
      <c r="B6935" t="s">
        <v>6922</v>
      </c>
      <c r="C6935">
        <v>7812</v>
      </c>
      <c r="D6935" t="str">
        <f>"0010-0285"</f>
        <v>0010-0285</v>
      </c>
      <c r="E6935" t="s">
        <v>8</v>
      </c>
      <c r="F6935" t="s">
        <v>6939</v>
      </c>
      <c r="G6935">
        <v>2</v>
      </c>
    </row>
    <row r="6936" spans="1:7" x14ac:dyDescent="0.25">
      <c r="A6936">
        <v>26</v>
      </c>
      <c r="B6936" t="s">
        <v>6922</v>
      </c>
      <c r="C6936">
        <v>3508</v>
      </c>
      <c r="D6936" t="str">
        <f>"0364-0213"</f>
        <v>0364-0213</v>
      </c>
      <c r="E6936" t="s">
        <v>8</v>
      </c>
      <c r="F6936" t="s">
        <v>6940</v>
      </c>
      <c r="G6936">
        <v>2</v>
      </c>
    </row>
    <row r="6937" spans="1:7" x14ac:dyDescent="0.25">
      <c r="A6937">
        <v>26</v>
      </c>
      <c r="B6937" t="s">
        <v>6922</v>
      </c>
      <c r="C6937">
        <v>11543</v>
      </c>
      <c r="D6937" t="str">
        <f>"1053-8100"</f>
        <v>1053-8100</v>
      </c>
      <c r="E6937" t="s">
        <v>8</v>
      </c>
      <c r="F6937" t="s">
        <v>6941</v>
      </c>
      <c r="G6937">
        <v>2</v>
      </c>
    </row>
    <row r="6938" spans="1:7" x14ac:dyDescent="0.25">
      <c r="A6938">
        <v>26</v>
      </c>
      <c r="B6938" t="s">
        <v>6922</v>
      </c>
      <c r="C6938">
        <v>6254</v>
      </c>
      <c r="D6938" t="str">
        <f>"1354-067X"</f>
        <v>1354-067X</v>
      </c>
      <c r="E6938" t="s">
        <v>8</v>
      </c>
      <c r="F6938" t="s">
        <v>6942</v>
      </c>
      <c r="G6938">
        <v>2</v>
      </c>
    </row>
    <row r="6939" spans="1:7" x14ac:dyDescent="0.25">
      <c r="A6939">
        <v>26</v>
      </c>
      <c r="B6939" t="s">
        <v>6922</v>
      </c>
      <c r="C6939">
        <v>10487</v>
      </c>
      <c r="D6939" t="str">
        <f>"1091-4269"</f>
        <v>1091-4269</v>
      </c>
      <c r="E6939" t="s">
        <v>8</v>
      </c>
      <c r="F6939" t="s">
        <v>6943</v>
      </c>
      <c r="G6939">
        <v>2</v>
      </c>
    </row>
    <row r="6940" spans="1:7" x14ac:dyDescent="0.25">
      <c r="A6940">
        <v>26</v>
      </c>
      <c r="B6940" t="s">
        <v>6922</v>
      </c>
      <c r="C6940">
        <v>10786</v>
      </c>
      <c r="D6940" t="str">
        <f>"0954-5794"</f>
        <v>0954-5794</v>
      </c>
      <c r="E6940" t="s">
        <v>8</v>
      </c>
      <c r="F6940" t="s">
        <v>6944</v>
      </c>
      <c r="G6940">
        <v>2</v>
      </c>
    </row>
    <row r="6941" spans="1:7" x14ac:dyDescent="0.25">
      <c r="A6941">
        <v>26</v>
      </c>
      <c r="B6941" t="s">
        <v>6922</v>
      </c>
      <c r="C6941">
        <v>14936</v>
      </c>
      <c r="D6941" t="str">
        <f>"0012-1649"</f>
        <v>0012-1649</v>
      </c>
      <c r="E6941" t="s">
        <v>8</v>
      </c>
      <c r="F6941" t="s">
        <v>6945</v>
      </c>
      <c r="G6941">
        <v>2</v>
      </c>
    </row>
    <row r="6942" spans="1:7" x14ac:dyDescent="0.25">
      <c r="A6942">
        <v>26</v>
      </c>
      <c r="B6942" t="s">
        <v>6922</v>
      </c>
      <c r="C6942">
        <v>7263751</v>
      </c>
      <c r="D6942" t="str">
        <f>"1363-755X"</f>
        <v>1363-755X</v>
      </c>
      <c r="E6942" t="s">
        <v>8</v>
      </c>
      <c r="F6942" t="s">
        <v>6946</v>
      </c>
      <c r="G6942">
        <v>2</v>
      </c>
    </row>
    <row r="6943" spans="1:7" x14ac:dyDescent="0.25">
      <c r="A6943">
        <v>26</v>
      </c>
      <c r="B6943" t="s">
        <v>6922</v>
      </c>
      <c r="C6943">
        <v>6676</v>
      </c>
      <c r="D6943" t="str">
        <f>"0890-2070"</f>
        <v>0890-2070</v>
      </c>
      <c r="E6943" t="s">
        <v>8</v>
      </c>
      <c r="F6943" t="s">
        <v>6947</v>
      </c>
      <c r="G6943">
        <v>2</v>
      </c>
    </row>
    <row r="6944" spans="1:7" x14ac:dyDescent="0.25">
      <c r="A6944">
        <v>26</v>
      </c>
      <c r="B6944" t="s">
        <v>6922</v>
      </c>
      <c r="C6944">
        <v>7705393</v>
      </c>
      <c r="D6944" t="str">
        <f>"2000-8198"</f>
        <v>2000-8198</v>
      </c>
      <c r="E6944" t="s">
        <v>8</v>
      </c>
      <c r="F6944" t="s">
        <v>6948</v>
      </c>
      <c r="G6944">
        <v>2</v>
      </c>
    </row>
    <row r="6945" spans="1:7" x14ac:dyDescent="0.25">
      <c r="A6945">
        <v>26</v>
      </c>
      <c r="B6945" t="s">
        <v>6922</v>
      </c>
      <c r="C6945">
        <v>9461</v>
      </c>
      <c r="D6945" t="str">
        <f>"0046-2772"</f>
        <v>0046-2772</v>
      </c>
      <c r="E6945" t="s">
        <v>8</v>
      </c>
      <c r="F6945" t="s">
        <v>6949</v>
      </c>
      <c r="G6945">
        <v>2</v>
      </c>
    </row>
    <row r="6946" spans="1:7" x14ac:dyDescent="0.25">
      <c r="A6946">
        <v>26</v>
      </c>
      <c r="B6946" t="s">
        <v>6922</v>
      </c>
      <c r="C6946">
        <v>1023</v>
      </c>
      <c r="D6946" t="str">
        <f>"1090-5138"</f>
        <v>1090-5138</v>
      </c>
      <c r="E6946" t="s">
        <v>8</v>
      </c>
      <c r="F6946" t="s">
        <v>6950</v>
      </c>
      <c r="G6946">
        <v>2</v>
      </c>
    </row>
    <row r="6947" spans="1:7" x14ac:dyDescent="0.25">
      <c r="A6947">
        <v>26</v>
      </c>
      <c r="B6947" t="s">
        <v>6922</v>
      </c>
      <c r="C6947">
        <v>10690</v>
      </c>
      <c r="D6947" t="str">
        <f>"0278-6133"</f>
        <v>0278-6133</v>
      </c>
      <c r="E6947" t="s">
        <v>8</v>
      </c>
      <c r="F6947" t="s">
        <v>6951</v>
      </c>
      <c r="G6947">
        <v>2</v>
      </c>
    </row>
    <row r="6948" spans="1:7" x14ac:dyDescent="0.25">
      <c r="A6948">
        <v>26</v>
      </c>
      <c r="B6948" t="s">
        <v>6922</v>
      </c>
      <c r="C6948">
        <v>15343</v>
      </c>
      <c r="D6948" t="str">
        <f>"0163-6383"</f>
        <v>0163-6383</v>
      </c>
      <c r="E6948" t="s">
        <v>8</v>
      </c>
      <c r="F6948" t="s">
        <v>6952</v>
      </c>
      <c r="G6948">
        <v>2</v>
      </c>
    </row>
    <row r="6949" spans="1:7" x14ac:dyDescent="0.25">
      <c r="A6949">
        <v>26</v>
      </c>
      <c r="B6949" t="s">
        <v>6922</v>
      </c>
      <c r="C6949">
        <v>14349</v>
      </c>
      <c r="D6949" t="str">
        <f>"0160-2896"</f>
        <v>0160-2896</v>
      </c>
      <c r="E6949" t="s">
        <v>8</v>
      </c>
      <c r="F6949" t="s">
        <v>6953</v>
      </c>
      <c r="G6949">
        <v>2</v>
      </c>
    </row>
    <row r="6950" spans="1:7" x14ac:dyDescent="0.25">
      <c r="A6950">
        <v>26</v>
      </c>
      <c r="B6950" t="s">
        <v>6922</v>
      </c>
      <c r="C6950">
        <v>16122</v>
      </c>
      <c r="D6950" t="str">
        <f>"0091-0627"</f>
        <v>0091-0627</v>
      </c>
      <c r="E6950" t="s">
        <v>8</v>
      </c>
      <c r="F6950" t="s">
        <v>6954</v>
      </c>
      <c r="G6950">
        <v>2</v>
      </c>
    </row>
    <row r="6951" spans="1:7" x14ac:dyDescent="0.25">
      <c r="A6951">
        <v>26</v>
      </c>
      <c r="B6951" t="s">
        <v>6922</v>
      </c>
      <c r="C6951">
        <v>16535</v>
      </c>
      <c r="D6951" t="str">
        <f>"0021-843X"</f>
        <v>0021-843X</v>
      </c>
      <c r="E6951" t="s">
        <v>8</v>
      </c>
      <c r="F6951" t="s">
        <v>6955</v>
      </c>
      <c r="G6951">
        <v>2</v>
      </c>
    </row>
    <row r="6952" spans="1:7" x14ac:dyDescent="0.25">
      <c r="A6952">
        <v>26</v>
      </c>
      <c r="B6952" t="s">
        <v>6922</v>
      </c>
      <c r="C6952">
        <v>10567</v>
      </c>
      <c r="D6952" t="str">
        <f>"0021-9010"</f>
        <v>0021-9010</v>
      </c>
      <c r="E6952" t="s">
        <v>8</v>
      </c>
      <c r="F6952" t="s">
        <v>6956</v>
      </c>
      <c r="G6952">
        <v>2</v>
      </c>
    </row>
    <row r="6953" spans="1:7" x14ac:dyDescent="0.25">
      <c r="A6953">
        <v>26</v>
      </c>
      <c r="B6953" t="s">
        <v>6922</v>
      </c>
      <c r="C6953">
        <v>14345</v>
      </c>
      <c r="D6953" t="str">
        <f>"1087-0547"</f>
        <v>1087-0547</v>
      </c>
      <c r="E6953" t="s">
        <v>8</v>
      </c>
      <c r="F6953" t="s">
        <v>6957</v>
      </c>
      <c r="G6953">
        <v>2</v>
      </c>
    </row>
    <row r="6954" spans="1:7" x14ac:dyDescent="0.25">
      <c r="A6954">
        <v>26</v>
      </c>
      <c r="B6954" t="s">
        <v>6922</v>
      </c>
      <c r="C6954">
        <v>13457</v>
      </c>
      <c r="D6954" t="str">
        <f>"0021-9630"</f>
        <v>0021-9630</v>
      </c>
      <c r="E6954" t="s">
        <v>8</v>
      </c>
      <c r="F6954" t="s">
        <v>6958</v>
      </c>
      <c r="G6954">
        <v>2</v>
      </c>
    </row>
    <row r="6955" spans="1:7" x14ac:dyDescent="0.25">
      <c r="A6955">
        <v>26</v>
      </c>
      <c r="B6955" t="s">
        <v>6922</v>
      </c>
      <c r="C6955">
        <v>5636</v>
      </c>
      <c r="D6955" t="str">
        <f>"0735-7036"</f>
        <v>0735-7036</v>
      </c>
      <c r="E6955" t="s">
        <v>8</v>
      </c>
      <c r="F6955" t="s">
        <v>6959</v>
      </c>
      <c r="G6955">
        <v>2</v>
      </c>
    </row>
    <row r="6956" spans="1:7" x14ac:dyDescent="0.25">
      <c r="A6956">
        <v>26</v>
      </c>
      <c r="B6956" t="s">
        <v>6922</v>
      </c>
      <c r="C6956">
        <v>6482</v>
      </c>
      <c r="D6956" t="str">
        <f>"0022-006X"</f>
        <v>0022-006X</v>
      </c>
      <c r="E6956" t="s">
        <v>8</v>
      </c>
      <c r="F6956" t="s">
        <v>6960</v>
      </c>
      <c r="G6956">
        <v>2</v>
      </c>
    </row>
    <row r="6957" spans="1:7" x14ac:dyDescent="0.25">
      <c r="A6957">
        <v>26</v>
      </c>
      <c r="B6957" t="s">
        <v>6922</v>
      </c>
      <c r="C6957">
        <v>7383</v>
      </c>
      <c r="D6957" t="str">
        <f>"0022-0221"</f>
        <v>0022-0221</v>
      </c>
      <c r="E6957" t="s">
        <v>8</v>
      </c>
      <c r="F6957" t="s">
        <v>6961</v>
      </c>
      <c r="G6957">
        <v>2</v>
      </c>
    </row>
    <row r="6958" spans="1:7" x14ac:dyDescent="0.25">
      <c r="A6958">
        <v>26</v>
      </c>
      <c r="B6958" t="s">
        <v>6922</v>
      </c>
      <c r="C6958">
        <v>14348</v>
      </c>
      <c r="D6958" t="str">
        <f>"0022-0663"</f>
        <v>0022-0663</v>
      </c>
      <c r="E6958" t="s">
        <v>8</v>
      </c>
      <c r="F6958" t="s">
        <v>6962</v>
      </c>
      <c r="G6958">
        <v>2</v>
      </c>
    </row>
    <row r="6959" spans="1:7" x14ac:dyDescent="0.25">
      <c r="A6959">
        <v>26</v>
      </c>
      <c r="B6959" t="s">
        <v>6922</v>
      </c>
      <c r="C6959">
        <v>14552</v>
      </c>
      <c r="D6959" t="str">
        <f>"0272-4944"</f>
        <v>0272-4944</v>
      </c>
      <c r="E6959" t="s">
        <v>8</v>
      </c>
      <c r="F6959" t="s">
        <v>6963</v>
      </c>
      <c r="G6959">
        <v>2</v>
      </c>
    </row>
    <row r="6960" spans="1:7" x14ac:dyDescent="0.25">
      <c r="A6960">
        <v>26</v>
      </c>
      <c r="B6960" t="s">
        <v>6922</v>
      </c>
      <c r="C6960">
        <v>4182</v>
      </c>
      <c r="D6960" t="str">
        <f>"0096-3445"</f>
        <v>0096-3445</v>
      </c>
      <c r="E6960" t="s">
        <v>8</v>
      </c>
      <c r="F6960" t="s">
        <v>6964</v>
      </c>
      <c r="G6960">
        <v>2</v>
      </c>
    </row>
    <row r="6961" spans="1:7" x14ac:dyDescent="0.25">
      <c r="A6961">
        <v>26</v>
      </c>
      <c r="B6961" t="s">
        <v>6922</v>
      </c>
      <c r="C6961">
        <v>12852</v>
      </c>
      <c r="D6961" t="str">
        <f>"0096-1523"</f>
        <v>0096-1523</v>
      </c>
      <c r="E6961" t="s">
        <v>8</v>
      </c>
      <c r="F6961" t="s">
        <v>6965</v>
      </c>
      <c r="G6961">
        <v>2</v>
      </c>
    </row>
    <row r="6962" spans="1:7" x14ac:dyDescent="0.25">
      <c r="A6962">
        <v>26</v>
      </c>
      <c r="B6962" t="s">
        <v>6922</v>
      </c>
      <c r="C6962">
        <v>1140</v>
      </c>
      <c r="D6962" t="str">
        <f>"0278-7393"</f>
        <v>0278-7393</v>
      </c>
      <c r="E6962" t="s">
        <v>8</v>
      </c>
      <c r="F6962" t="s">
        <v>6966</v>
      </c>
      <c r="G6962">
        <v>2</v>
      </c>
    </row>
    <row r="6963" spans="1:7" x14ac:dyDescent="0.25">
      <c r="A6963">
        <v>26</v>
      </c>
      <c r="B6963" t="s">
        <v>6922</v>
      </c>
      <c r="C6963">
        <v>9374</v>
      </c>
      <c r="D6963" t="str">
        <f>"0963-1798"</f>
        <v>0963-1798</v>
      </c>
      <c r="E6963" t="s">
        <v>8</v>
      </c>
      <c r="F6963" t="s">
        <v>6967</v>
      </c>
      <c r="G6963">
        <v>2</v>
      </c>
    </row>
    <row r="6964" spans="1:7" x14ac:dyDescent="0.25">
      <c r="A6964">
        <v>26</v>
      </c>
      <c r="B6964" t="s">
        <v>6922</v>
      </c>
      <c r="C6964">
        <v>2071</v>
      </c>
      <c r="D6964" t="str">
        <f>"0022-3506"</f>
        <v>0022-3506</v>
      </c>
      <c r="E6964" t="s">
        <v>8</v>
      </c>
      <c r="F6964" t="s">
        <v>6968</v>
      </c>
      <c r="G6964">
        <v>2</v>
      </c>
    </row>
    <row r="6965" spans="1:7" x14ac:dyDescent="0.25">
      <c r="A6965">
        <v>26</v>
      </c>
      <c r="B6965" t="s">
        <v>6922</v>
      </c>
      <c r="C6965">
        <v>7963</v>
      </c>
      <c r="D6965" t="str">
        <f>"0022-3514"</f>
        <v>0022-3514</v>
      </c>
      <c r="E6965" t="s">
        <v>8</v>
      </c>
      <c r="F6965" t="s">
        <v>6969</v>
      </c>
      <c r="G6965">
        <v>2</v>
      </c>
    </row>
    <row r="6966" spans="1:7" x14ac:dyDescent="0.25">
      <c r="A6966">
        <v>26</v>
      </c>
      <c r="B6966" t="s">
        <v>6922</v>
      </c>
      <c r="C6966">
        <v>16438</v>
      </c>
      <c r="D6966" t="str">
        <f>"0885-579X"</f>
        <v>0885-579X</v>
      </c>
      <c r="E6966" t="s">
        <v>8</v>
      </c>
      <c r="F6966" t="s">
        <v>6970</v>
      </c>
      <c r="G6966">
        <v>2</v>
      </c>
    </row>
    <row r="6967" spans="1:7" x14ac:dyDescent="0.25">
      <c r="A6967">
        <v>26</v>
      </c>
      <c r="B6967" t="s">
        <v>6922</v>
      </c>
      <c r="C6967">
        <v>2932</v>
      </c>
      <c r="D6967" t="str">
        <f>"1355-6177"</f>
        <v>1355-6177</v>
      </c>
      <c r="E6967" t="s">
        <v>8</v>
      </c>
      <c r="F6967" t="s">
        <v>6971</v>
      </c>
      <c r="G6967">
        <v>2</v>
      </c>
    </row>
    <row r="6968" spans="1:7" x14ac:dyDescent="0.25">
      <c r="A6968">
        <v>26</v>
      </c>
      <c r="B6968" t="s">
        <v>6922</v>
      </c>
      <c r="C6968">
        <v>7559</v>
      </c>
      <c r="D6968" t="str">
        <f>"0965-8211"</f>
        <v>0965-8211</v>
      </c>
      <c r="E6968" t="s">
        <v>8</v>
      </c>
      <c r="F6968" t="s">
        <v>6972</v>
      </c>
      <c r="G6968">
        <v>2</v>
      </c>
    </row>
    <row r="6969" spans="1:7" x14ac:dyDescent="0.25">
      <c r="A6969">
        <v>26</v>
      </c>
      <c r="B6969" t="s">
        <v>6922</v>
      </c>
      <c r="C6969">
        <v>9783</v>
      </c>
      <c r="D6969" t="str">
        <f>"0090-502X"</f>
        <v>0090-502X</v>
      </c>
      <c r="E6969" t="s">
        <v>8</v>
      </c>
      <c r="F6969" t="s">
        <v>6973</v>
      </c>
      <c r="G6969">
        <v>2</v>
      </c>
    </row>
    <row r="6970" spans="1:7" x14ac:dyDescent="0.25">
      <c r="A6970">
        <v>26</v>
      </c>
      <c r="B6970" t="s">
        <v>6922</v>
      </c>
      <c r="C6970">
        <v>10592</v>
      </c>
      <c r="D6970" t="str">
        <f>"0028-3932"</f>
        <v>0028-3932</v>
      </c>
      <c r="E6970" t="s">
        <v>8</v>
      </c>
      <c r="F6970" t="s">
        <v>6974</v>
      </c>
      <c r="G6970">
        <v>2</v>
      </c>
    </row>
    <row r="6971" spans="1:7" x14ac:dyDescent="0.25">
      <c r="A6971">
        <v>26</v>
      </c>
      <c r="B6971" t="s">
        <v>6922</v>
      </c>
      <c r="C6971">
        <v>12508</v>
      </c>
      <c r="D6971" t="str">
        <f>"0894-4105"</f>
        <v>0894-4105</v>
      </c>
      <c r="E6971" t="s">
        <v>8</v>
      </c>
      <c r="F6971" t="s">
        <v>6975</v>
      </c>
      <c r="G6971">
        <v>2</v>
      </c>
    </row>
    <row r="6972" spans="1:7" x14ac:dyDescent="0.25">
      <c r="A6972">
        <v>26</v>
      </c>
      <c r="B6972" t="s">
        <v>6922</v>
      </c>
      <c r="C6972">
        <v>8666</v>
      </c>
      <c r="D6972" t="str">
        <f>"0191-8869"</f>
        <v>0191-8869</v>
      </c>
      <c r="E6972" t="s">
        <v>8</v>
      </c>
      <c r="F6972" t="s">
        <v>6976</v>
      </c>
      <c r="G6972">
        <v>2</v>
      </c>
    </row>
    <row r="6973" spans="1:7" x14ac:dyDescent="0.25">
      <c r="A6973">
        <v>26</v>
      </c>
      <c r="B6973" t="s">
        <v>6922</v>
      </c>
      <c r="C6973">
        <v>5417</v>
      </c>
      <c r="D6973" t="str">
        <f>"0146-1672"</f>
        <v>0146-1672</v>
      </c>
      <c r="E6973" t="s">
        <v>8</v>
      </c>
      <c r="F6973" t="s">
        <v>6977</v>
      </c>
      <c r="G6973">
        <v>2</v>
      </c>
    </row>
    <row r="6974" spans="1:7" x14ac:dyDescent="0.25">
      <c r="A6974">
        <v>26</v>
      </c>
      <c r="B6974" t="s">
        <v>6922</v>
      </c>
      <c r="C6974">
        <v>3279</v>
      </c>
      <c r="D6974" t="str">
        <f>"1088-8683"</f>
        <v>1088-8683</v>
      </c>
      <c r="E6974" t="s">
        <v>8</v>
      </c>
      <c r="F6974" t="s">
        <v>6978</v>
      </c>
      <c r="G6974">
        <v>2</v>
      </c>
    </row>
    <row r="6975" spans="1:7" x14ac:dyDescent="0.25">
      <c r="A6975">
        <v>26</v>
      </c>
      <c r="B6975" t="s">
        <v>6922</v>
      </c>
      <c r="C6975">
        <v>2468</v>
      </c>
      <c r="D6975" t="str">
        <f>"0031-5826"</f>
        <v>0031-5826</v>
      </c>
      <c r="E6975" t="s">
        <v>8</v>
      </c>
      <c r="F6975" t="s">
        <v>6979</v>
      </c>
      <c r="G6975">
        <v>2</v>
      </c>
    </row>
    <row r="6976" spans="1:7" x14ac:dyDescent="0.25">
      <c r="A6976">
        <v>26</v>
      </c>
      <c r="B6976" t="s">
        <v>6922</v>
      </c>
      <c r="C6976">
        <v>21888</v>
      </c>
      <c r="D6976" t="str">
        <f>"1745-6916"</f>
        <v>1745-6916</v>
      </c>
      <c r="E6976" t="s">
        <v>8</v>
      </c>
      <c r="F6976" t="s">
        <v>6980</v>
      </c>
      <c r="G6976">
        <v>2</v>
      </c>
    </row>
    <row r="6977" spans="1:7" x14ac:dyDescent="0.25">
      <c r="A6977">
        <v>26</v>
      </c>
      <c r="B6977" t="s">
        <v>6922</v>
      </c>
      <c r="C6977">
        <v>13548</v>
      </c>
      <c r="D6977" t="str">
        <f>"1040-3590"</f>
        <v>1040-3590</v>
      </c>
      <c r="E6977" t="s">
        <v>8</v>
      </c>
      <c r="F6977" t="s">
        <v>6981</v>
      </c>
      <c r="G6977">
        <v>2</v>
      </c>
    </row>
    <row r="6978" spans="1:7" x14ac:dyDescent="0.25">
      <c r="A6978">
        <v>26</v>
      </c>
      <c r="B6978" t="s">
        <v>6922</v>
      </c>
      <c r="C6978">
        <v>5057</v>
      </c>
      <c r="D6978" t="str">
        <f>"0033-2909"</f>
        <v>0033-2909</v>
      </c>
      <c r="E6978" t="s">
        <v>8</v>
      </c>
      <c r="F6978" t="s">
        <v>6982</v>
      </c>
      <c r="G6978">
        <v>2</v>
      </c>
    </row>
    <row r="6979" spans="1:7" x14ac:dyDescent="0.25">
      <c r="A6979">
        <v>26</v>
      </c>
      <c r="B6979" t="s">
        <v>6922</v>
      </c>
      <c r="C6979">
        <v>9921</v>
      </c>
      <c r="D6979" t="str">
        <f>"1047-840X"</f>
        <v>1047-840X</v>
      </c>
      <c r="E6979" t="s">
        <v>8</v>
      </c>
      <c r="F6979" t="s">
        <v>6983</v>
      </c>
      <c r="G6979">
        <v>2</v>
      </c>
    </row>
    <row r="6980" spans="1:7" x14ac:dyDescent="0.25">
      <c r="A6980">
        <v>26</v>
      </c>
      <c r="B6980" t="s">
        <v>6922</v>
      </c>
      <c r="C6980">
        <v>13869</v>
      </c>
      <c r="D6980" t="str">
        <f>"1082-989X"</f>
        <v>1082-989X</v>
      </c>
      <c r="E6980" t="s">
        <v>8</v>
      </c>
      <c r="F6980" t="s">
        <v>6984</v>
      </c>
      <c r="G6980">
        <v>2</v>
      </c>
    </row>
    <row r="6981" spans="1:7" x14ac:dyDescent="0.25">
      <c r="A6981">
        <v>26</v>
      </c>
      <c r="B6981" t="s">
        <v>6922</v>
      </c>
      <c r="C6981">
        <v>8693</v>
      </c>
      <c r="D6981" t="str">
        <f>"0340-0727"</f>
        <v>0340-0727</v>
      </c>
      <c r="E6981" t="s">
        <v>8</v>
      </c>
      <c r="F6981" t="s">
        <v>6985</v>
      </c>
      <c r="G6981">
        <v>2</v>
      </c>
    </row>
    <row r="6982" spans="1:7" x14ac:dyDescent="0.25">
      <c r="A6982">
        <v>26</v>
      </c>
      <c r="B6982" t="s">
        <v>6922</v>
      </c>
      <c r="C6982">
        <v>2985</v>
      </c>
      <c r="D6982" t="str">
        <f>"0033-295X"</f>
        <v>0033-295X</v>
      </c>
      <c r="E6982" t="s">
        <v>8</v>
      </c>
      <c r="F6982" t="s">
        <v>6986</v>
      </c>
      <c r="G6982">
        <v>2</v>
      </c>
    </row>
    <row r="6983" spans="1:7" x14ac:dyDescent="0.25">
      <c r="A6983">
        <v>26</v>
      </c>
      <c r="B6983" t="s">
        <v>6922</v>
      </c>
      <c r="C6983">
        <v>9028</v>
      </c>
      <c r="D6983" t="str">
        <f>"0956-7976"</f>
        <v>0956-7976</v>
      </c>
      <c r="E6983" t="s">
        <v>8</v>
      </c>
      <c r="F6983" t="s">
        <v>6987</v>
      </c>
      <c r="G6983">
        <v>2</v>
      </c>
    </row>
    <row r="6984" spans="1:7" x14ac:dyDescent="0.25">
      <c r="A6984">
        <v>26</v>
      </c>
      <c r="B6984" t="s">
        <v>6922</v>
      </c>
      <c r="C6984">
        <v>14069</v>
      </c>
      <c r="D6984" t="str">
        <f>"1529-1006"</f>
        <v>1529-1006</v>
      </c>
      <c r="E6984" t="s">
        <v>8</v>
      </c>
      <c r="F6984" t="s">
        <v>6988</v>
      </c>
      <c r="G6984">
        <v>2</v>
      </c>
    </row>
    <row r="6985" spans="1:7" x14ac:dyDescent="0.25">
      <c r="A6985">
        <v>26</v>
      </c>
      <c r="B6985" t="s">
        <v>6922</v>
      </c>
      <c r="C6985">
        <v>11114</v>
      </c>
      <c r="D6985" t="str">
        <f>"0882-7974"</f>
        <v>0882-7974</v>
      </c>
      <c r="E6985" t="s">
        <v>8</v>
      </c>
      <c r="F6985" t="s">
        <v>6989</v>
      </c>
      <c r="G6985">
        <v>2</v>
      </c>
    </row>
    <row r="6986" spans="1:7" x14ac:dyDescent="0.25">
      <c r="A6986">
        <v>26</v>
      </c>
      <c r="B6986" t="s">
        <v>6922</v>
      </c>
      <c r="C6986">
        <v>27348</v>
      </c>
      <c r="D6986" t="str">
        <f>"1931-3896"</f>
        <v>1931-3896</v>
      </c>
      <c r="E6986" t="s">
        <v>8</v>
      </c>
      <c r="F6986" t="s">
        <v>6990</v>
      </c>
      <c r="G6986">
        <v>2</v>
      </c>
    </row>
    <row r="6987" spans="1:7" x14ac:dyDescent="0.25">
      <c r="A6987">
        <v>26</v>
      </c>
      <c r="B6987" t="s">
        <v>6922</v>
      </c>
      <c r="C6987">
        <v>3893</v>
      </c>
      <c r="D6987" t="str">
        <f>"0079-7421"</f>
        <v>0079-7421</v>
      </c>
      <c r="E6987" t="s">
        <v>15</v>
      </c>
      <c r="F6987" t="s">
        <v>6991</v>
      </c>
      <c r="G6987">
        <v>2</v>
      </c>
    </row>
    <row r="6988" spans="1:7" x14ac:dyDescent="0.25">
      <c r="A6988">
        <v>26</v>
      </c>
      <c r="B6988" t="s">
        <v>6922</v>
      </c>
      <c r="C6988">
        <v>5033</v>
      </c>
      <c r="D6988" t="str">
        <f>"0033-3123"</f>
        <v>0033-3123</v>
      </c>
      <c r="E6988" t="s">
        <v>8</v>
      </c>
      <c r="F6988" t="s">
        <v>6992</v>
      </c>
      <c r="G6988">
        <v>2</v>
      </c>
    </row>
    <row r="6989" spans="1:7" x14ac:dyDescent="0.25">
      <c r="A6989">
        <v>26</v>
      </c>
      <c r="B6989" t="s">
        <v>6922</v>
      </c>
      <c r="C6989">
        <v>13638</v>
      </c>
      <c r="D6989" t="str">
        <f>"1069-9384"</f>
        <v>1069-9384</v>
      </c>
      <c r="E6989" t="s">
        <v>8</v>
      </c>
      <c r="F6989" t="s">
        <v>6993</v>
      </c>
      <c r="G6989">
        <v>2</v>
      </c>
    </row>
    <row r="6990" spans="1:7" x14ac:dyDescent="0.25">
      <c r="A6990">
        <v>26</v>
      </c>
      <c r="B6990" t="s">
        <v>6922</v>
      </c>
      <c r="C6990">
        <v>12970</v>
      </c>
      <c r="D6990" t="str">
        <f>"1057-9249"</f>
        <v>1057-9249</v>
      </c>
      <c r="E6990" t="s">
        <v>8</v>
      </c>
      <c r="F6990" t="s">
        <v>6994</v>
      </c>
      <c r="G6990">
        <v>2</v>
      </c>
    </row>
    <row r="6991" spans="1:7" x14ac:dyDescent="0.25">
      <c r="A6991">
        <v>26</v>
      </c>
      <c r="B6991" t="s">
        <v>6922</v>
      </c>
      <c r="C6991">
        <v>7967</v>
      </c>
      <c r="D6991" t="str">
        <f>"0033-3204"</f>
        <v>0033-3204</v>
      </c>
      <c r="E6991" t="s">
        <v>8</v>
      </c>
      <c r="F6991" t="s">
        <v>6995</v>
      </c>
      <c r="G6991">
        <v>2</v>
      </c>
    </row>
    <row r="6992" spans="1:7" x14ac:dyDescent="0.25">
      <c r="A6992">
        <v>26</v>
      </c>
      <c r="B6992" t="s">
        <v>6922</v>
      </c>
      <c r="C6992">
        <v>137</v>
      </c>
      <c r="D6992" t="str">
        <f>"1478-0887"</f>
        <v>1478-0887</v>
      </c>
      <c r="E6992" t="s">
        <v>8</v>
      </c>
      <c r="F6992" t="s">
        <v>6996</v>
      </c>
      <c r="G6992">
        <v>2</v>
      </c>
    </row>
    <row r="6993" spans="1:7" x14ac:dyDescent="0.25">
      <c r="A6993">
        <v>26</v>
      </c>
      <c r="B6993" t="s">
        <v>6922</v>
      </c>
      <c r="C6993">
        <v>10425</v>
      </c>
      <c r="D6993" t="str">
        <f>"1025-3890"</f>
        <v>1025-3890</v>
      </c>
      <c r="E6993" t="s">
        <v>8</v>
      </c>
      <c r="F6993" t="s">
        <v>6997</v>
      </c>
      <c r="G6993">
        <v>2</v>
      </c>
    </row>
    <row r="6994" spans="1:7" x14ac:dyDescent="0.25">
      <c r="A6994">
        <v>26</v>
      </c>
      <c r="B6994" t="s">
        <v>6922</v>
      </c>
      <c r="C6994">
        <v>14868</v>
      </c>
      <c r="D6994" t="str">
        <f>"0020-7578"</f>
        <v>0020-7578</v>
      </c>
      <c r="E6994" t="s">
        <v>8</v>
      </c>
      <c r="F6994" t="s">
        <v>6998</v>
      </c>
      <c r="G6994">
        <v>2</v>
      </c>
    </row>
    <row r="6995" spans="1:7" x14ac:dyDescent="0.25">
      <c r="A6995">
        <v>26</v>
      </c>
      <c r="B6995" t="s">
        <v>6922</v>
      </c>
      <c r="C6995">
        <v>3525</v>
      </c>
      <c r="D6995" t="str">
        <f>"0959-3543"</f>
        <v>0959-3543</v>
      </c>
      <c r="E6995" t="s">
        <v>8</v>
      </c>
      <c r="F6995" t="s">
        <v>6999</v>
      </c>
      <c r="G6995">
        <v>2</v>
      </c>
    </row>
    <row r="6996" spans="1:7" x14ac:dyDescent="0.25">
      <c r="A6996">
        <v>26</v>
      </c>
      <c r="B6996" t="s">
        <v>6922</v>
      </c>
      <c r="C6996">
        <v>16876</v>
      </c>
      <c r="D6996" t="str">
        <f>"1364-6613"</f>
        <v>1364-6613</v>
      </c>
      <c r="E6996" t="s">
        <v>8</v>
      </c>
      <c r="F6996" t="s">
        <v>7000</v>
      </c>
      <c r="G6996">
        <v>2</v>
      </c>
    </row>
    <row r="6997" spans="1:7" x14ac:dyDescent="0.25">
      <c r="A6997">
        <v>26</v>
      </c>
      <c r="B6997" t="s">
        <v>6922</v>
      </c>
      <c r="C6997">
        <v>13916</v>
      </c>
      <c r="D6997" t="str">
        <f>"1350-6285"</f>
        <v>1350-6285</v>
      </c>
      <c r="E6997" t="s">
        <v>8</v>
      </c>
      <c r="F6997" t="s">
        <v>7001</v>
      </c>
      <c r="G6997">
        <v>2</v>
      </c>
    </row>
    <row r="6998" spans="1:7" x14ac:dyDescent="0.25">
      <c r="A6998">
        <v>26</v>
      </c>
      <c r="B6998" t="s">
        <v>6922</v>
      </c>
      <c r="C6998">
        <v>3099</v>
      </c>
      <c r="D6998" t="str">
        <f>"0267-8373"</f>
        <v>0267-8373</v>
      </c>
      <c r="E6998" t="s">
        <v>8</v>
      </c>
      <c r="F6998" t="s">
        <v>7002</v>
      </c>
      <c r="G6998">
        <v>2</v>
      </c>
    </row>
    <row r="6999" spans="1:7" x14ac:dyDescent="0.25">
      <c r="A6999">
        <v>26</v>
      </c>
      <c r="B6999" t="s">
        <v>6922</v>
      </c>
      <c r="C6999">
        <v>16644</v>
      </c>
      <c r="D6999" t="str">
        <f>"0192-4788"</f>
        <v>0192-4788</v>
      </c>
      <c r="E6999" t="s">
        <v>8</v>
      </c>
      <c r="F6999" t="s">
        <v>7003</v>
      </c>
      <c r="G6999">
        <v>1</v>
      </c>
    </row>
    <row r="7000" spans="1:7" x14ac:dyDescent="0.25">
      <c r="A7000">
        <v>26</v>
      </c>
      <c r="B7000" t="s">
        <v>6922</v>
      </c>
      <c r="C7000">
        <v>4925</v>
      </c>
      <c r="D7000" t="str">
        <f>"1059-7123"</f>
        <v>1059-7123</v>
      </c>
      <c r="E7000" t="s">
        <v>8</v>
      </c>
      <c r="F7000" t="s">
        <v>7004</v>
      </c>
      <c r="G7000">
        <v>1</v>
      </c>
    </row>
    <row r="7001" spans="1:7" x14ac:dyDescent="0.25">
      <c r="A7001">
        <v>26</v>
      </c>
      <c r="B7001" t="s">
        <v>6922</v>
      </c>
      <c r="C7001">
        <v>3853</v>
      </c>
      <c r="D7001" t="str">
        <f>"0306-4603"</f>
        <v>0306-4603</v>
      </c>
      <c r="E7001" t="s">
        <v>8</v>
      </c>
      <c r="F7001" t="s">
        <v>7005</v>
      </c>
      <c r="G7001">
        <v>1</v>
      </c>
    </row>
    <row r="7002" spans="1:7" x14ac:dyDescent="0.25">
      <c r="A7002">
        <v>26</v>
      </c>
      <c r="B7002" t="s">
        <v>6922</v>
      </c>
      <c r="C7002">
        <v>8769027</v>
      </c>
      <c r="E7002" t="s">
        <v>8</v>
      </c>
      <c r="F7002" t="s">
        <v>7006</v>
      </c>
      <c r="G7002">
        <v>1</v>
      </c>
    </row>
    <row r="7003" spans="1:7" x14ac:dyDescent="0.25">
      <c r="A7003">
        <v>26</v>
      </c>
      <c r="B7003" t="s">
        <v>6922</v>
      </c>
      <c r="C7003">
        <v>10733</v>
      </c>
      <c r="D7003" t="str">
        <f>"1531-5754"</f>
        <v>1531-5754</v>
      </c>
      <c r="E7003" t="s">
        <v>8</v>
      </c>
      <c r="F7003" t="s">
        <v>7007</v>
      </c>
      <c r="G7003">
        <v>1</v>
      </c>
    </row>
    <row r="7004" spans="1:7" x14ac:dyDescent="0.25">
      <c r="A7004">
        <v>26</v>
      </c>
      <c r="B7004" t="s">
        <v>6922</v>
      </c>
      <c r="C7004">
        <v>7206</v>
      </c>
      <c r="D7004" t="str">
        <f>"1065-8025"</f>
        <v>1065-8025</v>
      </c>
      <c r="E7004" t="s">
        <v>8</v>
      </c>
      <c r="F7004" t="s">
        <v>7008</v>
      </c>
      <c r="G7004">
        <v>1</v>
      </c>
    </row>
    <row r="7005" spans="1:7" x14ac:dyDescent="0.25">
      <c r="A7005">
        <v>26</v>
      </c>
      <c r="B7005" t="s">
        <v>6922</v>
      </c>
      <c r="C7005">
        <v>4995</v>
      </c>
      <c r="D7005" t="str">
        <f>"0308-5759"</f>
        <v>0308-5759</v>
      </c>
      <c r="E7005" t="s">
        <v>8</v>
      </c>
      <c r="F7005" t="s">
        <v>7009</v>
      </c>
      <c r="G7005">
        <v>1</v>
      </c>
    </row>
    <row r="7006" spans="1:7" x14ac:dyDescent="0.25">
      <c r="A7006">
        <v>26</v>
      </c>
      <c r="B7006" t="s">
        <v>6922</v>
      </c>
      <c r="C7006">
        <v>6391</v>
      </c>
      <c r="D7006" t="str">
        <f>"1092-6755"</f>
        <v>1092-6755</v>
      </c>
      <c r="E7006" t="s">
        <v>8</v>
      </c>
      <c r="F7006" t="s">
        <v>7010</v>
      </c>
      <c r="G7006">
        <v>1</v>
      </c>
    </row>
    <row r="7007" spans="1:7" x14ac:dyDescent="0.25">
      <c r="A7007">
        <v>26</v>
      </c>
      <c r="B7007" t="s">
        <v>6922</v>
      </c>
      <c r="C7007">
        <v>15159</v>
      </c>
      <c r="D7007" t="str">
        <f>"0065-2407"</f>
        <v>0065-2407</v>
      </c>
      <c r="E7007" t="s">
        <v>15</v>
      </c>
      <c r="F7007" t="s">
        <v>7011</v>
      </c>
      <c r="G7007">
        <v>1</v>
      </c>
    </row>
    <row r="7008" spans="1:7" x14ac:dyDescent="0.25">
      <c r="A7008">
        <v>26</v>
      </c>
      <c r="B7008" t="s">
        <v>6922</v>
      </c>
      <c r="C7008">
        <v>4519</v>
      </c>
      <c r="D7008" t="str">
        <f>"1381-589X"</f>
        <v>1381-589X</v>
      </c>
      <c r="E7008" t="s">
        <v>15</v>
      </c>
      <c r="F7008" t="s">
        <v>7012</v>
      </c>
      <c r="G7008">
        <v>1</v>
      </c>
    </row>
    <row r="7009" spans="1:7" x14ac:dyDescent="0.25">
      <c r="A7009">
        <v>26</v>
      </c>
      <c r="B7009" t="s">
        <v>6922</v>
      </c>
      <c r="C7009">
        <v>8783775</v>
      </c>
      <c r="E7009" t="s">
        <v>15</v>
      </c>
      <c r="F7009" t="s">
        <v>7013</v>
      </c>
      <c r="G7009">
        <v>1</v>
      </c>
    </row>
    <row r="7010" spans="1:7" x14ac:dyDescent="0.25">
      <c r="A7010">
        <v>26</v>
      </c>
      <c r="B7010" t="s">
        <v>6922</v>
      </c>
      <c r="C7010">
        <v>6007226</v>
      </c>
      <c r="D7010" t="str">
        <f>"1757-0972"</f>
        <v>1757-0972</v>
      </c>
      <c r="E7010" t="s">
        <v>8</v>
      </c>
      <c r="F7010" t="s">
        <v>7014</v>
      </c>
      <c r="G7010">
        <v>1</v>
      </c>
    </row>
    <row r="7011" spans="1:7" x14ac:dyDescent="0.25">
      <c r="A7011">
        <v>26</v>
      </c>
      <c r="B7011" t="s">
        <v>6922</v>
      </c>
      <c r="C7011">
        <v>7744787</v>
      </c>
      <c r="D7011" t="str">
        <f>"2166-2630"</f>
        <v>2166-2630</v>
      </c>
      <c r="E7011" t="s">
        <v>8</v>
      </c>
      <c r="F7011" t="s">
        <v>7015</v>
      </c>
      <c r="G7011">
        <v>1</v>
      </c>
    </row>
    <row r="7012" spans="1:7" x14ac:dyDescent="0.25">
      <c r="A7012">
        <v>26</v>
      </c>
      <c r="B7012" t="s">
        <v>6922</v>
      </c>
      <c r="C7012">
        <v>12251</v>
      </c>
      <c r="D7012" t="str">
        <f>"0065-3454"</f>
        <v>0065-3454</v>
      </c>
      <c r="E7012" t="s">
        <v>15</v>
      </c>
      <c r="F7012" t="s">
        <v>7016</v>
      </c>
      <c r="G7012">
        <v>1</v>
      </c>
    </row>
    <row r="7013" spans="1:7" x14ac:dyDescent="0.25">
      <c r="A7013">
        <v>26</v>
      </c>
      <c r="B7013" t="s">
        <v>6922</v>
      </c>
      <c r="C7013">
        <v>7881</v>
      </c>
      <c r="D7013" t="str">
        <f>"1359-1789"</f>
        <v>1359-1789</v>
      </c>
      <c r="E7013" t="s">
        <v>8</v>
      </c>
      <c r="F7013" t="s">
        <v>7017</v>
      </c>
      <c r="G7013">
        <v>1</v>
      </c>
    </row>
    <row r="7014" spans="1:7" x14ac:dyDescent="0.25">
      <c r="A7014">
        <v>26</v>
      </c>
      <c r="B7014" t="s">
        <v>6922</v>
      </c>
      <c r="C7014">
        <v>6742</v>
      </c>
      <c r="D7014" t="str">
        <f>"0096-140X"</f>
        <v>0096-140X</v>
      </c>
      <c r="E7014" t="s">
        <v>8</v>
      </c>
      <c r="F7014" t="s">
        <v>7018</v>
      </c>
      <c r="G7014">
        <v>1</v>
      </c>
    </row>
    <row r="7015" spans="1:7" x14ac:dyDescent="0.25">
      <c r="A7015">
        <v>26</v>
      </c>
      <c r="B7015" t="s">
        <v>6922</v>
      </c>
      <c r="C7015">
        <v>7675</v>
      </c>
      <c r="D7015" t="str">
        <f>"0735-0414"</f>
        <v>0735-0414</v>
      </c>
      <c r="E7015" t="s">
        <v>8</v>
      </c>
      <c r="F7015" t="s">
        <v>7019</v>
      </c>
      <c r="G7015">
        <v>1</v>
      </c>
    </row>
    <row r="7016" spans="1:7" x14ac:dyDescent="0.25">
      <c r="A7016">
        <v>26</v>
      </c>
      <c r="B7016" t="s">
        <v>6922</v>
      </c>
      <c r="C7016">
        <v>1408</v>
      </c>
      <c r="D7016" t="str">
        <f>"0002-9157"</f>
        <v>0002-9157</v>
      </c>
      <c r="E7016" t="s">
        <v>8</v>
      </c>
      <c r="F7016" t="s">
        <v>7020</v>
      </c>
      <c r="G7016">
        <v>1</v>
      </c>
    </row>
    <row r="7017" spans="1:7" x14ac:dyDescent="0.25">
      <c r="A7017">
        <v>26</v>
      </c>
      <c r="B7017" t="s">
        <v>6922</v>
      </c>
      <c r="C7017">
        <v>10450</v>
      </c>
      <c r="D7017" t="str">
        <f>"0091-0562"</f>
        <v>0091-0562</v>
      </c>
      <c r="E7017" t="s">
        <v>8</v>
      </c>
      <c r="F7017" t="s">
        <v>7021</v>
      </c>
      <c r="G7017">
        <v>1</v>
      </c>
    </row>
    <row r="7018" spans="1:7" x14ac:dyDescent="0.25">
      <c r="A7018">
        <v>26</v>
      </c>
      <c r="B7018" t="s">
        <v>6922</v>
      </c>
      <c r="C7018">
        <v>6780</v>
      </c>
      <c r="D7018" t="str">
        <f>"0095-2990"</f>
        <v>0095-2990</v>
      </c>
      <c r="E7018" t="s">
        <v>8</v>
      </c>
      <c r="F7018" t="s">
        <v>7022</v>
      </c>
      <c r="G7018">
        <v>1</v>
      </c>
    </row>
    <row r="7019" spans="1:7" x14ac:dyDescent="0.25">
      <c r="A7019">
        <v>26</v>
      </c>
      <c r="B7019" t="s">
        <v>6922</v>
      </c>
      <c r="C7019">
        <v>5221</v>
      </c>
      <c r="D7019" t="str">
        <f>"0002-9556"</f>
        <v>0002-9556</v>
      </c>
      <c r="E7019" t="s">
        <v>8</v>
      </c>
      <c r="F7019" t="s">
        <v>7023</v>
      </c>
      <c r="G7019">
        <v>1</v>
      </c>
    </row>
    <row r="7020" spans="1:7" x14ac:dyDescent="0.25">
      <c r="A7020">
        <v>26</v>
      </c>
      <c r="B7020" t="s">
        <v>6922</v>
      </c>
      <c r="C7020">
        <v>7394</v>
      </c>
      <c r="D7020" t="str">
        <f>"0002-9564"</f>
        <v>0002-9564</v>
      </c>
      <c r="E7020" t="s">
        <v>8</v>
      </c>
      <c r="F7020" t="s">
        <v>7024</v>
      </c>
      <c r="G7020">
        <v>1</v>
      </c>
    </row>
    <row r="7021" spans="1:7" x14ac:dyDescent="0.25">
      <c r="A7021">
        <v>26</v>
      </c>
      <c r="B7021" t="s">
        <v>6922</v>
      </c>
      <c r="C7021">
        <v>2181</v>
      </c>
      <c r="D7021" t="str">
        <f>"1055-0496"</f>
        <v>1055-0496</v>
      </c>
      <c r="E7021" t="s">
        <v>8</v>
      </c>
      <c r="F7021" t="s">
        <v>7025</v>
      </c>
      <c r="G7021">
        <v>1</v>
      </c>
    </row>
    <row r="7022" spans="1:7" x14ac:dyDescent="0.25">
      <c r="A7022">
        <v>26</v>
      </c>
      <c r="B7022" t="s">
        <v>6922</v>
      </c>
      <c r="C7022">
        <v>11924</v>
      </c>
      <c r="D7022" t="str">
        <f>"0003-066X"</f>
        <v>0003-066X</v>
      </c>
      <c r="E7022" t="s">
        <v>8</v>
      </c>
      <c r="F7022" t="s">
        <v>7026</v>
      </c>
      <c r="G7022">
        <v>1</v>
      </c>
    </row>
    <row r="7023" spans="1:7" x14ac:dyDescent="0.25">
      <c r="A7023">
        <v>26</v>
      </c>
      <c r="B7023" t="s">
        <v>6922</v>
      </c>
      <c r="C7023">
        <v>8783776</v>
      </c>
      <c r="E7023" t="s">
        <v>15</v>
      </c>
      <c r="F7023" t="s">
        <v>7027</v>
      </c>
      <c r="G7023">
        <v>1</v>
      </c>
    </row>
    <row r="7024" spans="1:7" x14ac:dyDescent="0.25">
      <c r="A7024">
        <v>26</v>
      </c>
      <c r="B7024" t="s">
        <v>6922</v>
      </c>
      <c r="C7024">
        <v>402</v>
      </c>
      <c r="D7024" t="str">
        <f>"0883-6612"</f>
        <v>0883-6612</v>
      </c>
      <c r="E7024" t="s">
        <v>8</v>
      </c>
      <c r="F7024" t="s">
        <v>7028</v>
      </c>
      <c r="G7024">
        <v>1</v>
      </c>
    </row>
    <row r="7025" spans="1:7" x14ac:dyDescent="0.25">
      <c r="A7025">
        <v>26</v>
      </c>
      <c r="B7025" t="s">
        <v>6922</v>
      </c>
      <c r="C7025">
        <v>5865</v>
      </c>
      <c r="D7025" t="str">
        <f>"0003-5033"</f>
        <v>0003-5033</v>
      </c>
      <c r="E7025" t="s">
        <v>8</v>
      </c>
      <c r="F7025" t="s">
        <v>7029</v>
      </c>
      <c r="G7025">
        <v>1</v>
      </c>
    </row>
    <row r="7026" spans="1:7" x14ac:dyDescent="0.25">
      <c r="A7026">
        <v>26</v>
      </c>
      <c r="B7026" t="s">
        <v>6922</v>
      </c>
      <c r="C7026">
        <v>14650</v>
      </c>
      <c r="E7026" t="s">
        <v>8</v>
      </c>
      <c r="F7026" t="s">
        <v>7030</v>
      </c>
      <c r="G7026">
        <v>1</v>
      </c>
    </row>
    <row r="7027" spans="1:7" x14ac:dyDescent="0.25">
      <c r="A7027">
        <v>26</v>
      </c>
      <c r="B7027" t="s">
        <v>6922</v>
      </c>
      <c r="C7027">
        <v>8120</v>
      </c>
      <c r="D7027" t="str">
        <f>"1061-5806"</f>
        <v>1061-5806</v>
      </c>
      <c r="E7027" t="s">
        <v>8</v>
      </c>
      <c r="F7027" t="s">
        <v>7031</v>
      </c>
      <c r="G7027">
        <v>1</v>
      </c>
    </row>
    <row r="7028" spans="1:7" x14ac:dyDescent="0.25">
      <c r="A7028">
        <v>26</v>
      </c>
      <c r="B7028" t="s">
        <v>6922</v>
      </c>
      <c r="C7028">
        <v>14483</v>
      </c>
      <c r="D7028" t="str">
        <f>"0888-4080"</f>
        <v>0888-4080</v>
      </c>
      <c r="E7028" t="s">
        <v>8</v>
      </c>
      <c r="F7028" t="s">
        <v>7032</v>
      </c>
      <c r="G7028">
        <v>1</v>
      </c>
    </row>
    <row r="7029" spans="1:7" x14ac:dyDescent="0.25">
      <c r="A7029">
        <v>26</v>
      </c>
      <c r="B7029" t="s">
        <v>6922</v>
      </c>
      <c r="C7029">
        <v>4337</v>
      </c>
      <c r="D7029" t="str">
        <f>"1088-8691"</f>
        <v>1088-8691</v>
      </c>
      <c r="E7029" t="s">
        <v>8</v>
      </c>
      <c r="F7029" t="s">
        <v>7033</v>
      </c>
      <c r="G7029">
        <v>1</v>
      </c>
    </row>
    <row r="7030" spans="1:7" x14ac:dyDescent="0.25">
      <c r="A7030">
        <v>26</v>
      </c>
      <c r="B7030" t="s">
        <v>6922</v>
      </c>
      <c r="C7030">
        <v>11908</v>
      </c>
      <c r="D7030" t="str">
        <f>"0146-6216"</f>
        <v>0146-6216</v>
      </c>
      <c r="E7030" t="s">
        <v>8</v>
      </c>
      <c r="F7030" t="s">
        <v>7034</v>
      </c>
      <c r="G7030">
        <v>1</v>
      </c>
    </row>
    <row r="7031" spans="1:7" x14ac:dyDescent="0.25">
      <c r="A7031">
        <v>26</v>
      </c>
      <c r="B7031" t="s">
        <v>6922</v>
      </c>
      <c r="C7031">
        <v>6086</v>
      </c>
      <c r="D7031" t="str">
        <f>"0269-994X"</f>
        <v>0269-994X</v>
      </c>
      <c r="E7031" t="s">
        <v>8</v>
      </c>
      <c r="F7031" t="s">
        <v>7035</v>
      </c>
      <c r="G7031">
        <v>1</v>
      </c>
    </row>
    <row r="7032" spans="1:7" x14ac:dyDescent="0.25">
      <c r="A7032">
        <v>26</v>
      </c>
      <c r="B7032" t="s">
        <v>6922</v>
      </c>
      <c r="C7032">
        <v>3837</v>
      </c>
      <c r="D7032" t="str">
        <f>"1090-0586"</f>
        <v>1090-0586</v>
      </c>
      <c r="E7032" t="s">
        <v>8</v>
      </c>
      <c r="F7032" t="s">
        <v>7036</v>
      </c>
      <c r="G7032">
        <v>1</v>
      </c>
    </row>
    <row r="7033" spans="1:7" x14ac:dyDescent="0.25">
      <c r="A7033">
        <v>26</v>
      </c>
      <c r="B7033" t="s">
        <v>6922</v>
      </c>
      <c r="C7033">
        <v>116</v>
      </c>
      <c r="D7033" t="str">
        <f>"0887-6177"</f>
        <v>0887-6177</v>
      </c>
      <c r="E7033" t="s">
        <v>8</v>
      </c>
      <c r="F7033" t="s">
        <v>7037</v>
      </c>
      <c r="G7033">
        <v>1</v>
      </c>
    </row>
    <row r="7034" spans="1:7" x14ac:dyDescent="0.25">
      <c r="A7034">
        <v>26</v>
      </c>
      <c r="B7034" t="s">
        <v>6922</v>
      </c>
      <c r="C7034">
        <v>15542</v>
      </c>
      <c r="D7034" t="str">
        <f>"1367-2223"</f>
        <v>1367-2223</v>
      </c>
      <c r="E7034" t="s">
        <v>8</v>
      </c>
      <c r="F7034" t="s">
        <v>7038</v>
      </c>
      <c r="G7034">
        <v>1</v>
      </c>
    </row>
    <row r="7035" spans="1:7" x14ac:dyDescent="0.25">
      <c r="A7035">
        <v>26</v>
      </c>
      <c r="B7035" t="s">
        <v>6922</v>
      </c>
      <c r="C7035">
        <v>3074</v>
      </c>
      <c r="D7035" t="str">
        <f>"1073-1911"</f>
        <v>1073-1911</v>
      </c>
      <c r="E7035" t="s">
        <v>8</v>
      </c>
      <c r="F7035" t="s">
        <v>7039</v>
      </c>
      <c r="G7035">
        <v>1</v>
      </c>
    </row>
    <row r="7036" spans="1:7" x14ac:dyDescent="0.25">
      <c r="A7036">
        <v>26</v>
      </c>
      <c r="B7036" t="s">
        <v>6922</v>
      </c>
      <c r="C7036">
        <v>8185</v>
      </c>
      <c r="D7036" t="str">
        <f>"0814-723X"</f>
        <v>0814-723X</v>
      </c>
      <c r="E7036" t="s">
        <v>8</v>
      </c>
      <c r="F7036" t="s">
        <v>7040</v>
      </c>
      <c r="G7036">
        <v>1</v>
      </c>
    </row>
    <row r="7037" spans="1:7" x14ac:dyDescent="0.25">
      <c r="A7037">
        <v>26</v>
      </c>
      <c r="B7037" t="s">
        <v>6922</v>
      </c>
      <c r="C7037">
        <v>5741</v>
      </c>
      <c r="D7037" t="str">
        <f>"1446-5442"</f>
        <v>1446-5442</v>
      </c>
      <c r="E7037" t="s">
        <v>8</v>
      </c>
      <c r="F7037" t="s">
        <v>7041</v>
      </c>
      <c r="G7037">
        <v>1</v>
      </c>
    </row>
    <row r="7038" spans="1:7" x14ac:dyDescent="0.25">
      <c r="A7038">
        <v>26</v>
      </c>
      <c r="B7038" t="s">
        <v>6922</v>
      </c>
      <c r="C7038">
        <v>4930</v>
      </c>
      <c r="D7038" t="str">
        <f>"0004-9530"</f>
        <v>0004-9530</v>
      </c>
      <c r="E7038" t="s">
        <v>8</v>
      </c>
      <c r="F7038" t="s">
        <v>7042</v>
      </c>
      <c r="G7038">
        <v>1</v>
      </c>
    </row>
    <row r="7039" spans="1:7" x14ac:dyDescent="0.25">
      <c r="A7039">
        <v>26</v>
      </c>
      <c r="B7039" t="s">
        <v>6922</v>
      </c>
      <c r="C7039">
        <v>16514</v>
      </c>
      <c r="D7039" t="str">
        <f>"0005-0067"</f>
        <v>0005-0067</v>
      </c>
      <c r="E7039" t="s">
        <v>8</v>
      </c>
      <c r="F7039" t="s">
        <v>7043</v>
      </c>
      <c r="G7039">
        <v>1</v>
      </c>
    </row>
    <row r="7040" spans="1:7" x14ac:dyDescent="0.25">
      <c r="A7040">
        <v>26</v>
      </c>
      <c r="B7040" t="s">
        <v>6922</v>
      </c>
      <c r="C7040">
        <v>7645</v>
      </c>
      <c r="D7040" t="str">
        <f>"1362-3613"</f>
        <v>1362-3613</v>
      </c>
      <c r="E7040" t="s">
        <v>8</v>
      </c>
      <c r="F7040" t="s">
        <v>7044</v>
      </c>
      <c r="G7040">
        <v>1</v>
      </c>
    </row>
    <row r="7041" spans="1:7" x14ac:dyDescent="0.25">
      <c r="A7041">
        <v>26</v>
      </c>
      <c r="B7041" t="s">
        <v>6922</v>
      </c>
      <c r="C7041">
        <v>23590</v>
      </c>
      <c r="D7041" t="str">
        <f>"1939-3792"</f>
        <v>1939-3792</v>
      </c>
      <c r="E7041" t="s">
        <v>8</v>
      </c>
      <c r="F7041" t="s">
        <v>7045</v>
      </c>
      <c r="G7041">
        <v>1</v>
      </c>
    </row>
    <row r="7042" spans="1:7" x14ac:dyDescent="0.25">
      <c r="A7042">
        <v>26</v>
      </c>
      <c r="B7042" t="s">
        <v>6922</v>
      </c>
      <c r="C7042">
        <v>16415</v>
      </c>
      <c r="D7042" t="str">
        <f>"0197-3533"</f>
        <v>0197-3533</v>
      </c>
      <c r="E7042" t="s">
        <v>8</v>
      </c>
      <c r="F7042" t="s">
        <v>7046</v>
      </c>
      <c r="G7042">
        <v>1</v>
      </c>
    </row>
    <row r="7043" spans="1:7" x14ac:dyDescent="0.25">
      <c r="A7043">
        <v>26</v>
      </c>
      <c r="B7043" t="s">
        <v>6922</v>
      </c>
      <c r="C7043">
        <v>2683</v>
      </c>
      <c r="D7043" t="str">
        <f>"1053-8348"</f>
        <v>1053-8348</v>
      </c>
      <c r="E7043" t="s">
        <v>8</v>
      </c>
      <c r="F7043" t="s">
        <v>7047</v>
      </c>
      <c r="G7043">
        <v>1</v>
      </c>
    </row>
    <row r="7044" spans="1:7" x14ac:dyDescent="0.25">
      <c r="A7044">
        <v>26</v>
      </c>
      <c r="B7044" t="s">
        <v>6922</v>
      </c>
      <c r="C7044">
        <v>12972</v>
      </c>
      <c r="D7044" t="str">
        <f>"0001-8244"</f>
        <v>0001-8244</v>
      </c>
      <c r="E7044" t="s">
        <v>8</v>
      </c>
      <c r="F7044" t="s">
        <v>7048</v>
      </c>
      <c r="G7044">
        <v>1</v>
      </c>
    </row>
    <row r="7045" spans="1:7" x14ac:dyDescent="0.25">
      <c r="A7045">
        <v>26</v>
      </c>
      <c r="B7045" t="s">
        <v>6922</v>
      </c>
      <c r="C7045">
        <v>14803</v>
      </c>
      <c r="D7045" t="str">
        <f>"0145-4455"</f>
        <v>0145-4455</v>
      </c>
      <c r="E7045" t="s">
        <v>8</v>
      </c>
      <c r="F7045" t="s">
        <v>7049</v>
      </c>
      <c r="G7045">
        <v>1</v>
      </c>
    </row>
    <row r="7046" spans="1:7" x14ac:dyDescent="0.25">
      <c r="A7046">
        <v>26</v>
      </c>
      <c r="B7046" t="s">
        <v>6922</v>
      </c>
      <c r="C7046">
        <v>17937</v>
      </c>
      <c r="D7046" t="str">
        <f>"1554-351X"</f>
        <v>1554-351X</v>
      </c>
      <c r="E7046" t="s">
        <v>8</v>
      </c>
      <c r="F7046" t="s">
        <v>7050</v>
      </c>
      <c r="G7046">
        <v>1</v>
      </c>
    </row>
    <row r="7047" spans="1:7" x14ac:dyDescent="0.25">
      <c r="A7047">
        <v>26</v>
      </c>
      <c r="B7047" t="s">
        <v>6922</v>
      </c>
      <c r="C7047">
        <v>4465</v>
      </c>
      <c r="D7047" t="str">
        <f>"0005-7894"</f>
        <v>0005-7894</v>
      </c>
      <c r="E7047" t="s">
        <v>8</v>
      </c>
      <c r="F7047" t="s">
        <v>7051</v>
      </c>
      <c r="G7047">
        <v>1</v>
      </c>
    </row>
    <row r="7048" spans="1:7" x14ac:dyDescent="0.25">
      <c r="A7048">
        <v>26</v>
      </c>
      <c r="B7048" t="s">
        <v>6922</v>
      </c>
      <c r="C7048">
        <v>11290</v>
      </c>
      <c r="D7048" t="str">
        <f>"0198-7429"</f>
        <v>0198-7429</v>
      </c>
      <c r="E7048" t="s">
        <v>8</v>
      </c>
      <c r="F7048" t="s">
        <v>7052</v>
      </c>
      <c r="G7048">
        <v>1</v>
      </c>
    </row>
    <row r="7049" spans="1:7" x14ac:dyDescent="0.25">
      <c r="A7049">
        <v>26</v>
      </c>
      <c r="B7049" t="s">
        <v>6922</v>
      </c>
      <c r="C7049">
        <v>10953</v>
      </c>
      <c r="D7049" t="str">
        <f>"1072-0847"</f>
        <v>1072-0847</v>
      </c>
      <c r="E7049" t="s">
        <v>8</v>
      </c>
      <c r="F7049" t="s">
        <v>7053</v>
      </c>
      <c r="G7049">
        <v>1</v>
      </c>
    </row>
    <row r="7050" spans="1:7" x14ac:dyDescent="0.25">
      <c r="A7050">
        <v>26</v>
      </c>
      <c r="B7050" t="s">
        <v>6922</v>
      </c>
      <c r="C7050">
        <v>7462</v>
      </c>
      <c r="D7050" t="str">
        <f>"0896-4289"</f>
        <v>0896-4289</v>
      </c>
      <c r="E7050" t="s">
        <v>8</v>
      </c>
      <c r="F7050" t="s">
        <v>7054</v>
      </c>
      <c r="G7050">
        <v>1</v>
      </c>
    </row>
    <row r="7051" spans="1:7" x14ac:dyDescent="0.25">
      <c r="A7051">
        <v>26</v>
      </c>
      <c r="B7051" t="s">
        <v>6922</v>
      </c>
      <c r="C7051">
        <v>3420</v>
      </c>
      <c r="D7051" t="str">
        <f>"0735-7044"</f>
        <v>0735-7044</v>
      </c>
      <c r="E7051" t="s">
        <v>8</v>
      </c>
      <c r="F7051" t="s">
        <v>7055</v>
      </c>
      <c r="G7051">
        <v>1</v>
      </c>
    </row>
    <row r="7052" spans="1:7" x14ac:dyDescent="0.25">
      <c r="A7052">
        <v>26</v>
      </c>
      <c r="B7052" t="s">
        <v>6922</v>
      </c>
      <c r="C7052">
        <v>14011</v>
      </c>
      <c r="D7052" t="str">
        <f>"0005-7959"</f>
        <v>0005-7959</v>
      </c>
      <c r="E7052" t="s">
        <v>8</v>
      </c>
      <c r="F7052" t="s">
        <v>7056</v>
      </c>
      <c r="G7052">
        <v>1</v>
      </c>
    </row>
    <row r="7053" spans="1:7" x14ac:dyDescent="0.25">
      <c r="A7053">
        <v>26</v>
      </c>
      <c r="B7053" t="s">
        <v>6922</v>
      </c>
      <c r="C7053">
        <v>8393</v>
      </c>
      <c r="D7053" t="str">
        <f>"0813-4839"</f>
        <v>0813-4839</v>
      </c>
      <c r="E7053" t="s">
        <v>8</v>
      </c>
      <c r="F7053" t="s">
        <v>7057</v>
      </c>
      <c r="G7053">
        <v>1</v>
      </c>
    </row>
    <row r="7054" spans="1:7" x14ac:dyDescent="0.25">
      <c r="A7054">
        <v>26</v>
      </c>
      <c r="B7054" t="s">
        <v>6922</v>
      </c>
      <c r="C7054">
        <v>563</v>
      </c>
      <c r="D7054" t="str">
        <f>"1352-4658"</f>
        <v>1352-4658</v>
      </c>
      <c r="E7054" t="s">
        <v>8</v>
      </c>
      <c r="F7054" t="s">
        <v>7058</v>
      </c>
      <c r="G7054">
        <v>1</v>
      </c>
    </row>
    <row r="7055" spans="1:7" x14ac:dyDescent="0.25">
      <c r="A7055">
        <v>26</v>
      </c>
      <c r="B7055" t="s">
        <v>6922</v>
      </c>
      <c r="C7055">
        <v>7724</v>
      </c>
      <c r="D7055" t="str">
        <f>"0166-4328"</f>
        <v>0166-4328</v>
      </c>
      <c r="E7055" t="s">
        <v>8</v>
      </c>
      <c r="F7055" t="s">
        <v>7059</v>
      </c>
      <c r="G7055">
        <v>1</v>
      </c>
    </row>
    <row r="7056" spans="1:7" x14ac:dyDescent="0.25">
      <c r="A7056">
        <v>26</v>
      </c>
      <c r="B7056" t="s">
        <v>6922</v>
      </c>
      <c r="C7056">
        <v>13031</v>
      </c>
      <c r="D7056" t="str">
        <f>"0376-6357"</f>
        <v>0376-6357</v>
      </c>
      <c r="E7056" t="s">
        <v>8</v>
      </c>
      <c r="F7056" t="s">
        <v>7060</v>
      </c>
      <c r="G7056">
        <v>1</v>
      </c>
    </row>
    <row r="7057" spans="1:7" x14ac:dyDescent="0.25">
      <c r="A7057">
        <v>26</v>
      </c>
      <c r="B7057" t="s">
        <v>6922</v>
      </c>
      <c r="C7057">
        <v>7745030</v>
      </c>
      <c r="E7057" t="s">
        <v>8</v>
      </c>
      <c r="F7057" t="s">
        <v>7061</v>
      </c>
      <c r="G7057">
        <v>1</v>
      </c>
    </row>
    <row r="7058" spans="1:7" x14ac:dyDescent="0.25">
      <c r="A7058">
        <v>26</v>
      </c>
      <c r="B7058" t="s">
        <v>6922</v>
      </c>
      <c r="C7058">
        <v>13133</v>
      </c>
      <c r="D7058" t="str">
        <f>"1740-1445"</f>
        <v>1740-1445</v>
      </c>
      <c r="E7058" t="s">
        <v>8</v>
      </c>
      <c r="F7058" t="s">
        <v>7062</v>
      </c>
      <c r="G7058">
        <v>1</v>
      </c>
    </row>
    <row r="7059" spans="1:7" x14ac:dyDescent="0.25">
      <c r="A7059">
        <v>26</v>
      </c>
      <c r="B7059" t="s">
        <v>6922</v>
      </c>
      <c r="C7059">
        <v>14573</v>
      </c>
      <c r="D7059" t="str">
        <f>"0144-6657"</f>
        <v>0144-6657</v>
      </c>
      <c r="E7059" t="s">
        <v>8</v>
      </c>
      <c r="F7059" t="s">
        <v>7063</v>
      </c>
      <c r="G7059">
        <v>1</v>
      </c>
    </row>
    <row r="7060" spans="1:7" x14ac:dyDescent="0.25">
      <c r="A7060">
        <v>26</v>
      </c>
      <c r="B7060" t="s">
        <v>6922</v>
      </c>
      <c r="C7060">
        <v>9061</v>
      </c>
      <c r="D7060" t="str">
        <f>"0261-510X"</f>
        <v>0261-510X</v>
      </c>
      <c r="E7060" t="s">
        <v>8</v>
      </c>
      <c r="F7060" t="s">
        <v>7064</v>
      </c>
      <c r="G7060">
        <v>1</v>
      </c>
    </row>
    <row r="7061" spans="1:7" x14ac:dyDescent="0.25">
      <c r="A7061">
        <v>26</v>
      </c>
      <c r="B7061" t="s">
        <v>6922</v>
      </c>
      <c r="C7061">
        <v>390</v>
      </c>
      <c r="D7061" t="str">
        <f>"0007-0998"</f>
        <v>0007-0998</v>
      </c>
      <c r="E7061" t="s">
        <v>8</v>
      </c>
      <c r="F7061" t="s">
        <v>7065</v>
      </c>
      <c r="G7061">
        <v>1</v>
      </c>
    </row>
    <row r="7062" spans="1:7" x14ac:dyDescent="0.25">
      <c r="A7062">
        <v>26</v>
      </c>
      <c r="B7062" t="s">
        <v>6922</v>
      </c>
      <c r="C7062">
        <v>9089</v>
      </c>
      <c r="D7062" t="str">
        <f>"0007-1102"</f>
        <v>0007-1102</v>
      </c>
      <c r="E7062" t="s">
        <v>8</v>
      </c>
      <c r="F7062" t="s">
        <v>7066</v>
      </c>
      <c r="G7062">
        <v>1</v>
      </c>
    </row>
    <row r="7063" spans="1:7" x14ac:dyDescent="0.25">
      <c r="A7063">
        <v>26</v>
      </c>
      <c r="B7063" t="s">
        <v>6922</v>
      </c>
      <c r="C7063">
        <v>5430</v>
      </c>
      <c r="D7063" t="str">
        <f>"0007-1269"</f>
        <v>0007-1269</v>
      </c>
      <c r="E7063" t="s">
        <v>8</v>
      </c>
      <c r="F7063" t="s">
        <v>7067</v>
      </c>
      <c r="G7063">
        <v>1</v>
      </c>
    </row>
    <row r="7064" spans="1:7" x14ac:dyDescent="0.25">
      <c r="A7064">
        <v>26</v>
      </c>
      <c r="B7064" t="s">
        <v>6922</v>
      </c>
      <c r="C7064">
        <v>23833</v>
      </c>
      <c r="D7064" t="str">
        <f>"0265-9883"</f>
        <v>0265-9883</v>
      </c>
      <c r="E7064" t="s">
        <v>8</v>
      </c>
      <c r="F7064" t="s">
        <v>7068</v>
      </c>
      <c r="G7064">
        <v>1</v>
      </c>
    </row>
    <row r="7065" spans="1:7" x14ac:dyDescent="0.25">
      <c r="A7065">
        <v>26</v>
      </c>
      <c r="B7065" t="s">
        <v>6922</v>
      </c>
      <c r="C7065">
        <v>7681</v>
      </c>
      <c r="D7065" t="str">
        <f>"0144-6665"</f>
        <v>0144-6665</v>
      </c>
      <c r="E7065" t="s">
        <v>8</v>
      </c>
      <c r="F7065" t="s">
        <v>7069</v>
      </c>
      <c r="G7065">
        <v>1</v>
      </c>
    </row>
    <row r="7066" spans="1:7" x14ac:dyDescent="0.25">
      <c r="A7066">
        <v>26</v>
      </c>
      <c r="B7066" t="s">
        <v>6922</v>
      </c>
      <c r="C7066">
        <v>6145565</v>
      </c>
      <c r="D7066" t="str">
        <f>"2040-5235"</f>
        <v>2040-5235</v>
      </c>
      <c r="E7066" t="s">
        <v>8</v>
      </c>
      <c r="F7066" t="s">
        <v>7070</v>
      </c>
      <c r="G7066">
        <v>1</v>
      </c>
    </row>
    <row r="7067" spans="1:7" x14ac:dyDescent="0.25">
      <c r="A7067">
        <v>26</v>
      </c>
      <c r="B7067" t="s">
        <v>6922</v>
      </c>
      <c r="C7067">
        <v>12205</v>
      </c>
      <c r="D7067" t="str">
        <f>"0025-9284"</f>
        <v>0025-9284</v>
      </c>
      <c r="E7067" t="s">
        <v>8</v>
      </c>
      <c r="F7067" t="s">
        <v>7071</v>
      </c>
      <c r="G7067">
        <v>1</v>
      </c>
    </row>
    <row r="7068" spans="1:7" x14ac:dyDescent="0.25">
      <c r="A7068">
        <v>26</v>
      </c>
      <c r="B7068" t="s">
        <v>6922</v>
      </c>
      <c r="C7068">
        <v>8783777</v>
      </c>
      <c r="E7068" t="s">
        <v>15</v>
      </c>
      <c r="F7068" t="s">
        <v>7072</v>
      </c>
      <c r="G7068">
        <v>1</v>
      </c>
    </row>
    <row r="7069" spans="1:7" x14ac:dyDescent="0.25">
      <c r="A7069">
        <v>26</v>
      </c>
      <c r="B7069" t="s">
        <v>6922</v>
      </c>
      <c r="C7069">
        <v>16738</v>
      </c>
      <c r="D7069" t="str">
        <f>"0008-400X"</f>
        <v>0008-400X</v>
      </c>
      <c r="E7069" t="s">
        <v>8</v>
      </c>
      <c r="F7069" t="s">
        <v>7073</v>
      </c>
      <c r="G7069">
        <v>1</v>
      </c>
    </row>
    <row r="7070" spans="1:7" x14ac:dyDescent="0.25">
      <c r="A7070">
        <v>26</v>
      </c>
      <c r="B7070" t="s">
        <v>6922</v>
      </c>
      <c r="C7070">
        <v>11479</v>
      </c>
      <c r="D7070" t="str">
        <f>"0713-3936"</f>
        <v>0713-3936</v>
      </c>
      <c r="E7070" t="s">
        <v>8</v>
      </c>
      <c r="F7070" t="s">
        <v>7074</v>
      </c>
      <c r="G7070">
        <v>1</v>
      </c>
    </row>
    <row r="7071" spans="1:7" x14ac:dyDescent="0.25">
      <c r="A7071">
        <v>26</v>
      </c>
      <c r="B7071" t="s">
        <v>6922</v>
      </c>
      <c r="C7071">
        <v>2675</v>
      </c>
      <c r="D7071" t="str">
        <f>"0828-3893"</f>
        <v>0828-3893</v>
      </c>
      <c r="E7071" t="s">
        <v>8</v>
      </c>
      <c r="F7071" t="s">
        <v>7075</v>
      </c>
      <c r="G7071">
        <v>1</v>
      </c>
    </row>
    <row r="7072" spans="1:7" x14ac:dyDescent="0.25">
      <c r="A7072">
        <v>26</v>
      </c>
      <c r="B7072" t="s">
        <v>6922</v>
      </c>
      <c r="C7072">
        <v>7418</v>
      </c>
      <c r="D7072" t="str">
        <f>"1196-1961"</f>
        <v>1196-1961</v>
      </c>
      <c r="E7072" t="s">
        <v>8</v>
      </c>
      <c r="F7072" t="s">
        <v>7076</v>
      </c>
      <c r="G7072">
        <v>1</v>
      </c>
    </row>
    <row r="7073" spans="1:7" x14ac:dyDescent="0.25">
      <c r="A7073">
        <v>26</v>
      </c>
      <c r="B7073" t="s">
        <v>6922</v>
      </c>
      <c r="C7073">
        <v>9414</v>
      </c>
      <c r="D7073" t="str">
        <f>"1188-4517"</f>
        <v>1188-4517</v>
      </c>
      <c r="E7073" t="s">
        <v>8</v>
      </c>
      <c r="F7073" t="s">
        <v>7077</v>
      </c>
      <c r="G7073">
        <v>1</v>
      </c>
    </row>
    <row r="7074" spans="1:7" x14ac:dyDescent="0.25">
      <c r="A7074">
        <v>26</v>
      </c>
      <c r="B7074" t="s">
        <v>6922</v>
      </c>
      <c r="C7074">
        <v>14092</v>
      </c>
      <c r="D7074" t="str">
        <f>"0834-1516"</f>
        <v>0834-1516</v>
      </c>
      <c r="E7074" t="s">
        <v>8</v>
      </c>
      <c r="F7074" t="s">
        <v>7078</v>
      </c>
      <c r="G7074">
        <v>1</v>
      </c>
    </row>
    <row r="7075" spans="1:7" x14ac:dyDescent="0.25">
      <c r="A7075">
        <v>26</v>
      </c>
      <c r="B7075" t="s">
        <v>6922</v>
      </c>
      <c r="C7075">
        <v>208</v>
      </c>
      <c r="D7075" t="str">
        <f>"0829-5735"</f>
        <v>0829-5735</v>
      </c>
      <c r="E7075" t="s">
        <v>8</v>
      </c>
      <c r="F7075" t="s">
        <v>7079</v>
      </c>
      <c r="G7075">
        <v>1</v>
      </c>
    </row>
    <row r="7076" spans="1:7" x14ac:dyDescent="0.25">
      <c r="A7076">
        <v>26</v>
      </c>
      <c r="B7076" t="s">
        <v>6922</v>
      </c>
      <c r="C7076">
        <v>8994</v>
      </c>
      <c r="D7076" t="str">
        <f>"0708-5591"</f>
        <v>0708-5591</v>
      </c>
      <c r="E7076" t="s">
        <v>8</v>
      </c>
      <c r="F7076" t="s">
        <v>7080</v>
      </c>
      <c r="G7076">
        <v>1</v>
      </c>
    </row>
    <row r="7077" spans="1:7" x14ac:dyDescent="0.25">
      <c r="A7077">
        <v>26</v>
      </c>
      <c r="B7077" t="s">
        <v>6922</v>
      </c>
      <c r="C7077">
        <v>526</v>
      </c>
      <c r="D7077" t="str">
        <f>"2165-1434"</f>
        <v>2165-1434</v>
      </c>
      <c r="E7077" t="s">
        <v>8</v>
      </c>
      <c r="F7077" t="s">
        <v>7081</v>
      </c>
      <c r="G7077">
        <v>1</v>
      </c>
    </row>
    <row r="7078" spans="1:7" x14ac:dyDescent="0.25">
      <c r="A7078">
        <v>26</v>
      </c>
      <c r="B7078" t="s">
        <v>6922</v>
      </c>
      <c r="C7078">
        <v>15962</v>
      </c>
      <c r="D7078" t="str">
        <f>"0731-7107"</f>
        <v>0731-7107</v>
      </c>
      <c r="E7078" t="s">
        <v>8</v>
      </c>
      <c r="F7078" t="s">
        <v>7082</v>
      </c>
      <c r="G7078">
        <v>1</v>
      </c>
    </row>
    <row r="7079" spans="1:7" x14ac:dyDescent="0.25">
      <c r="A7079">
        <v>26</v>
      </c>
      <c r="B7079" t="s">
        <v>6922</v>
      </c>
      <c r="C7079">
        <v>26119</v>
      </c>
      <c r="D7079" t="str">
        <f>"1750-8592"</f>
        <v>1750-8592</v>
      </c>
      <c r="E7079" t="s">
        <v>8</v>
      </c>
      <c r="F7079" t="s">
        <v>7083</v>
      </c>
      <c r="G7079">
        <v>1</v>
      </c>
    </row>
    <row r="7080" spans="1:7" x14ac:dyDescent="0.25">
      <c r="A7080">
        <v>26</v>
      </c>
      <c r="B7080" t="s">
        <v>6922</v>
      </c>
      <c r="C7080">
        <v>7713036</v>
      </c>
      <c r="D7080" t="str">
        <f>"2090-3987"</f>
        <v>2090-3987</v>
      </c>
      <c r="E7080" t="s">
        <v>8</v>
      </c>
      <c r="F7080" t="s">
        <v>7084</v>
      </c>
      <c r="G7080">
        <v>1</v>
      </c>
    </row>
    <row r="7081" spans="1:7" x14ac:dyDescent="0.25">
      <c r="A7081">
        <v>26</v>
      </c>
      <c r="B7081" t="s">
        <v>6922</v>
      </c>
      <c r="C7081">
        <v>13504</v>
      </c>
      <c r="D7081" t="str">
        <f>"0009-398X"</f>
        <v>0009-398X</v>
      </c>
      <c r="E7081" t="s">
        <v>8</v>
      </c>
      <c r="F7081" t="s">
        <v>7085</v>
      </c>
      <c r="G7081">
        <v>1</v>
      </c>
    </row>
    <row r="7082" spans="1:7" x14ac:dyDescent="0.25">
      <c r="A7082">
        <v>26</v>
      </c>
      <c r="B7082" t="s">
        <v>6922</v>
      </c>
      <c r="C7082">
        <v>373</v>
      </c>
      <c r="D7082" t="str">
        <f>"0305-1862"</f>
        <v>0305-1862</v>
      </c>
      <c r="E7082" t="s">
        <v>8</v>
      </c>
      <c r="F7082" t="s">
        <v>7086</v>
      </c>
      <c r="G7082">
        <v>1</v>
      </c>
    </row>
    <row r="7083" spans="1:7" x14ac:dyDescent="0.25">
      <c r="A7083">
        <v>26</v>
      </c>
      <c r="B7083" t="s">
        <v>6922</v>
      </c>
      <c r="C7083">
        <v>180079</v>
      </c>
      <c r="D7083" t="str">
        <f>"2167-7026"</f>
        <v>2167-7026</v>
      </c>
      <c r="E7083" t="s">
        <v>8</v>
      </c>
      <c r="F7083" t="s">
        <v>7087</v>
      </c>
      <c r="G7083">
        <v>1</v>
      </c>
    </row>
    <row r="7084" spans="1:7" x14ac:dyDescent="0.25">
      <c r="A7084">
        <v>26</v>
      </c>
      <c r="B7084" t="s">
        <v>6922</v>
      </c>
      <c r="C7084">
        <v>4005</v>
      </c>
      <c r="D7084" t="str">
        <f>"1328-4207"</f>
        <v>1328-4207</v>
      </c>
      <c r="E7084" t="s">
        <v>8</v>
      </c>
      <c r="F7084" t="s">
        <v>7088</v>
      </c>
      <c r="G7084">
        <v>1</v>
      </c>
    </row>
    <row r="7085" spans="1:7" x14ac:dyDescent="0.25">
      <c r="A7085">
        <v>26</v>
      </c>
      <c r="B7085" t="s">
        <v>6922</v>
      </c>
      <c r="C7085">
        <v>3811</v>
      </c>
      <c r="D7085" t="str">
        <f>"1063-3995"</f>
        <v>1063-3995</v>
      </c>
      <c r="E7085" t="s">
        <v>8</v>
      </c>
      <c r="F7085" t="s">
        <v>7089</v>
      </c>
      <c r="G7085">
        <v>1</v>
      </c>
    </row>
    <row r="7086" spans="1:7" x14ac:dyDescent="0.25">
      <c r="A7086">
        <v>26</v>
      </c>
      <c r="B7086" t="s">
        <v>6922</v>
      </c>
      <c r="C7086">
        <v>12349</v>
      </c>
      <c r="D7086" t="str">
        <f>"0969-5893"</f>
        <v>0969-5893</v>
      </c>
      <c r="E7086" t="s">
        <v>8</v>
      </c>
      <c r="F7086" t="s">
        <v>7090</v>
      </c>
      <c r="G7086">
        <v>1</v>
      </c>
    </row>
    <row r="7087" spans="1:7" x14ac:dyDescent="0.25">
      <c r="A7087">
        <v>26</v>
      </c>
      <c r="B7087" t="s">
        <v>6922</v>
      </c>
      <c r="C7087">
        <v>18100</v>
      </c>
      <c r="D7087" t="str">
        <f>"1740-7745"</f>
        <v>1740-7745</v>
      </c>
      <c r="E7087" t="s">
        <v>8</v>
      </c>
      <c r="F7087" t="s">
        <v>7091</v>
      </c>
      <c r="G7087">
        <v>1</v>
      </c>
    </row>
    <row r="7088" spans="1:7" x14ac:dyDescent="0.25">
      <c r="A7088">
        <v>26</v>
      </c>
      <c r="B7088" t="s">
        <v>6922</v>
      </c>
      <c r="C7088">
        <v>8783778</v>
      </c>
      <c r="E7088" t="s">
        <v>15</v>
      </c>
      <c r="F7088" t="s">
        <v>7092</v>
      </c>
      <c r="G7088">
        <v>1</v>
      </c>
    </row>
    <row r="7089" spans="1:7" x14ac:dyDescent="0.25">
      <c r="A7089">
        <v>26</v>
      </c>
      <c r="B7089" t="s">
        <v>6922</v>
      </c>
      <c r="C7089">
        <v>11775</v>
      </c>
      <c r="D7089" t="str">
        <f>"1077-7229"</f>
        <v>1077-7229</v>
      </c>
      <c r="E7089" t="s">
        <v>8</v>
      </c>
      <c r="F7089" t="s">
        <v>7093</v>
      </c>
      <c r="G7089">
        <v>1</v>
      </c>
    </row>
    <row r="7090" spans="1:7" x14ac:dyDescent="0.25">
      <c r="A7090">
        <v>26</v>
      </c>
      <c r="B7090" t="s">
        <v>6922</v>
      </c>
      <c r="C7090">
        <v>15563</v>
      </c>
      <c r="D7090" t="str">
        <f>"1650-6073"</f>
        <v>1650-6073</v>
      </c>
      <c r="E7090" t="s">
        <v>8</v>
      </c>
      <c r="F7090" t="s">
        <v>7094</v>
      </c>
      <c r="G7090">
        <v>1</v>
      </c>
    </row>
    <row r="7091" spans="1:7" x14ac:dyDescent="0.25">
      <c r="A7091">
        <v>26</v>
      </c>
      <c r="B7091" t="s">
        <v>6922</v>
      </c>
      <c r="C7091">
        <v>12301</v>
      </c>
      <c r="D7091" t="str">
        <f>"0885-2014"</f>
        <v>0885-2014</v>
      </c>
      <c r="E7091" t="s">
        <v>8</v>
      </c>
      <c r="F7091" t="s">
        <v>7095</v>
      </c>
      <c r="G7091">
        <v>1</v>
      </c>
    </row>
    <row r="7092" spans="1:7" x14ac:dyDescent="0.25">
      <c r="A7092">
        <v>26</v>
      </c>
      <c r="B7092" t="s">
        <v>6922</v>
      </c>
      <c r="C7092">
        <v>24796</v>
      </c>
      <c r="D7092" t="str">
        <f>"1612-4782"</f>
        <v>1612-4782</v>
      </c>
      <c r="E7092" t="s">
        <v>8</v>
      </c>
      <c r="F7092" t="s">
        <v>7096</v>
      </c>
      <c r="G7092">
        <v>1</v>
      </c>
    </row>
    <row r="7093" spans="1:7" x14ac:dyDescent="0.25">
      <c r="A7093">
        <v>26</v>
      </c>
      <c r="B7093" t="s">
        <v>6922</v>
      </c>
      <c r="C7093">
        <v>8782780</v>
      </c>
      <c r="D7093" t="str">
        <f>"2195-3988"</f>
        <v>2195-3988</v>
      </c>
      <c r="E7093" t="s">
        <v>15</v>
      </c>
      <c r="F7093" t="s">
        <v>7097</v>
      </c>
      <c r="G7093">
        <v>1</v>
      </c>
    </row>
    <row r="7094" spans="1:7" x14ac:dyDescent="0.25">
      <c r="A7094">
        <v>26</v>
      </c>
      <c r="B7094" t="s">
        <v>6922</v>
      </c>
      <c r="C7094">
        <v>4270</v>
      </c>
      <c r="D7094" t="str">
        <f>"2214-4366"</f>
        <v>2214-4366</v>
      </c>
      <c r="E7094" t="s">
        <v>8</v>
      </c>
      <c r="F7094" t="s">
        <v>7098</v>
      </c>
      <c r="G7094">
        <v>1</v>
      </c>
    </row>
    <row r="7095" spans="1:7" x14ac:dyDescent="0.25">
      <c r="A7095">
        <v>26</v>
      </c>
      <c r="B7095" t="s">
        <v>6922</v>
      </c>
      <c r="C7095">
        <v>872</v>
      </c>
      <c r="D7095" t="str">
        <f>"0147-5916"</f>
        <v>0147-5916</v>
      </c>
      <c r="E7095" t="s">
        <v>8</v>
      </c>
      <c r="F7095" t="s">
        <v>7099</v>
      </c>
      <c r="G7095">
        <v>1</v>
      </c>
    </row>
    <row r="7096" spans="1:7" x14ac:dyDescent="0.25">
      <c r="A7096">
        <v>26</v>
      </c>
      <c r="B7096" t="s">
        <v>6922</v>
      </c>
      <c r="C7096">
        <v>7221</v>
      </c>
      <c r="D7096" t="str">
        <f>"1530-7026"</f>
        <v>1530-7026</v>
      </c>
      <c r="E7096" t="s">
        <v>8</v>
      </c>
      <c r="F7096" t="s">
        <v>7100</v>
      </c>
      <c r="G7096">
        <v>1</v>
      </c>
    </row>
    <row r="7097" spans="1:7" x14ac:dyDescent="0.25">
      <c r="A7097">
        <v>26</v>
      </c>
      <c r="B7097" t="s">
        <v>6922</v>
      </c>
      <c r="C7097">
        <v>15169</v>
      </c>
      <c r="D7097" t="str">
        <f>"1525-7401"</f>
        <v>1525-7401</v>
      </c>
      <c r="E7097" t="s">
        <v>8</v>
      </c>
      <c r="F7097" t="s">
        <v>7101</v>
      </c>
      <c r="G7097">
        <v>1</v>
      </c>
    </row>
    <row r="7098" spans="1:7" x14ac:dyDescent="0.25">
      <c r="A7098">
        <v>26</v>
      </c>
      <c r="B7098" t="s">
        <v>6922</v>
      </c>
      <c r="C7098">
        <v>1121</v>
      </c>
      <c r="D7098" t="str">
        <f>"0010-3853"</f>
        <v>0010-3853</v>
      </c>
      <c r="E7098" t="s">
        <v>8</v>
      </c>
      <c r="F7098" t="s">
        <v>7102</v>
      </c>
      <c r="G7098">
        <v>1</v>
      </c>
    </row>
    <row r="7099" spans="1:7" x14ac:dyDescent="0.25">
      <c r="A7099">
        <v>26</v>
      </c>
      <c r="B7099" t="s">
        <v>6922</v>
      </c>
      <c r="C7099">
        <v>2826</v>
      </c>
      <c r="D7099" t="str">
        <f>"2352-099X"</f>
        <v>2352-099X</v>
      </c>
      <c r="E7099" t="s">
        <v>15</v>
      </c>
      <c r="F7099" t="s">
        <v>7103</v>
      </c>
      <c r="G7099">
        <v>1</v>
      </c>
    </row>
    <row r="7100" spans="1:7" x14ac:dyDescent="0.25">
      <c r="A7100">
        <v>26</v>
      </c>
      <c r="B7100" t="s">
        <v>6922</v>
      </c>
      <c r="C7100">
        <v>76015</v>
      </c>
      <c r="D7100" t="str">
        <f>"1065-9293"</f>
        <v>1065-9293</v>
      </c>
      <c r="E7100" t="s">
        <v>8</v>
      </c>
      <c r="F7100" t="s">
        <v>7104</v>
      </c>
      <c r="G7100">
        <v>1</v>
      </c>
    </row>
    <row r="7101" spans="1:7" x14ac:dyDescent="0.25">
      <c r="A7101">
        <v>26</v>
      </c>
      <c r="B7101" t="s">
        <v>6922</v>
      </c>
      <c r="C7101">
        <v>2772</v>
      </c>
      <c r="D7101" t="str">
        <f>"0091-4509"</f>
        <v>0091-4509</v>
      </c>
      <c r="E7101" t="s">
        <v>8</v>
      </c>
      <c r="F7101" t="s">
        <v>7105</v>
      </c>
      <c r="G7101">
        <v>1</v>
      </c>
    </row>
    <row r="7102" spans="1:7" x14ac:dyDescent="0.25">
      <c r="A7102">
        <v>26</v>
      </c>
      <c r="B7102" t="s">
        <v>6922</v>
      </c>
      <c r="C7102">
        <v>13619</v>
      </c>
      <c r="D7102" t="str">
        <f>"0892-2764"</f>
        <v>0892-2764</v>
      </c>
      <c r="E7102" t="s">
        <v>8</v>
      </c>
      <c r="F7102" t="s">
        <v>7106</v>
      </c>
      <c r="G7102">
        <v>1</v>
      </c>
    </row>
    <row r="7103" spans="1:7" x14ac:dyDescent="0.25">
      <c r="A7103">
        <v>26</v>
      </c>
      <c r="B7103" t="s">
        <v>6922</v>
      </c>
      <c r="C7103">
        <v>11044</v>
      </c>
      <c r="D7103" t="str">
        <f>"2049-2146"</f>
        <v>2049-2146</v>
      </c>
      <c r="E7103" t="s">
        <v>8</v>
      </c>
      <c r="F7103" t="s">
        <v>7107</v>
      </c>
      <c r="G7103">
        <v>1</v>
      </c>
    </row>
    <row r="7104" spans="1:7" x14ac:dyDescent="0.25">
      <c r="A7104">
        <v>26</v>
      </c>
      <c r="B7104" t="s">
        <v>6922</v>
      </c>
      <c r="C7104">
        <v>13574</v>
      </c>
      <c r="D7104" t="str">
        <f>"0010-7530"</f>
        <v>0010-7530</v>
      </c>
      <c r="E7104" t="s">
        <v>8</v>
      </c>
      <c r="F7104" t="s">
        <v>7108</v>
      </c>
      <c r="G7104">
        <v>1</v>
      </c>
    </row>
    <row r="7105" spans="1:7" x14ac:dyDescent="0.25">
      <c r="A7105">
        <v>26</v>
      </c>
      <c r="B7105" t="s">
        <v>6922</v>
      </c>
      <c r="C7105">
        <v>8276</v>
      </c>
      <c r="D7105" t="str">
        <f>"0160-7960"</f>
        <v>0160-7960</v>
      </c>
      <c r="E7105" t="s">
        <v>8</v>
      </c>
      <c r="F7105" t="s">
        <v>7109</v>
      </c>
      <c r="G7105">
        <v>1</v>
      </c>
    </row>
    <row r="7106" spans="1:7" x14ac:dyDescent="0.25">
      <c r="A7106">
        <v>26</v>
      </c>
      <c r="B7106" t="s">
        <v>6922</v>
      </c>
      <c r="C7106">
        <v>1995</v>
      </c>
      <c r="D7106" t="str">
        <f>"1473-3145"</f>
        <v>1473-3145</v>
      </c>
      <c r="E7106" t="s">
        <v>8</v>
      </c>
      <c r="F7106" t="s">
        <v>7110</v>
      </c>
      <c r="G7106">
        <v>1</v>
      </c>
    </row>
    <row r="7107" spans="1:7" x14ac:dyDescent="0.25">
      <c r="A7107">
        <v>26</v>
      </c>
      <c r="B7107" t="s">
        <v>6922</v>
      </c>
      <c r="C7107">
        <v>2686</v>
      </c>
      <c r="D7107" t="str">
        <f>"0951-5070"</f>
        <v>0951-5070</v>
      </c>
      <c r="E7107" t="s">
        <v>8</v>
      </c>
      <c r="F7107" t="s">
        <v>7111</v>
      </c>
      <c r="G7107">
        <v>1</v>
      </c>
    </row>
    <row r="7108" spans="1:7" x14ac:dyDescent="0.25">
      <c r="A7108">
        <v>26</v>
      </c>
      <c r="B7108" t="s">
        <v>6922</v>
      </c>
      <c r="C7108">
        <v>8782781</v>
      </c>
      <c r="D7108" t="str">
        <f>"2509-5781"</f>
        <v>2509-5781</v>
      </c>
      <c r="E7108" t="s">
        <v>15</v>
      </c>
      <c r="F7108" t="s">
        <v>7112</v>
      </c>
      <c r="G7108">
        <v>1</v>
      </c>
    </row>
    <row r="7109" spans="1:7" x14ac:dyDescent="0.25">
      <c r="A7109">
        <v>26</v>
      </c>
      <c r="B7109" t="s">
        <v>6922</v>
      </c>
      <c r="C7109">
        <v>768</v>
      </c>
      <c r="D7109" t="str">
        <f>"0093-8548"</f>
        <v>0093-8548</v>
      </c>
      <c r="E7109" t="s">
        <v>8</v>
      </c>
      <c r="F7109" t="s">
        <v>7113</v>
      </c>
      <c r="G7109">
        <v>1</v>
      </c>
    </row>
    <row r="7110" spans="1:7" x14ac:dyDescent="0.25">
      <c r="A7110">
        <v>26</v>
      </c>
      <c r="B7110" t="s">
        <v>6922</v>
      </c>
      <c r="C7110">
        <v>11685</v>
      </c>
      <c r="D7110" t="str">
        <f>"1099-9809"</f>
        <v>1099-9809</v>
      </c>
      <c r="E7110" t="s">
        <v>8</v>
      </c>
      <c r="F7110" t="s">
        <v>7114</v>
      </c>
      <c r="G7110">
        <v>1</v>
      </c>
    </row>
    <row r="7111" spans="1:7" x14ac:dyDescent="0.25">
      <c r="A7111">
        <v>26</v>
      </c>
      <c r="B7111" t="s">
        <v>6922</v>
      </c>
      <c r="C7111">
        <v>8782714</v>
      </c>
      <c r="E7111" t="s">
        <v>15</v>
      </c>
      <c r="F7111" t="s">
        <v>7115</v>
      </c>
      <c r="G7111">
        <v>1</v>
      </c>
    </row>
    <row r="7112" spans="1:7" x14ac:dyDescent="0.25">
      <c r="A7112">
        <v>26</v>
      </c>
      <c r="B7112" t="s">
        <v>6922</v>
      </c>
      <c r="C7112">
        <v>8782477</v>
      </c>
      <c r="D7112" t="str">
        <f>"2364-6780"</f>
        <v>2364-6780</v>
      </c>
      <c r="E7112" t="s">
        <v>15</v>
      </c>
      <c r="F7112" t="s">
        <v>7116</v>
      </c>
      <c r="G7112">
        <v>1</v>
      </c>
    </row>
    <row r="7113" spans="1:7" x14ac:dyDescent="0.25">
      <c r="A7113">
        <v>26</v>
      </c>
      <c r="B7113" t="s">
        <v>6922</v>
      </c>
      <c r="C7113">
        <v>9102</v>
      </c>
      <c r="D7113" t="str">
        <f>"1816-5435"</f>
        <v>1816-5435</v>
      </c>
      <c r="E7113" t="s">
        <v>8</v>
      </c>
      <c r="F7113" t="s">
        <v>7117</v>
      </c>
      <c r="G7113">
        <v>1</v>
      </c>
    </row>
    <row r="7114" spans="1:7" x14ac:dyDescent="0.25">
      <c r="A7114">
        <v>26</v>
      </c>
      <c r="B7114" t="s">
        <v>6922</v>
      </c>
      <c r="C7114">
        <v>7756074</v>
      </c>
      <c r="E7114" t="s">
        <v>8</v>
      </c>
      <c r="F7114" t="s">
        <v>7118</v>
      </c>
      <c r="G7114">
        <v>1</v>
      </c>
    </row>
    <row r="7115" spans="1:7" x14ac:dyDescent="0.25">
      <c r="A7115">
        <v>26</v>
      </c>
      <c r="B7115" t="s">
        <v>6922</v>
      </c>
      <c r="C7115">
        <v>10028</v>
      </c>
      <c r="D7115" t="str">
        <f>"0963-7214"</f>
        <v>0963-7214</v>
      </c>
      <c r="E7115" t="s">
        <v>8</v>
      </c>
      <c r="F7115" t="s">
        <v>7119</v>
      </c>
      <c r="G7115">
        <v>1</v>
      </c>
    </row>
    <row r="7116" spans="1:7" x14ac:dyDescent="0.25">
      <c r="A7116">
        <v>26</v>
      </c>
      <c r="B7116" t="s">
        <v>6922</v>
      </c>
      <c r="C7116">
        <v>8783779</v>
      </c>
      <c r="E7116" t="s">
        <v>15</v>
      </c>
      <c r="F7116" t="s">
        <v>7120</v>
      </c>
      <c r="G7116">
        <v>1</v>
      </c>
    </row>
    <row r="7117" spans="1:7" x14ac:dyDescent="0.25">
      <c r="A7117">
        <v>26</v>
      </c>
      <c r="B7117" t="s">
        <v>6922</v>
      </c>
      <c r="C7117">
        <v>8774773</v>
      </c>
      <c r="D7117" t="str">
        <f>"2352-250X"</f>
        <v>2352-250X</v>
      </c>
      <c r="E7117" t="s">
        <v>8</v>
      </c>
      <c r="F7117" t="s">
        <v>7121</v>
      </c>
      <c r="G7117">
        <v>1</v>
      </c>
    </row>
    <row r="7118" spans="1:7" x14ac:dyDescent="0.25">
      <c r="A7118">
        <v>26</v>
      </c>
      <c r="B7118" t="s">
        <v>6922</v>
      </c>
      <c r="C7118">
        <v>3682</v>
      </c>
      <c r="D7118" t="str">
        <f>"1046-1310"</f>
        <v>1046-1310</v>
      </c>
      <c r="E7118" t="s">
        <v>8</v>
      </c>
      <c r="F7118" t="s">
        <v>7122</v>
      </c>
      <c r="G7118">
        <v>1</v>
      </c>
    </row>
    <row r="7119" spans="1:7" x14ac:dyDescent="0.25">
      <c r="A7119">
        <v>26</v>
      </c>
      <c r="B7119" t="s">
        <v>6922</v>
      </c>
      <c r="C7119">
        <v>3771</v>
      </c>
      <c r="E7119" t="s">
        <v>8</v>
      </c>
      <c r="F7119" t="s">
        <v>7123</v>
      </c>
      <c r="G7119">
        <v>1</v>
      </c>
    </row>
    <row r="7120" spans="1:7" x14ac:dyDescent="0.25">
      <c r="A7120">
        <v>26</v>
      </c>
      <c r="B7120" t="s">
        <v>6922</v>
      </c>
      <c r="C7120">
        <v>9475</v>
      </c>
      <c r="D7120" t="str">
        <f>"2152-2715"</f>
        <v>2152-2715</v>
      </c>
      <c r="E7120" t="s">
        <v>8</v>
      </c>
      <c r="F7120" t="s">
        <v>7124</v>
      </c>
      <c r="G7120">
        <v>1</v>
      </c>
    </row>
    <row r="7121" spans="1:7" x14ac:dyDescent="0.25">
      <c r="A7121">
        <v>26</v>
      </c>
      <c r="B7121" t="s">
        <v>6922</v>
      </c>
      <c r="C7121">
        <v>5251</v>
      </c>
      <c r="D7121" t="str">
        <f>"0748-1187"</f>
        <v>0748-1187</v>
      </c>
      <c r="E7121" t="s">
        <v>8</v>
      </c>
      <c r="F7121" t="s">
        <v>7125</v>
      </c>
      <c r="G7121">
        <v>1</v>
      </c>
    </row>
    <row r="7122" spans="1:7" x14ac:dyDescent="0.25">
      <c r="A7122">
        <v>26</v>
      </c>
      <c r="B7122" t="s">
        <v>6922</v>
      </c>
      <c r="C7122">
        <v>180078</v>
      </c>
      <c r="D7122" t="str">
        <f>"2161-9107"</f>
        <v>2161-9107</v>
      </c>
      <c r="E7122" t="s">
        <v>8</v>
      </c>
      <c r="F7122" t="s">
        <v>7126</v>
      </c>
      <c r="G7122">
        <v>1</v>
      </c>
    </row>
    <row r="7123" spans="1:7" x14ac:dyDescent="0.25">
      <c r="A7123">
        <v>26</v>
      </c>
      <c r="B7123" t="s">
        <v>6922</v>
      </c>
      <c r="C7123">
        <v>7875</v>
      </c>
      <c r="D7123" t="str">
        <f>"8756-5641"</f>
        <v>8756-5641</v>
      </c>
      <c r="E7123" t="s">
        <v>8</v>
      </c>
      <c r="F7123" t="s">
        <v>7127</v>
      </c>
      <c r="G7123">
        <v>1</v>
      </c>
    </row>
    <row r="7124" spans="1:7" x14ac:dyDescent="0.25">
      <c r="A7124">
        <v>26</v>
      </c>
      <c r="B7124" t="s">
        <v>6922</v>
      </c>
      <c r="C7124">
        <v>3462</v>
      </c>
      <c r="D7124" t="str">
        <f>"0273-2297"</f>
        <v>0273-2297</v>
      </c>
      <c r="E7124" t="s">
        <v>8</v>
      </c>
      <c r="F7124" t="s">
        <v>7128</v>
      </c>
      <c r="G7124">
        <v>1</v>
      </c>
    </row>
    <row r="7125" spans="1:7" x14ac:dyDescent="0.25">
      <c r="A7125">
        <v>26</v>
      </c>
      <c r="B7125" t="s">
        <v>6922</v>
      </c>
      <c r="C7125">
        <v>8626</v>
      </c>
      <c r="D7125" t="str">
        <f>"0163-9625"</f>
        <v>0163-9625</v>
      </c>
      <c r="E7125" t="s">
        <v>8</v>
      </c>
      <c r="F7125" t="s">
        <v>7129</v>
      </c>
      <c r="G7125">
        <v>1</v>
      </c>
    </row>
    <row r="7126" spans="1:7" x14ac:dyDescent="0.25">
      <c r="A7126">
        <v>26</v>
      </c>
      <c r="B7126" t="s">
        <v>6922</v>
      </c>
      <c r="C7126">
        <v>15884</v>
      </c>
      <c r="D7126" t="str">
        <f>"0012-1924"</f>
        <v>0012-1924</v>
      </c>
      <c r="E7126" t="s">
        <v>8</v>
      </c>
      <c r="F7126" t="s">
        <v>7130</v>
      </c>
      <c r="G7126">
        <v>1</v>
      </c>
    </row>
    <row r="7127" spans="1:7" x14ac:dyDescent="0.25">
      <c r="A7127">
        <v>26</v>
      </c>
      <c r="B7127" t="s">
        <v>6922</v>
      </c>
      <c r="C7127">
        <v>7396</v>
      </c>
      <c r="D7127" t="str">
        <f>"1053-0797"</f>
        <v>1053-0797</v>
      </c>
      <c r="E7127" t="s">
        <v>8</v>
      </c>
      <c r="F7127" t="s">
        <v>7131</v>
      </c>
      <c r="G7127">
        <v>1</v>
      </c>
    </row>
    <row r="7128" spans="1:7" x14ac:dyDescent="0.25">
      <c r="A7128">
        <v>26</v>
      </c>
      <c r="B7128" t="s">
        <v>6922</v>
      </c>
      <c r="C7128">
        <v>7161</v>
      </c>
      <c r="D7128" t="str">
        <f>"0959-5236"</f>
        <v>0959-5236</v>
      </c>
      <c r="E7128" t="s">
        <v>8</v>
      </c>
      <c r="F7128" t="s">
        <v>7132</v>
      </c>
      <c r="G7128">
        <v>1</v>
      </c>
    </row>
    <row r="7129" spans="1:7" x14ac:dyDescent="0.25">
      <c r="A7129">
        <v>26</v>
      </c>
      <c r="B7129" t="s">
        <v>6922</v>
      </c>
      <c r="C7129">
        <v>10781</v>
      </c>
      <c r="D7129" t="str">
        <f>"0968-7637"</f>
        <v>0968-7637</v>
      </c>
      <c r="E7129" t="s">
        <v>8</v>
      </c>
      <c r="F7129" t="s">
        <v>7133</v>
      </c>
      <c r="G7129">
        <v>1</v>
      </c>
    </row>
    <row r="7130" spans="1:7" x14ac:dyDescent="0.25">
      <c r="A7130">
        <v>26</v>
      </c>
      <c r="B7130" t="s">
        <v>6922</v>
      </c>
      <c r="C7130">
        <v>6145</v>
      </c>
      <c r="E7130" t="s">
        <v>8</v>
      </c>
      <c r="F7130" t="s">
        <v>7134</v>
      </c>
      <c r="G7130">
        <v>1</v>
      </c>
    </row>
    <row r="7131" spans="1:7" x14ac:dyDescent="0.25">
      <c r="A7131">
        <v>26</v>
      </c>
      <c r="B7131" t="s">
        <v>6922</v>
      </c>
      <c r="C7131">
        <v>7363</v>
      </c>
      <c r="D7131" t="str">
        <f>"1040-7413"</f>
        <v>1040-7413</v>
      </c>
      <c r="E7131" t="s">
        <v>8</v>
      </c>
      <c r="F7131" t="s">
        <v>7135</v>
      </c>
      <c r="G7131">
        <v>1</v>
      </c>
    </row>
    <row r="7132" spans="1:7" x14ac:dyDescent="0.25">
      <c r="A7132">
        <v>26</v>
      </c>
      <c r="B7132" t="s">
        <v>6922</v>
      </c>
      <c r="C7132">
        <v>9416</v>
      </c>
      <c r="D7132" t="str">
        <f>"0266-7363"</f>
        <v>0266-7363</v>
      </c>
      <c r="E7132" t="s">
        <v>8</v>
      </c>
      <c r="F7132" t="s">
        <v>7136</v>
      </c>
      <c r="G7132">
        <v>1</v>
      </c>
    </row>
    <row r="7133" spans="1:7" x14ac:dyDescent="0.25">
      <c r="A7133">
        <v>26</v>
      </c>
      <c r="B7133" t="s">
        <v>6922</v>
      </c>
      <c r="C7133">
        <v>1588</v>
      </c>
      <c r="D7133" t="str">
        <f>"1040-726X"</f>
        <v>1040-726X</v>
      </c>
      <c r="E7133" t="s">
        <v>8</v>
      </c>
      <c r="F7133" t="s">
        <v>7137</v>
      </c>
      <c r="G7133">
        <v>1</v>
      </c>
    </row>
    <row r="7134" spans="1:7" x14ac:dyDescent="0.25">
      <c r="A7134">
        <v>26</v>
      </c>
      <c r="B7134" t="s">
        <v>6922</v>
      </c>
      <c r="C7134">
        <v>7740426</v>
      </c>
      <c r="D7134" t="str">
        <f>"2167-6968"</f>
        <v>2167-6968</v>
      </c>
      <c r="E7134" t="s">
        <v>8</v>
      </c>
      <c r="F7134" t="s">
        <v>7138</v>
      </c>
      <c r="G7134">
        <v>1</v>
      </c>
    </row>
    <row r="7135" spans="1:7" x14ac:dyDescent="0.25">
      <c r="A7135">
        <v>26</v>
      </c>
      <c r="B7135" t="s">
        <v>6922</v>
      </c>
      <c r="C7135">
        <v>9259</v>
      </c>
      <c r="D7135" t="str">
        <f>"1528-3542"</f>
        <v>1528-3542</v>
      </c>
      <c r="E7135" t="s">
        <v>8</v>
      </c>
      <c r="F7135" t="s">
        <v>7139</v>
      </c>
      <c r="G7135">
        <v>1</v>
      </c>
    </row>
    <row r="7136" spans="1:7" x14ac:dyDescent="0.25">
      <c r="A7136">
        <v>26</v>
      </c>
      <c r="B7136" t="s">
        <v>6922</v>
      </c>
      <c r="C7136">
        <v>12055</v>
      </c>
      <c r="D7136" t="str">
        <f>"1363-2752"</f>
        <v>1363-2752</v>
      </c>
      <c r="E7136" t="s">
        <v>8</v>
      </c>
      <c r="F7136" t="s">
        <v>7140</v>
      </c>
      <c r="G7136">
        <v>1</v>
      </c>
    </row>
    <row r="7137" spans="1:7" x14ac:dyDescent="0.25">
      <c r="A7137">
        <v>26</v>
      </c>
      <c r="B7137" t="s">
        <v>6922</v>
      </c>
      <c r="C7137">
        <v>9083</v>
      </c>
      <c r="D7137" t="str">
        <f>"0013-9165"</f>
        <v>0013-9165</v>
      </c>
      <c r="E7137" t="s">
        <v>8</v>
      </c>
      <c r="F7137" t="s">
        <v>7141</v>
      </c>
      <c r="G7137">
        <v>1</v>
      </c>
    </row>
    <row r="7138" spans="1:7" x14ac:dyDescent="0.25">
      <c r="A7138">
        <v>26</v>
      </c>
      <c r="B7138" t="s">
        <v>6922</v>
      </c>
      <c r="C7138">
        <v>7556</v>
      </c>
      <c r="D7138" t="str">
        <f>"0210-9395"</f>
        <v>0210-9395</v>
      </c>
      <c r="E7138" t="s">
        <v>8</v>
      </c>
      <c r="F7138" t="s">
        <v>7142</v>
      </c>
      <c r="G7138">
        <v>1</v>
      </c>
    </row>
    <row r="7139" spans="1:7" x14ac:dyDescent="0.25">
      <c r="A7139">
        <v>26</v>
      </c>
      <c r="B7139" t="s">
        <v>6922</v>
      </c>
      <c r="C7139">
        <v>142428</v>
      </c>
      <c r="D7139" t="str">
        <f>"0103-166X"</f>
        <v>0103-166X</v>
      </c>
      <c r="E7139" t="s">
        <v>8</v>
      </c>
      <c r="F7139" t="s">
        <v>7143</v>
      </c>
      <c r="G7139">
        <v>1</v>
      </c>
    </row>
    <row r="7140" spans="1:7" x14ac:dyDescent="0.25">
      <c r="A7140">
        <v>26</v>
      </c>
      <c r="B7140" t="s">
        <v>6922</v>
      </c>
      <c r="C7140">
        <v>10057</v>
      </c>
      <c r="D7140" t="str">
        <f>"1559-4343"</f>
        <v>1559-4343</v>
      </c>
      <c r="E7140" t="s">
        <v>8</v>
      </c>
      <c r="F7140" t="s">
        <v>7144</v>
      </c>
      <c r="G7140">
        <v>1</v>
      </c>
    </row>
    <row r="7141" spans="1:7" x14ac:dyDescent="0.25">
      <c r="A7141">
        <v>26</v>
      </c>
      <c r="B7141" t="s">
        <v>6922</v>
      </c>
      <c r="C7141">
        <v>5254</v>
      </c>
      <c r="D7141" t="str">
        <f>"1050-8422"</f>
        <v>1050-8422</v>
      </c>
      <c r="E7141" t="s">
        <v>8</v>
      </c>
      <c r="F7141" t="s">
        <v>7145</v>
      </c>
      <c r="G7141">
        <v>1</v>
      </c>
    </row>
    <row r="7142" spans="1:7" x14ac:dyDescent="0.25">
      <c r="A7142">
        <v>26</v>
      </c>
      <c r="B7142" t="s">
        <v>6922</v>
      </c>
      <c r="C7142">
        <v>4315</v>
      </c>
      <c r="D7142" t="str">
        <f>"1022-6877"</f>
        <v>1022-6877</v>
      </c>
      <c r="E7142" t="s">
        <v>8</v>
      </c>
      <c r="F7142" t="s">
        <v>7146</v>
      </c>
      <c r="G7142">
        <v>1</v>
      </c>
    </row>
    <row r="7143" spans="1:7" x14ac:dyDescent="0.25">
      <c r="A7143">
        <v>26</v>
      </c>
      <c r="B7143" t="s">
        <v>6922</v>
      </c>
      <c r="C7143">
        <v>11472</v>
      </c>
      <c r="D7143" t="str">
        <f>"1502-1149"</f>
        <v>1502-1149</v>
      </c>
      <c r="E7143" t="s">
        <v>8</v>
      </c>
      <c r="F7143" t="s">
        <v>7147</v>
      </c>
      <c r="G7143">
        <v>1</v>
      </c>
    </row>
    <row r="7144" spans="1:7" x14ac:dyDescent="0.25">
      <c r="A7144">
        <v>26</v>
      </c>
      <c r="B7144" t="s">
        <v>6922</v>
      </c>
      <c r="C7144">
        <v>14781</v>
      </c>
      <c r="D7144" t="str">
        <f>"1740-5629"</f>
        <v>1740-5629</v>
      </c>
      <c r="E7144" t="s">
        <v>8</v>
      </c>
      <c r="F7144" t="s">
        <v>7148</v>
      </c>
      <c r="G7144">
        <v>1</v>
      </c>
    </row>
    <row r="7145" spans="1:7" x14ac:dyDescent="0.25">
      <c r="A7145">
        <v>26</v>
      </c>
      <c r="B7145" t="s">
        <v>6922</v>
      </c>
      <c r="C7145">
        <v>7748939</v>
      </c>
      <c r="E7145" t="s">
        <v>8</v>
      </c>
      <c r="F7145" t="s">
        <v>7149</v>
      </c>
      <c r="G7145">
        <v>1</v>
      </c>
    </row>
    <row r="7146" spans="1:7" x14ac:dyDescent="0.25">
      <c r="A7146">
        <v>26</v>
      </c>
      <c r="B7146" t="s">
        <v>6922</v>
      </c>
      <c r="C7146">
        <v>9640</v>
      </c>
      <c r="D7146" t="str">
        <f>"1015-5759"</f>
        <v>1015-5759</v>
      </c>
      <c r="E7146" t="s">
        <v>8</v>
      </c>
      <c r="F7146" t="s">
        <v>7150</v>
      </c>
      <c r="G7146">
        <v>1</v>
      </c>
    </row>
    <row r="7147" spans="1:7" x14ac:dyDescent="0.25">
      <c r="A7147">
        <v>26</v>
      </c>
      <c r="B7147" t="s">
        <v>6922</v>
      </c>
      <c r="C7147">
        <v>11819</v>
      </c>
      <c r="D7147" t="str">
        <f>"1364-2537"</f>
        <v>1364-2537</v>
      </c>
      <c r="E7147" t="s">
        <v>8</v>
      </c>
      <c r="F7147" t="s">
        <v>7151</v>
      </c>
      <c r="G7147">
        <v>1</v>
      </c>
    </row>
    <row r="7148" spans="1:7" x14ac:dyDescent="0.25">
      <c r="A7148">
        <v>26</v>
      </c>
      <c r="B7148" t="s">
        <v>6922</v>
      </c>
      <c r="C7148">
        <v>5214</v>
      </c>
      <c r="D7148" t="str">
        <f>"1016-9040"</f>
        <v>1016-9040</v>
      </c>
      <c r="E7148" t="s">
        <v>8</v>
      </c>
      <c r="F7148" t="s">
        <v>7152</v>
      </c>
      <c r="G7148">
        <v>1</v>
      </c>
    </row>
    <row r="7149" spans="1:7" x14ac:dyDescent="0.25">
      <c r="A7149">
        <v>26</v>
      </c>
      <c r="B7149" t="s">
        <v>6922</v>
      </c>
      <c r="C7149">
        <v>867</v>
      </c>
      <c r="D7149" t="str">
        <f>"1046-3283"</f>
        <v>1046-3283</v>
      </c>
      <c r="E7149" t="s">
        <v>8</v>
      </c>
      <c r="F7149" t="s">
        <v>7153</v>
      </c>
      <c r="G7149">
        <v>1</v>
      </c>
    </row>
    <row r="7150" spans="1:7" x14ac:dyDescent="0.25">
      <c r="A7150">
        <v>26</v>
      </c>
      <c r="B7150" t="s">
        <v>6922</v>
      </c>
      <c r="C7150">
        <v>14821</v>
      </c>
      <c r="E7150" t="s">
        <v>8</v>
      </c>
      <c r="F7150" t="s">
        <v>7154</v>
      </c>
      <c r="G7150">
        <v>1</v>
      </c>
    </row>
    <row r="7151" spans="1:7" x14ac:dyDescent="0.25">
      <c r="A7151">
        <v>26</v>
      </c>
      <c r="B7151" t="s">
        <v>6922</v>
      </c>
      <c r="C7151">
        <v>371</v>
      </c>
      <c r="D7151" t="str">
        <f>"0193-841X"</f>
        <v>0193-841X</v>
      </c>
      <c r="E7151" t="s">
        <v>8</v>
      </c>
      <c r="F7151" t="s">
        <v>7155</v>
      </c>
      <c r="G7151">
        <v>1</v>
      </c>
    </row>
    <row r="7152" spans="1:7" x14ac:dyDescent="0.25">
      <c r="A7152">
        <v>26</v>
      </c>
      <c r="B7152" t="s">
        <v>6922</v>
      </c>
      <c r="C7152">
        <v>12078</v>
      </c>
      <c r="D7152" t="str">
        <f>"2330-2925"</f>
        <v>2330-2925</v>
      </c>
      <c r="E7152" t="s">
        <v>8</v>
      </c>
      <c r="F7152" t="s">
        <v>7156</v>
      </c>
      <c r="G7152">
        <v>1</v>
      </c>
    </row>
    <row r="7153" spans="1:7" x14ac:dyDescent="0.25">
      <c r="A7153">
        <v>26</v>
      </c>
      <c r="B7153" t="s">
        <v>6922</v>
      </c>
      <c r="C7153">
        <v>16074</v>
      </c>
      <c r="E7153" t="s">
        <v>8</v>
      </c>
      <c r="F7153" t="s">
        <v>7157</v>
      </c>
      <c r="G7153">
        <v>1</v>
      </c>
    </row>
    <row r="7154" spans="1:7" x14ac:dyDescent="0.25">
      <c r="A7154">
        <v>26</v>
      </c>
      <c r="B7154" t="s">
        <v>6922</v>
      </c>
      <c r="C7154">
        <v>10524</v>
      </c>
      <c r="D7154" t="str">
        <f>"0936-2835"</f>
        <v>0936-2835</v>
      </c>
      <c r="E7154" t="s">
        <v>8</v>
      </c>
      <c r="F7154" t="s">
        <v>7158</v>
      </c>
      <c r="G7154">
        <v>1</v>
      </c>
    </row>
    <row r="7155" spans="1:7" x14ac:dyDescent="0.25">
      <c r="A7155">
        <v>26</v>
      </c>
      <c r="B7155" t="s">
        <v>6922</v>
      </c>
      <c r="C7155">
        <v>16027</v>
      </c>
      <c r="D7155" t="str">
        <f>"0361-073X"</f>
        <v>0361-073X</v>
      </c>
      <c r="E7155" t="s">
        <v>8</v>
      </c>
      <c r="F7155" t="s">
        <v>7159</v>
      </c>
      <c r="G7155">
        <v>1</v>
      </c>
    </row>
    <row r="7156" spans="1:7" x14ac:dyDescent="0.25">
      <c r="A7156">
        <v>26</v>
      </c>
      <c r="B7156" t="s">
        <v>6922</v>
      </c>
      <c r="C7156">
        <v>16917</v>
      </c>
      <c r="D7156" t="str">
        <f>"1618-3169"</f>
        <v>1618-3169</v>
      </c>
      <c r="E7156" t="s">
        <v>8</v>
      </c>
      <c r="F7156" t="s">
        <v>7160</v>
      </c>
      <c r="G7156">
        <v>1</v>
      </c>
    </row>
    <row r="7157" spans="1:7" x14ac:dyDescent="0.25">
      <c r="A7157">
        <v>26</v>
      </c>
      <c r="B7157" t="s">
        <v>6922</v>
      </c>
      <c r="C7157">
        <v>8917</v>
      </c>
      <c r="D7157" t="str">
        <f>"0014-7370"</f>
        <v>0014-7370</v>
      </c>
      <c r="E7157" t="s">
        <v>8</v>
      </c>
      <c r="F7157" t="s">
        <v>7161</v>
      </c>
      <c r="G7157">
        <v>1</v>
      </c>
    </row>
    <row r="7158" spans="1:7" x14ac:dyDescent="0.25">
      <c r="A7158">
        <v>26</v>
      </c>
      <c r="B7158" t="s">
        <v>6922</v>
      </c>
      <c r="C7158">
        <v>6481</v>
      </c>
      <c r="D7158" t="str">
        <f>"1088-3576"</f>
        <v>1088-3576</v>
      </c>
      <c r="E7158" t="s">
        <v>8</v>
      </c>
      <c r="F7158" t="s">
        <v>7162</v>
      </c>
      <c r="G7158">
        <v>1</v>
      </c>
    </row>
    <row r="7159" spans="1:7" x14ac:dyDescent="0.25">
      <c r="A7159">
        <v>26</v>
      </c>
      <c r="B7159" t="s">
        <v>6922</v>
      </c>
      <c r="C7159">
        <v>14524</v>
      </c>
      <c r="D7159" t="str">
        <f>"0332-5415"</f>
        <v>0332-5415</v>
      </c>
      <c r="E7159" t="s">
        <v>8</v>
      </c>
      <c r="F7159" t="s">
        <v>7163</v>
      </c>
      <c r="G7159">
        <v>1</v>
      </c>
    </row>
    <row r="7160" spans="1:7" x14ac:dyDescent="0.25">
      <c r="A7160">
        <v>26</v>
      </c>
      <c r="B7160" t="s">
        <v>6922</v>
      </c>
      <c r="C7160">
        <v>12851</v>
      </c>
      <c r="D7160" t="str">
        <f>"0178-7667"</f>
        <v>0178-7667</v>
      </c>
      <c r="E7160" t="s">
        <v>8</v>
      </c>
      <c r="F7160" t="s">
        <v>7164</v>
      </c>
      <c r="G7160">
        <v>1</v>
      </c>
    </row>
    <row r="7161" spans="1:7" x14ac:dyDescent="0.25">
      <c r="A7161">
        <v>26</v>
      </c>
      <c r="B7161" t="s">
        <v>6922</v>
      </c>
      <c r="C7161">
        <v>37806</v>
      </c>
      <c r="D7161" t="str">
        <f>"0720-0447"</f>
        <v>0720-0447</v>
      </c>
      <c r="E7161" t="s">
        <v>8</v>
      </c>
      <c r="F7161" t="s">
        <v>7165</v>
      </c>
      <c r="G7161">
        <v>1</v>
      </c>
    </row>
    <row r="7162" spans="1:7" x14ac:dyDescent="0.25">
      <c r="A7162">
        <v>26</v>
      </c>
      <c r="B7162" t="s">
        <v>6922</v>
      </c>
      <c r="C7162">
        <v>7706410</v>
      </c>
      <c r="E7162" t="s">
        <v>8</v>
      </c>
      <c r="F7162" t="s">
        <v>7166</v>
      </c>
      <c r="G7162">
        <v>1</v>
      </c>
    </row>
    <row r="7163" spans="1:7" x14ac:dyDescent="0.25">
      <c r="A7163">
        <v>26</v>
      </c>
      <c r="B7163" t="s">
        <v>6922</v>
      </c>
      <c r="C7163">
        <v>6125307</v>
      </c>
      <c r="D7163" t="str">
        <f>"1662-9647"</f>
        <v>1662-9647</v>
      </c>
      <c r="E7163" t="s">
        <v>8</v>
      </c>
      <c r="F7163" t="s">
        <v>7167</v>
      </c>
      <c r="G7163">
        <v>1</v>
      </c>
    </row>
    <row r="7164" spans="1:7" x14ac:dyDescent="0.25">
      <c r="A7164">
        <v>26</v>
      </c>
      <c r="B7164" t="s">
        <v>6922</v>
      </c>
      <c r="C7164">
        <v>12571</v>
      </c>
      <c r="D7164" t="str">
        <f>"1084-8657"</f>
        <v>1084-8657</v>
      </c>
      <c r="E7164" t="s">
        <v>8</v>
      </c>
      <c r="F7164" t="s">
        <v>7168</v>
      </c>
      <c r="G7164">
        <v>1</v>
      </c>
    </row>
    <row r="7165" spans="1:7" x14ac:dyDescent="0.25">
      <c r="A7165">
        <v>26</v>
      </c>
      <c r="B7165" t="s">
        <v>6922</v>
      </c>
      <c r="C7165">
        <v>9267</v>
      </c>
      <c r="D7165" t="str">
        <f>"0170-057X"</f>
        <v>0170-057X</v>
      </c>
      <c r="E7165" t="s">
        <v>8</v>
      </c>
      <c r="F7165" t="s">
        <v>7169</v>
      </c>
      <c r="G7165">
        <v>1</v>
      </c>
    </row>
    <row r="7166" spans="1:7" x14ac:dyDescent="0.25">
      <c r="A7166">
        <v>26</v>
      </c>
      <c r="B7166" t="s">
        <v>6922</v>
      </c>
      <c r="C7166">
        <v>8072</v>
      </c>
      <c r="D7166" t="str">
        <f>"0362-4021"</f>
        <v>0362-4021</v>
      </c>
      <c r="E7166" t="s">
        <v>8</v>
      </c>
      <c r="F7166" t="s">
        <v>7170</v>
      </c>
      <c r="G7166">
        <v>1</v>
      </c>
    </row>
    <row r="7167" spans="1:7" x14ac:dyDescent="0.25">
      <c r="A7167">
        <v>26</v>
      </c>
      <c r="B7167" t="s">
        <v>6922</v>
      </c>
      <c r="C7167">
        <v>11761</v>
      </c>
      <c r="D7167" t="str">
        <f>"0533-3164"</f>
        <v>0533-3164</v>
      </c>
      <c r="E7167" t="s">
        <v>8</v>
      </c>
      <c r="F7167" t="s">
        <v>7171</v>
      </c>
      <c r="G7167">
        <v>1</v>
      </c>
    </row>
    <row r="7168" spans="1:7" x14ac:dyDescent="0.25">
      <c r="A7168">
        <v>26</v>
      </c>
      <c r="B7168" t="s">
        <v>6922</v>
      </c>
      <c r="C7168">
        <v>13686</v>
      </c>
      <c r="D7168" t="str">
        <f>"1089-2699"</f>
        <v>1089-2699</v>
      </c>
      <c r="E7168" t="s">
        <v>8</v>
      </c>
      <c r="F7168" t="s">
        <v>7172</v>
      </c>
      <c r="G7168">
        <v>1</v>
      </c>
    </row>
    <row r="7169" spans="1:7" x14ac:dyDescent="0.25">
      <c r="A7169">
        <v>26</v>
      </c>
      <c r="B7169" t="s">
        <v>6922</v>
      </c>
      <c r="C7169">
        <v>12300</v>
      </c>
      <c r="D7169" t="str">
        <f>"1368-4302"</f>
        <v>1368-4302</v>
      </c>
      <c r="E7169" t="s">
        <v>8</v>
      </c>
      <c r="F7169" t="s">
        <v>7173</v>
      </c>
      <c r="G7169">
        <v>1</v>
      </c>
    </row>
    <row r="7170" spans="1:7" x14ac:dyDescent="0.25">
      <c r="A7170">
        <v>26</v>
      </c>
      <c r="B7170" t="s">
        <v>6922</v>
      </c>
      <c r="C7170">
        <v>16168</v>
      </c>
      <c r="D7170" t="str">
        <f>"1618-7849"</f>
        <v>1618-7849</v>
      </c>
      <c r="E7170" t="s">
        <v>8</v>
      </c>
      <c r="F7170" t="s">
        <v>7174</v>
      </c>
      <c r="G7170">
        <v>1</v>
      </c>
    </row>
    <row r="7171" spans="1:7" x14ac:dyDescent="0.25">
      <c r="A7171">
        <v>26</v>
      </c>
      <c r="B7171" t="s">
        <v>6922</v>
      </c>
      <c r="C7171">
        <v>16928</v>
      </c>
      <c r="D7171" t="str">
        <f>"0017-4947"</f>
        <v>0017-4947</v>
      </c>
      <c r="E7171" t="s">
        <v>8</v>
      </c>
      <c r="F7171" t="s">
        <v>7175</v>
      </c>
      <c r="G7171">
        <v>1</v>
      </c>
    </row>
    <row r="7172" spans="1:7" x14ac:dyDescent="0.25">
      <c r="A7172">
        <v>26</v>
      </c>
      <c r="B7172" t="s">
        <v>6922</v>
      </c>
      <c r="C7172">
        <v>8775579</v>
      </c>
      <c r="E7172" t="s">
        <v>8</v>
      </c>
      <c r="F7172" t="s">
        <v>7176</v>
      </c>
      <c r="G7172">
        <v>1</v>
      </c>
    </row>
    <row r="7173" spans="1:7" x14ac:dyDescent="0.25">
      <c r="A7173">
        <v>26</v>
      </c>
      <c r="B7173" t="s">
        <v>6922</v>
      </c>
      <c r="C7173">
        <v>7291</v>
      </c>
      <c r="D7173" t="str">
        <f>"1743-7199"</f>
        <v>1743-7199</v>
      </c>
      <c r="E7173" t="s">
        <v>8</v>
      </c>
      <c r="F7173" t="s">
        <v>7177</v>
      </c>
      <c r="G7173">
        <v>1</v>
      </c>
    </row>
    <row r="7174" spans="1:7" x14ac:dyDescent="0.25">
      <c r="A7174">
        <v>26</v>
      </c>
      <c r="B7174" t="s">
        <v>6922</v>
      </c>
      <c r="C7174">
        <v>5941</v>
      </c>
      <c r="D7174" t="str">
        <f>"1790-1391"</f>
        <v>1790-1391</v>
      </c>
      <c r="E7174" t="s">
        <v>8</v>
      </c>
      <c r="F7174" t="s">
        <v>7178</v>
      </c>
      <c r="G7174">
        <v>1</v>
      </c>
    </row>
    <row r="7175" spans="1:7" x14ac:dyDescent="0.25">
      <c r="A7175">
        <v>26</v>
      </c>
      <c r="B7175" t="s">
        <v>6922</v>
      </c>
      <c r="C7175">
        <v>11430</v>
      </c>
      <c r="D7175" t="str">
        <f>"0739-9863"</f>
        <v>0739-9863</v>
      </c>
      <c r="E7175" t="s">
        <v>8</v>
      </c>
      <c r="F7175" t="s">
        <v>7179</v>
      </c>
      <c r="G7175">
        <v>1</v>
      </c>
    </row>
    <row r="7176" spans="1:7" x14ac:dyDescent="0.25">
      <c r="A7176">
        <v>26</v>
      </c>
      <c r="B7176" t="s">
        <v>6922</v>
      </c>
      <c r="C7176">
        <v>8321</v>
      </c>
      <c r="D7176" t="str">
        <f>"1093-4510"</f>
        <v>1093-4510</v>
      </c>
      <c r="E7176" t="s">
        <v>8</v>
      </c>
      <c r="F7176" t="s">
        <v>7180</v>
      </c>
      <c r="G7176">
        <v>1</v>
      </c>
    </row>
    <row r="7177" spans="1:7" x14ac:dyDescent="0.25">
      <c r="A7177">
        <v>26</v>
      </c>
      <c r="B7177" t="s">
        <v>6922</v>
      </c>
      <c r="C7177">
        <v>8782663</v>
      </c>
      <c r="D7177" t="str">
        <f>"2522-5790"</f>
        <v>2522-5790</v>
      </c>
      <c r="E7177" t="s">
        <v>8</v>
      </c>
      <c r="F7177" t="s">
        <v>7181</v>
      </c>
      <c r="G7177">
        <v>1</v>
      </c>
    </row>
    <row r="7178" spans="1:7" x14ac:dyDescent="0.25">
      <c r="A7178">
        <v>26</v>
      </c>
      <c r="B7178" t="s">
        <v>6922</v>
      </c>
      <c r="C7178">
        <v>3437</v>
      </c>
      <c r="D7178" t="str">
        <f>"0018-716X"</f>
        <v>0018-716X</v>
      </c>
      <c r="E7178" t="s">
        <v>8</v>
      </c>
      <c r="F7178" t="s">
        <v>7182</v>
      </c>
      <c r="G7178">
        <v>1</v>
      </c>
    </row>
    <row r="7179" spans="1:7" x14ac:dyDescent="0.25">
      <c r="A7179">
        <v>26</v>
      </c>
      <c r="B7179" t="s">
        <v>6922</v>
      </c>
      <c r="C7179">
        <v>5055</v>
      </c>
      <c r="D7179" t="str">
        <f>"0018-7208"</f>
        <v>0018-7208</v>
      </c>
      <c r="E7179" t="s">
        <v>8</v>
      </c>
      <c r="F7179" t="s">
        <v>7183</v>
      </c>
      <c r="G7179">
        <v>1</v>
      </c>
    </row>
    <row r="7180" spans="1:7" x14ac:dyDescent="0.25">
      <c r="A7180">
        <v>26</v>
      </c>
      <c r="B7180" t="s">
        <v>6922</v>
      </c>
      <c r="C7180">
        <v>4690</v>
      </c>
      <c r="D7180" t="str">
        <f>"1045-6767"</f>
        <v>1045-6767</v>
      </c>
      <c r="E7180" t="s">
        <v>8</v>
      </c>
      <c r="F7180" t="s">
        <v>7184</v>
      </c>
      <c r="G7180">
        <v>1</v>
      </c>
    </row>
    <row r="7181" spans="1:7" x14ac:dyDescent="0.25">
      <c r="A7181">
        <v>26</v>
      </c>
      <c r="B7181" t="s">
        <v>6922</v>
      </c>
      <c r="C7181">
        <v>13081</v>
      </c>
      <c r="D7181" t="str">
        <f>"0895-9285"</f>
        <v>0895-9285</v>
      </c>
      <c r="E7181" t="s">
        <v>8</v>
      </c>
      <c r="F7181" t="s">
        <v>7185</v>
      </c>
      <c r="G7181">
        <v>1</v>
      </c>
    </row>
    <row r="7182" spans="1:7" x14ac:dyDescent="0.25">
      <c r="A7182">
        <v>26</v>
      </c>
      <c r="B7182" t="s">
        <v>6922</v>
      </c>
      <c r="C7182">
        <v>1299</v>
      </c>
      <c r="D7182" t="str">
        <f>"0933-1719"</f>
        <v>0933-1719</v>
      </c>
      <c r="E7182" t="s">
        <v>8</v>
      </c>
      <c r="F7182" t="s">
        <v>7186</v>
      </c>
      <c r="G7182">
        <v>1</v>
      </c>
    </row>
    <row r="7183" spans="1:7" x14ac:dyDescent="0.25">
      <c r="A7183">
        <v>26</v>
      </c>
      <c r="B7183" t="s">
        <v>6922</v>
      </c>
      <c r="C7183">
        <v>4971</v>
      </c>
      <c r="D7183" t="str">
        <f>"1528-3488"</f>
        <v>1528-3488</v>
      </c>
      <c r="E7183" t="s">
        <v>8</v>
      </c>
      <c r="F7183" t="s">
        <v>7187</v>
      </c>
      <c r="G7183">
        <v>1</v>
      </c>
    </row>
    <row r="7184" spans="1:7" x14ac:dyDescent="0.25">
      <c r="A7184">
        <v>26</v>
      </c>
      <c r="B7184" t="s">
        <v>6922</v>
      </c>
      <c r="C7184">
        <v>10368</v>
      </c>
      <c r="D7184" t="str">
        <f>"1054-1373"</f>
        <v>1054-1373</v>
      </c>
      <c r="E7184" t="s">
        <v>8</v>
      </c>
      <c r="F7184" t="s">
        <v>7188</v>
      </c>
      <c r="G7184">
        <v>1</v>
      </c>
    </row>
    <row r="7185" spans="1:7" x14ac:dyDescent="0.25">
      <c r="A7185">
        <v>26</v>
      </c>
      <c r="B7185" t="s">
        <v>6922</v>
      </c>
      <c r="C7185">
        <v>4617</v>
      </c>
      <c r="D7185" t="str">
        <f>"0276-2366"</f>
        <v>0276-2366</v>
      </c>
      <c r="E7185" t="s">
        <v>8</v>
      </c>
      <c r="F7185" t="s">
        <v>7189</v>
      </c>
      <c r="G7185">
        <v>1</v>
      </c>
    </row>
    <row r="7186" spans="1:7" x14ac:dyDescent="0.25">
      <c r="A7186">
        <v>26</v>
      </c>
      <c r="B7186" t="s">
        <v>6922</v>
      </c>
      <c r="C7186">
        <v>25742</v>
      </c>
      <c r="D7186" t="str">
        <f>"1754-9426"</f>
        <v>1754-9426</v>
      </c>
      <c r="E7186" t="s">
        <v>8</v>
      </c>
      <c r="F7186" t="s">
        <v>7190</v>
      </c>
      <c r="G7186">
        <v>1</v>
      </c>
    </row>
    <row r="7187" spans="1:7" x14ac:dyDescent="0.25">
      <c r="A7187">
        <v>26</v>
      </c>
      <c r="B7187" t="s">
        <v>6922</v>
      </c>
      <c r="C7187">
        <v>8217</v>
      </c>
      <c r="D7187" t="str">
        <f>"1525-0008"</f>
        <v>1525-0008</v>
      </c>
      <c r="E7187" t="s">
        <v>8</v>
      </c>
      <c r="F7187" t="s">
        <v>7191</v>
      </c>
      <c r="G7187">
        <v>1</v>
      </c>
    </row>
    <row r="7188" spans="1:7" x14ac:dyDescent="0.25">
      <c r="A7188">
        <v>26</v>
      </c>
      <c r="B7188" t="s">
        <v>6922</v>
      </c>
      <c r="C7188">
        <v>7605807</v>
      </c>
      <c r="E7188" t="s">
        <v>8</v>
      </c>
      <c r="F7188" t="s">
        <v>7192</v>
      </c>
      <c r="G7188">
        <v>1</v>
      </c>
    </row>
    <row r="7189" spans="1:7" x14ac:dyDescent="0.25">
      <c r="A7189">
        <v>26</v>
      </c>
      <c r="B7189" t="s">
        <v>6922</v>
      </c>
      <c r="C7189">
        <v>11510</v>
      </c>
      <c r="D7189" t="str">
        <f>"0163-9641"</f>
        <v>0163-9641</v>
      </c>
      <c r="E7189" t="s">
        <v>8</v>
      </c>
      <c r="F7189" t="s">
        <v>7193</v>
      </c>
      <c r="G7189">
        <v>1</v>
      </c>
    </row>
    <row r="7190" spans="1:7" x14ac:dyDescent="0.25">
      <c r="A7190">
        <v>26</v>
      </c>
      <c r="B7190" t="s">
        <v>6922</v>
      </c>
      <c r="C7190">
        <v>24544</v>
      </c>
      <c r="D7190" t="str">
        <f>"1369-8036"</f>
        <v>1369-8036</v>
      </c>
      <c r="E7190" t="s">
        <v>8</v>
      </c>
      <c r="F7190" t="s">
        <v>7194</v>
      </c>
      <c r="G7190">
        <v>1</v>
      </c>
    </row>
    <row r="7191" spans="1:7" x14ac:dyDescent="0.25">
      <c r="A7191">
        <v>26</v>
      </c>
      <c r="B7191" t="s">
        <v>6922</v>
      </c>
      <c r="C7191">
        <v>10140</v>
      </c>
      <c r="D7191" t="str">
        <f>"0896-3746"</f>
        <v>0896-3746</v>
      </c>
      <c r="E7191" t="s">
        <v>8</v>
      </c>
      <c r="F7191" t="s">
        <v>7195</v>
      </c>
      <c r="G7191">
        <v>1</v>
      </c>
    </row>
    <row r="7192" spans="1:7" x14ac:dyDescent="0.25">
      <c r="A7192">
        <v>26</v>
      </c>
      <c r="B7192" t="s">
        <v>6922</v>
      </c>
      <c r="C7192">
        <v>10790</v>
      </c>
      <c r="D7192" t="str">
        <f>"1932-4502"</f>
        <v>1932-4502</v>
      </c>
      <c r="E7192" t="s">
        <v>8</v>
      </c>
      <c r="F7192" t="s">
        <v>7196</v>
      </c>
      <c r="G7192">
        <v>1</v>
      </c>
    </row>
    <row r="7193" spans="1:7" x14ac:dyDescent="0.25">
      <c r="A7193">
        <v>26</v>
      </c>
      <c r="B7193" t="s">
        <v>6922</v>
      </c>
      <c r="C7193">
        <v>41719</v>
      </c>
      <c r="D7193" t="str">
        <f>"0769-4113"</f>
        <v>0769-4113</v>
      </c>
      <c r="E7193" t="s">
        <v>8</v>
      </c>
      <c r="F7193" t="s">
        <v>7197</v>
      </c>
      <c r="G7193">
        <v>1</v>
      </c>
    </row>
    <row r="7194" spans="1:7" x14ac:dyDescent="0.25">
      <c r="A7194">
        <v>26</v>
      </c>
      <c r="B7194" t="s">
        <v>6922</v>
      </c>
      <c r="C7194">
        <v>17127</v>
      </c>
      <c r="D7194" t="str">
        <f>"1934-9491"</f>
        <v>1934-9491</v>
      </c>
      <c r="E7194" t="s">
        <v>8</v>
      </c>
      <c r="F7194" t="s">
        <v>7198</v>
      </c>
      <c r="G7194">
        <v>1</v>
      </c>
    </row>
    <row r="7195" spans="1:7" x14ac:dyDescent="0.25">
      <c r="A7195">
        <v>26</v>
      </c>
      <c r="B7195" t="s">
        <v>6922</v>
      </c>
      <c r="C7195">
        <v>8684</v>
      </c>
      <c r="D7195" t="str">
        <f>"1572-0373"</f>
        <v>1572-0373</v>
      </c>
      <c r="E7195" t="s">
        <v>8</v>
      </c>
      <c r="F7195" t="s">
        <v>7199</v>
      </c>
      <c r="G7195">
        <v>1</v>
      </c>
    </row>
    <row r="7196" spans="1:7" x14ac:dyDescent="0.25">
      <c r="A7196">
        <v>26</v>
      </c>
      <c r="B7196" t="s">
        <v>6922</v>
      </c>
      <c r="C7196">
        <v>11435</v>
      </c>
      <c r="D7196" t="str">
        <f>"0034-9690"</f>
        <v>0034-9690</v>
      </c>
      <c r="E7196" t="s">
        <v>8</v>
      </c>
      <c r="F7196" t="s">
        <v>7200</v>
      </c>
      <c r="G7196">
        <v>1</v>
      </c>
    </row>
    <row r="7197" spans="1:7" x14ac:dyDescent="0.25">
      <c r="A7197">
        <v>26</v>
      </c>
      <c r="B7197" t="s">
        <v>6922</v>
      </c>
      <c r="C7197">
        <v>16018</v>
      </c>
      <c r="D7197" t="str">
        <f>"0165-0653"</f>
        <v>0165-0653</v>
      </c>
      <c r="E7197" t="s">
        <v>8</v>
      </c>
      <c r="F7197" t="s">
        <v>7201</v>
      </c>
      <c r="G7197">
        <v>1</v>
      </c>
    </row>
    <row r="7198" spans="1:7" x14ac:dyDescent="0.25">
      <c r="A7198">
        <v>26</v>
      </c>
      <c r="B7198" t="s">
        <v>6922</v>
      </c>
      <c r="C7198">
        <v>10295</v>
      </c>
      <c r="D7198" t="str">
        <f>"0267-3843"</f>
        <v>0267-3843</v>
      </c>
      <c r="E7198" t="s">
        <v>8</v>
      </c>
      <c r="F7198" t="s">
        <v>7202</v>
      </c>
      <c r="G7198">
        <v>1</v>
      </c>
    </row>
    <row r="7199" spans="1:7" x14ac:dyDescent="0.25">
      <c r="A7199">
        <v>26</v>
      </c>
      <c r="B7199" t="s">
        <v>6922</v>
      </c>
      <c r="C7199">
        <v>7433</v>
      </c>
      <c r="D7199" t="str">
        <f>"0165-0254"</f>
        <v>0165-0254</v>
      </c>
      <c r="E7199" t="s">
        <v>8</v>
      </c>
      <c r="F7199" t="s">
        <v>7203</v>
      </c>
      <c r="G7199">
        <v>1</v>
      </c>
    </row>
    <row r="7200" spans="1:7" x14ac:dyDescent="0.25">
      <c r="A7200">
        <v>26</v>
      </c>
      <c r="B7200" t="s">
        <v>6922</v>
      </c>
      <c r="C7200">
        <v>16862</v>
      </c>
      <c r="D7200" t="str">
        <f>"0020-7144"</f>
        <v>0020-7144</v>
      </c>
      <c r="E7200" t="s">
        <v>8</v>
      </c>
      <c r="F7200" t="s">
        <v>7204</v>
      </c>
      <c r="G7200">
        <v>1</v>
      </c>
    </row>
    <row r="7201" spans="1:7" x14ac:dyDescent="0.25">
      <c r="A7201">
        <v>26</v>
      </c>
      <c r="B7201" t="s">
        <v>6922</v>
      </c>
      <c r="C7201">
        <v>26169</v>
      </c>
      <c r="D7201" t="str">
        <f>"1937-1209"</f>
        <v>1937-1209</v>
      </c>
      <c r="E7201" t="s">
        <v>8</v>
      </c>
      <c r="F7201" t="s">
        <v>7205</v>
      </c>
      <c r="G7201">
        <v>1</v>
      </c>
    </row>
    <row r="7202" spans="1:7" x14ac:dyDescent="0.25">
      <c r="A7202">
        <v>26</v>
      </c>
      <c r="B7202" t="s">
        <v>6922</v>
      </c>
      <c r="C7202">
        <v>8100</v>
      </c>
      <c r="D7202" t="str">
        <f>"0889-3667"</f>
        <v>0889-3667</v>
      </c>
      <c r="E7202" t="s">
        <v>8</v>
      </c>
      <c r="F7202" t="s">
        <v>7206</v>
      </c>
      <c r="G7202">
        <v>1</v>
      </c>
    </row>
    <row r="7203" spans="1:7" x14ac:dyDescent="0.25">
      <c r="A7203">
        <v>26</v>
      </c>
      <c r="B7203" t="s">
        <v>6922</v>
      </c>
      <c r="C7203">
        <v>9753</v>
      </c>
      <c r="D7203" t="str">
        <f>"2192-001X"</f>
        <v>2192-001X</v>
      </c>
      <c r="E7203" t="s">
        <v>8</v>
      </c>
      <c r="F7203" t="s">
        <v>7207</v>
      </c>
      <c r="G7203">
        <v>1</v>
      </c>
    </row>
    <row r="7204" spans="1:7" x14ac:dyDescent="0.25">
      <c r="A7204">
        <v>26</v>
      </c>
      <c r="B7204" t="s">
        <v>6922</v>
      </c>
      <c r="C7204">
        <v>9824</v>
      </c>
      <c r="D7204" t="str">
        <f>"0020-7187"</f>
        <v>0020-7187</v>
      </c>
      <c r="E7204" t="s">
        <v>8</v>
      </c>
      <c r="F7204" t="s">
        <v>7208</v>
      </c>
      <c r="G7204">
        <v>1</v>
      </c>
    </row>
    <row r="7205" spans="1:7" x14ac:dyDescent="0.25">
      <c r="A7205">
        <v>26</v>
      </c>
      <c r="B7205" t="s">
        <v>6922</v>
      </c>
      <c r="C7205">
        <v>16212</v>
      </c>
      <c r="D7205" t="str">
        <f>"0276-3478"</f>
        <v>0276-3478</v>
      </c>
      <c r="E7205" t="s">
        <v>8</v>
      </c>
      <c r="F7205" t="s">
        <v>7209</v>
      </c>
      <c r="G7205">
        <v>1</v>
      </c>
    </row>
    <row r="7206" spans="1:7" x14ac:dyDescent="0.25">
      <c r="A7206">
        <v>26</v>
      </c>
      <c r="B7206" t="s">
        <v>6922</v>
      </c>
      <c r="C7206">
        <v>12464</v>
      </c>
      <c r="D7206" t="str">
        <f>"0020-7284"</f>
        <v>0020-7284</v>
      </c>
      <c r="E7206" t="s">
        <v>8</v>
      </c>
      <c r="F7206" t="s">
        <v>7210</v>
      </c>
      <c r="G7206">
        <v>1</v>
      </c>
    </row>
    <row r="7207" spans="1:7" x14ac:dyDescent="0.25">
      <c r="A7207">
        <v>26</v>
      </c>
      <c r="B7207" t="s">
        <v>6922</v>
      </c>
      <c r="C7207">
        <v>15328</v>
      </c>
      <c r="D7207" t="str">
        <f>"0020-7411"</f>
        <v>0020-7411</v>
      </c>
      <c r="E7207" t="s">
        <v>8</v>
      </c>
      <c r="F7207" t="s">
        <v>7211</v>
      </c>
      <c r="G7207">
        <v>1</v>
      </c>
    </row>
    <row r="7208" spans="1:7" x14ac:dyDescent="0.25">
      <c r="A7208">
        <v>26</v>
      </c>
      <c r="B7208" t="s">
        <v>6922</v>
      </c>
      <c r="C7208">
        <v>9069</v>
      </c>
      <c r="D7208" t="str">
        <f>"1557-1874"</f>
        <v>1557-1874</v>
      </c>
      <c r="E7208" t="s">
        <v>8</v>
      </c>
      <c r="F7208" t="s">
        <v>7212</v>
      </c>
      <c r="G7208">
        <v>1</v>
      </c>
    </row>
    <row r="7209" spans="1:7" x14ac:dyDescent="0.25">
      <c r="A7209">
        <v>26</v>
      </c>
      <c r="B7209" t="s">
        <v>6922</v>
      </c>
      <c r="C7209">
        <v>13892</v>
      </c>
      <c r="D7209" t="str">
        <f>"1462-3730"</f>
        <v>1462-3730</v>
      </c>
      <c r="E7209" t="s">
        <v>8</v>
      </c>
      <c r="F7209" t="s">
        <v>7213</v>
      </c>
      <c r="G7209">
        <v>1</v>
      </c>
    </row>
    <row r="7210" spans="1:7" x14ac:dyDescent="0.25">
      <c r="A7210">
        <v>26</v>
      </c>
      <c r="B7210" t="s">
        <v>6922</v>
      </c>
      <c r="C7210">
        <v>14270</v>
      </c>
      <c r="D7210" t="str">
        <f>"0306-624X"</f>
        <v>0306-624X</v>
      </c>
      <c r="E7210" t="s">
        <v>8</v>
      </c>
      <c r="F7210" t="s">
        <v>7214</v>
      </c>
      <c r="G7210">
        <v>1</v>
      </c>
    </row>
    <row r="7211" spans="1:7" x14ac:dyDescent="0.25">
      <c r="A7211">
        <v>26</v>
      </c>
      <c r="B7211" t="s">
        <v>6922</v>
      </c>
      <c r="C7211">
        <v>13377</v>
      </c>
      <c r="D7211" t="str">
        <f>"0164-0291"</f>
        <v>0164-0291</v>
      </c>
      <c r="E7211" t="s">
        <v>8</v>
      </c>
      <c r="F7211" t="s">
        <v>7215</v>
      </c>
      <c r="G7211">
        <v>1</v>
      </c>
    </row>
    <row r="7212" spans="1:7" x14ac:dyDescent="0.25">
      <c r="A7212">
        <v>26</v>
      </c>
      <c r="B7212" t="s">
        <v>6922</v>
      </c>
      <c r="C7212">
        <v>23775</v>
      </c>
      <c r="D7212" t="str">
        <f>"1555-1024"</f>
        <v>1555-1024</v>
      </c>
      <c r="E7212" t="s">
        <v>8</v>
      </c>
      <c r="F7212" t="s">
        <v>7216</v>
      </c>
      <c r="G7212">
        <v>1</v>
      </c>
    </row>
    <row r="7213" spans="1:7" x14ac:dyDescent="0.25">
      <c r="A7213">
        <v>26</v>
      </c>
      <c r="B7213" t="s">
        <v>6922</v>
      </c>
      <c r="C7213">
        <v>12670</v>
      </c>
      <c r="D7213" t="str">
        <f>"0020-7594"</f>
        <v>0020-7594</v>
      </c>
      <c r="E7213" t="s">
        <v>8</v>
      </c>
      <c r="F7213" t="s">
        <v>7217</v>
      </c>
      <c r="G7213">
        <v>1</v>
      </c>
    </row>
    <row r="7214" spans="1:7" x14ac:dyDescent="0.25">
      <c r="A7214">
        <v>26</v>
      </c>
      <c r="B7214" t="s">
        <v>6922</v>
      </c>
      <c r="C7214">
        <v>1180</v>
      </c>
      <c r="D7214" t="str">
        <f>"0167-8760"</f>
        <v>0167-8760</v>
      </c>
      <c r="E7214" t="s">
        <v>8</v>
      </c>
      <c r="F7214" t="s">
        <v>7218</v>
      </c>
      <c r="G7214">
        <v>1</v>
      </c>
    </row>
    <row r="7215" spans="1:7" x14ac:dyDescent="0.25">
      <c r="A7215">
        <v>26</v>
      </c>
      <c r="B7215" t="s">
        <v>6922</v>
      </c>
      <c r="C7215">
        <v>6623</v>
      </c>
      <c r="D7215" t="str">
        <f>"1931-7611"</f>
        <v>1931-7611</v>
      </c>
      <c r="E7215" t="s">
        <v>8</v>
      </c>
      <c r="F7215" t="s">
        <v>7219</v>
      </c>
      <c r="G7215">
        <v>1</v>
      </c>
    </row>
    <row r="7216" spans="1:7" x14ac:dyDescent="0.25">
      <c r="A7216">
        <v>26</v>
      </c>
      <c r="B7216" t="s">
        <v>6922</v>
      </c>
      <c r="C7216">
        <v>4642</v>
      </c>
      <c r="D7216" t="str">
        <f>"1072-5245"</f>
        <v>1072-5245</v>
      </c>
      <c r="E7216" t="s">
        <v>8</v>
      </c>
      <c r="F7216" t="s">
        <v>7220</v>
      </c>
      <c r="G7216">
        <v>1</v>
      </c>
    </row>
    <row r="7217" spans="1:7" x14ac:dyDescent="0.25">
      <c r="A7217">
        <v>26</v>
      </c>
      <c r="B7217" t="s">
        <v>6922</v>
      </c>
      <c r="C7217">
        <v>7113</v>
      </c>
      <c r="D7217" t="str">
        <f>"1530-5058"</f>
        <v>1530-5058</v>
      </c>
      <c r="E7217" t="s">
        <v>8</v>
      </c>
      <c r="F7217" t="s">
        <v>7221</v>
      </c>
      <c r="G7217">
        <v>1</v>
      </c>
    </row>
    <row r="7218" spans="1:7" x14ac:dyDescent="0.25">
      <c r="A7218">
        <v>26</v>
      </c>
      <c r="B7218" t="s">
        <v>6922</v>
      </c>
      <c r="C7218">
        <v>27627</v>
      </c>
      <c r="D7218" t="str">
        <f>"1833-2390"</f>
        <v>1833-2390</v>
      </c>
      <c r="E7218" t="s">
        <v>8</v>
      </c>
      <c r="F7218" t="s">
        <v>7222</v>
      </c>
      <c r="G7218">
        <v>1</v>
      </c>
    </row>
    <row r="7219" spans="1:7" x14ac:dyDescent="0.25">
      <c r="A7219">
        <v>26</v>
      </c>
      <c r="B7219" t="s">
        <v>6922</v>
      </c>
      <c r="C7219">
        <v>15237</v>
      </c>
      <c r="D7219" t="str">
        <f>"1740-8938"</f>
        <v>1740-8938</v>
      </c>
      <c r="E7219" t="s">
        <v>8</v>
      </c>
      <c r="F7219" t="s">
        <v>7223</v>
      </c>
      <c r="G7219">
        <v>1</v>
      </c>
    </row>
    <row r="7220" spans="1:7" x14ac:dyDescent="0.25">
      <c r="A7220">
        <v>26</v>
      </c>
      <c r="B7220" t="s">
        <v>6922</v>
      </c>
      <c r="C7220">
        <v>7749741</v>
      </c>
      <c r="D7220" t="str">
        <f>"2157-3883"</f>
        <v>2157-3883</v>
      </c>
      <c r="E7220" t="s">
        <v>8</v>
      </c>
      <c r="F7220" t="s">
        <v>7224</v>
      </c>
      <c r="G7220">
        <v>1</v>
      </c>
    </row>
    <row r="7221" spans="1:7" x14ac:dyDescent="0.25">
      <c r="A7221">
        <v>26</v>
      </c>
      <c r="B7221" t="s">
        <v>6922</v>
      </c>
      <c r="C7221">
        <v>27673</v>
      </c>
      <c r="D7221" t="str">
        <f>"1940-8447"</f>
        <v>1940-8447</v>
      </c>
      <c r="E7221" t="s">
        <v>8</v>
      </c>
      <c r="F7221" t="s">
        <v>7225</v>
      </c>
      <c r="G7221">
        <v>1</v>
      </c>
    </row>
    <row r="7222" spans="1:7" x14ac:dyDescent="0.25">
      <c r="A7222">
        <v>26</v>
      </c>
      <c r="B7222" t="s">
        <v>6922</v>
      </c>
      <c r="C7222">
        <v>9190</v>
      </c>
      <c r="D7222" t="str">
        <f>"2211-6095"</f>
        <v>2211-6095</v>
      </c>
      <c r="E7222" t="s">
        <v>15</v>
      </c>
      <c r="F7222" t="s">
        <v>7226</v>
      </c>
      <c r="G7222">
        <v>1</v>
      </c>
    </row>
    <row r="7223" spans="1:7" x14ac:dyDescent="0.25">
      <c r="A7223">
        <v>26</v>
      </c>
      <c r="B7223" t="s">
        <v>6922</v>
      </c>
      <c r="C7223">
        <v>8766223</v>
      </c>
      <c r="E7223" t="s">
        <v>8</v>
      </c>
      <c r="F7223" t="s">
        <v>7227</v>
      </c>
      <c r="G7223">
        <v>1</v>
      </c>
    </row>
    <row r="7224" spans="1:7" x14ac:dyDescent="0.25">
      <c r="A7224">
        <v>26</v>
      </c>
      <c r="B7224" t="s">
        <v>6922</v>
      </c>
      <c r="C7224">
        <v>6519</v>
      </c>
      <c r="D7224" t="str">
        <f>"0790-9667"</f>
        <v>0790-9667</v>
      </c>
      <c r="E7224" t="s">
        <v>8</v>
      </c>
      <c r="F7224" t="s">
        <v>7228</v>
      </c>
      <c r="G7224">
        <v>1</v>
      </c>
    </row>
    <row r="7225" spans="1:7" x14ac:dyDescent="0.25">
      <c r="A7225">
        <v>26</v>
      </c>
      <c r="B7225" t="s">
        <v>6922</v>
      </c>
      <c r="C7225">
        <v>5615</v>
      </c>
      <c r="D7225" t="str">
        <f>"0021-5368"</f>
        <v>0021-5368</v>
      </c>
      <c r="E7225" t="s">
        <v>8</v>
      </c>
      <c r="F7225" t="s">
        <v>7229</v>
      </c>
      <c r="G7225">
        <v>1</v>
      </c>
    </row>
    <row r="7226" spans="1:7" x14ac:dyDescent="0.25">
      <c r="A7226">
        <v>26</v>
      </c>
      <c r="B7226" t="s">
        <v>6922</v>
      </c>
      <c r="C7226">
        <v>16090</v>
      </c>
      <c r="D7226" t="str">
        <f>"1155-1704"</f>
        <v>1155-1704</v>
      </c>
      <c r="E7226" t="s">
        <v>8</v>
      </c>
      <c r="F7226" t="s">
        <v>7230</v>
      </c>
      <c r="G7226">
        <v>1</v>
      </c>
    </row>
    <row r="7227" spans="1:7" x14ac:dyDescent="0.25">
      <c r="A7227">
        <v>26</v>
      </c>
      <c r="B7227" t="s">
        <v>6922</v>
      </c>
      <c r="C7227">
        <v>9457</v>
      </c>
      <c r="D7227" t="str">
        <f>"0193-3922"</f>
        <v>0193-3922</v>
      </c>
      <c r="E7227" t="s">
        <v>8</v>
      </c>
      <c r="F7227" t="s">
        <v>7231</v>
      </c>
      <c r="G7227">
        <v>1</v>
      </c>
    </row>
    <row r="7228" spans="1:7" x14ac:dyDescent="0.25">
      <c r="A7228">
        <v>26</v>
      </c>
      <c r="B7228" t="s">
        <v>6922</v>
      </c>
      <c r="C7228">
        <v>170339</v>
      </c>
      <c r="D7228" t="str">
        <f>"2049-7555"</f>
        <v>2049-7555</v>
      </c>
      <c r="E7228" t="s">
        <v>8</v>
      </c>
      <c r="F7228" t="s">
        <v>7232</v>
      </c>
      <c r="G7228">
        <v>1</v>
      </c>
    </row>
    <row r="7229" spans="1:7" x14ac:dyDescent="0.25">
      <c r="A7229">
        <v>26</v>
      </c>
      <c r="B7229" t="s">
        <v>6922</v>
      </c>
      <c r="C7229">
        <v>144390</v>
      </c>
      <c r="D7229" t="str">
        <f>"0942-2285"</f>
        <v>0942-2285</v>
      </c>
      <c r="E7229" t="s">
        <v>8</v>
      </c>
      <c r="F7229" t="s">
        <v>7233</v>
      </c>
      <c r="G7229">
        <v>1</v>
      </c>
    </row>
    <row r="7230" spans="1:7" x14ac:dyDescent="0.25">
      <c r="A7230">
        <v>26</v>
      </c>
      <c r="B7230" t="s">
        <v>6922</v>
      </c>
      <c r="C7230">
        <v>16656</v>
      </c>
      <c r="D7230" t="str">
        <f>"1055-0887"</f>
        <v>1055-0887</v>
      </c>
      <c r="E7230" t="s">
        <v>8</v>
      </c>
      <c r="F7230" t="s">
        <v>7234</v>
      </c>
      <c r="G7230">
        <v>1</v>
      </c>
    </row>
    <row r="7231" spans="1:7" x14ac:dyDescent="0.25">
      <c r="A7231">
        <v>26</v>
      </c>
      <c r="B7231" t="s">
        <v>6922</v>
      </c>
      <c r="C7231">
        <v>1707</v>
      </c>
      <c r="D7231" t="str">
        <f>"0140-1971"</f>
        <v>0140-1971</v>
      </c>
      <c r="E7231" t="s">
        <v>8</v>
      </c>
      <c r="F7231" t="s">
        <v>7235</v>
      </c>
      <c r="G7231">
        <v>1</v>
      </c>
    </row>
    <row r="7232" spans="1:7" x14ac:dyDescent="0.25">
      <c r="A7232">
        <v>26</v>
      </c>
      <c r="B7232" t="s">
        <v>6922</v>
      </c>
      <c r="C7232">
        <v>15612</v>
      </c>
      <c r="D7232" t="str">
        <f>"0743-5584"</f>
        <v>0743-5584</v>
      </c>
      <c r="E7232" t="s">
        <v>8</v>
      </c>
      <c r="F7232" t="s">
        <v>7236</v>
      </c>
      <c r="G7232">
        <v>1</v>
      </c>
    </row>
    <row r="7233" spans="1:7" x14ac:dyDescent="0.25">
      <c r="A7233">
        <v>26</v>
      </c>
      <c r="B7233" t="s">
        <v>6922</v>
      </c>
      <c r="C7233">
        <v>16498</v>
      </c>
      <c r="D7233" t="str">
        <f>"0165-0327"</f>
        <v>0165-0327</v>
      </c>
      <c r="E7233" t="s">
        <v>8</v>
      </c>
      <c r="F7233" t="s">
        <v>7237</v>
      </c>
      <c r="G7233">
        <v>1</v>
      </c>
    </row>
    <row r="7234" spans="1:7" x14ac:dyDescent="0.25">
      <c r="A7234">
        <v>26</v>
      </c>
      <c r="B7234" t="s">
        <v>6922</v>
      </c>
      <c r="C7234">
        <v>6592</v>
      </c>
      <c r="D7234" t="str">
        <f>"0021-8774"</f>
        <v>0021-8774</v>
      </c>
      <c r="E7234" t="s">
        <v>8</v>
      </c>
      <c r="F7234" t="s">
        <v>7238</v>
      </c>
      <c r="G7234">
        <v>1</v>
      </c>
    </row>
    <row r="7235" spans="1:7" x14ac:dyDescent="0.25">
      <c r="A7235">
        <v>26</v>
      </c>
      <c r="B7235" t="s">
        <v>6922</v>
      </c>
      <c r="C7235">
        <v>11776</v>
      </c>
      <c r="D7235" t="str">
        <f>"0021-8855"</f>
        <v>0021-8855</v>
      </c>
      <c r="E7235" t="s">
        <v>8</v>
      </c>
      <c r="F7235" t="s">
        <v>7239</v>
      </c>
      <c r="G7235">
        <v>1</v>
      </c>
    </row>
    <row r="7236" spans="1:7" x14ac:dyDescent="0.25">
      <c r="A7236">
        <v>26</v>
      </c>
      <c r="B7236" t="s">
        <v>6922</v>
      </c>
      <c r="C7236">
        <v>1488</v>
      </c>
      <c r="D7236" t="str">
        <f>"0193-3973"</f>
        <v>0193-3973</v>
      </c>
      <c r="E7236" t="s">
        <v>8</v>
      </c>
      <c r="F7236" t="s">
        <v>7240</v>
      </c>
      <c r="G7236">
        <v>1</v>
      </c>
    </row>
    <row r="7237" spans="1:7" x14ac:dyDescent="0.25">
      <c r="A7237">
        <v>26</v>
      </c>
      <c r="B7237" t="s">
        <v>6922</v>
      </c>
      <c r="C7237">
        <v>12874</v>
      </c>
      <c r="D7237" t="str">
        <f>"1360-2322"</f>
        <v>1360-2322</v>
      </c>
      <c r="E7237" t="s">
        <v>8</v>
      </c>
      <c r="F7237" t="s">
        <v>7241</v>
      </c>
      <c r="G7237">
        <v>1</v>
      </c>
    </row>
    <row r="7238" spans="1:7" x14ac:dyDescent="0.25">
      <c r="A7238">
        <v>26</v>
      </c>
      <c r="B7238" t="s">
        <v>6922</v>
      </c>
      <c r="C7238">
        <v>7738585</v>
      </c>
      <c r="D7238" t="str">
        <f>"2211-3681"</f>
        <v>2211-3681</v>
      </c>
      <c r="E7238" t="s">
        <v>8</v>
      </c>
      <c r="F7238" t="s">
        <v>7242</v>
      </c>
      <c r="G7238">
        <v>1</v>
      </c>
    </row>
    <row r="7239" spans="1:7" x14ac:dyDescent="0.25">
      <c r="A7239">
        <v>26</v>
      </c>
      <c r="B7239" t="s">
        <v>6922</v>
      </c>
      <c r="C7239">
        <v>4134</v>
      </c>
      <c r="D7239" t="str">
        <f>"0021-9029"</f>
        <v>0021-9029</v>
      </c>
      <c r="E7239" t="s">
        <v>8</v>
      </c>
      <c r="F7239" t="s">
        <v>7243</v>
      </c>
      <c r="G7239">
        <v>1</v>
      </c>
    </row>
    <row r="7240" spans="1:7" x14ac:dyDescent="0.25">
      <c r="A7240">
        <v>26</v>
      </c>
      <c r="B7240" t="s">
        <v>6922</v>
      </c>
      <c r="C7240">
        <v>421</v>
      </c>
      <c r="E7240" t="s">
        <v>8</v>
      </c>
      <c r="F7240" t="s">
        <v>7244</v>
      </c>
      <c r="G7240">
        <v>1</v>
      </c>
    </row>
    <row r="7241" spans="1:7" x14ac:dyDescent="0.25">
      <c r="A7241">
        <v>26</v>
      </c>
      <c r="B7241" t="s">
        <v>6922</v>
      </c>
      <c r="C7241">
        <v>11678</v>
      </c>
      <c r="D7241" t="str">
        <f>"0162-3257"</f>
        <v>0162-3257</v>
      </c>
      <c r="E7241" t="s">
        <v>8</v>
      </c>
      <c r="F7241" t="s">
        <v>7245</v>
      </c>
      <c r="G7241">
        <v>1</v>
      </c>
    </row>
    <row r="7242" spans="1:7" x14ac:dyDescent="0.25">
      <c r="A7242">
        <v>26</v>
      </c>
      <c r="B7242" t="s">
        <v>6922</v>
      </c>
      <c r="C7242">
        <v>11046</v>
      </c>
      <c r="D7242" t="str">
        <f>"0894-3257"</f>
        <v>0894-3257</v>
      </c>
      <c r="E7242" t="s">
        <v>8</v>
      </c>
      <c r="F7242" t="s">
        <v>7246</v>
      </c>
      <c r="G7242">
        <v>1</v>
      </c>
    </row>
    <row r="7243" spans="1:7" x14ac:dyDescent="0.25">
      <c r="A7243">
        <v>26</v>
      </c>
      <c r="B7243" t="s">
        <v>6922</v>
      </c>
      <c r="C7243">
        <v>2872</v>
      </c>
      <c r="D7243" t="str">
        <f>"0160-7715"</f>
        <v>0160-7715</v>
      </c>
      <c r="E7243" t="s">
        <v>8</v>
      </c>
      <c r="F7243" t="s">
        <v>7247</v>
      </c>
      <c r="G7243">
        <v>1</v>
      </c>
    </row>
    <row r="7244" spans="1:7" x14ac:dyDescent="0.25">
      <c r="A7244">
        <v>26</v>
      </c>
      <c r="B7244" t="s">
        <v>6922</v>
      </c>
      <c r="C7244">
        <v>2854</v>
      </c>
      <c r="D7244" t="str">
        <f>"1529-9716"</f>
        <v>1529-9716</v>
      </c>
      <c r="E7244" t="s">
        <v>8</v>
      </c>
      <c r="F7244" t="s">
        <v>7248</v>
      </c>
      <c r="G7244">
        <v>1</v>
      </c>
    </row>
    <row r="7245" spans="1:7" x14ac:dyDescent="0.25">
      <c r="A7245">
        <v>26</v>
      </c>
      <c r="B7245" t="s">
        <v>6922</v>
      </c>
      <c r="C7245">
        <v>2630</v>
      </c>
      <c r="D7245" t="str">
        <f>"1069-0727"</f>
        <v>1069-0727</v>
      </c>
      <c r="E7245" t="s">
        <v>8</v>
      </c>
      <c r="F7245" t="s">
        <v>7249</v>
      </c>
      <c r="G7245">
        <v>1</v>
      </c>
    </row>
    <row r="7246" spans="1:7" x14ac:dyDescent="0.25">
      <c r="A7246">
        <v>26</v>
      </c>
      <c r="B7246" t="s">
        <v>6922</v>
      </c>
      <c r="C7246">
        <v>1080</v>
      </c>
      <c r="D7246" t="str">
        <f>"0894-8453"</f>
        <v>0894-8453</v>
      </c>
      <c r="E7246" t="s">
        <v>8</v>
      </c>
      <c r="F7246" t="s">
        <v>7250</v>
      </c>
      <c r="G7246">
        <v>1</v>
      </c>
    </row>
    <row r="7247" spans="1:7" x14ac:dyDescent="0.25">
      <c r="A7247">
        <v>26</v>
      </c>
      <c r="B7247" t="s">
        <v>6922</v>
      </c>
      <c r="C7247">
        <v>10952</v>
      </c>
      <c r="D7247" t="str">
        <f>"1067-828X"</f>
        <v>1067-828X</v>
      </c>
      <c r="E7247" t="s">
        <v>8</v>
      </c>
      <c r="F7247" t="s">
        <v>7251</v>
      </c>
      <c r="G7247">
        <v>1</v>
      </c>
    </row>
    <row r="7248" spans="1:7" x14ac:dyDescent="0.25">
      <c r="A7248">
        <v>26</v>
      </c>
      <c r="B7248" t="s">
        <v>6922</v>
      </c>
      <c r="C7248">
        <v>6973</v>
      </c>
      <c r="D7248" t="str">
        <f>"1728-0583"</f>
        <v>1728-0583</v>
      </c>
      <c r="E7248" t="s">
        <v>8</v>
      </c>
      <c r="F7248" t="s">
        <v>7252</v>
      </c>
      <c r="G7248">
        <v>1</v>
      </c>
    </row>
    <row r="7249" spans="1:7" x14ac:dyDescent="0.25">
      <c r="A7249">
        <v>26</v>
      </c>
      <c r="B7249" t="s">
        <v>6922</v>
      </c>
      <c r="C7249">
        <v>920</v>
      </c>
      <c r="D7249" t="str">
        <f>"0075-417X"</f>
        <v>0075-417X</v>
      </c>
      <c r="E7249" t="s">
        <v>8</v>
      </c>
      <c r="F7249" t="s">
        <v>7253</v>
      </c>
      <c r="G7249">
        <v>1</v>
      </c>
    </row>
    <row r="7250" spans="1:7" x14ac:dyDescent="0.25">
      <c r="A7250">
        <v>26</v>
      </c>
      <c r="B7250" t="s">
        <v>6922</v>
      </c>
      <c r="C7250">
        <v>1693</v>
      </c>
      <c r="D7250" t="str">
        <f>"0176-4268"</f>
        <v>0176-4268</v>
      </c>
      <c r="E7250" t="s">
        <v>8</v>
      </c>
      <c r="F7250" t="s">
        <v>7254</v>
      </c>
      <c r="G7250">
        <v>1</v>
      </c>
    </row>
    <row r="7251" spans="1:7" x14ac:dyDescent="0.25">
      <c r="A7251">
        <v>26</v>
      </c>
      <c r="B7251" t="s">
        <v>6922</v>
      </c>
      <c r="C7251">
        <v>7849</v>
      </c>
      <c r="D7251" t="str">
        <f>"1537-4416"</f>
        <v>1537-4416</v>
      </c>
      <c r="E7251" t="s">
        <v>8</v>
      </c>
      <c r="F7251" t="s">
        <v>7255</v>
      </c>
      <c r="G7251">
        <v>1</v>
      </c>
    </row>
    <row r="7252" spans="1:7" x14ac:dyDescent="0.25">
      <c r="A7252">
        <v>26</v>
      </c>
      <c r="B7252" t="s">
        <v>6922</v>
      </c>
      <c r="C7252">
        <v>5454</v>
      </c>
      <c r="D7252" t="str">
        <f>"0021-9762"</f>
        <v>0021-9762</v>
      </c>
      <c r="E7252" t="s">
        <v>8</v>
      </c>
      <c r="F7252" t="s">
        <v>7256</v>
      </c>
      <c r="G7252">
        <v>1</v>
      </c>
    </row>
    <row r="7253" spans="1:7" x14ac:dyDescent="0.25">
      <c r="A7253">
        <v>26</v>
      </c>
      <c r="B7253" t="s">
        <v>6922</v>
      </c>
      <c r="C7253">
        <v>652</v>
      </c>
      <c r="D7253" t="str">
        <f>"1068-9583"</f>
        <v>1068-9583</v>
      </c>
      <c r="E7253" t="s">
        <v>8</v>
      </c>
      <c r="F7253" t="s">
        <v>7257</v>
      </c>
      <c r="G7253">
        <v>1</v>
      </c>
    </row>
    <row r="7254" spans="1:7" x14ac:dyDescent="0.25">
      <c r="A7254">
        <v>26</v>
      </c>
      <c r="B7254" t="s">
        <v>6922</v>
      </c>
      <c r="C7254">
        <v>3094</v>
      </c>
      <c r="D7254" t="str">
        <f>"1567-7095"</f>
        <v>1567-7095</v>
      </c>
      <c r="E7254" t="s">
        <v>8</v>
      </c>
      <c r="F7254" t="s">
        <v>7258</v>
      </c>
      <c r="G7254">
        <v>1</v>
      </c>
    </row>
    <row r="7255" spans="1:7" x14ac:dyDescent="0.25">
      <c r="A7255">
        <v>26</v>
      </c>
      <c r="B7255" t="s">
        <v>6922</v>
      </c>
      <c r="C7255">
        <v>5546</v>
      </c>
      <c r="D7255" t="str">
        <f>"1524-8372"</f>
        <v>1524-8372</v>
      </c>
      <c r="E7255" t="s">
        <v>8</v>
      </c>
      <c r="F7255" t="s">
        <v>7259</v>
      </c>
      <c r="G7255">
        <v>1</v>
      </c>
    </row>
    <row r="7256" spans="1:7" x14ac:dyDescent="0.25">
      <c r="A7256">
        <v>26</v>
      </c>
      <c r="B7256" t="s">
        <v>6922</v>
      </c>
      <c r="C7256">
        <v>6168485</v>
      </c>
      <c r="D7256" t="str">
        <f>"1584-7101"</f>
        <v>1584-7101</v>
      </c>
      <c r="E7256" t="s">
        <v>8</v>
      </c>
      <c r="F7256" t="s">
        <v>7260</v>
      </c>
      <c r="G7256">
        <v>1</v>
      </c>
    </row>
    <row r="7257" spans="1:7" x14ac:dyDescent="0.25">
      <c r="A7257">
        <v>26</v>
      </c>
      <c r="B7257" t="s">
        <v>6922</v>
      </c>
      <c r="C7257">
        <v>12437</v>
      </c>
      <c r="D7257" t="str">
        <f>"1945-8959"</f>
        <v>1945-8959</v>
      </c>
      <c r="E7257" t="s">
        <v>8</v>
      </c>
      <c r="F7257" t="s">
        <v>7261</v>
      </c>
      <c r="G7257">
        <v>1</v>
      </c>
    </row>
    <row r="7258" spans="1:7" x14ac:dyDescent="0.25">
      <c r="A7258">
        <v>26</v>
      </c>
      <c r="B7258" t="s">
        <v>6922</v>
      </c>
      <c r="C7258">
        <v>7605617</v>
      </c>
      <c r="D7258" t="str">
        <f>"0898-929X"</f>
        <v>0898-929X</v>
      </c>
      <c r="E7258" t="s">
        <v>8</v>
      </c>
      <c r="F7258" t="s">
        <v>7262</v>
      </c>
      <c r="G7258">
        <v>1</v>
      </c>
    </row>
    <row r="7259" spans="1:7" x14ac:dyDescent="0.25">
      <c r="A7259">
        <v>26</v>
      </c>
      <c r="B7259" t="s">
        <v>6922</v>
      </c>
      <c r="C7259">
        <v>15457</v>
      </c>
      <c r="D7259" t="str">
        <f>"2044-5911"</f>
        <v>2044-5911</v>
      </c>
      <c r="E7259" t="s">
        <v>8</v>
      </c>
      <c r="F7259" t="s">
        <v>7263</v>
      </c>
      <c r="G7259">
        <v>1</v>
      </c>
    </row>
    <row r="7260" spans="1:7" x14ac:dyDescent="0.25">
      <c r="A7260">
        <v>26</v>
      </c>
      <c r="B7260" t="s">
        <v>6922</v>
      </c>
      <c r="C7260">
        <v>7470</v>
      </c>
      <c r="D7260" t="str">
        <f>"8756-8225"</f>
        <v>8756-8225</v>
      </c>
      <c r="E7260" t="s">
        <v>8</v>
      </c>
      <c r="F7260" t="s">
        <v>7264</v>
      </c>
      <c r="G7260">
        <v>1</v>
      </c>
    </row>
    <row r="7261" spans="1:7" x14ac:dyDescent="0.25">
      <c r="A7261">
        <v>26</v>
      </c>
      <c r="B7261" t="s">
        <v>6922</v>
      </c>
      <c r="C7261">
        <v>8619</v>
      </c>
      <c r="D7261" t="str">
        <f>"1052-9284"</f>
        <v>1052-9284</v>
      </c>
      <c r="E7261" t="s">
        <v>8</v>
      </c>
      <c r="F7261" t="s">
        <v>7265</v>
      </c>
      <c r="G7261">
        <v>1</v>
      </c>
    </row>
    <row r="7262" spans="1:7" x14ac:dyDescent="0.25">
      <c r="A7262">
        <v>26</v>
      </c>
      <c r="B7262" t="s">
        <v>6922</v>
      </c>
      <c r="C7262">
        <v>13484</v>
      </c>
      <c r="D7262" t="str">
        <f>"0090-4392"</f>
        <v>0090-4392</v>
      </c>
      <c r="E7262" t="s">
        <v>8</v>
      </c>
      <c r="F7262" t="s">
        <v>7266</v>
      </c>
      <c r="G7262">
        <v>1</v>
      </c>
    </row>
    <row r="7263" spans="1:7" x14ac:dyDescent="0.25">
      <c r="A7263">
        <v>26</v>
      </c>
      <c r="B7263" t="s">
        <v>6922</v>
      </c>
      <c r="C7263">
        <v>10264</v>
      </c>
      <c r="D7263" t="str">
        <f>"1072-0537"</f>
        <v>1072-0537</v>
      </c>
      <c r="E7263" t="s">
        <v>8</v>
      </c>
      <c r="F7263" t="s">
        <v>7267</v>
      </c>
      <c r="G7263">
        <v>1</v>
      </c>
    </row>
    <row r="7264" spans="1:7" x14ac:dyDescent="0.25">
      <c r="A7264">
        <v>26</v>
      </c>
      <c r="B7264" t="s">
        <v>6922</v>
      </c>
      <c r="C7264">
        <v>998</v>
      </c>
      <c r="D7264" t="str">
        <f>"0022-0116"</f>
        <v>0022-0116</v>
      </c>
      <c r="E7264" t="s">
        <v>8</v>
      </c>
      <c r="F7264" t="s">
        <v>7268</v>
      </c>
      <c r="G7264">
        <v>1</v>
      </c>
    </row>
    <row r="7265" spans="1:7" x14ac:dyDescent="0.25">
      <c r="A7265">
        <v>26</v>
      </c>
      <c r="B7265" t="s">
        <v>6922</v>
      </c>
      <c r="C7265">
        <v>16192</v>
      </c>
      <c r="D7265" t="str">
        <f>"0022-0167"</f>
        <v>0022-0167</v>
      </c>
      <c r="E7265" t="s">
        <v>8</v>
      </c>
      <c r="F7265" t="s">
        <v>7269</v>
      </c>
      <c r="G7265">
        <v>1</v>
      </c>
    </row>
    <row r="7266" spans="1:7" x14ac:dyDescent="0.25">
      <c r="A7266">
        <v>26</v>
      </c>
      <c r="B7266" t="s">
        <v>6922</v>
      </c>
      <c r="C7266">
        <v>14506</v>
      </c>
      <c r="D7266" t="str">
        <f>"1533-2691"</f>
        <v>1533-2691</v>
      </c>
      <c r="E7266" t="s">
        <v>8</v>
      </c>
      <c r="F7266" t="s">
        <v>7270</v>
      </c>
      <c r="G7266">
        <v>1</v>
      </c>
    </row>
    <row r="7267" spans="1:7" x14ac:dyDescent="0.25">
      <c r="A7267">
        <v>26</v>
      </c>
      <c r="B7267" t="s">
        <v>6922</v>
      </c>
      <c r="C7267">
        <v>26365</v>
      </c>
      <c r="D7267" t="str">
        <f>"1051-1253"</f>
        <v>1051-1253</v>
      </c>
      <c r="E7267" t="s">
        <v>8</v>
      </c>
      <c r="F7267" t="s">
        <v>7271</v>
      </c>
      <c r="G7267">
        <v>1</v>
      </c>
    </row>
    <row r="7268" spans="1:7" x14ac:dyDescent="0.25">
      <c r="A7268">
        <v>26</v>
      </c>
      <c r="B7268" t="s">
        <v>6922</v>
      </c>
      <c r="C7268">
        <v>10778</v>
      </c>
      <c r="D7268" t="str">
        <f>"0196-206X"</f>
        <v>0196-206X</v>
      </c>
      <c r="E7268" t="s">
        <v>8</v>
      </c>
      <c r="F7268" t="s">
        <v>7272</v>
      </c>
      <c r="G7268">
        <v>1</v>
      </c>
    </row>
    <row r="7269" spans="1:7" x14ac:dyDescent="0.25">
      <c r="A7269">
        <v>26</v>
      </c>
      <c r="B7269" t="s">
        <v>6922</v>
      </c>
      <c r="C7269">
        <v>8783321</v>
      </c>
      <c r="D7269" t="str">
        <f>"2090-8334"</f>
        <v>2090-8334</v>
      </c>
      <c r="E7269" t="s">
        <v>8</v>
      </c>
      <c r="F7269" t="s">
        <v>7273</v>
      </c>
      <c r="G7269">
        <v>1</v>
      </c>
    </row>
    <row r="7270" spans="1:7" x14ac:dyDescent="0.25">
      <c r="A7270">
        <v>26</v>
      </c>
      <c r="B7270" t="s">
        <v>6922</v>
      </c>
      <c r="C7270">
        <v>6699</v>
      </c>
      <c r="D7270" t="str">
        <f>"0022-0426"</f>
        <v>0022-0426</v>
      </c>
      <c r="E7270" t="s">
        <v>8</v>
      </c>
      <c r="F7270" t="s">
        <v>7274</v>
      </c>
      <c r="G7270">
        <v>1</v>
      </c>
    </row>
    <row r="7271" spans="1:7" x14ac:dyDescent="0.25">
      <c r="A7271">
        <v>26</v>
      </c>
      <c r="B7271" t="s">
        <v>6922</v>
      </c>
      <c r="C7271">
        <v>2678</v>
      </c>
      <c r="D7271" t="str">
        <f>"1053-8151"</f>
        <v>1053-8151</v>
      </c>
      <c r="E7271" t="s">
        <v>8</v>
      </c>
      <c r="F7271" t="s">
        <v>7275</v>
      </c>
      <c r="G7271">
        <v>1</v>
      </c>
    </row>
    <row r="7272" spans="1:7" x14ac:dyDescent="0.25">
      <c r="A7272">
        <v>26</v>
      </c>
      <c r="B7272" t="s">
        <v>6922</v>
      </c>
      <c r="C7272">
        <v>7743287</v>
      </c>
      <c r="D7272" t="str">
        <f>"2050-2974"</f>
        <v>2050-2974</v>
      </c>
      <c r="E7272" t="s">
        <v>8</v>
      </c>
      <c r="F7272" t="s">
        <v>7276</v>
      </c>
      <c r="G7272">
        <v>1</v>
      </c>
    </row>
    <row r="7273" spans="1:7" x14ac:dyDescent="0.25">
      <c r="A7273">
        <v>26</v>
      </c>
      <c r="B7273" t="s">
        <v>6922</v>
      </c>
      <c r="C7273">
        <v>6143</v>
      </c>
      <c r="D7273" t="str">
        <f>"1047-4412"</f>
        <v>1047-4412</v>
      </c>
      <c r="E7273" t="s">
        <v>8</v>
      </c>
      <c r="F7273" t="s">
        <v>7277</v>
      </c>
      <c r="G7273">
        <v>1</v>
      </c>
    </row>
    <row r="7274" spans="1:7" x14ac:dyDescent="0.25">
      <c r="A7274">
        <v>26</v>
      </c>
      <c r="B7274" t="s">
        <v>6922</v>
      </c>
      <c r="C7274">
        <v>489</v>
      </c>
      <c r="D7274" t="str">
        <f>"1063-4266"</f>
        <v>1063-4266</v>
      </c>
      <c r="E7274" t="s">
        <v>8</v>
      </c>
      <c r="F7274" t="s">
        <v>7278</v>
      </c>
      <c r="G7274">
        <v>1</v>
      </c>
    </row>
    <row r="7275" spans="1:7" x14ac:dyDescent="0.25">
      <c r="A7275">
        <v>26</v>
      </c>
      <c r="B7275" t="s">
        <v>6922</v>
      </c>
      <c r="C7275">
        <v>4856</v>
      </c>
      <c r="D7275" t="str">
        <f>"0022-0787"</f>
        <v>0022-0787</v>
      </c>
      <c r="E7275" t="s">
        <v>8</v>
      </c>
      <c r="F7275" t="s">
        <v>7279</v>
      </c>
      <c r="G7275">
        <v>1</v>
      </c>
    </row>
    <row r="7276" spans="1:7" x14ac:dyDescent="0.25">
      <c r="A7276">
        <v>26</v>
      </c>
      <c r="B7276" t="s">
        <v>6922</v>
      </c>
      <c r="C7276">
        <v>1578</v>
      </c>
      <c r="D7276" t="str">
        <f>"0737-4828"</f>
        <v>0737-4828</v>
      </c>
      <c r="E7276" t="s">
        <v>8</v>
      </c>
      <c r="F7276" t="s">
        <v>7280</v>
      </c>
      <c r="G7276">
        <v>1</v>
      </c>
    </row>
    <row r="7277" spans="1:7" x14ac:dyDescent="0.25">
      <c r="A7277">
        <v>26</v>
      </c>
      <c r="B7277" t="s">
        <v>6922</v>
      </c>
      <c r="C7277">
        <v>16704</v>
      </c>
      <c r="D7277" t="str">
        <f>"0022-0965"</f>
        <v>0022-0965</v>
      </c>
      <c r="E7277" t="s">
        <v>8</v>
      </c>
      <c r="F7277" t="s">
        <v>7281</v>
      </c>
      <c r="G7277">
        <v>1</v>
      </c>
    </row>
    <row r="7278" spans="1:7" x14ac:dyDescent="0.25">
      <c r="A7278">
        <v>26</v>
      </c>
      <c r="B7278" t="s">
        <v>6922</v>
      </c>
      <c r="C7278">
        <v>8221</v>
      </c>
      <c r="D7278" t="str">
        <f>"0097-7403"</f>
        <v>0097-7403</v>
      </c>
      <c r="E7278" t="s">
        <v>8</v>
      </c>
      <c r="F7278" t="s">
        <v>7282</v>
      </c>
      <c r="G7278">
        <v>1</v>
      </c>
    </row>
    <row r="7279" spans="1:7" x14ac:dyDescent="0.25">
      <c r="A7279">
        <v>26</v>
      </c>
      <c r="B7279" t="s">
        <v>6922</v>
      </c>
      <c r="C7279">
        <v>10407</v>
      </c>
      <c r="D7279" t="str">
        <f>"1076-898X"</f>
        <v>1076-898X</v>
      </c>
      <c r="E7279" t="s">
        <v>8</v>
      </c>
      <c r="F7279" t="s">
        <v>7283</v>
      </c>
      <c r="G7279">
        <v>1</v>
      </c>
    </row>
    <row r="7280" spans="1:7" x14ac:dyDescent="0.25">
      <c r="A7280">
        <v>26</v>
      </c>
      <c r="B7280" t="s">
        <v>6922</v>
      </c>
      <c r="C7280">
        <v>7721434</v>
      </c>
      <c r="D7280" t="str">
        <f>"2043-8087"</f>
        <v>2043-8087</v>
      </c>
      <c r="E7280" t="s">
        <v>8</v>
      </c>
      <c r="F7280" t="s">
        <v>7284</v>
      </c>
      <c r="G7280">
        <v>1</v>
      </c>
    </row>
    <row r="7281" spans="1:7" x14ac:dyDescent="0.25">
      <c r="A7281">
        <v>26</v>
      </c>
      <c r="B7281" t="s">
        <v>6922</v>
      </c>
      <c r="C7281">
        <v>16657</v>
      </c>
      <c r="D7281" t="str">
        <f>"0022-1031"</f>
        <v>0022-1031</v>
      </c>
      <c r="E7281" t="s">
        <v>8</v>
      </c>
      <c r="F7281" t="s">
        <v>7285</v>
      </c>
      <c r="G7281">
        <v>1</v>
      </c>
    </row>
    <row r="7282" spans="1:7" x14ac:dyDescent="0.25">
      <c r="A7282">
        <v>26</v>
      </c>
      <c r="B7282" t="s">
        <v>6922</v>
      </c>
      <c r="C7282">
        <v>8271</v>
      </c>
      <c r="D7282" t="str">
        <f>"1526-7431"</f>
        <v>1526-7431</v>
      </c>
      <c r="E7282" t="s">
        <v>8</v>
      </c>
      <c r="F7282" t="s">
        <v>7286</v>
      </c>
      <c r="G7282">
        <v>1</v>
      </c>
    </row>
    <row r="7283" spans="1:7" x14ac:dyDescent="0.25">
      <c r="A7283">
        <v>26</v>
      </c>
      <c r="B7283" t="s">
        <v>6922</v>
      </c>
      <c r="C7283">
        <v>10666</v>
      </c>
      <c r="D7283" t="str">
        <f>"0893-3200"</f>
        <v>0893-3200</v>
      </c>
      <c r="E7283" t="s">
        <v>8</v>
      </c>
      <c r="F7283" t="s">
        <v>7287</v>
      </c>
      <c r="G7283">
        <v>1</v>
      </c>
    </row>
    <row r="7284" spans="1:7" x14ac:dyDescent="0.25">
      <c r="A7284">
        <v>26</v>
      </c>
      <c r="B7284" t="s">
        <v>6922</v>
      </c>
      <c r="C7284">
        <v>12095</v>
      </c>
      <c r="D7284" t="str">
        <f>"0897-5353"</f>
        <v>0897-5353</v>
      </c>
      <c r="E7284" t="s">
        <v>8</v>
      </c>
      <c r="F7284" t="s">
        <v>7288</v>
      </c>
      <c r="G7284">
        <v>1</v>
      </c>
    </row>
    <row r="7285" spans="1:7" x14ac:dyDescent="0.25">
      <c r="A7285">
        <v>26</v>
      </c>
      <c r="B7285" t="s">
        <v>6922</v>
      </c>
      <c r="C7285">
        <v>5227</v>
      </c>
      <c r="D7285" t="str">
        <f>"0163-4445"</f>
        <v>0163-4445</v>
      </c>
      <c r="E7285" t="s">
        <v>8</v>
      </c>
      <c r="F7285" t="s">
        <v>7289</v>
      </c>
      <c r="G7285">
        <v>1</v>
      </c>
    </row>
    <row r="7286" spans="1:7" x14ac:dyDescent="0.25">
      <c r="A7286">
        <v>26</v>
      </c>
      <c r="B7286" t="s">
        <v>6922</v>
      </c>
      <c r="C7286">
        <v>15368</v>
      </c>
      <c r="D7286" t="str">
        <f>"0885-7482"</f>
        <v>0885-7482</v>
      </c>
      <c r="E7286" t="s">
        <v>8</v>
      </c>
      <c r="F7286" t="s">
        <v>7290</v>
      </c>
      <c r="G7286">
        <v>1</v>
      </c>
    </row>
    <row r="7287" spans="1:7" x14ac:dyDescent="0.25">
      <c r="A7287">
        <v>26</v>
      </c>
      <c r="B7287" t="s">
        <v>6922</v>
      </c>
      <c r="C7287">
        <v>14496</v>
      </c>
      <c r="D7287" t="str">
        <f>"0895-2833"</f>
        <v>0895-2833</v>
      </c>
      <c r="E7287" t="s">
        <v>8</v>
      </c>
      <c r="F7287" t="s">
        <v>7291</v>
      </c>
      <c r="G7287">
        <v>1</v>
      </c>
    </row>
    <row r="7288" spans="1:7" x14ac:dyDescent="0.25">
      <c r="A7288">
        <v>26</v>
      </c>
      <c r="B7288" t="s">
        <v>6922</v>
      </c>
      <c r="C7288">
        <v>1653</v>
      </c>
      <c r="D7288" t="str">
        <f>"1522-8932"</f>
        <v>1522-8932</v>
      </c>
      <c r="E7288" t="s">
        <v>8</v>
      </c>
      <c r="F7288" t="s">
        <v>7292</v>
      </c>
      <c r="G7288">
        <v>1</v>
      </c>
    </row>
    <row r="7289" spans="1:7" x14ac:dyDescent="0.25">
      <c r="A7289">
        <v>26</v>
      </c>
      <c r="B7289" t="s">
        <v>6922</v>
      </c>
      <c r="C7289">
        <v>15655</v>
      </c>
      <c r="D7289" t="str">
        <f>"1091-1359"</f>
        <v>1091-1359</v>
      </c>
      <c r="E7289" t="s">
        <v>8</v>
      </c>
      <c r="F7289" t="s">
        <v>7293</v>
      </c>
      <c r="G7289">
        <v>1</v>
      </c>
    </row>
    <row r="7290" spans="1:7" x14ac:dyDescent="0.25">
      <c r="A7290">
        <v>26</v>
      </c>
      <c r="B7290" t="s">
        <v>6922</v>
      </c>
      <c r="C7290">
        <v>3798</v>
      </c>
      <c r="D7290" t="str">
        <f>"1529-5168"</f>
        <v>1529-5168</v>
      </c>
      <c r="E7290" t="s">
        <v>8</v>
      </c>
      <c r="F7290" t="s">
        <v>7294</v>
      </c>
      <c r="G7290">
        <v>1</v>
      </c>
    </row>
    <row r="7291" spans="1:7" x14ac:dyDescent="0.25">
      <c r="A7291">
        <v>26</v>
      </c>
      <c r="B7291" t="s">
        <v>6922</v>
      </c>
      <c r="C7291">
        <v>20273</v>
      </c>
      <c r="D7291" t="str">
        <f>"1614-0001"</f>
        <v>1614-0001</v>
      </c>
      <c r="E7291" t="s">
        <v>8</v>
      </c>
      <c r="F7291" t="s">
        <v>7295</v>
      </c>
      <c r="G7291">
        <v>1</v>
      </c>
    </row>
    <row r="7292" spans="1:7" x14ac:dyDescent="0.25">
      <c r="A7292">
        <v>26</v>
      </c>
      <c r="B7292" t="s">
        <v>6922</v>
      </c>
      <c r="C7292">
        <v>21154</v>
      </c>
      <c r="D7292" t="str">
        <f>"1744-6295"</f>
        <v>1744-6295</v>
      </c>
      <c r="E7292" t="s">
        <v>8</v>
      </c>
      <c r="F7292" t="s">
        <v>7296</v>
      </c>
      <c r="G7292">
        <v>1</v>
      </c>
    </row>
    <row r="7293" spans="1:7" x14ac:dyDescent="0.25">
      <c r="A7293">
        <v>26</v>
      </c>
      <c r="B7293" t="s">
        <v>6922</v>
      </c>
      <c r="C7293">
        <v>9116</v>
      </c>
      <c r="D7293" t="str">
        <f>"1535-0770"</f>
        <v>1535-0770</v>
      </c>
      <c r="E7293" t="s">
        <v>8</v>
      </c>
      <c r="F7293" t="s">
        <v>7297</v>
      </c>
      <c r="G7293">
        <v>1</v>
      </c>
    </row>
    <row r="7294" spans="1:7" x14ac:dyDescent="0.25">
      <c r="A7294">
        <v>26</v>
      </c>
      <c r="B7294" t="s">
        <v>6922</v>
      </c>
      <c r="C7294">
        <v>10941</v>
      </c>
      <c r="D7294" t="str">
        <f>"0261-927X"</f>
        <v>0261-927X</v>
      </c>
      <c r="E7294" t="s">
        <v>8</v>
      </c>
      <c r="F7294" t="s">
        <v>7298</v>
      </c>
      <c r="G7294">
        <v>1</v>
      </c>
    </row>
    <row r="7295" spans="1:7" x14ac:dyDescent="0.25">
      <c r="A7295">
        <v>26</v>
      </c>
      <c r="B7295" t="s">
        <v>6922</v>
      </c>
      <c r="C7295">
        <v>3769</v>
      </c>
      <c r="D7295" t="str">
        <f>"1548-0518"</f>
        <v>1548-0518</v>
      </c>
      <c r="E7295" t="s">
        <v>8</v>
      </c>
      <c r="F7295" t="s">
        <v>7299</v>
      </c>
      <c r="G7295">
        <v>1</v>
      </c>
    </row>
    <row r="7296" spans="1:7" x14ac:dyDescent="0.25">
      <c r="A7296">
        <v>26</v>
      </c>
      <c r="B7296" t="s">
        <v>6922</v>
      </c>
      <c r="C7296">
        <v>14252</v>
      </c>
      <c r="D7296" t="str">
        <f>"1086-296X"</f>
        <v>1086-296X</v>
      </c>
      <c r="E7296" t="s">
        <v>8</v>
      </c>
      <c r="F7296" t="s">
        <v>7300</v>
      </c>
      <c r="G7296">
        <v>1</v>
      </c>
    </row>
    <row r="7297" spans="1:7" x14ac:dyDescent="0.25">
      <c r="A7297">
        <v>26</v>
      </c>
      <c r="B7297" t="s">
        <v>6922</v>
      </c>
      <c r="C7297">
        <v>12371</v>
      </c>
      <c r="D7297" t="str">
        <f>"1532-5024"</f>
        <v>1532-5024</v>
      </c>
      <c r="E7297" t="s">
        <v>8</v>
      </c>
      <c r="F7297" t="s">
        <v>7301</v>
      </c>
      <c r="G7297">
        <v>1</v>
      </c>
    </row>
    <row r="7298" spans="1:7" x14ac:dyDescent="0.25">
      <c r="A7298">
        <v>26</v>
      </c>
      <c r="B7298" t="s">
        <v>6922</v>
      </c>
      <c r="C7298">
        <v>6159</v>
      </c>
      <c r="D7298" t="str">
        <f>"0268-3946"</f>
        <v>0268-3946</v>
      </c>
      <c r="E7298" t="s">
        <v>8</v>
      </c>
      <c r="F7298" t="s">
        <v>7302</v>
      </c>
      <c r="G7298">
        <v>1</v>
      </c>
    </row>
    <row r="7299" spans="1:7" x14ac:dyDescent="0.25">
      <c r="A7299">
        <v>26</v>
      </c>
      <c r="B7299" t="s">
        <v>6922</v>
      </c>
      <c r="C7299">
        <v>13665</v>
      </c>
      <c r="D7299" t="str">
        <f>"0194-472X"</f>
        <v>0194-472X</v>
      </c>
      <c r="E7299" t="s">
        <v>8</v>
      </c>
      <c r="F7299" t="s">
        <v>7303</v>
      </c>
      <c r="G7299">
        <v>1</v>
      </c>
    </row>
    <row r="7300" spans="1:7" x14ac:dyDescent="0.25">
      <c r="A7300">
        <v>26</v>
      </c>
      <c r="B7300" t="s">
        <v>6922</v>
      </c>
      <c r="C7300">
        <v>3557</v>
      </c>
      <c r="D7300" t="str">
        <f>"0022-2496"</f>
        <v>0022-2496</v>
      </c>
      <c r="E7300" t="s">
        <v>8</v>
      </c>
      <c r="F7300" t="s">
        <v>7304</v>
      </c>
      <c r="G7300">
        <v>1</v>
      </c>
    </row>
    <row r="7301" spans="1:7" x14ac:dyDescent="0.25">
      <c r="A7301">
        <v>26</v>
      </c>
      <c r="B7301" t="s">
        <v>6922</v>
      </c>
      <c r="C7301">
        <v>3920</v>
      </c>
      <c r="D7301" t="str">
        <f>"0749-596X"</f>
        <v>0749-596X</v>
      </c>
      <c r="E7301" t="s">
        <v>8</v>
      </c>
      <c r="F7301" t="s">
        <v>7305</v>
      </c>
      <c r="G7301">
        <v>1</v>
      </c>
    </row>
    <row r="7302" spans="1:7" x14ac:dyDescent="0.25">
      <c r="A7302">
        <v>26</v>
      </c>
      <c r="B7302" t="s">
        <v>6922</v>
      </c>
      <c r="C7302">
        <v>13575</v>
      </c>
      <c r="D7302" t="str">
        <f>"0963-8237"</f>
        <v>0963-8237</v>
      </c>
      <c r="E7302" t="s">
        <v>8</v>
      </c>
      <c r="F7302" t="s">
        <v>7306</v>
      </c>
      <c r="G7302">
        <v>1</v>
      </c>
    </row>
    <row r="7303" spans="1:7" x14ac:dyDescent="0.25">
      <c r="A7303">
        <v>26</v>
      </c>
      <c r="B7303" t="s">
        <v>6922</v>
      </c>
      <c r="C7303">
        <v>13966</v>
      </c>
      <c r="D7303" t="str">
        <f>"0883-8534"</f>
        <v>0883-8534</v>
      </c>
      <c r="E7303" t="s">
        <v>8</v>
      </c>
      <c r="F7303" t="s">
        <v>7307</v>
      </c>
      <c r="G7303">
        <v>1</v>
      </c>
    </row>
    <row r="7304" spans="1:7" x14ac:dyDescent="0.25">
      <c r="A7304">
        <v>26</v>
      </c>
      <c r="B7304" t="s">
        <v>6922</v>
      </c>
      <c r="C7304">
        <v>50454</v>
      </c>
      <c r="D7304" t="str">
        <f>"1937-321X"</f>
        <v>1937-321X</v>
      </c>
      <c r="E7304" t="s">
        <v>8</v>
      </c>
      <c r="F7304" t="s">
        <v>7308</v>
      </c>
      <c r="G7304">
        <v>1</v>
      </c>
    </row>
    <row r="7305" spans="1:7" x14ac:dyDescent="0.25">
      <c r="A7305">
        <v>26</v>
      </c>
      <c r="B7305" t="s">
        <v>6922</v>
      </c>
      <c r="C7305">
        <v>15466</v>
      </c>
      <c r="D7305" t="str">
        <f>"0191-5886"</f>
        <v>0191-5886</v>
      </c>
      <c r="E7305" t="s">
        <v>8</v>
      </c>
      <c r="F7305" t="s">
        <v>7309</v>
      </c>
      <c r="G7305">
        <v>1</v>
      </c>
    </row>
    <row r="7306" spans="1:7" x14ac:dyDescent="0.25">
      <c r="A7306">
        <v>26</v>
      </c>
      <c r="B7306" t="s">
        <v>6922</v>
      </c>
      <c r="C7306">
        <v>14696</v>
      </c>
      <c r="D7306" t="str">
        <f>"1050-9674"</f>
        <v>1050-9674</v>
      </c>
      <c r="E7306" t="s">
        <v>8</v>
      </c>
      <c r="F7306" t="s">
        <v>7310</v>
      </c>
      <c r="G7306">
        <v>1</v>
      </c>
    </row>
    <row r="7307" spans="1:7" x14ac:dyDescent="0.25">
      <c r="A7307">
        <v>26</v>
      </c>
      <c r="B7307" t="s">
        <v>6922</v>
      </c>
      <c r="C7307">
        <v>10490</v>
      </c>
      <c r="D7307" t="str">
        <f>"0022-3387"</f>
        <v>0022-3387</v>
      </c>
      <c r="E7307" t="s">
        <v>8</v>
      </c>
      <c r="F7307" t="s">
        <v>7311</v>
      </c>
      <c r="G7307">
        <v>1</v>
      </c>
    </row>
    <row r="7308" spans="1:7" x14ac:dyDescent="0.25">
      <c r="A7308">
        <v>26</v>
      </c>
      <c r="B7308" t="s">
        <v>6922</v>
      </c>
      <c r="C7308">
        <v>16199</v>
      </c>
      <c r="D7308" t="str">
        <f>"0146-8693"</f>
        <v>0146-8693</v>
      </c>
      <c r="E7308" t="s">
        <v>8</v>
      </c>
      <c r="F7308" t="s">
        <v>7312</v>
      </c>
      <c r="G7308">
        <v>1</v>
      </c>
    </row>
    <row r="7309" spans="1:7" x14ac:dyDescent="0.25">
      <c r="A7309">
        <v>26</v>
      </c>
      <c r="B7309" t="s">
        <v>6922</v>
      </c>
      <c r="C7309">
        <v>13911</v>
      </c>
      <c r="D7309" t="str">
        <f>"0022-3891"</f>
        <v>0022-3891</v>
      </c>
      <c r="E7309" t="s">
        <v>8</v>
      </c>
      <c r="F7309" t="s">
        <v>7313</v>
      </c>
      <c r="G7309">
        <v>1</v>
      </c>
    </row>
    <row r="7310" spans="1:7" x14ac:dyDescent="0.25">
      <c r="A7310">
        <v>26</v>
      </c>
      <c r="B7310" t="s">
        <v>6922</v>
      </c>
      <c r="C7310">
        <v>6171483</v>
      </c>
      <c r="D7310" t="str">
        <f>"1866-5888"</f>
        <v>1866-5888</v>
      </c>
      <c r="E7310" t="s">
        <v>8</v>
      </c>
      <c r="F7310" t="s">
        <v>7314</v>
      </c>
      <c r="G7310">
        <v>1</v>
      </c>
    </row>
    <row r="7311" spans="1:7" x14ac:dyDescent="0.25">
      <c r="A7311">
        <v>26</v>
      </c>
      <c r="B7311" t="s">
        <v>6922</v>
      </c>
      <c r="C7311">
        <v>16152</v>
      </c>
      <c r="D7311" t="str">
        <f>"0047-2662"</f>
        <v>0047-2662</v>
      </c>
      <c r="E7311" t="s">
        <v>8</v>
      </c>
      <c r="F7311" t="s">
        <v>7315</v>
      </c>
      <c r="G7311">
        <v>1</v>
      </c>
    </row>
    <row r="7312" spans="1:7" x14ac:dyDescent="0.25">
      <c r="A7312">
        <v>26</v>
      </c>
      <c r="B7312" t="s">
        <v>6922</v>
      </c>
      <c r="C7312">
        <v>19833</v>
      </c>
      <c r="D7312" t="str">
        <f>"1612-5681"</f>
        <v>1612-5681</v>
      </c>
      <c r="E7312" t="s">
        <v>8</v>
      </c>
      <c r="F7312" t="s">
        <v>7316</v>
      </c>
      <c r="G7312">
        <v>1</v>
      </c>
    </row>
    <row r="7313" spans="1:7" x14ac:dyDescent="0.25">
      <c r="A7313">
        <v>26</v>
      </c>
      <c r="B7313" t="s">
        <v>6922</v>
      </c>
      <c r="C7313">
        <v>16567</v>
      </c>
      <c r="D7313" t="str">
        <f>"1098-3007"</f>
        <v>1098-3007</v>
      </c>
      <c r="E7313" t="s">
        <v>8</v>
      </c>
      <c r="F7313" t="s">
        <v>7317</v>
      </c>
      <c r="G7313">
        <v>1</v>
      </c>
    </row>
    <row r="7314" spans="1:7" x14ac:dyDescent="0.25">
      <c r="A7314">
        <v>26</v>
      </c>
      <c r="B7314" t="s">
        <v>6922</v>
      </c>
      <c r="C7314">
        <v>315</v>
      </c>
      <c r="D7314" t="str">
        <f>"1520-8834"</f>
        <v>1520-8834</v>
      </c>
      <c r="E7314" t="s">
        <v>8</v>
      </c>
      <c r="F7314" t="s">
        <v>7318</v>
      </c>
      <c r="G7314">
        <v>1</v>
      </c>
    </row>
    <row r="7315" spans="1:7" x14ac:dyDescent="0.25">
      <c r="A7315">
        <v>26</v>
      </c>
      <c r="B7315" t="s">
        <v>6922</v>
      </c>
      <c r="C7315">
        <v>2520</v>
      </c>
      <c r="D7315" t="str">
        <f>"1433-0237"</f>
        <v>1433-0237</v>
      </c>
      <c r="E7315" t="s">
        <v>8</v>
      </c>
      <c r="F7315" t="s">
        <v>7319</v>
      </c>
      <c r="G7315">
        <v>1</v>
      </c>
    </row>
    <row r="7316" spans="1:7" x14ac:dyDescent="0.25">
      <c r="A7316">
        <v>26</v>
      </c>
      <c r="B7316" t="s">
        <v>6922</v>
      </c>
      <c r="C7316">
        <v>11687</v>
      </c>
      <c r="D7316" t="str">
        <f>"0882-2689"</f>
        <v>0882-2689</v>
      </c>
      <c r="E7316" t="s">
        <v>8</v>
      </c>
      <c r="F7316" t="s">
        <v>7320</v>
      </c>
      <c r="G7316">
        <v>1</v>
      </c>
    </row>
    <row r="7317" spans="1:7" x14ac:dyDescent="0.25">
      <c r="A7317">
        <v>26</v>
      </c>
      <c r="B7317" t="s">
        <v>6922</v>
      </c>
      <c r="C7317">
        <v>14378</v>
      </c>
      <c r="D7317" t="str">
        <f>"0734-7332"</f>
        <v>0734-7332</v>
      </c>
      <c r="E7317" t="s">
        <v>8</v>
      </c>
      <c r="F7317" t="s">
        <v>7321</v>
      </c>
      <c r="G7317">
        <v>1</v>
      </c>
    </row>
    <row r="7318" spans="1:7" x14ac:dyDescent="0.25">
      <c r="A7318">
        <v>26</v>
      </c>
      <c r="B7318" t="s">
        <v>6922</v>
      </c>
      <c r="C7318">
        <v>27164</v>
      </c>
      <c r="D7318" t="str">
        <f>"1478-6737"</f>
        <v>1478-6737</v>
      </c>
      <c r="E7318" t="s">
        <v>8</v>
      </c>
      <c r="F7318" t="s">
        <v>7322</v>
      </c>
      <c r="G7318">
        <v>1</v>
      </c>
    </row>
    <row r="7319" spans="1:7" x14ac:dyDescent="0.25">
      <c r="A7319">
        <v>26</v>
      </c>
      <c r="B7319" t="s">
        <v>6922</v>
      </c>
      <c r="C7319">
        <v>12595</v>
      </c>
      <c r="D7319" t="str">
        <f>"1053-0479"</f>
        <v>1053-0479</v>
      </c>
      <c r="E7319" t="s">
        <v>8</v>
      </c>
      <c r="F7319" t="s">
        <v>7323</v>
      </c>
      <c r="G7319">
        <v>1</v>
      </c>
    </row>
    <row r="7320" spans="1:7" x14ac:dyDescent="0.25">
      <c r="A7320">
        <v>26</v>
      </c>
      <c r="B7320" t="s">
        <v>6922</v>
      </c>
      <c r="C7320">
        <v>1599</v>
      </c>
      <c r="D7320" t="str">
        <f>"0894-9085"</f>
        <v>0894-9085</v>
      </c>
      <c r="E7320" t="s">
        <v>8</v>
      </c>
      <c r="F7320" t="s">
        <v>7324</v>
      </c>
      <c r="G7320">
        <v>1</v>
      </c>
    </row>
    <row r="7321" spans="1:7" x14ac:dyDescent="0.25">
      <c r="A7321">
        <v>26</v>
      </c>
      <c r="B7321" t="s">
        <v>6922</v>
      </c>
      <c r="C7321">
        <v>14840</v>
      </c>
      <c r="D7321" t="str">
        <f>"0264-6838"</f>
        <v>0264-6838</v>
      </c>
      <c r="E7321" t="s">
        <v>8</v>
      </c>
      <c r="F7321" t="s">
        <v>7325</v>
      </c>
      <c r="G7321">
        <v>1</v>
      </c>
    </row>
    <row r="7322" spans="1:7" x14ac:dyDescent="0.25">
      <c r="A7322">
        <v>26</v>
      </c>
      <c r="B7322" t="s">
        <v>6922</v>
      </c>
      <c r="C7322">
        <v>1971</v>
      </c>
      <c r="D7322" t="str">
        <f>"0092-6566"</f>
        <v>0092-6566</v>
      </c>
      <c r="E7322" t="s">
        <v>8</v>
      </c>
      <c r="F7322" t="s">
        <v>7326</v>
      </c>
      <c r="G7322">
        <v>1</v>
      </c>
    </row>
    <row r="7323" spans="1:7" x14ac:dyDescent="0.25">
      <c r="A7323">
        <v>26</v>
      </c>
      <c r="B7323" t="s">
        <v>6922</v>
      </c>
      <c r="C7323">
        <v>2327</v>
      </c>
      <c r="D7323" t="str">
        <f>"1050-8392"</f>
        <v>1050-8392</v>
      </c>
      <c r="E7323" t="s">
        <v>8</v>
      </c>
      <c r="F7323" t="s">
        <v>7327</v>
      </c>
      <c r="G7323">
        <v>1</v>
      </c>
    </row>
    <row r="7324" spans="1:7" x14ac:dyDescent="0.25">
      <c r="A7324">
        <v>26</v>
      </c>
      <c r="B7324" t="s">
        <v>6922</v>
      </c>
      <c r="C7324">
        <v>11954</v>
      </c>
      <c r="D7324" t="str">
        <f>"0022-4405"</f>
        <v>0022-4405</v>
      </c>
      <c r="E7324" t="s">
        <v>8</v>
      </c>
      <c r="F7324" t="s">
        <v>7328</v>
      </c>
      <c r="G7324">
        <v>1</v>
      </c>
    </row>
    <row r="7325" spans="1:7" x14ac:dyDescent="0.25">
      <c r="A7325">
        <v>26</v>
      </c>
      <c r="B7325" t="s">
        <v>6922</v>
      </c>
      <c r="C7325">
        <v>14234</v>
      </c>
      <c r="D7325" t="str">
        <f>"1538-8220"</f>
        <v>1538-8220</v>
      </c>
      <c r="E7325" t="s">
        <v>8</v>
      </c>
      <c r="F7325" t="s">
        <v>7329</v>
      </c>
      <c r="G7325">
        <v>1</v>
      </c>
    </row>
    <row r="7326" spans="1:7" x14ac:dyDescent="0.25">
      <c r="A7326">
        <v>26</v>
      </c>
      <c r="B7326" t="s">
        <v>6922</v>
      </c>
      <c r="C7326">
        <v>8945</v>
      </c>
      <c r="D7326" t="str">
        <f>"0092-623X"</f>
        <v>0092-623X</v>
      </c>
      <c r="E7326" t="s">
        <v>8</v>
      </c>
      <c r="F7326" t="s">
        <v>7330</v>
      </c>
      <c r="G7326">
        <v>1</v>
      </c>
    </row>
    <row r="7327" spans="1:7" x14ac:dyDescent="0.25">
      <c r="A7327">
        <v>26</v>
      </c>
      <c r="B7327" t="s">
        <v>6922</v>
      </c>
      <c r="C7327">
        <v>10263</v>
      </c>
      <c r="D7327" t="str">
        <f>"0022-4499"</f>
        <v>0022-4499</v>
      </c>
      <c r="E7327" t="s">
        <v>8</v>
      </c>
      <c r="F7327" t="s">
        <v>7331</v>
      </c>
      <c r="G7327">
        <v>1</v>
      </c>
    </row>
    <row r="7328" spans="1:7" x14ac:dyDescent="0.25">
      <c r="A7328">
        <v>26</v>
      </c>
      <c r="B7328" t="s">
        <v>6922</v>
      </c>
      <c r="C7328">
        <v>1675</v>
      </c>
      <c r="D7328" t="str">
        <f>"1355-2600"</f>
        <v>1355-2600</v>
      </c>
      <c r="E7328" t="s">
        <v>8</v>
      </c>
      <c r="F7328" t="s">
        <v>7332</v>
      </c>
      <c r="G7328">
        <v>1</v>
      </c>
    </row>
    <row r="7329" spans="1:7" x14ac:dyDescent="0.25">
      <c r="A7329">
        <v>26</v>
      </c>
      <c r="B7329" t="s">
        <v>6922</v>
      </c>
      <c r="C7329">
        <v>10625</v>
      </c>
      <c r="D7329" t="str">
        <f>"0736-7236"</f>
        <v>0736-7236</v>
      </c>
      <c r="E7329" t="s">
        <v>8</v>
      </c>
      <c r="F7329" t="s">
        <v>7333</v>
      </c>
      <c r="G7329">
        <v>1</v>
      </c>
    </row>
    <row r="7330" spans="1:7" x14ac:dyDescent="0.25">
      <c r="A7330">
        <v>26</v>
      </c>
      <c r="B7330" t="s">
        <v>6922</v>
      </c>
      <c r="C7330">
        <v>7196</v>
      </c>
      <c r="D7330" t="str">
        <f>"0265-4075"</f>
        <v>0265-4075</v>
      </c>
      <c r="E7330" t="s">
        <v>8</v>
      </c>
      <c r="F7330" t="s">
        <v>7334</v>
      </c>
      <c r="G7330">
        <v>1</v>
      </c>
    </row>
    <row r="7331" spans="1:7" x14ac:dyDescent="0.25">
      <c r="A7331">
        <v>26</v>
      </c>
      <c r="B7331" t="s">
        <v>6922</v>
      </c>
      <c r="C7331">
        <v>9825</v>
      </c>
      <c r="D7331" t="str">
        <f>"1195-4396"</f>
        <v>1195-4396</v>
      </c>
      <c r="E7331" t="s">
        <v>8</v>
      </c>
      <c r="F7331" t="s">
        <v>7335</v>
      </c>
      <c r="G7331">
        <v>1</v>
      </c>
    </row>
    <row r="7332" spans="1:7" x14ac:dyDescent="0.25">
      <c r="A7332">
        <v>26</v>
      </c>
      <c r="B7332" t="s">
        <v>6922</v>
      </c>
      <c r="C7332">
        <v>10552</v>
      </c>
      <c r="D7332" t="str">
        <f>"0003-0651"</f>
        <v>0003-0651</v>
      </c>
      <c r="E7332" t="s">
        <v>8</v>
      </c>
      <c r="F7332" t="s">
        <v>7336</v>
      </c>
      <c r="G7332">
        <v>1</v>
      </c>
    </row>
    <row r="7333" spans="1:7" x14ac:dyDescent="0.25">
      <c r="A7333">
        <v>26</v>
      </c>
      <c r="B7333" t="s">
        <v>6922</v>
      </c>
      <c r="C7333">
        <v>544</v>
      </c>
      <c r="D7333" t="str">
        <f>"0022-5002"</f>
        <v>0022-5002</v>
      </c>
      <c r="E7333" t="s">
        <v>8</v>
      </c>
      <c r="F7333" t="s">
        <v>7337</v>
      </c>
      <c r="G7333">
        <v>1</v>
      </c>
    </row>
    <row r="7334" spans="1:7" x14ac:dyDescent="0.25">
      <c r="A7334">
        <v>26</v>
      </c>
      <c r="B7334" t="s">
        <v>6922</v>
      </c>
      <c r="C7334">
        <v>21997</v>
      </c>
      <c r="D7334" t="str">
        <f>"1068-8471"</f>
        <v>1068-8471</v>
      </c>
      <c r="E7334" t="s">
        <v>8</v>
      </c>
      <c r="F7334" t="s">
        <v>7338</v>
      </c>
      <c r="G7334">
        <v>1</v>
      </c>
    </row>
    <row r="7335" spans="1:7" x14ac:dyDescent="0.25">
      <c r="A7335">
        <v>26</v>
      </c>
      <c r="B7335" t="s">
        <v>6922</v>
      </c>
      <c r="C7335">
        <v>18192</v>
      </c>
      <c r="D7335" t="str">
        <f>"0022-524X"</f>
        <v>0022-524X</v>
      </c>
      <c r="E7335" t="s">
        <v>8</v>
      </c>
      <c r="F7335" t="s">
        <v>7339</v>
      </c>
      <c r="G7335">
        <v>1</v>
      </c>
    </row>
    <row r="7336" spans="1:7" x14ac:dyDescent="0.25">
      <c r="A7336">
        <v>26</v>
      </c>
      <c r="B7336" t="s">
        <v>6922</v>
      </c>
      <c r="C7336">
        <v>4366</v>
      </c>
      <c r="D7336" t="str">
        <f>"0894-9867"</f>
        <v>0894-9867</v>
      </c>
      <c r="E7336" t="s">
        <v>8</v>
      </c>
      <c r="F7336" t="s">
        <v>7340</v>
      </c>
      <c r="G7336">
        <v>1</v>
      </c>
    </row>
    <row r="7337" spans="1:7" x14ac:dyDescent="0.25">
      <c r="A7337">
        <v>26</v>
      </c>
      <c r="B7337" t="s">
        <v>6922</v>
      </c>
      <c r="C7337">
        <v>2525</v>
      </c>
      <c r="D7337" t="str">
        <f>"0001-8791"</f>
        <v>0001-8791</v>
      </c>
      <c r="E7337" t="s">
        <v>8</v>
      </c>
      <c r="F7337" t="s">
        <v>7341</v>
      </c>
      <c r="G7337">
        <v>1</v>
      </c>
    </row>
    <row r="7338" spans="1:7" x14ac:dyDescent="0.25">
      <c r="A7338">
        <v>26</v>
      </c>
      <c r="B7338" t="s">
        <v>6922</v>
      </c>
      <c r="C7338">
        <v>12756</v>
      </c>
      <c r="D7338" t="str">
        <f>"0047-2891"</f>
        <v>0047-2891</v>
      </c>
      <c r="E7338" t="s">
        <v>8</v>
      </c>
      <c r="F7338" t="s">
        <v>7342</v>
      </c>
      <c r="G7338">
        <v>1</v>
      </c>
    </row>
    <row r="7339" spans="1:7" x14ac:dyDescent="0.25">
      <c r="A7339">
        <v>26</v>
      </c>
      <c r="B7339" t="s">
        <v>6922</v>
      </c>
      <c r="C7339">
        <v>22746</v>
      </c>
      <c r="D7339" t="str">
        <f>"1934-2039"</f>
        <v>1934-2039</v>
      </c>
      <c r="E7339" t="s">
        <v>8</v>
      </c>
      <c r="F7339" t="s">
        <v>7343</v>
      </c>
      <c r="G7339">
        <v>1</v>
      </c>
    </row>
    <row r="7340" spans="1:7" x14ac:dyDescent="0.25">
      <c r="A7340">
        <v>26</v>
      </c>
      <c r="B7340" t="s">
        <v>6922</v>
      </c>
      <c r="C7340">
        <v>7997</v>
      </c>
      <c r="D7340" t="str">
        <f>"0942-5403"</f>
        <v>0942-5403</v>
      </c>
      <c r="E7340" t="s">
        <v>8</v>
      </c>
      <c r="F7340" t="s">
        <v>7344</v>
      </c>
      <c r="G7340">
        <v>1</v>
      </c>
    </row>
    <row r="7341" spans="1:7" x14ac:dyDescent="0.25">
      <c r="A7341">
        <v>26</v>
      </c>
      <c r="B7341" t="s">
        <v>6922</v>
      </c>
      <c r="C7341">
        <v>10320</v>
      </c>
      <c r="D7341" t="str">
        <f>"0021-5015"</f>
        <v>0021-5015</v>
      </c>
      <c r="E7341" t="s">
        <v>8</v>
      </c>
      <c r="F7341" t="s">
        <v>7345</v>
      </c>
      <c r="G7341">
        <v>1</v>
      </c>
    </row>
    <row r="7342" spans="1:7" x14ac:dyDescent="0.25">
      <c r="A7342">
        <v>26</v>
      </c>
      <c r="B7342" t="s">
        <v>6922</v>
      </c>
      <c r="C7342">
        <v>13150</v>
      </c>
      <c r="D7342" t="str">
        <f>"1357-650X"</f>
        <v>1357-650X</v>
      </c>
      <c r="E7342" t="s">
        <v>8</v>
      </c>
      <c r="F7342" t="s">
        <v>7346</v>
      </c>
      <c r="G7342">
        <v>1</v>
      </c>
    </row>
    <row r="7343" spans="1:7" x14ac:dyDescent="0.25">
      <c r="A7343">
        <v>26</v>
      </c>
      <c r="B7343" t="s">
        <v>6922</v>
      </c>
      <c r="C7343">
        <v>12313</v>
      </c>
      <c r="D7343" t="str">
        <f>"0147-7307"</f>
        <v>0147-7307</v>
      </c>
      <c r="E7343" t="s">
        <v>8</v>
      </c>
      <c r="F7343" t="s">
        <v>7347</v>
      </c>
      <c r="G7343">
        <v>1</v>
      </c>
    </row>
    <row r="7344" spans="1:7" x14ac:dyDescent="0.25">
      <c r="A7344">
        <v>26</v>
      </c>
      <c r="B7344" t="s">
        <v>6922</v>
      </c>
      <c r="C7344">
        <v>7674</v>
      </c>
      <c r="D7344" t="str">
        <f>"0041-1868"</f>
        <v>0041-1868</v>
      </c>
      <c r="E7344" t="s">
        <v>8</v>
      </c>
      <c r="F7344" t="s">
        <v>7348</v>
      </c>
      <c r="G7344">
        <v>1</v>
      </c>
    </row>
    <row r="7345" spans="1:7" x14ac:dyDescent="0.25">
      <c r="A7345">
        <v>26</v>
      </c>
      <c r="B7345" t="s">
        <v>6922</v>
      </c>
      <c r="C7345">
        <v>347</v>
      </c>
      <c r="D7345" t="str">
        <f>"1543-4494"</f>
        <v>1543-4494</v>
      </c>
      <c r="E7345" t="s">
        <v>8</v>
      </c>
      <c r="F7345" t="s">
        <v>7349</v>
      </c>
      <c r="G7345">
        <v>1</v>
      </c>
    </row>
    <row r="7346" spans="1:7" x14ac:dyDescent="0.25">
      <c r="A7346">
        <v>26</v>
      </c>
      <c r="B7346" t="s">
        <v>6922</v>
      </c>
      <c r="C7346">
        <v>6200</v>
      </c>
      <c r="D7346" t="str">
        <f>"0023-9690"</f>
        <v>0023-9690</v>
      </c>
      <c r="E7346" t="s">
        <v>8</v>
      </c>
      <c r="F7346" t="s">
        <v>7350</v>
      </c>
      <c r="G7346">
        <v>1</v>
      </c>
    </row>
    <row r="7347" spans="1:7" x14ac:dyDescent="0.25">
      <c r="A7347">
        <v>26</v>
      </c>
      <c r="B7347" t="s">
        <v>6922</v>
      </c>
      <c r="C7347">
        <v>7738691</v>
      </c>
      <c r="D7347" t="str">
        <f>"2210-6561"</f>
        <v>2210-6561</v>
      </c>
      <c r="E7347" t="s">
        <v>8</v>
      </c>
      <c r="F7347" t="s">
        <v>7351</v>
      </c>
      <c r="G7347">
        <v>1</v>
      </c>
    </row>
    <row r="7348" spans="1:7" x14ac:dyDescent="0.25">
      <c r="A7348">
        <v>26</v>
      </c>
      <c r="B7348" t="s">
        <v>6922</v>
      </c>
      <c r="C7348">
        <v>3236</v>
      </c>
      <c r="D7348" t="str">
        <f>"0109-646X"</f>
        <v>0109-646X</v>
      </c>
      <c r="E7348" t="s">
        <v>8</v>
      </c>
      <c r="F7348" t="s">
        <v>7352</v>
      </c>
      <c r="G7348">
        <v>1</v>
      </c>
    </row>
    <row r="7349" spans="1:7" x14ac:dyDescent="0.25">
      <c r="A7349">
        <v>26</v>
      </c>
      <c r="B7349" t="s">
        <v>6922</v>
      </c>
      <c r="C7349">
        <v>7990</v>
      </c>
      <c r="D7349" t="str">
        <f>"0748-1756"</f>
        <v>0748-1756</v>
      </c>
      <c r="E7349" t="s">
        <v>8</v>
      </c>
      <c r="F7349" t="s">
        <v>7353</v>
      </c>
      <c r="G7349">
        <v>1</v>
      </c>
    </row>
    <row r="7350" spans="1:7" x14ac:dyDescent="0.25">
      <c r="A7350">
        <v>26</v>
      </c>
      <c r="B7350" t="s">
        <v>6922</v>
      </c>
      <c r="C7350">
        <v>11927</v>
      </c>
      <c r="D7350" t="str">
        <f>"1404-5559"</f>
        <v>1404-5559</v>
      </c>
      <c r="E7350" t="s">
        <v>8</v>
      </c>
      <c r="F7350" t="s">
        <v>7354</v>
      </c>
      <c r="G7350">
        <v>1</v>
      </c>
    </row>
    <row r="7351" spans="1:7" x14ac:dyDescent="0.25">
      <c r="A7351">
        <v>26</v>
      </c>
      <c r="B7351" t="s">
        <v>6922</v>
      </c>
      <c r="C7351">
        <v>9999</v>
      </c>
      <c r="D7351" t="str">
        <f>"0272-930X"</f>
        <v>0272-930X</v>
      </c>
      <c r="E7351" t="s">
        <v>8</v>
      </c>
      <c r="F7351" t="s">
        <v>7355</v>
      </c>
      <c r="G7351">
        <v>1</v>
      </c>
    </row>
    <row r="7352" spans="1:7" x14ac:dyDescent="0.25">
      <c r="A7352">
        <v>26</v>
      </c>
      <c r="B7352" t="s">
        <v>6922</v>
      </c>
      <c r="C7352">
        <v>15194</v>
      </c>
      <c r="D7352" t="str">
        <f>"1556-1623"</f>
        <v>1556-1623</v>
      </c>
      <c r="E7352" t="s">
        <v>8</v>
      </c>
      <c r="F7352" t="s">
        <v>7356</v>
      </c>
      <c r="G7352">
        <v>1</v>
      </c>
    </row>
    <row r="7353" spans="1:7" x14ac:dyDescent="0.25">
      <c r="A7353">
        <v>26</v>
      </c>
      <c r="B7353" t="s">
        <v>6922</v>
      </c>
      <c r="C7353">
        <v>5291</v>
      </c>
      <c r="D7353" t="str">
        <f>"0899-5605"</f>
        <v>0899-5605</v>
      </c>
      <c r="E7353" t="s">
        <v>8</v>
      </c>
      <c r="F7353" t="s">
        <v>7357</v>
      </c>
      <c r="G7353">
        <v>1</v>
      </c>
    </row>
    <row r="7354" spans="1:7" x14ac:dyDescent="0.25">
      <c r="A7354">
        <v>26</v>
      </c>
      <c r="B7354" t="s">
        <v>6922</v>
      </c>
      <c r="C7354">
        <v>21487</v>
      </c>
      <c r="D7354" t="str">
        <f>"1751-2271"</f>
        <v>1751-2271</v>
      </c>
      <c r="E7354" t="s">
        <v>8</v>
      </c>
      <c r="F7354" t="s">
        <v>7358</v>
      </c>
      <c r="G7354">
        <v>1</v>
      </c>
    </row>
    <row r="7355" spans="1:7" x14ac:dyDescent="0.25">
      <c r="A7355">
        <v>26</v>
      </c>
      <c r="B7355" t="s">
        <v>6922</v>
      </c>
      <c r="C7355">
        <v>6203627</v>
      </c>
      <c r="D7355" t="str">
        <f>"1868-8527"</f>
        <v>1868-8527</v>
      </c>
      <c r="E7355" t="s">
        <v>8</v>
      </c>
      <c r="F7355" t="s">
        <v>7359</v>
      </c>
      <c r="G7355">
        <v>1</v>
      </c>
    </row>
    <row r="7356" spans="1:7" x14ac:dyDescent="0.25">
      <c r="A7356">
        <v>26</v>
      </c>
      <c r="B7356" t="s">
        <v>6922</v>
      </c>
      <c r="C7356">
        <v>2615</v>
      </c>
      <c r="D7356" t="str">
        <f>"0037-976X"</f>
        <v>0037-976X</v>
      </c>
      <c r="E7356" t="s">
        <v>15</v>
      </c>
      <c r="F7356" t="s">
        <v>7360</v>
      </c>
      <c r="G7356">
        <v>1</v>
      </c>
    </row>
    <row r="7357" spans="1:7" x14ac:dyDescent="0.25">
      <c r="A7357">
        <v>26</v>
      </c>
      <c r="B7357" t="s">
        <v>6922</v>
      </c>
      <c r="C7357">
        <v>5296</v>
      </c>
      <c r="D7357" t="str">
        <f>"0146-7239"</f>
        <v>0146-7239</v>
      </c>
      <c r="E7357" t="s">
        <v>8</v>
      </c>
      <c r="F7357" t="s">
        <v>7361</v>
      </c>
      <c r="G7357">
        <v>1</v>
      </c>
    </row>
    <row r="7358" spans="1:7" x14ac:dyDescent="0.25">
      <c r="A7358">
        <v>26</v>
      </c>
      <c r="B7358" t="s">
        <v>6922</v>
      </c>
      <c r="C7358">
        <v>3216</v>
      </c>
      <c r="D7358" t="str">
        <f>"0027-3171"</f>
        <v>0027-3171</v>
      </c>
      <c r="E7358" t="s">
        <v>8</v>
      </c>
      <c r="F7358" t="s">
        <v>7362</v>
      </c>
      <c r="G7358">
        <v>1</v>
      </c>
    </row>
    <row r="7359" spans="1:7" x14ac:dyDescent="0.25">
      <c r="A7359">
        <v>26</v>
      </c>
      <c r="B7359" t="s">
        <v>6922</v>
      </c>
      <c r="C7359">
        <v>10614</v>
      </c>
      <c r="D7359" t="str">
        <f>"0146-7875"</f>
        <v>0146-7875</v>
      </c>
      <c r="E7359" t="s">
        <v>15</v>
      </c>
      <c r="F7359" t="s">
        <v>7363</v>
      </c>
      <c r="G7359">
        <v>1</v>
      </c>
    </row>
    <row r="7360" spans="1:7" x14ac:dyDescent="0.25">
      <c r="A7360">
        <v>26</v>
      </c>
      <c r="B7360" t="s">
        <v>6922</v>
      </c>
      <c r="C7360">
        <v>11515</v>
      </c>
      <c r="D7360" t="str">
        <f>"1040-7308"</f>
        <v>1040-7308</v>
      </c>
      <c r="E7360" t="s">
        <v>8</v>
      </c>
      <c r="F7360" t="s">
        <v>7364</v>
      </c>
      <c r="G7360">
        <v>1</v>
      </c>
    </row>
    <row r="7361" spans="1:7" x14ac:dyDescent="0.25">
      <c r="A7361">
        <v>26</v>
      </c>
      <c r="B7361" t="s">
        <v>6922</v>
      </c>
      <c r="C7361">
        <v>1785</v>
      </c>
      <c r="D7361" t="str">
        <f>"0732-118X"</f>
        <v>0732-118X</v>
      </c>
      <c r="E7361" t="s">
        <v>8</v>
      </c>
      <c r="F7361" t="s">
        <v>7365</v>
      </c>
      <c r="G7361">
        <v>1</v>
      </c>
    </row>
    <row r="7362" spans="1:7" x14ac:dyDescent="0.25">
      <c r="A7362">
        <v>26</v>
      </c>
      <c r="B7362" t="s">
        <v>6922</v>
      </c>
      <c r="C7362">
        <v>14614</v>
      </c>
      <c r="D7362" t="str">
        <f>"1179-7924"</f>
        <v>1179-7924</v>
      </c>
      <c r="E7362" t="s">
        <v>8</v>
      </c>
      <c r="F7362" t="s">
        <v>7366</v>
      </c>
      <c r="G7362">
        <v>1</v>
      </c>
    </row>
    <row r="7363" spans="1:7" x14ac:dyDescent="0.25">
      <c r="A7363">
        <v>26</v>
      </c>
      <c r="B7363" t="s">
        <v>6922</v>
      </c>
      <c r="C7363">
        <v>16853</v>
      </c>
      <c r="D7363" t="str">
        <f>"1090-0578"</f>
        <v>1090-0578</v>
      </c>
      <c r="E7363" t="s">
        <v>8</v>
      </c>
      <c r="F7363" t="s">
        <v>7367</v>
      </c>
      <c r="G7363">
        <v>1</v>
      </c>
    </row>
    <row r="7364" spans="1:7" x14ac:dyDescent="0.25">
      <c r="A7364">
        <v>26</v>
      </c>
      <c r="B7364" t="s">
        <v>6922</v>
      </c>
      <c r="C7364">
        <v>152425</v>
      </c>
      <c r="D7364" t="str">
        <f>"1901-2276"</f>
        <v>1901-2276</v>
      </c>
      <c r="E7364" t="s">
        <v>8</v>
      </c>
      <c r="F7364" t="s">
        <v>7368</v>
      </c>
      <c r="G7364">
        <v>1</v>
      </c>
    </row>
    <row r="7365" spans="1:7" x14ac:dyDescent="0.25">
      <c r="A7365">
        <v>26</v>
      </c>
      <c r="B7365" t="s">
        <v>6922</v>
      </c>
      <c r="C7365">
        <v>12012</v>
      </c>
      <c r="D7365" t="str">
        <f>"1455-0725"</f>
        <v>1455-0725</v>
      </c>
      <c r="E7365" t="s">
        <v>8</v>
      </c>
      <c r="F7365" t="s">
        <v>7369</v>
      </c>
      <c r="G7365">
        <v>1</v>
      </c>
    </row>
    <row r="7366" spans="1:7" x14ac:dyDescent="0.25">
      <c r="A7366">
        <v>26</v>
      </c>
      <c r="B7366" t="s">
        <v>6922</v>
      </c>
      <c r="C7366">
        <v>98092</v>
      </c>
      <c r="D7366" t="str">
        <f>"0809-781X"</f>
        <v>0809-781X</v>
      </c>
      <c r="E7366" t="s">
        <v>8</v>
      </c>
      <c r="F7366" t="s">
        <v>7370</v>
      </c>
      <c r="G7366">
        <v>1</v>
      </c>
    </row>
    <row r="7367" spans="1:7" x14ac:dyDescent="0.25">
      <c r="A7367">
        <v>26</v>
      </c>
      <c r="B7367" t="s">
        <v>6922</v>
      </c>
      <c r="C7367">
        <v>3193</v>
      </c>
      <c r="D7367" t="str">
        <f>"0030-2228"</f>
        <v>0030-2228</v>
      </c>
      <c r="E7367" t="s">
        <v>8</v>
      </c>
      <c r="F7367" t="s">
        <v>7371</v>
      </c>
      <c r="G7367">
        <v>1</v>
      </c>
    </row>
    <row r="7368" spans="1:7" x14ac:dyDescent="0.25">
      <c r="A7368">
        <v>26</v>
      </c>
      <c r="B7368" t="s">
        <v>6922</v>
      </c>
      <c r="C7368">
        <v>8717</v>
      </c>
      <c r="D7368" t="str">
        <f>"0193-2713"</f>
        <v>0193-2713</v>
      </c>
      <c r="E7368" t="s">
        <v>8</v>
      </c>
      <c r="F7368" t="s">
        <v>7372</v>
      </c>
      <c r="G7368">
        <v>1</v>
      </c>
    </row>
    <row r="7369" spans="1:7" x14ac:dyDescent="0.25">
      <c r="A7369">
        <v>26</v>
      </c>
      <c r="B7369" t="s">
        <v>6922</v>
      </c>
      <c r="C7369">
        <v>7700309</v>
      </c>
      <c r="D7369" t="str">
        <f>"2041-3866"</f>
        <v>2041-3866</v>
      </c>
      <c r="E7369" t="s">
        <v>8</v>
      </c>
      <c r="F7369" t="s">
        <v>7373</v>
      </c>
      <c r="G7369">
        <v>1</v>
      </c>
    </row>
    <row r="7370" spans="1:7" x14ac:dyDescent="0.25">
      <c r="A7370">
        <v>26</v>
      </c>
      <c r="B7370" t="s">
        <v>6922</v>
      </c>
      <c r="C7370">
        <v>8783780</v>
      </c>
      <c r="E7370" t="s">
        <v>15</v>
      </c>
      <c r="F7370" t="s">
        <v>7374</v>
      </c>
      <c r="G7370">
        <v>1</v>
      </c>
    </row>
    <row r="7371" spans="1:7" x14ac:dyDescent="0.25">
      <c r="A7371">
        <v>26</v>
      </c>
      <c r="B7371" t="s">
        <v>6922</v>
      </c>
      <c r="C7371">
        <v>8783781</v>
      </c>
      <c r="E7371" t="s">
        <v>15</v>
      </c>
      <c r="F7371" t="s">
        <v>7375</v>
      </c>
      <c r="G7371">
        <v>1</v>
      </c>
    </row>
    <row r="7372" spans="1:7" x14ac:dyDescent="0.25">
      <c r="A7372">
        <v>26</v>
      </c>
      <c r="B7372" t="s">
        <v>6922</v>
      </c>
      <c r="C7372">
        <v>296</v>
      </c>
      <c r="D7372" t="str">
        <f>"1529-5192"</f>
        <v>1529-5192</v>
      </c>
      <c r="E7372" t="s">
        <v>8</v>
      </c>
      <c r="F7372" t="s">
        <v>7376</v>
      </c>
      <c r="G7372">
        <v>1</v>
      </c>
    </row>
    <row r="7373" spans="1:7" x14ac:dyDescent="0.25">
      <c r="A7373">
        <v>26</v>
      </c>
      <c r="B7373" t="s">
        <v>6922</v>
      </c>
      <c r="C7373">
        <v>11778</v>
      </c>
      <c r="D7373" t="str">
        <f>"0031-2789"</f>
        <v>0031-2789</v>
      </c>
      <c r="E7373" t="s">
        <v>8</v>
      </c>
      <c r="F7373" t="s">
        <v>7377</v>
      </c>
      <c r="G7373">
        <v>1</v>
      </c>
    </row>
    <row r="7374" spans="1:7" x14ac:dyDescent="0.25">
      <c r="A7374">
        <v>26</v>
      </c>
      <c r="B7374" t="s">
        <v>6922</v>
      </c>
      <c r="C7374">
        <v>12699</v>
      </c>
      <c r="D7374" t="str">
        <f>"1078-1919"</f>
        <v>1078-1919</v>
      </c>
      <c r="E7374" t="s">
        <v>8</v>
      </c>
      <c r="F7374" t="s">
        <v>7378</v>
      </c>
      <c r="G7374">
        <v>1</v>
      </c>
    </row>
    <row r="7375" spans="1:7" x14ac:dyDescent="0.25">
      <c r="A7375">
        <v>26</v>
      </c>
      <c r="B7375" t="s">
        <v>6922</v>
      </c>
      <c r="C7375">
        <v>2928</v>
      </c>
      <c r="D7375" t="str">
        <f>"0301-0066"</f>
        <v>0301-0066</v>
      </c>
      <c r="E7375" t="s">
        <v>8</v>
      </c>
      <c r="F7375" t="s">
        <v>7379</v>
      </c>
      <c r="G7375">
        <v>1</v>
      </c>
    </row>
    <row r="7376" spans="1:7" x14ac:dyDescent="0.25">
      <c r="A7376">
        <v>26</v>
      </c>
      <c r="B7376" t="s">
        <v>6922</v>
      </c>
      <c r="C7376">
        <v>13709</v>
      </c>
      <c r="D7376" t="str">
        <f>"0031-5125"</f>
        <v>0031-5125</v>
      </c>
      <c r="E7376" t="s">
        <v>8</v>
      </c>
      <c r="F7376" t="s">
        <v>7380</v>
      </c>
      <c r="G7376">
        <v>1</v>
      </c>
    </row>
    <row r="7377" spans="1:7" x14ac:dyDescent="0.25">
      <c r="A7377">
        <v>26</v>
      </c>
      <c r="B7377" t="s">
        <v>6922</v>
      </c>
      <c r="C7377">
        <v>12143</v>
      </c>
      <c r="D7377" t="str">
        <f>"1350-4126"</f>
        <v>1350-4126</v>
      </c>
      <c r="E7377" t="s">
        <v>8</v>
      </c>
      <c r="F7377" t="s">
        <v>7381</v>
      </c>
      <c r="G7377">
        <v>1</v>
      </c>
    </row>
    <row r="7378" spans="1:7" x14ac:dyDescent="0.25">
      <c r="A7378">
        <v>26</v>
      </c>
      <c r="B7378" t="s">
        <v>6922</v>
      </c>
      <c r="C7378">
        <v>169</v>
      </c>
      <c r="D7378" t="str">
        <f>"0048-3486"</f>
        <v>0048-3486</v>
      </c>
      <c r="E7378" t="s">
        <v>8</v>
      </c>
      <c r="F7378" t="s">
        <v>7382</v>
      </c>
      <c r="G7378">
        <v>1</v>
      </c>
    </row>
    <row r="7379" spans="1:7" x14ac:dyDescent="0.25">
      <c r="A7379">
        <v>26</v>
      </c>
      <c r="B7379" t="s">
        <v>6922</v>
      </c>
      <c r="C7379">
        <v>8783782</v>
      </c>
      <c r="E7379" t="s">
        <v>15</v>
      </c>
      <c r="F7379" t="s">
        <v>7383</v>
      </c>
      <c r="G7379">
        <v>1</v>
      </c>
    </row>
    <row r="7380" spans="1:7" x14ac:dyDescent="0.25">
      <c r="A7380">
        <v>26</v>
      </c>
      <c r="B7380" t="s">
        <v>6922</v>
      </c>
      <c r="C7380">
        <v>8783783</v>
      </c>
      <c r="E7380" t="s">
        <v>15</v>
      </c>
      <c r="F7380" t="s">
        <v>7384</v>
      </c>
      <c r="G7380">
        <v>1</v>
      </c>
    </row>
    <row r="7381" spans="1:7" x14ac:dyDescent="0.25">
      <c r="A7381">
        <v>26</v>
      </c>
      <c r="B7381" t="s">
        <v>6922</v>
      </c>
      <c r="C7381">
        <v>4310</v>
      </c>
      <c r="D7381" t="str">
        <f>"0937-2032"</f>
        <v>0937-2032</v>
      </c>
      <c r="E7381" t="s">
        <v>8</v>
      </c>
      <c r="F7381" t="s">
        <v>7385</v>
      </c>
      <c r="G7381">
        <v>1</v>
      </c>
    </row>
    <row r="7382" spans="1:7" x14ac:dyDescent="0.25">
      <c r="A7382">
        <v>26</v>
      </c>
      <c r="B7382" t="s">
        <v>6922</v>
      </c>
      <c r="C7382">
        <v>15399</v>
      </c>
      <c r="E7382" t="s">
        <v>8</v>
      </c>
      <c r="F7382" t="s">
        <v>7386</v>
      </c>
      <c r="G7382">
        <v>1</v>
      </c>
    </row>
    <row r="7383" spans="1:7" x14ac:dyDescent="0.25">
      <c r="A7383">
        <v>26</v>
      </c>
      <c r="B7383" t="s">
        <v>6922</v>
      </c>
      <c r="C7383">
        <v>6802</v>
      </c>
      <c r="D7383" t="str">
        <f>"0735-7028"</f>
        <v>0735-7028</v>
      </c>
      <c r="E7383" t="s">
        <v>8</v>
      </c>
      <c r="F7383" t="s">
        <v>7387</v>
      </c>
      <c r="G7383">
        <v>1</v>
      </c>
    </row>
    <row r="7384" spans="1:7" x14ac:dyDescent="0.25">
      <c r="A7384">
        <v>26</v>
      </c>
      <c r="B7384" t="s">
        <v>6922</v>
      </c>
      <c r="C7384">
        <v>2516</v>
      </c>
      <c r="D7384" t="str">
        <f>"0211-2159"</f>
        <v>0211-2159</v>
      </c>
      <c r="E7384" t="s">
        <v>8</v>
      </c>
      <c r="F7384" t="s">
        <v>7388</v>
      </c>
      <c r="G7384">
        <v>1</v>
      </c>
    </row>
    <row r="7385" spans="1:7" x14ac:dyDescent="0.25">
      <c r="A7385">
        <v>26</v>
      </c>
      <c r="B7385" t="s">
        <v>6922</v>
      </c>
      <c r="C7385">
        <v>15172</v>
      </c>
      <c r="D7385" t="str">
        <f>"0033-2623"</f>
        <v>0033-2623</v>
      </c>
      <c r="E7385" t="s">
        <v>8</v>
      </c>
      <c r="F7385" t="s">
        <v>7389</v>
      </c>
      <c r="G7385">
        <v>1</v>
      </c>
    </row>
    <row r="7386" spans="1:7" x14ac:dyDescent="0.25">
      <c r="A7386">
        <v>26</v>
      </c>
      <c r="B7386" t="s">
        <v>6922</v>
      </c>
      <c r="C7386">
        <v>10681</v>
      </c>
      <c r="E7386" t="s">
        <v>8</v>
      </c>
      <c r="F7386" t="s">
        <v>7390</v>
      </c>
      <c r="G7386">
        <v>1</v>
      </c>
    </row>
    <row r="7387" spans="1:7" x14ac:dyDescent="0.25">
      <c r="A7387">
        <v>26</v>
      </c>
      <c r="B7387" t="s">
        <v>6922</v>
      </c>
      <c r="C7387">
        <v>155507</v>
      </c>
      <c r="D7387" t="str">
        <f>"1088-0763"</f>
        <v>1088-0763</v>
      </c>
      <c r="E7387" t="s">
        <v>8</v>
      </c>
      <c r="F7387" t="s">
        <v>7391</v>
      </c>
      <c r="G7387">
        <v>1</v>
      </c>
    </row>
    <row r="7388" spans="1:7" x14ac:dyDescent="0.25">
      <c r="A7388">
        <v>26</v>
      </c>
      <c r="B7388" t="s">
        <v>6922</v>
      </c>
      <c r="C7388">
        <v>11118</v>
      </c>
      <c r="D7388" t="str">
        <f>"1048-1885"</f>
        <v>1048-1885</v>
      </c>
      <c r="E7388" t="s">
        <v>8</v>
      </c>
      <c r="F7388" t="s">
        <v>7392</v>
      </c>
      <c r="G7388">
        <v>1</v>
      </c>
    </row>
    <row r="7389" spans="1:7" x14ac:dyDescent="0.25">
      <c r="A7389">
        <v>26</v>
      </c>
      <c r="B7389" t="s">
        <v>6922</v>
      </c>
      <c r="C7389">
        <v>15931</v>
      </c>
      <c r="D7389" t="str">
        <f>"0735-1690"</f>
        <v>0735-1690</v>
      </c>
      <c r="E7389" t="s">
        <v>8</v>
      </c>
      <c r="F7389" t="s">
        <v>7393</v>
      </c>
      <c r="G7389">
        <v>1</v>
      </c>
    </row>
    <row r="7390" spans="1:7" x14ac:dyDescent="0.25">
      <c r="A7390">
        <v>26</v>
      </c>
      <c r="B7390" t="s">
        <v>6922</v>
      </c>
      <c r="C7390">
        <v>2690</v>
      </c>
      <c r="D7390" t="str">
        <f>"0736-9735"</f>
        <v>0736-9735</v>
      </c>
      <c r="E7390" t="s">
        <v>8</v>
      </c>
      <c r="F7390" t="s">
        <v>7394</v>
      </c>
      <c r="G7390">
        <v>1</v>
      </c>
    </row>
    <row r="7391" spans="1:7" x14ac:dyDescent="0.25">
      <c r="A7391">
        <v>26</v>
      </c>
      <c r="B7391" t="s">
        <v>6922</v>
      </c>
      <c r="C7391">
        <v>26748</v>
      </c>
      <c r="D7391" t="str">
        <f>"1346-3500"</f>
        <v>1346-3500</v>
      </c>
      <c r="E7391" t="s">
        <v>8</v>
      </c>
      <c r="F7391" t="s">
        <v>7395</v>
      </c>
      <c r="G7391">
        <v>1</v>
      </c>
    </row>
    <row r="7392" spans="1:7" x14ac:dyDescent="0.25">
      <c r="A7392">
        <v>26</v>
      </c>
      <c r="B7392" t="s">
        <v>6922</v>
      </c>
      <c r="C7392">
        <v>3003</v>
      </c>
      <c r="D7392" t="str">
        <f>"0033-2852"</f>
        <v>0033-2852</v>
      </c>
      <c r="E7392" t="s">
        <v>8</v>
      </c>
      <c r="F7392" t="s">
        <v>7396</v>
      </c>
      <c r="G7392">
        <v>1</v>
      </c>
    </row>
    <row r="7393" spans="1:7" x14ac:dyDescent="0.25">
      <c r="A7393">
        <v>26</v>
      </c>
      <c r="B7393" t="s">
        <v>6922</v>
      </c>
      <c r="C7393">
        <v>6030</v>
      </c>
      <c r="D7393" t="str">
        <f>"0033-2879"</f>
        <v>0033-2879</v>
      </c>
      <c r="E7393" t="s">
        <v>8</v>
      </c>
      <c r="F7393" t="s">
        <v>7397</v>
      </c>
      <c r="G7393">
        <v>1</v>
      </c>
    </row>
    <row r="7394" spans="1:7" x14ac:dyDescent="0.25">
      <c r="A7394">
        <v>26</v>
      </c>
      <c r="B7394" t="s">
        <v>6922</v>
      </c>
      <c r="C7394">
        <v>16622</v>
      </c>
      <c r="D7394" t="str">
        <f>"0033-2941"</f>
        <v>0033-2941</v>
      </c>
      <c r="E7394" t="s">
        <v>8</v>
      </c>
      <c r="F7394" t="s">
        <v>7398</v>
      </c>
      <c r="G7394">
        <v>1</v>
      </c>
    </row>
    <row r="7395" spans="1:7" x14ac:dyDescent="0.25">
      <c r="A7395">
        <v>26</v>
      </c>
      <c r="B7395" t="s">
        <v>6922</v>
      </c>
      <c r="C7395">
        <v>21221</v>
      </c>
      <c r="D7395" t="str">
        <f>"0033-2968"</f>
        <v>0033-2968</v>
      </c>
      <c r="E7395" t="s">
        <v>8</v>
      </c>
      <c r="F7395" t="s">
        <v>7399</v>
      </c>
      <c r="G7395">
        <v>1</v>
      </c>
    </row>
    <row r="7396" spans="1:7" x14ac:dyDescent="0.25">
      <c r="A7396">
        <v>26</v>
      </c>
      <c r="B7396" t="s">
        <v>6922</v>
      </c>
      <c r="C7396">
        <v>16015</v>
      </c>
      <c r="D7396" t="str">
        <f>"0342-183X"</f>
        <v>0342-183X</v>
      </c>
      <c r="E7396" t="s">
        <v>8</v>
      </c>
      <c r="F7396" t="s">
        <v>7400</v>
      </c>
      <c r="G7396">
        <v>1</v>
      </c>
    </row>
    <row r="7397" spans="1:7" x14ac:dyDescent="0.25">
      <c r="A7397">
        <v>26</v>
      </c>
      <c r="B7397" t="s">
        <v>6922</v>
      </c>
      <c r="C7397">
        <v>11612</v>
      </c>
      <c r="D7397" t="str">
        <f>"0033-3042"</f>
        <v>0033-3042</v>
      </c>
      <c r="E7397" t="s">
        <v>8</v>
      </c>
      <c r="F7397" t="s">
        <v>7401</v>
      </c>
      <c r="G7397">
        <v>1</v>
      </c>
    </row>
    <row r="7398" spans="1:7" x14ac:dyDescent="0.25">
      <c r="A7398">
        <v>26</v>
      </c>
      <c r="B7398" t="s">
        <v>6922</v>
      </c>
      <c r="C7398">
        <v>19413</v>
      </c>
      <c r="D7398" t="str">
        <f>"1553-6939"</f>
        <v>1553-6939</v>
      </c>
      <c r="E7398" t="s">
        <v>8</v>
      </c>
      <c r="F7398" t="s">
        <v>7402</v>
      </c>
      <c r="G7398">
        <v>1</v>
      </c>
    </row>
    <row r="7399" spans="1:7" x14ac:dyDescent="0.25">
      <c r="A7399">
        <v>26</v>
      </c>
      <c r="B7399" t="s">
        <v>6922</v>
      </c>
      <c r="C7399">
        <v>14248</v>
      </c>
      <c r="D7399" t="str">
        <f>"0887-0446"</f>
        <v>0887-0446</v>
      </c>
      <c r="E7399" t="s">
        <v>8</v>
      </c>
      <c r="F7399" t="s">
        <v>7403</v>
      </c>
      <c r="G7399">
        <v>1</v>
      </c>
    </row>
    <row r="7400" spans="1:7" x14ac:dyDescent="0.25">
      <c r="A7400">
        <v>26</v>
      </c>
      <c r="B7400" t="s">
        <v>6922</v>
      </c>
      <c r="C7400">
        <v>5213</v>
      </c>
      <c r="D7400" t="str">
        <f>"0971-3336"</f>
        <v>0971-3336</v>
      </c>
      <c r="E7400" t="s">
        <v>8</v>
      </c>
      <c r="F7400" t="s">
        <v>7404</v>
      </c>
      <c r="G7400">
        <v>1</v>
      </c>
    </row>
    <row r="7401" spans="1:7" x14ac:dyDescent="0.25">
      <c r="A7401">
        <v>26</v>
      </c>
      <c r="B7401" t="s">
        <v>6922</v>
      </c>
      <c r="C7401">
        <v>2259</v>
      </c>
      <c r="D7401" t="str">
        <f>"1476-0835"</f>
        <v>1476-0835</v>
      </c>
      <c r="E7401" t="s">
        <v>8</v>
      </c>
      <c r="F7401" t="s">
        <v>7405</v>
      </c>
      <c r="G7401">
        <v>1</v>
      </c>
    </row>
    <row r="7402" spans="1:7" x14ac:dyDescent="0.25">
      <c r="A7402">
        <v>26</v>
      </c>
      <c r="B7402" t="s">
        <v>6922</v>
      </c>
      <c r="C7402">
        <v>7715355</v>
      </c>
      <c r="D7402" t="str">
        <f>"1015-6046"</f>
        <v>1015-6046</v>
      </c>
      <c r="E7402" t="s">
        <v>8</v>
      </c>
      <c r="F7402" t="s">
        <v>7406</v>
      </c>
      <c r="G7402">
        <v>1</v>
      </c>
    </row>
    <row r="7403" spans="1:7" x14ac:dyDescent="0.25">
      <c r="A7403">
        <v>26</v>
      </c>
      <c r="B7403" t="s">
        <v>6922</v>
      </c>
      <c r="C7403">
        <v>2196</v>
      </c>
      <c r="D7403" t="str">
        <f>"0033-3085"</f>
        <v>0033-3085</v>
      </c>
      <c r="E7403" t="s">
        <v>8</v>
      </c>
      <c r="F7403" t="s">
        <v>7407</v>
      </c>
      <c r="G7403">
        <v>1</v>
      </c>
    </row>
    <row r="7404" spans="1:7" x14ac:dyDescent="0.25">
      <c r="A7404">
        <v>26</v>
      </c>
      <c r="B7404" t="s">
        <v>6922</v>
      </c>
      <c r="C7404">
        <v>10877</v>
      </c>
      <c r="D7404" t="str">
        <f>"0893-164X"</f>
        <v>0893-164X</v>
      </c>
      <c r="E7404" t="s">
        <v>8</v>
      </c>
      <c r="F7404" t="s">
        <v>7408</v>
      </c>
      <c r="G7404">
        <v>1</v>
      </c>
    </row>
    <row r="7405" spans="1:7" x14ac:dyDescent="0.25">
      <c r="A7405">
        <v>26</v>
      </c>
      <c r="B7405" t="s">
        <v>6922</v>
      </c>
      <c r="C7405">
        <v>180080</v>
      </c>
      <c r="D7405" t="str">
        <f>"2326-5523"</f>
        <v>2326-5523</v>
      </c>
      <c r="E7405" t="s">
        <v>8</v>
      </c>
      <c r="F7405" t="s">
        <v>7409</v>
      </c>
      <c r="G7405">
        <v>1</v>
      </c>
    </row>
    <row r="7406" spans="1:7" x14ac:dyDescent="0.25">
      <c r="A7406">
        <v>26</v>
      </c>
      <c r="B7406" t="s">
        <v>6922</v>
      </c>
      <c r="C7406">
        <v>6251542</v>
      </c>
      <c r="D7406" t="str">
        <f>"1234-2238"</f>
        <v>1234-2238</v>
      </c>
      <c r="E7406" t="s">
        <v>8</v>
      </c>
      <c r="F7406" t="s">
        <v>7410</v>
      </c>
      <c r="G7406">
        <v>1</v>
      </c>
    </row>
    <row r="7407" spans="1:7" x14ac:dyDescent="0.25">
      <c r="A7407">
        <v>26</v>
      </c>
      <c r="B7407" t="s">
        <v>6922</v>
      </c>
      <c r="C7407">
        <v>8870</v>
      </c>
      <c r="D7407" t="str">
        <f>"1524-9220"</f>
        <v>1524-9220</v>
      </c>
      <c r="E7407" t="s">
        <v>8</v>
      </c>
      <c r="F7407" t="s">
        <v>7411</v>
      </c>
      <c r="G7407">
        <v>1</v>
      </c>
    </row>
    <row r="7408" spans="1:7" x14ac:dyDescent="0.25">
      <c r="A7408">
        <v>26</v>
      </c>
      <c r="B7408" t="s">
        <v>6922</v>
      </c>
      <c r="C7408">
        <v>7742507</v>
      </c>
      <c r="D7408" t="str">
        <f>"2160-4134"</f>
        <v>2160-4134</v>
      </c>
      <c r="E7408" t="s">
        <v>8</v>
      </c>
      <c r="F7408" t="s">
        <v>7412</v>
      </c>
      <c r="G7408">
        <v>1</v>
      </c>
    </row>
    <row r="7409" spans="1:7" x14ac:dyDescent="0.25">
      <c r="A7409">
        <v>26</v>
      </c>
      <c r="B7409" t="s">
        <v>6922</v>
      </c>
      <c r="C7409">
        <v>7690745</v>
      </c>
      <c r="D7409" t="str">
        <f>"2152-0828"</f>
        <v>2152-0828</v>
      </c>
      <c r="E7409" t="s">
        <v>8</v>
      </c>
      <c r="F7409" t="s">
        <v>7413</v>
      </c>
      <c r="G7409">
        <v>1</v>
      </c>
    </row>
    <row r="7410" spans="1:7" x14ac:dyDescent="0.25">
      <c r="A7410">
        <v>26</v>
      </c>
      <c r="B7410" t="s">
        <v>6922</v>
      </c>
      <c r="C7410">
        <v>16715</v>
      </c>
      <c r="D7410" t="str">
        <f>"0361-6843"</f>
        <v>0361-6843</v>
      </c>
      <c r="E7410" t="s">
        <v>8</v>
      </c>
      <c r="F7410" t="s">
        <v>7414</v>
      </c>
      <c r="G7410">
        <v>1</v>
      </c>
    </row>
    <row r="7411" spans="1:7" x14ac:dyDescent="0.25">
      <c r="A7411">
        <v>26</v>
      </c>
      <c r="B7411" t="s">
        <v>6922</v>
      </c>
      <c r="C7411">
        <v>372</v>
      </c>
      <c r="D7411" t="str">
        <f>"1068-316X"</f>
        <v>1068-316X</v>
      </c>
      <c r="E7411" t="s">
        <v>8</v>
      </c>
      <c r="F7411" t="s">
        <v>7415</v>
      </c>
      <c r="G7411">
        <v>1</v>
      </c>
    </row>
    <row r="7412" spans="1:7" x14ac:dyDescent="0.25">
      <c r="A7412">
        <v>26</v>
      </c>
      <c r="B7412" t="s">
        <v>6922</v>
      </c>
      <c r="C7412">
        <v>10474</v>
      </c>
      <c r="D7412" t="str">
        <f>"1354-8506"</f>
        <v>1354-8506</v>
      </c>
      <c r="E7412" t="s">
        <v>8</v>
      </c>
      <c r="F7412" t="s">
        <v>7416</v>
      </c>
      <c r="G7412">
        <v>1</v>
      </c>
    </row>
    <row r="7413" spans="1:7" x14ac:dyDescent="0.25">
      <c r="A7413">
        <v>26</v>
      </c>
      <c r="B7413" t="s">
        <v>6922</v>
      </c>
      <c r="C7413">
        <v>14779</v>
      </c>
      <c r="D7413" t="str">
        <f>"1076-8971"</f>
        <v>1076-8971</v>
      </c>
      <c r="E7413" t="s">
        <v>8</v>
      </c>
      <c r="F7413" t="s">
        <v>7417</v>
      </c>
      <c r="G7413">
        <v>1</v>
      </c>
    </row>
    <row r="7414" spans="1:7" x14ac:dyDescent="0.25">
      <c r="A7414">
        <v>26</v>
      </c>
      <c r="B7414" t="s">
        <v>6922</v>
      </c>
      <c r="C7414">
        <v>13361</v>
      </c>
      <c r="D7414" t="str">
        <f>"0048-5772"</f>
        <v>0048-5772</v>
      </c>
      <c r="E7414" t="s">
        <v>8</v>
      </c>
      <c r="F7414" t="s">
        <v>7418</v>
      </c>
      <c r="G7414">
        <v>1</v>
      </c>
    </row>
    <row r="7415" spans="1:7" x14ac:dyDescent="0.25">
      <c r="A7415">
        <v>26</v>
      </c>
      <c r="B7415" t="s">
        <v>6922</v>
      </c>
      <c r="C7415">
        <v>6251594</v>
      </c>
      <c r="D7415" t="str">
        <f>"1752-2439"</f>
        <v>1752-2439</v>
      </c>
      <c r="E7415" t="s">
        <v>8</v>
      </c>
      <c r="F7415" t="s">
        <v>7419</v>
      </c>
      <c r="G7415">
        <v>1</v>
      </c>
    </row>
    <row r="7416" spans="1:7" x14ac:dyDescent="0.25">
      <c r="A7416">
        <v>26</v>
      </c>
      <c r="B7416" t="s">
        <v>6922</v>
      </c>
      <c r="C7416">
        <v>22772</v>
      </c>
      <c r="D7416" t="str">
        <f>"0171-3434"</f>
        <v>0171-3434</v>
      </c>
      <c r="E7416" t="s">
        <v>8</v>
      </c>
      <c r="F7416" t="s">
        <v>7420</v>
      </c>
      <c r="G7416">
        <v>1</v>
      </c>
    </row>
    <row r="7417" spans="1:7" x14ac:dyDescent="0.25">
      <c r="A7417">
        <v>26</v>
      </c>
      <c r="B7417" t="s">
        <v>6922</v>
      </c>
      <c r="C7417">
        <v>8609</v>
      </c>
      <c r="D7417" t="str">
        <f>"0935-6185"</f>
        <v>0935-6185</v>
      </c>
      <c r="E7417" t="s">
        <v>8</v>
      </c>
      <c r="F7417" t="s">
        <v>7421</v>
      </c>
      <c r="G7417">
        <v>1</v>
      </c>
    </row>
    <row r="7418" spans="1:7" x14ac:dyDescent="0.25">
      <c r="A7418">
        <v>26</v>
      </c>
      <c r="B7418" t="s">
        <v>6922</v>
      </c>
      <c r="C7418">
        <v>14049</v>
      </c>
      <c r="D7418" t="str">
        <f>"1438-7026"</f>
        <v>1438-7026</v>
      </c>
      <c r="E7418" t="s">
        <v>8</v>
      </c>
      <c r="F7418" t="s">
        <v>7422</v>
      </c>
      <c r="G7418">
        <v>1</v>
      </c>
    </row>
    <row r="7419" spans="1:7" x14ac:dyDescent="0.25">
      <c r="A7419">
        <v>26</v>
      </c>
      <c r="B7419" t="s">
        <v>6922</v>
      </c>
      <c r="C7419">
        <v>16762</v>
      </c>
      <c r="D7419" t="str">
        <f>"1050-3307"</f>
        <v>1050-3307</v>
      </c>
      <c r="E7419" t="s">
        <v>8</v>
      </c>
      <c r="F7419" t="s">
        <v>7423</v>
      </c>
      <c r="G7419">
        <v>1</v>
      </c>
    </row>
    <row r="7420" spans="1:7" x14ac:dyDescent="0.25">
      <c r="A7420">
        <v>26</v>
      </c>
      <c r="B7420" t="s">
        <v>6922</v>
      </c>
      <c r="C7420">
        <v>8263</v>
      </c>
      <c r="D7420" t="str">
        <f>"0107-1211"</f>
        <v>0107-1211</v>
      </c>
      <c r="E7420" t="s">
        <v>8</v>
      </c>
      <c r="F7420" t="s">
        <v>7424</v>
      </c>
      <c r="G7420">
        <v>1</v>
      </c>
    </row>
    <row r="7421" spans="1:7" x14ac:dyDescent="0.25">
      <c r="A7421">
        <v>26</v>
      </c>
      <c r="B7421" t="s">
        <v>6922</v>
      </c>
      <c r="C7421">
        <v>4526</v>
      </c>
      <c r="D7421" t="str">
        <f>"1892-3364"</f>
        <v>1892-3364</v>
      </c>
      <c r="E7421" t="s">
        <v>8</v>
      </c>
      <c r="F7421" t="s">
        <v>7425</v>
      </c>
      <c r="G7421">
        <v>1</v>
      </c>
    </row>
    <row r="7422" spans="1:7" x14ac:dyDescent="0.25">
      <c r="A7422">
        <v>26</v>
      </c>
      <c r="B7422" t="s">
        <v>6922</v>
      </c>
      <c r="C7422">
        <v>180081</v>
      </c>
      <c r="D7422" t="str">
        <f>"2326-3601"</f>
        <v>2326-3601</v>
      </c>
      <c r="E7422" t="s">
        <v>8</v>
      </c>
      <c r="F7422" t="s">
        <v>7426</v>
      </c>
      <c r="G7422">
        <v>1</v>
      </c>
    </row>
    <row r="7423" spans="1:7" x14ac:dyDescent="0.25">
      <c r="A7423">
        <v>26</v>
      </c>
      <c r="B7423" t="s">
        <v>6922</v>
      </c>
      <c r="C7423">
        <v>6253297</v>
      </c>
      <c r="D7423" t="str">
        <f>"2159-676X"</f>
        <v>2159-676X</v>
      </c>
      <c r="E7423" t="s">
        <v>8</v>
      </c>
      <c r="F7423" t="s">
        <v>7427</v>
      </c>
      <c r="G7423">
        <v>1</v>
      </c>
    </row>
    <row r="7424" spans="1:7" x14ac:dyDescent="0.25">
      <c r="A7424">
        <v>26</v>
      </c>
      <c r="B7424" t="s">
        <v>6922</v>
      </c>
      <c r="C7424">
        <v>27120</v>
      </c>
      <c r="D7424" t="str">
        <f>"1448-0980"</f>
        <v>1448-0980</v>
      </c>
      <c r="E7424" t="s">
        <v>8</v>
      </c>
      <c r="F7424" t="s">
        <v>7428</v>
      </c>
      <c r="G7424">
        <v>1</v>
      </c>
    </row>
    <row r="7425" spans="1:7" x14ac:dyDescent="0.25">
      <c r="A7425">
        <v>26</v>
      </c>
      <c r="B7425" t="s">
        <v>6922</v>
      </c>
      <c r="C7425">
        <v>156015</v>
      </c>
      <c r="E7425" t="s">
        <v>8</v>
      </c>
      <c r="F7425" t="s">
        <v>7429</v>
      </c>
      <c r="G7425">
        <v>1</v>
      </c>
    </row>
    <row r="7426" spans="1:7" x14ac:dyDescent="0.25">
      <c r="A7426">
        <v>26</v>
      </c>
      <c r="B7426" t="s">
        <v>6922</v>
      </c>
      <c r="C7426">
        <v>17259</v>
      </c>
      <c r="D7426" t="str">
        <f>"1747-0218"</f>
        <v>1747-0218</v>
      </c>
      <c r="E7426" t="s">
        <v>8</v>
      </c>
      <c r="F7426" t="s">
        <v>7430</v>
      </c>
      <c r="G7426">
        <v>1</v>
      </c>
    </row>
    <row r="7427" spans="1:7" x14ac:dyDescent="0.25">
      <c r="A7427">
        <v>26</v>
      </c>
      <c r="B7427" t="s">
        <v>6922</v>
      </c>
      <c r="C7427">
        <v>6722</v>
      </c>
      <c r="D7427" t="str">
        <f>"0270-2711"</f>
        <v>0270-2711</v>
      </c>
      <c r="E7427" t="s">
        <v>8</v>
      </c>
      <c r="F7427" t="s">
        <v>7431</v>
      </c>
      <c r="G7427">
        <v>1</v>
      </c>
    </row>
    <row r="7428" spans="1:7" x14ac:dyDescent="0.25">
      <c r="A7428">
        <v>26</v>
      </c>
      <c r="B7428" t="s">
        <v>6922</v>
      </c>
      <c r="C7428">
        <v>8034</v>
      </c>
      <c r="D7428" t="str">
        <f>"0090-5550"</f>
        <v>0090-5550</v>
      </c>
      <c r="E7428" t="s">
        <v>8</v>
      </c>
      <c r="F7428" t="s">
        <v>7432</v>
      </c>
      <c r="G7428">
        <v>1</v>
      </c>
    </row>
    <row r="7429" spans="1:7" x14ac:dyDescent="0.25">
      <c r="A7429">
        <v>26</v>
      </c>
      <c r="B7429" t="s">
        <v>6922</v>
      </c>
      <c r="C7429">
        <v>160028</v>
      </c>
      <c r="D7429" t="str">
        <f>"2153-599X"</f>
        <v>2153-599X</v>
      </c>
      <c r="E7429" t="s">
        <v>8</v>
      </c>
      <c r="F7429" t="s">
        <v>7433</v>
      </c>
      <c r="G7429">
        <v>1</v>
      </c>
    </row>
    <row r="7430" spans="1:7" x14ac:dyDescent="0.25">
      <c r="A7430">
        <v>26</v>
      </c>
      <c r="B7430" t="s">
        <v>6922</v>
      </c>
      <c r="C7430">
        <v>23998</v>
      </c>
      <c r="D7430" t="str">
        <f>"1750-9467"</f>
        <v>1750-9467</v>
      </c>
      <c r="E7430" t="s">
        <v>8</v>
      </c>
      <c r="F7430" t="s">
        <v>7434</v>
      </c>
      <c r="G7430">
        <v>1</v>
      </c>
    </row>
    <row r="7431" spans="1:7" x14ac:dyDescent="0.25">
      <c r="A7431">
        <v>26</v>
      </c>
      <c r="B7431" t="s">
        <v>6922</v>
      </c>
      <c r="C7431">
        <v>10297</v>
      </c>
      <c r="D7431" t="str">
        <f>"0891-4222"</f>
        <v>0891-4222</v>
      </c>
      <c r="E7431" t="s">
        <v>8</v>
      </c>
      <c r="F7431" t="s">
        <v>7435</v>
      </c>
      <c r="G7431">
        <v>1</v>
      </c>
    </row>
    <row r="7432" spans="1:7" x14ac:dyDescent="0.25">
      <c r="A7432">
        <v>26</v>
      </c>
      <c r="B7432" t="s">
        <v>6922</v>
      </c>
      <c r="C7432">
        <v>22842</v>
      </c>
      <c r="D7432" t="str">
        <f>"1542-7609"</f>
        <v>1542-7609</v>
      </c>
      <c r="E7432" t="s">
        <v>8</v>
      </c>
      <c r="F7432" t="s">
        <v>7436</v>
      </c>
      <c r="G7432">
        <v>1</v>
      </c>
    </row>
    <row r="7433" spans="1:7" x14ac:dyDescent="0.25">
      <c r="A7433">
        <v>26</v>
      </c>
      <c r="B7433" t="s">
        <v>6922</v>
      </c>
      <c r="C7433">
        <v>8975</v>
      </c>
      <c r="D7433" t="str">
        <f>"0191-3085"</f>
        <v>0191-3085</v>
      </c>
      <c r="E7433" t="s">
        <v>8</v>
      </c>
      <c r="F7433" t="s">
        <v>7437</v>
      </c>
      <c r="G7433">
        <v>1</v>
      </c>
    </row>
    <row r="7434" spans="1:7" x14ac:dyDescent="0.25">
      <c r="A7434">
        <v>26</v>
      </c>
      <c r="B7434" t="s">
        <v>6922</v>
      </c>
      <c r="C7434">
        <v>9268</v>
      </c>
      <c r="D7434" t="str">
        <f>"1089-2680"</f>
        <v>1089-2680</v>
      </c>
      <c r="E7434" t="s">
        <v>8</v>
      </c>
      <c r="F7434" t="s">
        <v>7438</v>
      </c>
      <c r="G7434">
        <v>1</v>
      </c>
    </row>
    <row r="7435" spans="1:7" x14ac:dyDescent="0.25">
      <c r="A7435">
        <v>26</v>
      </c>
      <c r="B7435" t="s">
        <v>6922</v>
      </c>
      <c r="C7435">
        <v>10342</v>
      </c>
      <c r="D7435" t="str">
        <f>"1162-9088"</f>
        <v>1162-9088</v>
      </c>
      <c r="E7435" t="s">
        <v>8</v>
      </c>
      <c r="F7435" t="s">
        <v>7439</v>
      </c>
      <c r="G7435">
        <v>1</v>
      </c>
    </row>
    <row r="7436" spans="1:7" x14ac:dyDescent="0.25">
      <c r="A7436">
        <v>26</v>
      </c>
      <c r="B7436" t="s">
        <v>6922</v>
      </c>
      <c r="C7436">
        <v>13546</v>
      </c>
      <c r="D7436" t="str">
        <f>"0035-2942"</f>
        <v>0035-2942</v>
      </c>
      <c r="E7436" t="s">
        <v>8</v>
      </c>
      <c r="F7436" t="s">
        <v>7440</v>
      </c>
      <c r="G7436">
        <v>1</v>
      </c>
    </row>
    <row r="7437" spans="1:7" x14ac:dyDescent="0.25">
      <c r="A7437">
        <v>26</v>
      </c>
      <c r="B7437" t="s">
        <v>6922</v>
      </c>
      <c r="C7437">
        <v>8782626</v>
      </c>
      <c r="E7437" t="s">
        <v>8</v>
      </c>
      <c r="F7437" t="s">
        <v>7441</v>
      </c>
      <c r="G7437">
        <v>1</v>
      </c>
    </row>
    <row r="7438" spans="1:7" x14ac:dyDescent="0.25">
      <c r="A7438">
        <v>26</v>
      </c>
      <c r="B7438" t="s">
        <v>6922</v>
      </c>
      <c r="C7438">
        <v>13371</v>
      </c>
      <c r="D7438" t="str">
        <f>"0036-5564"</f>
        <v>0036-5564</v>
      </c>
      <c r="E7438" t="s">
        <v>8</v>
      </c>
      <c r="F7438" t="s">
        <v>7442</v>
      </c>
      <c r="G7438">
        <v>1</v>
      </c>
    </row>
    <row r="7439" spans="1:7" x14ac:dyDescent="0.25">
      <c r="A7439">
        <v>26</v>
      </c>
      <c r="B7439" t="s">
        <v>6922</v>
      </c>
      <c r="C7439">
        <v>8783730</v>
      </c>
      <c r="E7439" t="s">
        <v>8</v>
      </c>
      <c r="F7439" t="s">
        <v>7443</v>
      </c>
      <c r="G7439">
        <v>1</v>
      </c>
    </row>
    <row r="7440" spans="1:7" x14ac:dyDescent="0.25">
      <c r="A7440">
        <v>26</v>
      </c>
      <c r="B7440" t="s">
        <v>6922</v>
      </c>
      <c r="C7440">
        <v>6719</v>
      </c>
      <c r="D7440" t="str">
        <f>"0143-0343"</f>
        <v>0143-0343</v>
      </c>
      <c r="E7440" t="s">
        <v>8</v>
      </c>
      <c r="F7440" t="s">
        <v>7444</v>
      </c>
      <c r="G7440">
        <v>1</v>
      </c>
    </row>
    <row r="7441" spans="1:7" x14ac:dyDescent="0.25">
      <c r="A7441">
        <v>26</v>
      </c>
      <c r="B7441" t="s">
        <v>6922</v>
      </c>
      <c r="C7441">
        <v>1291</v>
      </c>
      <c r="D7441" t="str">
        <f>"1045-3830"</f>
        <v>1045-3830</v>
      </c>
      <c r="E7441" t="s">
        <v>8</v>
      </c>
      <c r="F7441" t="s">
        <v>7445</v>
      </c>
      <c r="G7441">
        <v>1</v>
      </c>
    </row>
    <row r="7442" spans="1:7" x14ac:dyDescent="0.25">
      <c r="A7442">
        <v>26</v>
      </c>
      <c r="B7442" t="s">
        <v>6922</v>
      </c>
      <c r="C7442">
        <v>9718</v>
      </c>
      <c r="D7442" t="str">
        <f>"0279-6015"</f>
        <v>0279-6015</v>
      </c>
      <c r="E7442" t="s">
        <v>8</v>
      </c>
      <c r="F7442" t="s">
        <v>7446</v>
      </c>
      <c r="G7442">
        <v>1</v>
      </c>
    </row>
    <row r="7443" spans="1:7" x14ac:dyDescent="0.25">
      <c r="A7443">
        <v>26</v>
      </c>
      <c r="B7443" t="s">
        <v>6922</v>
      </c>
      <c r="C7443">
        <v>13351</v>
      </c>
      <c r="D7443" t="str">
        <f>"1529-8868"</f>
        <v>1529-8868</v>
      </c>
      <c r="E7443" t="s">
        <v>8</v>
      </c>
      <c r="F7443" t="s">
        <v>7447</v>
      </c>
      <c r="G7443">
        <v>1</v>
      </c>
    </row>
    <row r="7444" spans="1:7" x14ac:dyDescent="0.25">
      <c r="A7444">
        <v>26</v>
      </c>
      <c r="B7444" t="s">
        <v>6922</v>
      </c>
      <c r="C7444">
        <v>170340</v>
      </c>
      <c r="D7444" t="str">
        <f>"2245-1528"</f>
        <v>2245-1528</v>
      </c>
      <c r="E7444" t="s">
        <v>15</v>
      </c>
      <c r="F7444" t="s">
        <v>7448</v>
      </c>
      <c r="G7444">
        <v>1</v>
      </c>
    </row>
    <row r="7445" spans="1:7" x14ac:dyDescent="0.25">
      <c r="A7445">
        <v>26</v>
      </c>
      <c r="B7445" t="s">
        <v>6922</v>
      </c>
      <c r="C7445">
        <v>8782454</v>
      </c>
      <c r="D7445" t="str">
        <f>"2203-8469"</f>
        <v>2203-8469</v>
      </c>
      <c r="E7445" t="s">
        <v>8</v>
      </c>
      <c r="F7445" t="s">
        <v>7449</v>
      </c>
      <c r="G7445">
        <v>1</v>
      </c>
    </row>
    <row r="7446" spans="1:7" x14ac:dyDescent="0.25">
      <c r="A7446">
        <v>26</v>
      </c>
      <c r="B7446" t="s">
        <v>6922</v>
      </c>
      <c r="C7446">
        <v>3472</v>
      </c>
      <c r="D7446" t="str">
        <f>"0360-0025"</f>
        <v>0360-0025</v>
      </c>
      <c r="E7446" t="s">
        <v>8</v>
      </c>
      <c r="F7446" t="s">
        <v>7450</v>
      </c>
      <c r="G7446">
        <v>1</v>
      </c>
    </row>
    <row r="7447" spans="1:7" x14ac:dyDescent="0.25">
      <c r="A7447">
        <v>26</v>
      </c>
      <c r="B7447" t="s">
        <v>6922</v>
      </c>
      <c r="C7447">
        <v>6919</v>
      </c>
      <c r="D7447" t="str">
        <f>"1158-1360"</f>
        <v>1158-1360</v>
      </c>
      <c r="E7447" t="s">
        <v>8</v>
      </c>
      <c r="F7447" t="s">
        <v>7451</v>
      </c>
      <c r="G7447">
        <v>1</v>
      </c>
    </row>
    <row r="7448" spans="1:7" x14ac:dyDescent="0.25">
      <c r="A7448">
        <v>26</v>
      </c>
      <c r="B7448" t="s">
        <v>6922</v>
      </c>
      <c r="C7448">
        <v>10345</v>
      </c>
      <c r="D7448" t="str">
        <f>"1079-0632"</f>
        <v>1079-0632</v>
      </c>
      <c r="E7448" t="s">
        <v>8</v>
      </c>
      <c r="F7448" t="s">
        <v>7452</v>
      </c>
      <c r="G7448">
        <v>1</v>
      </c>
    </row>
    <row r="7449" spans="1:7" x14ac:dyDescent="0.25">
      <c r="A7449">
        <v>26</v>
      </c>
      <c r="B7449" t="s">
        <v>6922</v>
      </c>
      <c r="C7449">
        <v>6702</v>
      </c>
      <c r="D7449" t="str">
        <f>"1072-0162"</f>
        <v>1072-0162</v>
      </c>
      <c r="E7449" t="s">
        <v>8</v>
      </c>
      <c r="F7449" t="s">
        <v>7453</v>
      </c>
      <c r="G7449">
        <v>1</v>
      </c>
    </row>
    <row r="7450" spans="1:7" x14ac:dyDescent="0.25">
      <c r="A7450">
        <v>26</v>
      </c>
      <c r="B7450" t="s">
        <v>6922</v>
      </c>
      <c r="C7450">
        <v>12344</v>
      </c>
      <c r="D7450" t="str">
        <f>"1468-1994"</f>
        <v>1468-1994</v>
      </c>
      <c r="E7450" t="s">
        <v>8</v>
      </c>
      <c r="F7450" t="s">
        <v>7454</v>
      </c>
      <c r="G7450">
        <v>1</v>
      </c>
    </row>
    <row r="7451" spans="1:7" x14ac:dyDescent="0.25">
      <c r="A7451">
        <v>26</v>
      </c>
      <c r="B7451" t="s">
        <v>6922</v>
      </c>
      <c r="C7451">
        <v>4654</v>
      </c>
      <c r="D7451" t="str">
        <f>"0971-6610"</f>
        <v>0971-6610</v>
      </c>
      <c r="E7451" t="s">
        <v>8</v>
      </c>
      <c r="F7451" t="s">
        <v>7455</v>
      </c>
      <c r="G7451">
        <v>1</v>
      </c>
    </row>
    <row r="7452" spans="1:7" x14ac:dyDescent="0.25">
      <c r="A7452">
        <v>26</v>
      </c>
      <c r="B7452" t="s">
        <v>6922</v>
      </c>
      <c r="C7452">
        <v>3401</v>
      </c>
      <c r="D7452" t="str">
        <f>"1046-4964"</f>
        <v>1046-4964</v>
      </c>
      <c r="E7452" t="s">
        <v>8</v>
      </c>
      <c r="F7452" t="s">
        <v>7456</v>
      </c>
      <c r="G7452">
        <v>1</v>
      </c>
    </row>
    <row r="7453" spans="1:7" x14ac:dyDescent="0.25">
      <c r="A7453">
        <v>26</v>
      </c>
      <c r="B7453" t="s">
        <v>6922</v>
      </c>
      <c r="C7453">
        <v>6792</v>
      </c>
      <c r="D7453" t="str">
        <f>"0301-2212"</f>
        <v>0301-2212</v>
      </c>
      <c r="E7453" t="s">
        <v>8</v>
      </c>
      <c r="F7453" t="s">
        <v>7457</v>
      </c>
      <c r="G7453">
        <v>1</v>
      </c>
    </row>
    <row r="7454" spans="1:7" x14ac:dyDescent="0.25">
      <c r="A7454">
        <v>26</v>
      </c>
      <c r="B7454" t="s">
        <v>6922</v>
      </c>
      <c r="C7454">
        <v>3602</v>
      </c>
      <c r="D7454" t="str">
        <f>"0278-016X"</f>
        <v>0278-016X</v>
      </c>
      <c r="E7454" t="s">
        <v>8</v>
      </c>
      <c r="F7454" t="s">
        <v>7458</v>
      </c>
      <c r="G7454">
        <v>1</v>
      </c>
    </row>
    <row r="7455" spans="1:7" x14ac:dyDescent="0.25">
      <c r="A7455">
        <v>26</v>
      </c>
      <c r="B7455" t="s">
        <v>6922</v>
      </c>
      <c r="C7455">
        <v>11411</v>
      </c>
      <c r="D7455" t="str">
        <f>"0961-205X"</f>
        <v>0961-205X</v>
      </c>
      <c r="E7455" t="s">
        <v>8</v>
      </c>
      <c r="F7455" t="s">
        <v>7459</v>
      </c>
      <c r="G7455">
        <v>1</v>
      </c>
    </row>
    <row r="7456" spans="1:7" x14ac:dyDescent="0.25">
      <c r="A7456">
        <v>26</v>
      </c>
      <c r="B7456" t="s">
        <v>6922</v>
      </c>
      <c r="C7456">
        <v>22148</v>
      </c>
      <c r="D7456" t="str">
        <f>"1864-9335"</f>
        <v>1864-9335</v>
      </c>
      <c r="E7456" t="s">
        <v>8</v>
      </c>
      <c r="F7456" t="s">
        <v>7460</v>
      </c>
      <c r="G7456">
        <v>1</v>
      </c>
    </row>
    <row r="7457" spans="1:7" x14ac:dyDescent="0.25">
      <c r="A7457">
        <v>26</v>
      </c>
      <c r="B7457" t="s">
        <v>6922</v>
      </c>
      <c r="C7457">
        <v>15044</v>
      </c>
      <c r="D7457" t="str">
        <f>"0190-2725"</f>
        <v>0190-2725</v>
      </c>
      <c r="E7457" t="s">
        <v>8</v>
      </c>
      <c r="F7457" t="s">
        <v>7461</v>
      </c>
      <c r="G7457">
        <v>1</v>
      </c>
    </row>
    <row r="7458" spans="1:7" x14ac:dyDescent="0.25">
      <c r="A7458">
        <v>26</v>
      </c>
      <c r="B7458" t="s">
        <v>6922</v>
      </c>
      <c r="C7458">
        <v>11662</v>
      </c>
      <c r="D7458" t="str">
        <f>"0081-2463"</f>
        <v>0081-2463</v>
      </c>
      <c r="E7458" t="s">
        <v>8</v>
      </c>
      <c r="F7458" t="s">
        <v>7462</v>
      </c>
      <c r="G7458">
        <v>1</v>
      </c>
    </row>
    <row r="7459" spans="1:7" x14ac:dyDescent="0.25">
      <c r="A7459">
        <v>26</v>
      </c>
      <c r="B7459" t="s">
        <v>6922</v>
      </c>
      <c r="C7459">
        <v>8783784</v>
      </c>
      <c r="D7459" t="str">
        <f>"2569-8583"</f>
        <v>2569-8583</v>
      </c>
      <c r="E7459" t="s">
        <v>15</v>
      </c>
      <c r="F7459" t="s">
        <v>7463</v>
      </c>
      <c r="G7459">
        <v>1</v>
      </c>
    </row>
    <row r="7460" spans="1:7" x14ac:dyDescent="0.25">
      <c r="A7460">
        <v>26</v>
      </c>
      <c r="B7460" t="s">
        <v>6922</v>
      </c>
      <c r="C7460">
        <v>8783785</v>
      </c>
      <c r="D7460" t="str">
        <f>"2511-395X"</f>
        <v>2511-395X</v>
      </c>
      <c r="E7460" t="s">
        <v>15</v>
      </c>
      <c r="F7460" t="s">
        <v>7464</v>
      </c>
      <c r="G7460">
        <v>1</v>
      </c>
    </row>
    <row r="7461" spans="1:7" x14ac:dyDescent="0.25">
      <c r="A7461">
        <v>26</v>
      </c>
      <c r="B7461" t="s">
        <v>6922</v>
      </c>
      <c r="C7461">
        <v>11256</v>
      </c>
      <c r="D7461" t="str">
        <f>"1532-3005"</f>
        <v>1532-3005</v>
      </c>
      <c r="E7461" t="s">
        <v>8</v>
      </c>
      <c r="F7461" t="s">
        <v>7465</v>
      </c>
      <c r="G7461">
        <v>1</v>
      </c>
    </row>
    <row r="7462" spans="1:7" x14ac:dyDescent="0.25">
      <c r="A7462">
        <v>26</v>
      </c>
      <c r="B7462" t="s">
        <v>6922</v>
      </c>
      <c r="C7462">
        <v>15086</v>
      </c>
      <c r="D7462" t="str">
        <f>"0039-3320"</f>
        <v>0039-3320</v>
      </c>
      <c r="E7462" t="s">
        <v>8</v>
      </c>
      <c r="F7462" t="s">
        <v>7466</v>
      </c>
      <c r="G7462">
        <v>1</v>
      </c>
    </row>
    <row r="7463" spans="1:7" x14ac:dyDescent="0.25">
      <c r="A7463">
        <v>26</v>
      </c>
      <c r="B7463" t="s">
        <v>6922</v>
      </c>
      <c r="C7463">
        <v>7088</v>
      </c>
      <c r="D7463" t="str">
        <f>"1755-6341"</f>
        <v>1755-6341</v>
      </c>
      <c r="E7463" t="s">
        <v>8</v>
      </c>
      <c r="F7463" t="s">
        <v>7467</v>
      </c>
      <c r="G7463">
        <v>1</v>
      </c>
    </row>
    <row r="7464" spans="1:7" x14ac:dyDescent="0.25">
      <c r="A7464">
        <v>26</v>
      </c>
      <c r="B7464" t="s">
        <v>6922</v>
      </c>
      <c r="C7464">
        <v>9243</v>
      </c>
      <c r="D7464" t="str">
        <f>"0889-7077"</f>
        <v>0889-7077</v>
      </c>
      <c r="E7464" t="s">
        <v>8</v>
      </c>
      <c r="F7464" t="s">
        <v>7468</v>
      </c>
      <c r="G7464">
        <v>1</v>
      </c>
    </row>
    <row r="7465" spans="1:7" x14ac:dyDescent="0.25">
      <c r="A7465">
        <v>26</v>
      </c>
      <c r="B7465" t="s">
        <v>6922</v>
      </c>
      <c r="C7465">
        <v>1324</v>
      </c>
      <c r="D7465" t="str">
        <f>"1421-0185"</f>
        <v>1421-0185</v>
      </c>
      <c r="E7465" t="s">
        <v>8</v>
      </c>
      <c r="F7465" t="s">
        <v>7469</v>
      </c>
      <c r="G7465">
        <v>1</v>
      </c>
    </row>
    <row r="7466" spans="1:7" x14ac:dyDescent="0.25">
      <c r="A7466">
        <v>26</v>
      </c>
      <c r="B7466" t="s">
        <v>6922</v>
      </c>
      <c r="C7466">
        <v>15410</v>
      </c>
      <c r="D7466" t="str">
        <f>"1022-9280"</f>
        <v>1022-9280</v>
      </c>
      <c r="E7466" t="s">
        <v>8</v>
      </c>
      <c r="F7466" t="s">
        <v>7470</v>
      </c>
      <c r="G7466">
        <v>1</v>
      </c>
    </row>
    <row r="7467" spans="1:7" x14ac:dyDescent="0.25">
      <c r="A7467">
        <v>26</v>
      </c>
      <c r="B7467" t="s">
        <v>6922</v>
      </c>
      <c r="C7467">
        <v>15096</v>
      </c>
      <c r="D7467" t="str">
        <f>"0098-6283"</f>
        <v>0098-6283</v>
      </c>
      <c r="E7467" t="s">
        <v>8</v>
      </c>
      <c r="F7467" t="s">
        <v>7471</v>
      </c>
      <c r="G7467">
        <v>1</v>
      </c>
    </row>
    <row r="7468" spans="1:7" x14ac:dyDescent="0.25">
      <c r="A7468">
        <v>26</v>
      </c>
      <c r="B7468" t="s">
        <v>6922</v>
      </c>
      <c r="C7468">
        <v>14742</v>
      </c>
      <c r="D7468" t="str">
        <f>"0192-6187"</f>
        <v>0192-6187</v>
      </c>
      <c r="E7468" t="s">
        <v>8</v>
      </c>
      <c r="F7468" t="s">
        <v>7472</v>
      </c>
      <c r="G7468">
        <v>1</v>
      </c>
    </row>
    <row r="7469" spans="1:7" x14ac:dyDescent="0.25">
      <c r="A7469">
        <v>26</v>
      </c>
      <c r="B7469" t="s">
        <v>6922</v>
      </c>
      <c r="C7469">
        <v>6583</v>
      </c>
      <c r="D7469" t="str">
        <f>"0197-4556"</f>
        <v>0197-4556</v>
      </c>
      <c r="E7469" t="s">
        <v>8</v>
      </c>
      <c r="F7469" t="s">
        <v>7473</v>
      </c>
      <c r="G7469">
        <v>1</v>
      </c>
    </row>
    <row r="7470" spans="1:7" x14ac:dyDescent="0.25">
      <c r="A7470">
        <v>26</v>
      </c>
      <c r="B7470" t="s">
        <v>6922</v>
      </c>
      <c r="C7470">
        <v>4548</v>
      </c>
      <c r="D7470" t="str">
        <f>"0738-6729"</f>
        <v>0738-6729</v>
      </c>
      <c r="E7470" t="s">
        <v>8</v>
      </c>
      <c r="F7470" t="s">
        <v>7474</v>
      </c>
      <c r="G7470">
        <v>1</v>
      </c>
    </row>
    <row r="7471" spans="1:7" x14ac:dyDescent="0.25">
      <c r="A7471">
        <v>26</v>
      </c>
      <c r="B7471" t="s">
        <v>6922</v>
      </c>
      <c r="C7471">
        <v>21145</v>
      </c>
      <c r="D7471" t="str">
        <f>"0732-5223"</f>
        <v>0732-5223</v>
      </c>
      <c r="E7471" t="s">
        <v>8</v>
      </c>
      <c r="F7471" t="s">
        <v>7475</v>
      </c>
      <c r="G7471">
        <v>1</v>
      </c>
    </row>
    <row r="7472" spans="1:7" x14ac:dyDescent="0.25">
      <c r="A7472">
        <v>26</v>
      </c>
      <c r="B7472" t="s">
        <v>6922</v>
      </c>
      <c r="C7472">
        <v>100705</v>
      </c>
      <c r="D7472" t="str">
        <f>"1754-470X"</f>
        <v>1754-470X</v>
      </c>
      <c r="E7472" t="s">
        <v>8</v>
      </c>
      <c r="F7472" t="s">
        <v>7476</v>
      </c>
      <c r="G7472">
        <v>1</v>
      </c>
    </row>
    <row r="7473" spans="1:7" x14ac:dyDescent="0.25">
      <c r="A7473">
        <v>26</v>
      </c>
      <c r="B7473" t="s">
        <v>6922</v>
      </c>
      <c r="C7473">
        <v>15285</v>
      </c>
      <c r="D7473" t="str">
        <f>"0011-0000"</f>
        <v>0011-0000</v>
      </c>
      <c r="E7473" t="s">
        <v>8</v>
      </c>
      <c r="F7473" t="s">
        <v>7477</v>
      </c>
      <c r="G7473">
        <v>1</v>
      </c>
    </row>
    <row r="7474" spans="1:7" x14ac:dyDescent="0.25">
      <c r="A7474">
        <v>26</v>
      </c>
      <c r="B7474" t="s">
        <v>6922</v>
      </c>
      <c r="C7474">
        <v>27760</v>
      </c>
      <c r="E7474" t="s">
        <v>8</v>
      </c>
      <c r="F7474" t="s">
        <v>7478</v>
      </c>
      <c r="G7474">
        <v>1</v>
      </c>
    </row>
    <row r="7475" spans="1:7" x14ac:dyDescent="0.25">
      <c r="A7475">
        <v>26</v>
      </c>
      <c r="B7475" t="s">
        <v>6922</v>
      </c>
      <c r="C7475">
        <v>3553</v>
      </c>
      <c r="D7475" t="str">
        <f>"1084-5569"</f>
        <v>1084-5569</v>
      </c>
      <c r="E7475" t="s">
        <v>8</v>
      </c>
      <c r="F7475" t="s">
        <v>7479</v>
      </c>
      <c r="G7475">
        <v>1</v>
      </c>
    </row>
    <row r="7476" spans="1:7" x14ac:dyDescent="0.25">
      <c r="A7476">
        <v>26</v>
      </c>
      <c r="B7476" t="s">
        <v>6922</v>
      </c>
      <c r="C7476">
        <v>16599</v>
      </c>
      <c r="D7476" t="str">
        <f>"0887-3267"</f>
        <v>0887-3267</v>
      </c>
      <c r="E7476" t="s">
        <v>8</v>
      </c>
      <c r="F7476" t="s">
        <v>7480</v>
      </c>
      <c r="G7476">
        <v>1</v>
      </c>
    </row>
    <row r="7477" spans="1:7" x14ac:dyDescent="0.25">
      <c r="A7477">
        <v>26</v>
      </c>
      <c r="B7477" t="s">
        <v>6922</v>
      </c>
      <c r="C7477">
        <v>3766</v>
      </c>
      <c r="D7477" t="str">
        <f>"0091-4150"</f>
        <v>0091-4150</v>
      </c>
      <c r="E7477" t="s">
        <v>8</v>
      </c>
      <c r="F7477" t="s">
        <v>7481</v>
      </c>
      <c r="G7477">
        <v>1</v>
      </c>
    </row>
    <row r="7478" spans="1:7" x14ac:dyDescent="0.25">
      <c r="A7478">
        <v>26</v>
      </c>
      <c r="B7478" t="s">
        <v>6922</v>
      </c>
      <c r="C7478">
        <v>8716</v>
      </c>
      <c r="D7478" t="str">
        <f>"1050-8414"</f>
        <v>1050-8414</v>
      </c>
      <c r="E7478" t="s">
        <v>8</v>
      </c>
      <c r="F7478" t="s">
        <v>7482</v>
      </c>
      <c r="G7478">
        <v>1</v>
      </c>
    </row>
    <row r="7479" spans="1:7" x14ac:dyDescent="0.25">
      <c r="A7479">
        <v>26</v>
      </c>
      <c r="B7479" t="s">
        <v>6922</v>
      </c>
      <c r="C7479">
        <v>16223</v>
      </c>
      <c r="D7479" t="str">
        <f>"0021-8863"</f>
        <v>0021-8863</v>
      </c>
      <c r="E7479" t="s">
        <v>8</v>
      </c>
      <c r="F7479" t="s">
        <v>7483</v>
      </c>
      <c r="G7479">
        <v>1</v>
      </c>
    </row>
    <row r="7480" spans="1:7" x14ac:dyDescent="0.25">
      <c r="A7480">
        <v>26</v>
      </c>
      <c r="B7480" t="s">
        <v>6922</v>
      </c>
      <c r="C7480">
        <v>1008</v>
      </c>
      <c r="D7480" t="str">
        <f>"0095-7984"</f>
        <v>0095-7984</v>
      </c>
      <c r="E7480" t="s">
        <v>8</v>
      </c>
      <c r="F7480" t="s">
        <v>7484</v>
      </c>
      <c r="G7480">
        <v>1</v>
      </c>
    </row>
    <row r="7481" spans="1:7" x14ac:dyDescent="0.25">
      <c r="A7481">
        <v>26</v>
      </c>
      <c r="B7481" t="s">
        <v>6922</v>
      </c>
      <c r="C7481">
        <v>1148</v>
      </c>
      <c r="D7481" t="str">
        <f>"0022-0175"</f>
        <v>0022-0175</v>
      </c>
      <c r="E7481" t="s">
        <v>8</v>
      </c>
      <c r="F7481" t="s">
        <v>7485</v>
      </c>
      <c r="G7481">
        <v>1</v>
      </c>
    </row>
    <row r="7482" spans="1:7" x14ac:dyDescent="0.25">
      <c r="A7482">
        <v>26</v>
      </c>
      <c r="B7482" t="s">
        <v>6922</v>
      </c>
      <c r="C7482">
        <v>5757</v>
      </c>
      <c r="D7482" t="str">
        <f>"0272-4316"</f>
        <v>0272-4316</v>
      </c>
      <c r="E7482" t="s">
        <v>8</v>
      </c>
      <c r="F7482" t="s">
        <v>7486</v>
      </c>
      <c r="G7482">
        <v>1</v>
      </c>
    </row>
    <row r="7483" spans="1:7" x14ac:dyDescent="0.25">
      <c r="A7483">
        <v>26</v>
      </c>
      <c r="B7483" t="s">
        <v>6922</v>
      </c>
      <c r="C7483">
        <v>14017</v>
      </c>
      <c r="D7483" t="str">
        <f>"0022-0973"</f>
        <v>0022-0973</v>
      </c>
      <c r="E7483" t="s">
        <v>8</v>
      </c>
      <c r="F7483" t="s">
        <v>7487</v>
      </c>
      <c r="G7483">
        <v>1</v>
      </c>
    </row>
    <row r="7484" spans="1:7" x14ac:dyDescent="0.25">
      <c r="A7484">
        <v>26</v>
      </c>
      <c r="B7484" t="s">
        <v>6922</v>
      </c>
      <c r="C7484">
        <v>14341</v>
      </c>
      <c r="D7484" t="str">
        <f>"0022-1309"</f>
        <v>0022-1309</v>
      </c>
      <c r="E7484" t="s">
        <v>8</v>
      </c>
      <c r="F7484" t="s">
        <v>7488</v>
      </c>
      <c r="G7484">
        <v>1</v>
      </c>
    </row>
    <row r="7485" spans="1:7" x14ac:dyDescent="0.25">
      <c r="A7485">
        <v>26</v>
      </c>
      <c r="B7485" t="s">
        <v>6922</v>
      </c>
      <c r="C7485">
        <v>15186</v>
      </c>
      <c r="D7485" t="str">
        <f>"0022-1325"</f>
        <v>0022-1325</v>
      </c>
      <c r="E7485" t="s">
        <v>8</v>
      </c>
      <c r="F7485" t="s">
        <v>7489</v>
      </c>
      <c r="G7485">
        <v>1</v>
      </c>
    </row>
    <row r="7486" spans="1:7" x14ac:dyDescent="0.25">
      <c r="A7486">
        <v>26</v>
      </c>
      <c r="B7486" t="s">
        <v>6922</v>
      </c>
      <c r="C7486">
        <v>11249</v>
      </c>
      <c r="D7486" t="str">
        <f>"0271-0137"</f>
        <v>0271-0137</v>
      </c>
      <c r="E7486" t="s">
        <v>8</v>
      </c>
      <c r="F7486" t="s">
        <v>7490</v>
      </c>
      <c r="G7486">
        <v>1</v>
      </c>
    </row>
    <row r="7487" spans="1:7" x14ac:dyDescent="0.25">
      <c r="A7487">
        <v>26</v>
      </c>
      <c r="B7487" t="s">
        <v>6922</v>
      </c>
      <c r="C7487">
        <v>9447</v>
      </c>
      <c r="D7487" t="str">
        <f>"1743-9760"</f>
        <v>1743-9760</v>
      </c>
      <c r="E7487" t="s">
        <v>8</v>
      </c>
      <c r="F7487" t="s">
        <v>7491</v>
      </c>
      <c r="G7487">
        <v>1</v>
      </c>
    </row>
    <row r="7488" spans="1:7" x14ac:dyDescent="0.25">
      <c r="A7488">
        <v>26</v>
      </c>
      <c r="B7488" t="s">
        <v>6922</v>
      </c>
      <c r="C7488">
        <v>11901</v>
      </c>
      <c r="D7488" t="str">
        <f>"0022-3980"</f>
        <v>0022-3980</v>
      </c>
      <c r="E7488" t="s">
        <v>8</v>
      </c>
      <c r="F7488" t="s">
        <v>7492</v>
      </c>
      <c r="G7488">
        <v>1</v>
      </c>
    </row>
    <row r="7489" spans="1:7" x14ac:dyDescent="0.25">
      <c r="A7489">
        <v>26</v>
      </c>
      <c r="B7489" t="s">
        <v>6922</v>
      </c>
      <c r="C7489">
        <v>7384</v>
      </c>
      <c r="D7489" t="str">
        <f>"0022-4545"</f>
        <v>0022-4545</v>
      </c>
      <c r="E7489" t="s">
        <v>8</v>
      </c>
      <c r="F7489" t="s">
        <v>7493</v>
      </c>
      <c r="G7489">
        <v>1</v>
      </c>
    </row>
    <row r="7490" spans="1:7" x14ac:dyDescent="0.25">
      <c r="A7490">
        <v>26</v>
      </c>
      <c r="B7490" t="s">
        <v>6922</v>
      </c>
      <c r="C7490">
        <v>15463</v>
      </c>
      <c r="D7490" t="str">
        <f>"0033-2828"</f>
        <v>0033-2828</v>
      </c>
      <c r="E7490" t="s">
        <v>8</v>
      </c>
      <c r="F7490" t="s">
        <v>7494</v>
      </c>
      <c r="G7490">
        <v>1</v>
      </c>
    </row>
    <row r="7491" spans="1:7" x14ac:dyDescent="0.25">
      <c r="A7491">
        <v>26</v>
      </c>
      <c r="B7491" t="s">
        <v>6922</v>
      </c>
      <c r="C7491">
        <v>4243</v>
      </c>
      <c r="D7491" t="str">
        <f>"0079-7308"</f>
        <v>0079-7308</v>
      </c>
      <c r="E7491" t="s">
        <v>8</v>
      </c>
      <c r="F7491" t="s">
        <v>7495</v>
      </c>
      <c r="G7491">
        <v>1</v>
      </c>
    </row>
    <row r="7492" spans="1:7" x14ac:dyDescent="0.25">
      <c r="A7492">
        <v>26</v>
      </c>
      <c r="B7492" t="s">
        <v>6922</v>
      </c>
      <c r="C7492">
        <v>151981</v>
      </c>
      <c r="D7492" t="str">
        <f>"1464-9969"</f>
        <v>1464-9969</v>
      </c>
      <c r="E7492" t="s">
        <v>8</v>
      </c>
      <c r="F7492" t="s">
        <v>7496</v>
      </c>
      <c r="G7492">
        <v>1</v>
      </c>
    </row>
    <row r="7493" spans="1:7" x14ac:dyDescent="0.25">
      <c r="A7493">
        <v>26</v>
      </c>
      <c r="B7493" t="s">
        <v>6922</v>
      </c>
      <c r="C7493">
        <v>1731</v>
      </c>
      <c r="D7493" t="str">
        <f>"0033-2933"</f>
        <v>0033-2933</v>
      </c>
      <c r="E7493" t="s">
        <v>8</v>
      </c>
      <c r="F7493" t="s">
        <v>7497</v>
      </c>
      <c r="G7493">
        <v>1</v>
      </c>
    </row>
    <row r="7494" spans="1:7" x14ac:dyDescent="0.25">
      <c r="A7494">
        <v>26</v>
      </c>
      <c r="B7494" t="s">
        <v>6922</v>
      </c>
      <c r="C7494">
        <v>1270</v>
      </c>
      <c r="D7494" t="str">
        <f>"0952-8229"</f>
        <v>0952-8229</v>
      </c>
      <c r="E7494" t="s">
        <v>8</v>
      </c>
      <c r="F7494" t="s">
        <v>7498</v>
      </c>
      <c r="G7494">
        <v>1</v>
      </c>
    </row>
    <row r="7495" spans="1:7" x14ac:dyDescent="0.25">
      <c r="A7495">
        <v>26</v>
      </c>
      <c r="B7495" t="s">
        <v>6922</v>
      </c>
      <c r="C7495">
        <v>15483</v>
      </c>
      <c r="D7495" t="str">
        <f>"0964-1866"</f>
        <v>0964-1866</v>
      </c>
      <c r="E7495" t="s">
        <v>8</v>
      </c>
      <c r="F7495" t="s">
        <v>7499</v>
      </c>
      <c r="G7495">
        <v>1</v>
      </c>
    </row>
    <row r="7496" spans="1:7" x14ac:dyDescent="0.25">
      <c r="A7496">
        <v>26</v>
      </c>
      <c r="B7496" t="s">
        <v>6922</v>
      </c>
      <c r="C7496">
        <v>869</v>
      </c>
      <c r="D7496" t="str">
        <f>"1354-6783"</f>
        <v>1354-6783</v>
      </c>
      <c r="E7496" t="s">
        <v>8</v>
      </c>
      <c r="F7496" t="s">
        <v>7500</v>
      </c>
      <c r="G7496">
        <v>1</v>
      </c>
    </row>
    <row r="7497" spans="1:7" x14ac:dyDescent="0.25">
      <c r="A7497">
        <v>26</v>
      </c>
      <c r="B7497" t="s">
        <v>6922</v>
      </c>
      <c r="C7497">
        <v>13345</v>
      </c>
      <c r="D7497" t="str">
        <f>"0332-6470"</f>
        <v>0332-6470</v>
      </c>
      <c r="E7497" t="s">
        <v>8</v>
      </c>
      <c r="F7497" t="s">
        <v>7501</v>
      </c>
      <c r="G7497">
        <v>1</v>
      </c>
    </row>
    <row r="7498" spans="1:7" x14ac:dyDescent="0.25">
      <c r="A7498">
        <v>26</v>
      </c>
      <c r="B7498" t="s">
        <v>6922</v>
      </c>
      <c r="C7498">
        <v>154172</v>
      </c>
      <c r="D7498" t="str">
        <f>"1756-8757"</f>
        <v>1756-8757</v>
      </c>
      <c r="E7498" t="s">
        <v>8</v>
      </c>
      <c r="F7498" t="s">
        <v>7502</v>
      </c>
      <c r="G7498">
        <v>1</v>
      </c>
    </row>
    <row r="7499" spans="1:7" x14ac:dyDescent="0.25">
      <c r="A7499">
        <v>26</v>
      </c>
      <c r="B7499" t="s">
        <v>6922</v>
      </c>
      <c r="C7499">
        <v>16420</v>
      </c>
      <c r="D7499" t="str">
        <f>"0362-1537"</f>
        <v>0362-1537</v>
      </c>
      <c r="E7499" t="s">
        <v>8</v>
      </c>
      <c r="F7499" t="s">
        <v>7503</v>
      </c>
      <c r="G7499">
        <v>1</v>
      </c>
    </row>
    <row r="7500" spans="1:7" x14ac:dyDescent="0.25">
      <c r="A7500">
        <v>26</v>
      </c>
      <c r="B7500" t="s">
        <v>6922</v>
      </c>
      <c r="C7500">
        <v>7193</v>
      </c>
      <c r="D7500" t="str">
        <f>"1534-7656"</f>
        <v>1534-7656</v>
      </c>
      <c r="E7500" t="s">
        <v>8</v>
      </c>
      <c r="F7500" t="s">
        <v>7504</v>
      </c>
      <c r="G7500">
        <v>1</v>
      </c>
    </row>
    <row r="7501" spans="1:7" x14ac:dyDescent="0.25">
      <c r="A7501">
        <v>26</v>
      </c>
      <c r="B7501" t="s">
        <v>6922</v>
      </c>
      <c r="C7501">
        <v>8963</v>
      </c>
      <c r="D7501" t="str">
        <f>"1016-6262"</f>
        <v>1016-6262</v>
      </c>
      <c r="E7501" t="s">
        <v>8</v>
      </c>
      <c r="F7501" t="s">
        <v>7505</v>
      </c>
      <c r="G7501">
        <v>1</v>
      </c>
    </row>
    <row r="7502" spans="1:7" x14ac:dyDescent="0.25">
      <c r="A7502">
        <v>26</v>
      </c>
      <c r="B7502" t="s">
        <v>6922</v>
      </c>
      <c r="C7502">
        <v>15312</v>
      </c>
      <c r="D7502" t="str">
        <f>"0270-3149"</f>
        <v>0270-3149</v>
      </c>
      <c r="E7502" t="s">
        <v>8</v>
      </c>
      <c r="F7502" t="s">
        <v>7506</v>
      </c>
      <c r="G7502">
        <v>1</v>
      </c>
    </row>
    <row r="7503" spans="1:7" x14ac:dyDescent="0.25">
      <c r="A7503">
        <v>26</v>
      </c>
      <c r="B7503" t="s">
        <v>6922</v>
      </c>
      <c r="C7503">
        <v>13383</v>
      </c>
      <c r="D7503" t="str">
        <f>"1541-2040"</f>
        <v>1541-2040</v>
      </c>
      <c r="E7503" t="s">
        <v>8</v>
      </c>
      <c r="F7503" t="s">
        <v>7507</v>
      </c>
      <c r="G7503">
        <v>1</v>
      </c>
    </row>
    <row r="7504" spans="1:7" x14ac:dyDescent="0.25">
      <c r="A7504">
        <v>26</v>
      </c>
      <c r="B7504" t="s">
        <v>6922</v>
      </c>
      <c r="C7504">
        <v>8533</v>
      </c>
      <c r="D7504" t="str">
        <f>"0044-3409"</f>
        <v>0044-3409</v>
      </c>
      <c r="E7504" t="s">
        <v>8</v>
      </c>
      <c r="F7504" t="s">
        <v>7508</v>
      </c>
      <c r="G7504">
        <v>1</v>
      </c>
    </row>
    <row r="7505" spans="1:7" x14ac:dyDescent="0.25">
      <c r="A7505">
        <v>26</v>
      </c>
      <c r="B7505" t="s">
        <v>6922</v>
      </c>
      <c r="C7505">
        <v>13986</v>
      </c>
      <c r="D7505" t="str">
        <f>"0932-4089"</f>
        <v>0932-4089</v>
      </c>
      <c r="E7505" t="s">
        <v>8</v>
      </c>
      <c r="F7505" t="s">
        <v>7509</v>
      </c>
      <c r="G7505">
        <v>1</v>
      </c>
    </row>
    <row r="7506" spans="1:7" x14ac:dyDescent="0.25">
      <c r="A7506">
        <v>26</v>
      </c>
      <c r="B7506" t="s">
        <v>6922</v>
      </c>
      <c r="C7506">
        <v>13312</v>
      </c>
      <c r="D7506" t="str">
        <f>"0049-8637"</f>
        <v>0049-8637</v>
      </c>
      <c r="E7506" t="s">
        <v>8</v>
      </c>
      <c r="F7506" t="s">
        <v>7510</v>
      </c>
      <c r="G7506">
        <v>1</v>
      </c>
    </row>
    <row r="7507" spans="1:7" x14ac:dyDescent="0.25">
      <c r="A7507">
        <v>26</v>
      </c>
      <c r="B7507" t="s">
        <v>6922</v>
      </c>
      <c r="C7507">
        <v>319</v>
      </c>
      <c r="D7507" t="str">
        <f>"1616-3443"</f>
        <v>1616-3443</v>
      </c>
      <c r="E7507" t="s">
        <v>8</v>
      </c>
      <c r="F7507" t="s">
        <v>7511</v>
      </c>
      <c r="G7507">
        <v>1</v>
      </c>
    </row>
    <row r="7508" spans="1:7" x14ac:dyDescent="0.25">
      <c r="A7508">
        <v>26</v>
      </c>
      <c r="B7508" t="s">
        <v>6922</v>
      </c>
      <c r="C7508">
        <v>17164</v>
      </c>
      <c r="D7508" t="str">
        <f>"1661-4747"</f>
        <v>1661-4747</v>
      </c>
      <c r="E7508" t="s">
        <v>8</v>
      </c>
      <c r="F7508" t="s">
        <v>7512</v>
      </c>
      <c r="G7508">
        <v>1</v>
      </c>
    </row>
    <row r="7509" spans="1:7" x14ac:dyDescent="0.25">
      <c r="A7509">
        <v>26</v>
      </c>
      <c r="B7509" t="s">
        <v>6922</v>
      </c>
      <c r="C7509">
        <v>7842</v>
      </c>
      <c r="D7509" t="str">
        <f>"1010-0652"</f>
        <v>1010-0652</v>
      </c>
      <c r="E7509" t="s">
        <v>8</v>
      </c>
      <c r="F7509" t="s">
        <v>7513</v>
      </c>
      <c r="G7509">
        <v>1</v>
      </c>
    </row>
    <row r="7510" spans="1:7" x14ac:dyDescent="0.25">
      <c r="A7510">
        <v>27</v>
      </c>
      <c r="B7510" t="s">
        <v>7514</v>
      </c>
      <c r="C7510">
        <v>5010974</v>
      </c>
      <c r="E7510" t="s">
        <v>2100</v>
      </c>
      <c r="F7510" t="s">
        <v>7515</v>
      </c>
      <c r="G7510">
        <v>2</v>
      </c>
    </row>
    <row r="7511" spans="1:7" x14ac:dyDescent="0.25">
      <c r="A7511">
        <v>27</v>
      </c>
      <c r="B7511" t="s">
        <v>7514</v>
      </c>
      <c r="C7511">
        <v>17619</v>
      </c>
      <c r="D7511" t="str">
        <f>"0360-9081"</f>
        <v>0360-9081</v>
      </c>
      <c r="E7511" t="s">
        <v>8</v>
      </c>
      <c r="F7511" t="s">
        <v>7516</v>
      </c>
      <c r="G7511">
        <v>2</v>
      </c>
    </row>
    <row r="7512" spans="1:7" x14ac:dyDescent="0.25">
      <c r="A7512">
        <v>27</v>
      </c>
      <c r="B7512" t="s">
        <v>7514</v>
      </c>
      <c r="C7512">
        <v>9668</v>
      </c>
      <c r="D7512" t="str">
        <f>"1389-0166"</f>
        <v>1389-0166</v>
      </c>
      <c r="E7512" t="s">
        <v>8</v>
      </c>
      <c r="F7512" t="s">
        <v>7517</v>
      </c>
      <c r="G7512">
        <v>2</v>
      </c>
    </row>
    <row r="7513" spans="1:7" x14ac:dyDescent="0.25">
      <c r="A7513">
        <v>27</v>
      </c>
      <c r="B7513" t="s">
        <v>7514</v>
      </c>
      <c r="C7513">
        <v>9417</v>
      </c>
      <c r="D7513" t="str">
        <f>"2050-3806"</f>
        <v>2050-3806</v>
      </c>
      <c r="E7513" t="s">
        <v>8</v>
      </c>
      <c r="F7513" t="s">
        <v>7518</v>
      </c>
      <c r="G7513">
        <v>2</v>
      </c>
    </row>
    <row r="7514" spans="1:7" x14ac:dyDescent="0.25">
      <c r="A7514">
        <v>27</v>
      </c>
      <c r="B7514" t="s">
        <v>7514</v>
      </c>
      <c r="C7514">
        <v>1982</v>
      </c>
      <c r="D7514" t="str">
        <f>"1550-1906"</f>
        <v>1550-1906</v>
      </c>
      <c r="E7514" t="s">
        <v>8</v>
      </c>
      <c r="F7514" t="s">
        <v>7519</v>
      </c>
      <c r="G7514">
        <v>2</v>
      </c>
    </row>
    <row r="7515" spans="1:7" x14ac:dyDescent="0.25">
      <c r="A7515">
        <v>27</v>
      </c>
      <c r="B7515" t="s">
        <v>7514</v>
      </c>
      <c r="C7515">
        <v>5000048</v>
      </c>
      <c r="E7515" t="s">
        <v>2100</v>
      </c>
      <c r="F7515" t="s">
        <v>7520</v>
      </c>
      <c r="G7515">
        <v>2</v>
      </c>
    </row>
    <row r="7516" spans="1:7" x14ac:dyDescent="0.25">
      <c r="A7516">
        <v>27</v>
      </c>
      <c r="B7516" t="s">
        <v>7514</v>
      </c>
      <c r="C7516">
        <v>5000224</v>
      </c>
      <c r="E7516" t="s">
        <v>2100</v>
      </c>
      <c r="F7516" t="s">
        <v>7521</v>
      </c>
      <c r="G7516">
        <v>2</v>
      </c>
    </row>
    <row r="7517" spans="1:7" x14ac:dyDescent="0.25">
      <c r="A7517">
        <v>27</v>
      </c>
      <c r="B7517" t="s">
        <v>7514</v>
      </c>
      <c r="C7517">
        <v>5000386</v>
      </c>
      <c r="E7517" t="s">
        <v>2100</v>
      </c>
      <c r="F7517" t="s">
        <v>7522</v>
      </c>
      <c r="G7517">
        <v>2</v>
      </c>
    </row>
    <row r="7518" spans="1:7" x14ac:dyDescent="0.25">
      <c r="A7518">
        <v>27</v>
      </c>
      <c r="B7518" t="s">
        <v>7514</v>
      </c>
      <c r="C7518">
        <v>144775</v>
      </c>
      <c r="D7518" t="str">
        <f>"1554-0669"</f>
        <v>1554-0669</v>
      </c>
      <c r="E7518" t="s">
        <v>8</v>
      </c>
      <c r="F7518" t="s">
        <v>7523</v>
      </c>
      <c r="G7518">
        <v>2</v>
      </c>
    </row>
    <row r="7519" spans="1:7" x14ac:dyDescent="0.25">
      <c r="A7519">
        <v>27</v>
      </c>
      <c r="B7519" t="s">
        <v>7514</v>
      </c>
      <c r="C7519">
        <v>15357</v>
      </c>
      <c r="D7519" t="str">
        <f>"0378-7206"</f>
        <v>0378-7206</v>
      </c>
      <c r="E7519" t="s">
        <v>8</v>
      </c>
      <c r="F7519" t="s">
        <v>7524</v>
      </c>
      <c r="G7519">
        <v>2</v>
      </c>
    </row>
    <row r="7520" spans="1:7" x14ac:dyDescent="0.25">
      <c r="A7520">
        <v>27</v>
      </c>
      <c r="B7520" t="s">
        <v>7514</v>
      </c>
      <c r="C7520">
        <v>15846</v>
      </c>
      <c r="D7520" t="str">
        <f>"0306-4573"</f>
        <v>0306-4573</v>
      </c>
      <c r="E7520" t="s">
        <v>8</v>
      </c>
      <c r="F7520" t="s">
        <v>7525</v>
      </c>
      <c r="G7520">
        <v>2</v>
      </c>
    </row>
    <row r="7521" spans="1:7" x14ac:dyDescent="0.25">
      <c r="A7521">
        <v>27</v>
      </c>
      <c r="B7521" t="s">
        <v>7514</v>
      </c>
      <c r="C7521">
        <v>14908</v>
      </c>
      <c r="D7521" t="str">
        <f>"1368-1613"</f>
        <v>1368-1613</v>
      </c>
      <c r="E7521" t="s">
        <v>8</v>
      </c>
      <c r="F7521" t="s">
        <v>7526</v>
      </c>
      <c r="G7521">
        <v>2</v>
      </c>
    </row>
    <row r="7522" spans="1:7" x14ac:dyDescent="0.25">
      <c r="A7522">
        <v>27</v>
      </c>
      <c r="B7522" t="s">
        <v>7514</v>
      </c>
      <c r="C7522">
        <v>6217</v>
      </c>
      <c r="D7522" t="str">
        <f>"1386-4564"</f>
        <v>1386-4564</v>
      </c>
      <c r="E7522" t="s">
        <v>8</v>
      </c>
      <c r="F7522" t="s">
        <v>7527</v>
      </c>
      <c r="G7522">
        <v>2</v>
      </c>
    </row>
    <row r="7523" spans="1:7" x14ac:dyDescent="0.25">
      <c r="A7523">
        <v>27</v>
      </c>
      <c r="B7523" t="s">
        <v>7514</v>
      </c>
      <c r="C7523">
        <v>5000584</v>
      </c>
      <c r="E7523" t="s">
        <v>2100</v>
      </c>
      <c r="F7523" t="s">
        <v>7528</v>
      </c>
      <c r="G7523">
        <v>2</v>
      </c>
    </row>
    <row r="7524" spans="1:7" x14ac:dyDescent="0.25">
      <c r="A7524">
        <v>27</v>
      </c>
      <c r="B7524" t="s">
        <v>7514</v>
      </c>
      <c r="C7524">
        <v>5010044</v>
      </c>
      <c r="E7524" t="s">
        <v>2100</v>
      </c>
      <c r="F7524" t="s">
        <v>7529</v>
      </c>
      <c r="G7524">
        <v>2</v>
      </c>
    </row>
    <row r="7525" spans="1:7" x14ac:dyDescent="0.25">
      <c r="A7525">
        <v>27</v>
      </c>
      <c r="B7525" t="s">
        <v>7514</v>
      </c>
      <c r="C7525">
        <v>2768</v>
      </c>
      <c r="D7525" t="str">
        <f>"0268-4012"</f>
        <v>0268-4012</v>
      </c>
      <c r="E7525" t="s">
        <v>8</v>
      </c>
      <c r="F7525" t="s">
        <v>7530</v>
      </c>
      <c r="G7525">
        <v>2</v>
      </c>
    </row>
    <row r="7526" spans="1:7" x14ac:dyDescent="0.25">
      <c r="A7526">
        <v>27</v>
      </c>
      <c r="B7526" t="s">
        <v>7514</v>
      </c>
      <c r="C7526">
        <v>5878</v>
      </c>
      <c r="D7526" t="str">
        <f>"1532-0464"</f>
        <v>1532-0464</v>
      </c>
      <c r="E7526" t="s">
        <v>8</v>
      </c>
      <c r="F7526" t="s">
        <v>7531</v>
      </c>
      <c r="G7526">
        <v>2</v>
      </c>
    </row>
    <row r="7527" spans="1:7" x14ac:dyDescent="0.25">
      <c r="A7527">
        <v>27</v>
      </c>
      <c r="B7527" t="s">
        <v>7514</v>
      </c>
      <c r="C7527">
        <v>207</v>
      </c>
      <c r="D7527" t="str">
        <f>"0022-0418"</f>
        <v>0022-0418</v>
      </c>
      <c r="E7527" t="s">
        <v>8</v>
      </c>
      <c r="F7527" t="s">
        <v>7532</v>
      </c>
      <c r="G7527">
        <v>2</v>
      </c>
    </row>
    <row r="7528" spans="1:7" x14ac:dyDescent="0.25">
      <c r="A7528">
        <v>27</v>
      </c>
      <c r="B7528" t="s">
        <v>7514</v>
      </c>
      <c r="C7528">
        <v>9041</v>
      </c>
      <c r="D7528" t="str">
        <f>"0165-5515"</f>
        <v>0165-5515</v>
      </c>
      <c r="E7528" t="s">
        <v>8</v>
      </c>
      <c r="F7528" t="s">
        <v>7533</v>
      </c>
      <c r="G7528">
        <v>2</v>
      </c>
    </row>
    <row r="7529" spans="1:7" x14ac:dyDescent="0.25">
      <c r="A7529">
        <v>27</v>
      </c>
      <c r="B7529" t="s">
        <v>7514</v>
      </c>
      <c r="C7529">
        <v>23283</v>
      </c>
      <c r="D7529" t="str">
        <f>"1751-1577"</f>
        <v>1751-1577</v>
      </c>
      <c r="E7529" t="s">
        <v>8</v>
      </c>
      <c r="F7529" t="s">
        <v>7534</v>
      </c>
      <c r="G7529">
        <v>2</v>
      </c>
    </row>
    <row r="7530" spans="1:7" x14ac:dyDescent="0.25">
      <c r="A7530">
        <v>27</v>
      </c>
      <c r="B7530" t="s">
        <v>7514</v>
      </c>
      <c r="C7530">
        <v>15765</v>
      </c>
      <c r="D7530" t="str">
        <f>"1367-3270"</f>
        <v>1367-3270</v>
      </c>
      <c r="E7530" t="s">
        <v>8</v>
      </c>
      <c r="F7530" t="s">
        <v>7535</v>
      </c>
      <c r="G7530">
        <v>2</v>
      </c>
    </row>
    <row r="7531" spans="1:7" x14ac:dyDescent="0.25">
      <c r="A7531">
        <v>27</v>
      </c>
      <c r="B7531" t="s">
        <v>7514</v>
      </c>
      <c r="C7531">
        <v>8749</v>
      </c>
      <c r="D7531" t="str">
        <f>"1059-8650"</f>
        <v>1059-8650</v>
      </c>
      <c r="E7531" t="s">
        <v>8</v>
      </c>
      <c r="F7531" t="s">
        <v>7536</v>
      </c>
      <c r="G7531">
        <v>2</v>
      </c>
    </row>
    <row r="7532" spans="1:7" x14ac:dyDescent="0.25">
      <c r="A7532">
        <v>27</v>
      </c>
      <c r="B7532" t="s">
        <v>7514</v>
      </c>
      <c r="C7532">
        <v>161</v>
      </c>
      <c r="D7532" t="str">
        <f>"1198-9742"</f>
        <v>1198-9742</v>
      </c>
      <c r="E7532" t="s">
        <v>8</v>
      </c>
      <c r="F7532" t="s">
        <v>7537</v>
      </c>
      <c r="G7532">
        <v>2</v>
      </c>
    </row>
    <row r="7533" spans="1:7" x14ac:dyDescent="0.25">
      <c r="A7533">
        <v>27</v>
      </c>
      <c r="B7533" t="s">
        <v>7514</v>
      </c>
      <c r="C7533">
        <v>224</v>
      </c>
      <c r="D7533" t="str">
        <f>"2330-1635"</f>
        <v>2330-1635</v>
      </c>
      <c r="E7533" t="s">
        <v>8</v>
      </c>
      <c r="F7533" t="s">
        <v>7538</v>
      </c>
      <c r="G7533">
        <v>2</v>
      </c>
    </row>
    <row r="7534" spans="1:7" x14ac:dyDescent="0.25">
      <c r="A7534">
        <v>27</v>
      </c>
      <c r="B7534" t="s">
        <v>7514</v>
      </c>
      <c r="C7534">
        <v>14152</v>
      </c>
      <c r="D7534" t="str">
        <f>"1536-5050"</f>
        <v>1536-5050</v>
      </c>
      <c r="E7534" t="s">
        <v>8</v>
      </c>
      <c r="F7534" t="s">
        <v>7539</v>
      </c>
      <c r="G7534">
        <v>2</v>
      </c>
    </row>
    <row r="7535" spans="1:7" x14ac:dyDescent="0.25">
      <c r="A7535">
        <v>27</v>
      </c>
      <c r="B7535" t="s">
        <v>7514</v>
      </c>
      <c r="C7535">
        <v>9691</v>
      </c>
      <c r="D7535" t="str">
        <f>"0943-7444"</f>
        <v>0943-7444</v>
      </c>
      <c r="E7535" t="s">
        <v>8</v>
      </c>
      <c r="F7535" t="s">
        <v>7540</v>
      </c>
      <c r="G7535">
        <v>2</v>
      </c>
    </row>
    <row r="7536" spans="1:7" x14ac:dyDescent="0.25">
      <c r="A7536">
        <v>27</v>
      </c>
      <c r="B7536" t="s">
        <v>7514</v>
      </c>
      <c r="C7536">
        <v>24774</v>
      </c>
      <c r="D7536" t="str">
        <f>"1758-3489"</f>
        <v>1758-3489</v>
      </c>
      <c r="E7536" t="s">
        <v>8</v>
      </c>
      <c r="F7536" t="s">
        <v>7541</v>
      </c>
      <c r="G7536">
        <v>2</v>
      </c>
    </row>
    <row r="7537" spans="1:7" x14ac:dyDescent="0.25">
      <c r="A7537">
        <v>27</v>
      </c>
      <c r="B7537" t="s">
        <v>7514</v>
      </c>
      <c r="C7537">
        <v>2187</v>
      </c>
      <c r="D7537" t="str">
        <f>"0740-8188"</f>
        <v>0740-8188</v>
      </c>
      <c r="E7537" t="s">
        <v>8</v>
      </c>
      <c r="F7537" t="s">
        <v>7542</v>
      </c>
      <c r="G7537">
        <v>2</v>
      </c>
    </row>
    <row r="7538" spans="1:7" x14ac:dyDescent="0.25">
      <c r="A7538">
        <v>27</v>
      </c>
      <c r="B7538" t="s">
        <v>7514</v>
      </c>
      <c r="C7538">
        <v>8466</v>
      </c>
      <c r="E7538" t="s">
        <v>8</v>
      </c>
      <c r="F7538" t="s">
        <v>7543</v>
      </c>
      <c r="G7538">
        <v>2</v>
      </c>
    </row>
    <row r="7539" spans="1:7" x14ac:dyDescent="0.25">
      <c r="A7539">
        <v>27</v>
      </c>
      <c r="B7539" t="s">
        <v>7514</v>
      </c>
      <c r="C7539">
        <v>14014</v>
      </c>
      <c r="D7539" t="str">
        <f>"0138-9130"</f>
        <v>0138-9130</v>
      </c>
      <c r="E7539" t="s">
        <v>8</v>
      </c>
      <c r="F7539" t="s">
        <v>7544</v>
      </c>
      <c r="G7539">
        <v>2</v>
      </c>
    </row>
    <row r="7540" spans="1:7" x14ac:dyDescent="0.25">
      <c r="A7540">
        <v>27</v>
      </c>
      <c r="B7540" t="s">
        <v>7514</v>
      </c>
      <c r="C7540">
        <v>8783006</v>
      </c>
      <c r="D7540" t="str">
        <f>"2055-5377"</f>
        <v>2055-5377</v>
      </c>
      <c r="E7540" t="s">
        <v>15</v>
      </c>
      <c r="F7540" t="s">
        <v>7545</v>
      </c>
      <c r="G7540">
        <v>2</v>
      </c>
    </row>
    <row r="7541" spans="1:7" x14ac:dyDescent="0.25">
      <c r="A7541">
        <v>27</v>
      </c>
      <c r="B7541" t="s">
        <v>7514</v>
      </c>
      <c r="C7541">
        <v>2592</v>
      </c>
      <c r="D7541" t="str">
        <f>"0024-2519"</f>
        <v>0024-2519</v>
      </c>
      <c r="E7541" t="s">
        <v>8</v>
      </c>
      <c r="F7541" t="s">
        <v>7546</v>
      </c>
      <c r="G7541">
        <v>2</v>
      </c>
    </row>
    <row r="7542" spans="1:7" x14ac:dyDescent="0.25">
      <c r="A7542">
        <v>27</v>
      </c>
      <c r="B7542" t="s">
        <v>7514</v>
      </c>
      <c r="C7542">
        <v>8782925</v>
      </c>
      <c r="D7542" t="str">
        <f>"2369-937X"</f>
        <v>2369-937X</v>
      </c>
      <c r="E7542" t="s">
        <v>8</v>
      </c>
      <c r="F7542" t="s">
        <v>7547</v>
      </c>
      <c r="G7542">
        <v>1</v>
      </c>
    </row>
    <row r="7543" spans="1:7" x14ac:dyDescent="0.25">
      <c r="A7543">
        <v>27</v>
      </c>
      <c r="B7543" t="s">
        <v>7514</v>
      </c>
      <c r="C7543">
        <v>8782908</v>
      </c>
      <c r="D7543" t="str">
        <f>"2331-7701"</f>
        <v>2331-7701</v>
      </c>
      <c r="E7543" t="s">
        <v>15</v>
      </c>
      <c r="F7543" t="s">
        <v>7548</v>
      </c>
      <c r="G7543">
        <v>1</v>
      </c>
    </row>
    <row r="7544" spans="1:7" x14ac:dyDescent="0.25">
      <c r="A7544">
        <v>27</v>
      </c>
      <c r="B7544" t="s">
        <v>7514</v>
      </c>
      <c r="C7544">
        <v>135910</v>
      </c>
      <c r="D7544" t="str">
        <f>"1575-2437"</f>
        <v>1575-2437</v>
      </c>
      <c r="E7544" t="s">
        <v>8</v>
      </c>
      <c r="F7544" t="s">
        <v>7549</v>
      </c>
      <c r="G7544">
        <v>1</v>
      </c>
    </row>
    <row r="7545" spans="1:7" x14ac:dyDescent="0.25">
      <c r="A7545">
        <v>27</v>
      </c>
      <c r="B7545" t="s">
        <v>7514</v>
      </c>
      <c r="C7545">
        <v>115173</v>
      </c>
      <c r="D7545" t="str">
        <f>"1067-4993"</f>
        <v>1067-4993</v>
      </c>
      <c r="E7545" t="s">
        <v>8</v>
      </c>
      <c r="F7545" t="s">
        <v>7550</v>
      </c>
      <c r="G7545">
        <v>1</v>
      </c>
    </row>
    <row r="7546" spans="1:7" x14ac:dyDescent="0.25">
      <c r="A7546">
        <v>27</v>
      </c>
      <c r="B7546" t="s">
        <v>7514</v>
      </c>
      <c r="C7546">
        <v>20113</v>
      </c>
      <c r="D7546" t="str">
        <f>"0318-6954"</f>
        <v>0318-6954</v>
      </c>
      <c r="E7546" t="s">
        <v>8</v>
      </c>
      <c r="F7546" t="s">
        <v>7551</v>
      </c>
      <c r="G7546">
        <v>1</v>
      </c>
    </row>
    <row r="7547" spans="1:7" x14ac:dyDescent="0.25">
      <c r="A7547">
        <v>27</v>
      </c>
      <c r="B7547" t="s">
        <v>7514</v>
      </c>
      <c r="C7547">
        <v>19006</v>
      </c>
      <c r="D7547" t="str">
        <f>"0157-6895"</f>
        <v>0157-6895</v>
      </c>
      <c r="E7547" t="s">
        <v>8</v>
      </c>
      <c r="F7547" t="s">
        <v>7552</v>
      </c>
      <c r="G7547">
        <v>1</v>
      </c>
    </row>
    <row r="7548" spans="1:7" x14ac:dyDescent="0.25">
      <c r="A7548">
        <v>27</v>
      </c>
      <c r="B7548" t="s">
        <v>7514</v>
      </c>
      <c r="C7548">
        <v>22520</v>
      </c>
      <c r="D7548" t="str">
        <f>"0307-4722"</f>
        <v>0307-4722</v>
      </c>
      <c r="E7548" t="s">
        <v>8</v>
      </c>
      <c r="F7548" t="s">
        <v>7553</v>
      </c>
      <c r="G7548">
        <v>1</v>
      </c>
    </row>
    <row r="7549" spans="1:7" x14ac:dyDescent="0.25">
      <c r="A7549">
        <v>27</v>
      </c>
      <c r="B7549" t="s">
        <v>7514</v>
      </c>
      <c r="C7549">
        <v>4503</v>
      </c>
      <c r="D7549" t="str">
        <f>"0004-8623"</f>
        <v>0004-8623</v>
      </c>
      <c r="E7549" t="s">
        <v>8</v>
      </c>
      <c r="F7549" t="s">
        <v>7554</v>
      </c>
      <c r="G7549">
        <v>1</v>
      </c>
    </row>
    <row r="7550" spans="1:7" x14ac:dyDescent="0.25">
      <c r="A7550">
        <v>27</v>
      </c>
      <c r="B7550" t="s">
        <v>7514</v>
      </c>
      <c r="C7550">
        <v>14870</v>
      </c>
      <c r="D7550" t="str">
        <f>"0163-9269"</f>
        <v>0163-9269</v>
      </c>
      <c r="E7550" t="s">
        <v>8</v>
      </c>
      <c r="F7550" t="s">
        <v>7555</v>
      </c>
      <c r="G7550">
        <v>1</v>
      </c>
    </row>
    <row r="7551" spans="1:7" x14ac:dyDescent="0.25">
      <c r="A7551">
        <v>27</v>
      </c>
      <c r="B7551" t="s">
        <v>7514</v>
      </c>
      <c r="C7551">
        <v>23419</v>
      </c>
      <c r="D7551" t="str">
        <f>"0341-4183"</f>
        <v>0341-4183</v>
      </c>
      <c r="E7551" t="s">
        <v>8</v>
      </c>
      <c r="F7551" t="s">
        <v>7556</v>
      </c>
      <c r="G7551">
        <v>1</v>
      </c>
    </row>
    <row r="7552" spans="1:7" x14ac:dyDescent="0.25">
      <c r="A7552">
        <v>27</v>
      </c>
      <c r="B7552" t="s">
        <v>7514</v>
      </c>
      <c r="C7552">
        <v>11524</v>
      </c>
      <c r="D7552" t="str">
        <f>"1575-5886"</f>
        <v>1575-5886</v>
      </c>
      <c r="E7552" t="s">
        <v>8</v>
      </c>
      <c r="F7552" t="s">
        <v>7557</v>
      </c>
      <c r="G7552">
        <v>1</v>
      </c>
    </row>
    <row r="7553" spans="1:7" x14ac:dyDescent="0.25">
      <c r="A7553">
        <v>27</v>
      </c>
      <c r="B7553" t="s">
        <v>7514</v>
      </c>
      <c r="C7553">
        <v>6255</v>
      </c>
      <c r="D7553" t="str">
        <f>"2054-9318"</f>
        <v>2054-9318</v>
      </c>
      <c r="E7553" t="s">
        <v>8</v>
      </c>
      <c r="F7553" t="s">
        <v>7558</v>
      </c>
      <c r="G7553">
        <v>1</v>
      </c>
    </row>
    <row r="7554" spans="1:7" x14ac:dyDescent="0.25">
      <c r="A7554">
        <v>27</v>
      </c>
      <c r="B7554" t="s">
        <v>7514</v>
      </c>
      <c r="C7554">
        <v>7597246</v>
      </c>
      <c r="D7554" t="str">
        <f>"1708-6701"</f>
        <v>1708-6701</v>
      </c>
      <c r="E7554" t="s">
        <v>8</v>
      </c>
      <c r="F7554" t="s">
        <v>7559</v>
      </c>
      <c r="G7554">
        <v>1</v>
      </c>
    </row>
    <row r="7555" spans="1:7" x14ac:dyDescent="0.25">
      <c r="A7555">
        <v>27</v>
      </c>
      <c r="B7555" t="s">
        <v>7514</v>
      </c>
      <c r="C7555">
        <v>4458</v>
      </c>
      <c r="D7555" t="str">
        <f>"1195-096X"</f>
        <v>1195-096X</v>
      </c>
      <c r="E7555" t="s">
        <v>8</v>
      </c>
      <c r="F7555" t="s">
        <v>7560</v>
      </c>
      <c r="G7555">
        <v>1</v>
      </c>
    </row>
    <row r="7556" spans="1:7" x14ac:dyDescent="0.25">
      <c r="A7556">
        <v>27</v>
      </c>
      <c r="B7556" t="s">
        <v>7514</v>
      </c>
      <c r="C7556">
        <v>6055270</v>
      </c>
      <c r="D7556" t="str">
        <f>"1713-5168"</f>
        <v>1713-5168</v>
      </c>
      <c r="E7556" t="s">
        <v>8</v>
      </c>
      <c r="F7556" t="s">
        <v>7561</v>
      </c>
      <c r="G7556">
        <v>1</v>
      </c>
    </row>
    <row r="7557" spans="1:7" x14ac:dyDescent="0.25">
      <c r="A7557">
        <v>27</v>
      </c>
      <c r="B7557" t="s">
        <v>7514</v>
      </c>
      <c r="C7557">
        <v>12604</v>
      </c>
      <c r="D7557" t="str">
        <f>"0163-9374"</f>
        <v>0163-9374</v>
      </c>
      <c r="E7557" t="s">
        <v>8</v>
      </c>
      <c r="F7557" t="s">
        <v>7562</v>
      </c>
      <c r="G7557">
        <v>1</v>
      </c>
    </row>
    <row r="7558" spans="1:7" x14ac:dyDescent="0.25">
      <c r="A7558">
        <v>27</v>
      </c>
      <c r="B7558" t="s">
        <v>7514</v>
      </c>
      <c r="C7558">
        <v>14881</v>
      </c>
      <c r="E7558" t="s">
        <v>8</v>
      </c>
      <c r="F7558" t="s">
        <v>7563</v>
      </c>
      <c r="G7558">
        <v>1</v>
      </c>
    </row>
    <row r="7559" spans="1:7" x14ac:dyDescent="0.25">
      <c r="A7559">
        <v>27</v>
      </c>
      <c r="B7559" t="s">
        <v>7514</v>
      </c>
      <c r="C7559">
        <v>27600</v>
      </c>
      <c r="D7559" t="str">
        <f>"1542-9806"</f>
        <v>1542-9806</v>
      </c>
      <c r="E7559" t="s">
        <v>8</v>
      </c>
      <c r="F7559" t="s">
        <v>7564</v>
      </c>
      <c r="G7559">
        <v>1</v>
      </c>
    </row>
    <row r="7560" spans="1:7" x14ac:dyDescent="0.25">
      <c r="A7560">
        <v>27</v>
      </c>
      <c r="B7560" t="s">
        <v>7514</v>
      </c>
      <c r="C7560">
        <v>8284</v>
      </c>
      <c r="D7560" t="str">
        <f>"1089-4667"</f>
        <v>1089-4667</v>
      </c>
      <c r="E7560" t="s">
        <v>8</v>
      </c>
      <c r="F7560" t="s">
        <v>7565</v>
      </c>
      <c r="G7560">
        <v>1</v>
      </c>
    </row>
    <row r="7561" spans="1:7" x14ac:dyDescent="0.25">
      <c r="A7561">
        <v>27</v>
      </c>
      <c r="B7561" t="s">
        <v>7514</v>
      </c>
      <c r="C7561">
        <v>6067216</v>
      </c>
      <c r="D7561" t="str">
        <f>"1943-7528"</f>
        <v>1943-7528</v>
      </c>
      <c r="E7561" t="s">
        <v>8</v>
      </c>
      <c r="F7561" t="s">
        <v>7566</v>
      </c>
      <c r="G7561">
        <v>1</v>
      </c>
    </row>
    <row r="7562" spans="1:7" x14ac:dyDescent="0.25">
      <c r="A7562">
        <v>27</v>
      </c>
      <c r="B7562" t="s">
        <v>7514</v>
      </c>
      <c r="C7562">
        <v>19646</v>
      </c>
      <c r="E7562" t="s">
        <v>8</v>
      </c>
      <c r="F7562" t="s">
        <v>7567</v>
      </c>
      <c r="G7562">
        <v>1</v>
      </c>
    </row>
    <row r="7563" spans="1:7" x14ac:dyDescent="0.25">
      <c r="A7563">
        <v>27</v>
      </c>
      <c r="B7563" t="s">
        <v>7514</v>
      </c>
      <c r="C7563">
        <v>20677</v>
      </c>
      <c r="D7563" t="str">
        <f>"0146-2679"</f>
        <v>0146-2679</v>
      </c>
      <c r="E7563" t="s">
        <v>8</v>
      </c>
      <c r="F7563" t="s">
        <v>7568</v>
      </c>
      <c r="G7563">
        <v>1</v>
      </c>
    </row>
    <row r="7564" spans="1:7" x14ac:dyDescent="0.25">
      <c r="A7564">
        <v>27</v>
      </c>
      <c r="B7564" t="s">
        <v>7514</v>
      </c>
      <c r="C7564">
        <v>15859</v>
      </c>
      <c r="D7564" t="str">
        <f>"0010-0870"</f>
        <v>0010-0870</v>
      </c>
      <c r="E7564" t="s">
        <v>8</v>
      </c>
      <c r="F7564" t="s">
        <v>7569</v>
      </c>
      <c r="G7564">
        <v>1</v>
      </c>
    </row>
    <row r="7565" spans="1:7" x14ac:dyDescent="0.25">
      <c r="A7565">
        <v>27</v>
      </c>
      <c r="B7565" t="s">
        <v>7514</v>
      </c>
      <c r="C7565">
        <v>14952</v>
      </c>
      <c r="D7565" t="str">
        <f>"0099-0086"</f>
        <v>0099-0086</v>
      </c>
      <c r="E7565" t="s">
        <v>8</v>
      </c>
      <c r="F7565" t="s">
        <v>7570</v>
      </c>
      <c r="G7565">
        <v>1</v>
      </c>
    </row>
    <row r="7566" spans="1:7" x14ac:dyDescent="0.25">
      <c r="A7566">
        <v>27</v>
      </c>
      <c r="B7566" t="s">
        <v>7514</v>
      </c>
      <c r="C7566">
        <v>20885</v>
      </c>
      <c r="D7566" t="str">
        <f>"1069-1316"</f>
        <v>1069-1316</v>
      </c>
      <c r="E7566" t="s">
        <v>8</v>
      </c>
      <c r="F7566" t="s">
        <v>7571</v>
      </c>
      <c r="G7566">
        <v>1</v>
      </c>
    </row>
    <row r="7567" spans="1:7" x14ac:dyDescent="0.25">
      <c r="A7567">
        <v>27</v>
      </c>
      <c r="B7567" t="s">
        <v>7514</v>
      </c>
      <c r="C7567">
        <v>74854</v>
      </c>
      <c r="D7567" t="str">
        <f>"1933-5954"</f>
        <v>1933-5954</v>
      </c>
      <c r="E7567" t="s">
        <v>8</v>
      </c>
      <c r="F7567" t="s">
        <v>7572</v>
      </c>
      <c r="G7567">
        <v>1</v>
      </c>
    </row>
    <row r="7568" spans="1:7" x14ac:dyDescent="0.25">
      <c r="A7568">
        <v>27</v>
      </c>
      <c r="B7568" t="s">
        <v>7514</v>
      </c>
      <c r="C7568">
        <v>2367</v>
      </c>
      <c r="D7568" t="str">
        <f>"1543-5970"</f>
        <v>1543-5970</v>
      </c>
      <c r="E7568" t="s">
        <v>8</v>
      </c>
      <c r="F7568" t="s">
        <v>7573</v>
      </c>
      <c r="G7568">
        <v>1</v>
      </c>
    </row>
    <row r="7569" spans="1:7" x14ac:dyDescent="0.25">
      <c r="A7569">
        <v>27</v>
      </c>
      <c r="B7569" t="s">
        <v>7514</v>
      </c>
      <c r="C7569">
        <v>22411</v>
      </c>
      <c r="D7569" t="str">
        <f>"0276-3915"</f>
        <v>0276-3915</v>
      </c>
      <c r="E7569" t="s">
        <v>8</v>
      </c>
      <c r="F7569" t="s">
        <v>7574</v>
      </c>
      <c r="G7569">
        <v>1</v>
      </c>
    </row>
    <row r="7570" spans="1:7" x14ac:dyDescent="0.25">
      <c r="A7570">
        <v>27</v>
      </c>
      <c r="B7570" t="s">
        <v>7514</v>
      </c>
      <c r="C7570">
        <v>5010048</v>
      </c>
      <c r="E7570" t="s">
        <v>2100</v>
      </c>
      <c r="F7570" t="s">
        <v>7575</v>
      </c>
      <c r="G7570">
        <v>1</v>
      </c>
    </row>
    <row r="7571" spans="1:7" x14ac:dyDescent="0.25">
      <c r="A7571">
        <v>27</v>
      </c>
      <c r="B7571" t="s">
        <v>7514</v>
      </c>
      <c r="C7571">
        <v>8782785</v>
      </c>
      <c r="E7571" t="s">
        <v>8</v>
      </c>
      <c r="F7571" t="s">
        <v>7576</v>
      </c>
      <c r="G7571">
        <v>1</v>
      </c>
    </row>
    <row r="7572" spans="1:7" x14ac:dyDescent="0.25">
      <c r="A7572">
        <v>27</v>
      </c>
      <c r="B7572" t="s">
        <v>7514</v>
      </c>
      <c r="C7572">
        <v>1374</v>
      </c>
      <c r="D7572" t="str">
        <f>"2059-5816"</f>
        <v>2059-5816</v>
      </c>
      <c r="E7572" t="s">
        <v>8</v>
      </c>
      <c r="F7572" t="s">
        <v>7577</v>
      </c>
      <c r="G7572">
        <v>1</v>
      </c>
    </row>
    <row r="7573" spans="1:7" x14ac:dyDescent="0.25">
      <c r="A7573">
        <v>27</v>
      </c>
      <c r="B7573" t="s">
        <v>7514</v>
      </c>
      <c r="C7573">
        <v>3230</v>
      </c>
      <c r="E7573" t="s">
        <v>8</v>
      </c>
      <c r="F7573" t="s">
        <v>7578</v>
      </c>
      <c r="G7573">
        <v>1</v>
      </c>
    </row>
    <row r="7574" spans="1:7" x14ac:dyDescent="0.25">
      <c r="A7574">
        <v>27</v>
      </c>
      <c r="B7574" t="s">
        <v>7514</v>
      </c>
      <c r="C7574">
        <v>779</v>
      </c>
      <c r="D7574" t="str">
        <f>"1279-5127"</f>
        <v>1279-5127</v>
      </c>
      <c r="E7574" t="s">
        <v>8</v>
      </c>
      <c r="F7574" t="s">
        <v>7579</v>
      </c>
      <c r="G7574">
        <v>1</v>
      </c>
    </row>
    <row r="7575" spans="1:7" x14ac:dyDescent="0.25">
      <c r="A7575">
        <v>27</v>
      </c>
      <c r="B7575" t="s">
        <v>7514</v>
      </c>
      <c r="C7575">
        <v>722</v>
      </c>
      <c r="E7575" t="s">
        <v>8</v>
      </c>
      <c r="F7575" t="s">
        <v>7580</v>
      </c>
      <c r="G7575">
        <v>1</v>
      </c>
    </row>
    <row r="7576" spans="1:7" x14ac:dyDescent="0.25">
      <c r="A7576">
        <v>27</v>
      </c>
      <c r="B7576" t="s">
        <v>7514</v>
      </c>
      <c r="C7576">
        <v>411</v>
      </c>
      <c r="D7576" t="str">
        <f>"1525-2531"</f>
        <v>1525-2531</v>
      </c>
      <c r="E7576" t="s">
        <v>8</v>
      </c>
      <c r="F7576" t="s">
        <v>7581</v>
      </c>
      <c r="G7576">
        <v>1</v>
      </c>
    </row>
    <row r="7577" spans="1:7" x14ac:dyDescent="0.25">
      <c r="A7577">
        <v>27</v>
      </c>
      <c r="B7577" t="s">
        <v>7514</v>
      </c>
      <c r="C7577">
        <v>8830</v>
      </c>
      <c r="D7577" t="str">
        <f>"0167-8329"</f>
        <v>0167-8329</v>
      </c>
      <c r="E7577" t="s">
        <v>8</v>
      </c>
      <c r="F7577" t="s">
        <v>7582</v>
      </c>
      <c r="G7577">
        <v>1</v>
      </c>
    </row>
    <row r="7578" spans="1:7" x14ac:dyDescent="0.25">
      <c r="A7578">
        <v>27</v>
      </c>
      <c r="B7578" t="s">
        <v>7514</v>
      </c>
      <c r="C7578">
        <v>83384</v>
      </c>
      <c r="E7578" t="s">
        <v>8</v>
      </c>
      <c r="F7578" t="s">
        <v>7583</v>
      </c>
      <c r="G7578">
        <v>1</v>
      </c>
    </row>
    <row r="7579" spans="1:7" x14ac:dyDescent="0.25">
      <c r="A7579">
        <v>27</v>
      </c>
      <c r="B7579" t="s">
        <v>7514</v>
      </c>
      <c r="C7579">
        <v>7690515</v>
      </c>
      <c r="E7579" t="s">
        <v>8</v>
      </c>
      <c r="F7579" t="s">
        <v>7584</v>
      </c>
      <c r="G7579">
        <v>1</v>
      </c>
    </row>
    <row r="7580" spans="1:7" x14ac:dyDescent="0.25">
      <c r="A7580">
        <v>27</v>
      </c>
      <c r="B7580" t="s">
        <v>7514</v>
      </c>
      <c r="C7580">
        <v>7374</v>
      </c>
      <c r="D7580" t="str">
        <f>"1865-066X"</f>
        <v>1865-066X</v>
      </c>
      <c r="E7580" t="s">
        <v>8</v>
      </c>
      <c r="F7580" t="s">
        <v>7585</v>
      </c>
      <c r="G7580">
        <v>1</v>
      </c>
    </row>
    <row r="7581" spans="1:7" x14ac:dyDescent="0.25">
      <c r="A7581">
        <v>27</v>
      </c>
      <c r="B7581" t="s">
        <v>7514</v>
      </c>
      <c r="C7581">
        <v>12507</v>
      </c>
      <c r="D7581" t="str">
        <f>"1471-1834"</f>
        <v>1471-1834</v>
      </c>
      <c r="E7581" t="s">
        <v>8</v>
      </c>
      <c r="F7581" t="s">
        <v>7586</v>
      </c>
      <c r="G7581">
        <v>1</v>
      </c>
    </row>
    <row r="7582" spans="1:7" x14ac:dyDescent="0.25">
      <c r="A7582">
        <v>27</v>
      </c>
      <c r="B7582" t="s">
        <v>7514</v>
      </c>
      <c r="C7582">
        <v>109482</v>
      </c>
      <c r="D7582" t="str">
        <f>"0739-1137"</f>
        <v>0739-1137</v>
      </c>
      <c r="E7582" t="s">
        <v>8</v>
      </c>
      <c r="F7582" t="s">
        <v>7587</v>
      </c>
      <c r="G7582">
        <v>1</v>
      </c>
    </row>
    <row r="7583" spans="1:7" x14ac:dyDescent="0.25">
      <c r="A7583">
        <v>27</v>
      </c>
      <c r="B7583" t="s">
        <v>7514</v>
      </c>
      <c r="C7583">
        <v>3931</v>
      </c>
      <c r="D7583" t="str">
        <f>"0361-1434"</f>
        <v>0361-1434</v>
      </c>
      <c r="E7583" t="s">
        <v>8</v>
      </c>
      <c r="F7583" t="s">
        <v>7588</v>
      </c>
      <c r="G7583">
        <v>1</v>
      </c>
    </row>
    <row r="7584" spans="1:7" x14ac:dyDescent="0.25">
      <c r="A7584">
        <v>27</v>
      </c>
      <c r="B7584" t="s">
        <v>7514</v>
      </c>
      <c r="C7584">
        <v>17004</v>
      </c>
      <c r="D7584" t="str">
        <f>"0340-0352"</f>
        <v>0340-0352</v>
      </c>
      <c r="E7584" t="s">
        <v>8</v>
      </c>
      <c r="F7584" t="s">
        <v>7589</v>
      </c>
      <c r="G7584">
        <v>1</v>
      </c>
    </row>
    <row r="7585" spans="1:7" x14ac:dyDescent="0.25">
      <c r="A7585">
        <v>27</v>
      </c>
      <c r="B7585" t="s">
        <v>7514</v>
      </c>
      <c r="C7585">
        <v>7672658</v>
      </c>
      <c r="E7585" t="s">
        <v>8</v>
      </c>
      <c r="F7585" t="s">
        <v>7590</v>
      </c>
      <c r="G7585">
        <v>1</v>
      </c>
    </row>
    <row r="7586" spans="1:7" x14ac:dyDescent="0.25">
      <c r="A7586">
        <v>27</v>
      </c>
      <c r="B7586" t="s">
        <v>7514</v>
      </c>
      <c r="C7586">
        <v>152153</v>
      </c>
      <c r="D7586" t="str">
        <f>"1753-8157"</f>
        <v>1753-8157</v>
      </c>
      <c r="E7586" t="s">
        <v>8</v>
      </c>
      <c r="F7586" t="s">
        <v>7591</v>
      </c>
      <c r="G7586">
        <v>1</v>
      </c>
    </row>
    <row r="7587" spans="1:7" x14ac:dyDescent="0.25">
      <c r="A7587">
        <v>27</v>
      </c>
      <c r="B7587" t="s">
        <v>7514</v>
      </c>
      <c r="C7587">
        <v>7699618</v>
      </c>
      <c r="D7587" t="str">
        <f>"2078-2489"</f>
        <v>2078-2489</v>
      </c>
      <c r="E7587" t="s">
        <v>8</v>
      </c>
      <c r="F7587" t="s">
        <v>7592</v>
      </c>
      <c r="G7587">
        <v>1</v>
      </c>
    </row>
    <row r="7588" spans="1:7" x14ac:dyDescent="0.25">
      <c r="A7588">
        <v>27</v>
      </c>
      <c r="B7588" t="s">
        <v>7514</v>
      </c>
      <c r="C7588">
        <v>16161</v>
      </c>
      <c r="D7588" t="str">
        <f>"1434-4653"</f>
        <v>1434-4653</v>
      </c>
      <c r="E7588" t="s">
        <v>8</v>
      </c>
      <c r="F7588" t="s">
        <v>7593</v>
      </c>
      <c r="G7588">
        <v>1</v>
      </c>
    </row>
    <row r="7589" spans="1:7" x14ac:dyDescent="0.25">
      <c r="A7589">
        <v>27</v>
      </c>
      <c r="B7589" t="s">
        <v>7514</v>
      </c>
      <c r="C7589">
        <v>17418</v>
      </c>
      <c r="D7589" t="str">
        <f>"2164-8034"</f>
        <v>2164-8034</v>
      </c>
      <c r="E7589" t="s">
        <v>8</v>
      </c>
      <c r="F7589" t="s">
        <v>7594</v>
      </c>
      <c r="G7589">
        <v>1</v>
      </c>
    </row>
    <row r="7590" spans="1:7" x14ac:dyDescent="0.25">
      <c r="A7590">
        <v>27</v>
      </c>
      <c r="B7590" t="s">
        <v>7514</v>
      </c>
      <c r="C7590">
        <v>2301</v>
      </c>
      <c r="D7590" t="str">
        <f>"0894-8631"</f>
        <v>0894-8631</v>
      </c>
      <c r="E7590" t="s">
        <v>8</v>
      </c>
      <c r="F7590" t="s">
        <v>7594</v>
      </c>
      <c r="G7590">
        <v>1</v>
      </c>
    </row>
    <row r="7591" spans="1:7" x14ac:dyDescent="0.25">
      <c r="A7591">
        <v>27</v>
      </c>
      <c r="B7591" t="s">
        <v>7514</v>
      </c>
      <c r="C7591">
        <v>8782675</v>
      </c>
      <c r="D7591" t="str">
        <f>"2398-5348"</f>
        <v>2398-5348</v>
      </c>
      <c r="E7591" t="s">
        <v>8</v>
      </c>
      <c r="F7591" t="s">
        <v>7595</v>
      </c>
      <c r="G7591">
        <v>1</v>
      </c>
    </row>
    <row r="7592" spans="1:7" x14ac:dyDescent="0.25">
      <c r="A7592">
        <v>27</v>
      </c>
      <c r="B7592" t="s">
        <v>7514</v>
      </c>
      <c r="C7592">
        <v>3731</v>
      </c>
      <c r="D7592" t="str">
        <f>"0266-6669"</f>
        <v>0266-6669</v>
      </c>
      <c r="E7592" t="s">
        <v>8</v>
      </c>
      <c r="F7592" t="s">
        <v>7596</v>
      </c>
      <c r="G7592">
        <v>1</v>
      </c>
    </row>
    <row r="7593" spans="1:7" x14ac:dyDescent="0.25">
      <c r="A7593">
        <v>27</v>
      </c>
      <c r="B7593" t="s">
        <v>7514</v>
      </c>
      <c r="C7593">
        <v>16726</v>
      </c>
      <c r="D7593" t="str">
        <f>"1566-2535"</f>
        <v>1566-2535</v>
      </c>
      <c r="E7593" t="s">
        <v>8</v>
      </c>
      <c r="F7593" t="s">
        <v>7597</v>
      </c>
      <c r="G7593">
        <v>1</v>
      </c>
    </row>
    <row r="7594" spans="1:7" x14ac:dyDescent="0.25">
      <c r="A7594">
        <v>27</v>
      </c>
      <c r="B7594" t="s">
        <v>7514</v>
      </c>
      <c r="C7594">
        <v>5010051</v>
      </c>
      <c r="E7594" t="s">
        <v>2100</v>
      </c>
      <c r="F7594" t="s">
        <v>7598</v>
      </c>
      <c r="G7594">
        <v>1</v>
      </c>
    </row>
    <row r="7595" spans="1:7" x14ac:dyDescent="0.25">
      <c r="A7595">
        <v>27</v>
      </c>
      <c r="B7595" t="s">
        <v>7514</v>
      </c>
      <c r="C7595">
        <v>24806</v>
      </c>
      <c r="D7595" t="str">
        <f>"0167-5265"</f>
        <v>0167-5265</v>
      </c>
      <c r="E7595" t="s">
        <v>8</v>
      </c>
      <c r="F7595" t="s">
        <v>7599</v>
      </c>
      <c r="G7595">
        <v>1</v>
      </c>
    </row>
    <row r="7596" spans="1:7" x14ac:dyDescent="0.25">
      <c r="A7596">
        <v>27</v>
      </c>
      <c r="B7596" t="s">
        <v>7514</v>
      </c>
      <c r="C7596">
        <v>11502</v>
      </c>
      <c r="D7596" t="str">
        <f>"0730-9295"</f>
        <v>0730-9295</v>
      </c>
      <c r="E7596" t="s">
        <v>8</v>
      </c>
      <c r="F7596" t="s">
        <v>7600</v>
      </c>
      <c r="G7596">
        <v>1</v>
      </c>
    </row>
    <row r="7597" spans="1:7" x14ac:dyDescent="0.25">
      <c r="A7597">
        <v>27</v>
      </c>
      <c r="B7597" t="s">
        <v>7514</v>
      </c>
      <c r="C7597">
        <v>3545</v>
      </c>
      <c r="D7597" t="str">
        <f>"1310-0513"</f>
        <v>1310-0513</v>
      </c>
      <c r="E7597" t="s">
        <v>8</v>
      </c>
      <c r="F7597" t="s">
        <v>7601</v>
      </c>
      <c r="G7597">
        <v>1</v>
      </c>
    </row>
    <row r="7598" spans="1:7" x14ac:dyDescent="0.25">
      <c r="A7598">
        <v>27</v>
      </c>
      <c r="B7598" t="s">
        <v>7514</v>
      </c>
      <c r="C7598">
        <v>2771</v>
      </c>
      <c r="D7598" t="str">
        <f>"1547-9684"</f>
        <v>1547-9684</v>
      </c>
      <c r="E7598" t="s">
        <v>8</v>
      </c>
      <c r="F7598" t="s">
        <v>7602</v>
      </c>
      <c r="G7598">
        <v>1</v>
      </c>
    </row>
    <row r="7599" spans="1:7" x14ac:dyDescent="0.25">
      <c r="A7599">
        <v>27</v>
      </c>
      <c r="B7599" t="s">
        <v>7514</v>
      </c>
      <c r="C7599">
        <v>65736</v>
      </c>
      <c r="E7599" t="s">
        <v>8</v>
      </c>
      <c r="F7599" t="s">
        <v>7603</v>
      </c>
      <c r="G7599">
        <v>1</v>
      </c>
    </row>
    <row r="7600" spans="1:7" x14ac:dyDescent="0.25">
      <c r="A7600">
        <v>27</v>
      </c>
      <c r="B7600" t="s">
        <v>7514</v>
      </c>
      <c r="C7600">
        <v>3052</v>
      </c>
      <c r="D7600" t="str">
        <f>"0264-1615"</f>
        <v>0264-1615</v>
      </c>
      <c r="E7600" t="s">
        <v>8</v>
      </c>
      <c r="F7600" t="s">
        <v>7604</v>
      </c>
      <c r="G7600">
        <v>1</v>
      </c>
    </row>
    <row r="7601" spans="1:7" x14ac:dyDescent="0.25">
      <c r="A7601">
        <v>27</v>
      </c>
      <c r="B7601" t="s">
        <v>7514</v>
      </c>
      <c r="C7601">
        <v>5010046</v>
      </c>
      <c r="E7601" t="s">
        <v>2100</v>
      </c>
      <c r="F7601" t="s">
        <v>7605</v>
      </c>
      <c r="G7601">
        <v>1</v>
      </c>
    </row>
    <row r="7602" spans="1:7" x14ac:dyDescent="0.25">
      <c r="A7602">
        <v>27</v>
      </c>
      <c r="B7602" t="s">
        <v>7514</v>
      </c>
      <c r="C7602">
        <v>4542</v>
      </c>
      <c r="D7602" t="str">
        <f>"1057-2317"</f>
        <v>1057-2317</v>
      </c>
      <c r="E7602" t="s">
        <v>8</v>
      </c>
      <c r="F7602" t="s">
        <v>7606</v>
      </c>
      <c r="G7602">
        <v>1</v>
      </c>
    </row>
    <row r="7603" spans="1:7" x14ac:dyDescent="0.25">
      <c r="A7603">
        <v>27</v>
      </c>
      <c r="B7603" t="s">
        <v>7514</v>
      </c>
      <c r="C7603">
        <v>8783383</v>
      </c>
      <c r="E7603" t="s">
        <v>2100</v>
      </c>
      <c r="F7603" t="s">
        <v>7607</v>
      </c>
      <c r="G7603">
        <v>1</v>
      </c>
    </row>
    <row r="7604" spans="1:7" x14ac:dyDescent="0.25">
      <c r="A7604">
        <v>27</v>
      </c>
      <c r="B7604" t="s">
        <v>7514</v>
      </c>
      <c r="C7604">
        <v>6157563</v>
      </c>
      <c r="D7604" t="str">
        <f>"1937-9633"</f>
        <v>1937-9633</v>
      </c>
      <c r="E7604" t="s">
        <v>8</v>
      </c>
      <c r="F7604" t="s">
        <v>7608</v>
      </c>
      <c r="G7604">
        <v>1</v>
      </c>
    </row>
    <row r="7605" spans="1:7" x14ac:dyDescent="0.25">
      <c r="A7605">
        <v>27</v>
      </c>
      <c r="B7605" t="s">
        <v>7514</v>
      </c>
      <c r="C7605">
        <v>6588</v>
      </c>
      <c r="D7605" t="str">
        <f>"1086-4415"</f>
        <v>1086-4415</v>
      </c>
      <c r="E7605" t="s">
        <v>8</v>
      </c>
      <c r="F7605" t="s">
        <v>7609</v>
      </c>
      <c r="G7605">
        <v>1</v>
      </c>
    </row>
    <row r="7606" spans="1:7" x14ac:dyDescent="0.25">
      <c r="A7606">
        <v>27</v>
      </c>
      <c r="B7606" t="s">
        <v>7514</v>
      </c>
      <c r="C7606">
        <v>39706</v>
      </c>
      <c r="D7606" t="str">
        <f>"1935-5661"</f>
        <v>1935-5661</v>
      </c>
      <c r="E7606" t="s">
        <v>8</v>
      </c>
      <c r="F7606" t="s">
        <v>7610</v>
      </c>
      <c r="G7606">
        <v>1</v>
      </c>
    </row>
    <row r="7607" spans="1:7" x14ac:dyDescent="0.25">
      <c r="A7607">
        <v>27</v>
      </c>
      <c r="B7607" t="s">
        <v>7514</v>
      </c>
      <c r="C7607">
        <v>6396</v>
      </c>
      <c r="D7607" t="str">
        <f>"0731-1265"</f>
        <v>0731-1265</v>
      </c>
      <c r="E7607" t="s">
        <v>8</v>
      </c>
      <c r="F7607" t="s">
        <v>7611</v>
      </c>
      <c r="G7607">
        <v>1</v>
      </c>
    </row>
    <row r="7608" spans="1:7" x14ac:dyDescent="0.25">
      <c r="A7608">
        <v>27</v>
      </c>
      <c r="B7608" t="s">
        <v>7514</v>
      </c>
      <c r="C7608">
        <v>8782929</v>
      </c>
      <c r="E7608" t="s">
        <v>8</v>
      </c>
      <c r="F7608" t="s">
        <v>7612</v>
      </c>
      <c r="G7608">
        <v>1</v>
      </c>
    </row>
    <row r="7609" spans="1:7" x14ac:dyDescent="0.25">
      <c r="A7609">
        <v>27</v>
      </c>
      <c r="B7609" t="s">
        <v>7514</v>
      </c>
      <c r="C7609">
        <v>7744826</v>
      </c>
      <c r="D7609" t="str">
        <f>"2231-1300"</f>
        <v>2231-1300</v>
      </c>
      <c r="E7609" t="s">
        <v>8</v>
      </c>
      <c r="F7609" t="s">
        <v>7613</v>
      </c>
      <c r="G7609">
        <v>1</v>
      </c>
    </row>
    <row r="7610" spans="1:7" x14ac:dyDescent="0.25">
      <c r="A7610">
        <v>27</v>
      </c>
      <c r="B7610" t="s">
        <v>7514</v>
      </c>
      <c r="C7610">
        <v>23774</v>
      </c>
      <c r="D7610" t="str">
        <f>"1793-351X"</f>
        <v>1793-351X</v>
      </c>
      <c r="E7610" t="s">
        <v>8</v>
      </c>
      <c r="F7610" t="s">
        <v>7614</v>
      </c>
      <c r="G7610">
        <v>1</v>
      </c>
    </row>
    <row r="7611" spans="1:7" x14ac:dyDescent="0.25">
      <c r="A7611">
        <v>27</v>
      </c>
      <c r="B7611" t="s">
        <v>7514</v>
      </c>
      <c r="C7611">
        <v>6158815</v>
      </c>
      <c r="D7611" t="str">
        <f>"1938-0194"</f>
        <v>1938-0194</v>
      </c>
      <c r="E7611" t="s">
        <v>8</v>
      </c>
      <c r="F7611" t="s">
        <v>7615</v>
      </c>
      <c r="G7611">
        <v>1</v>
      </c>
    </row>
    <row r="7612" spans="1:7" x14ac:dyDescent="0.25">
      <c r="A7612">
        <v>27</v>
      </c>
      <c r="B7612" t="s">
        <v>7514</v>
      </c>
      <c r="C7612">
        <v>4600</v>
      </c>
      <c r="D7612" t="str">
        <f>"1432-5012"</f>
        <v>1432-5012</v>
      </c>
      <c r="E7612" t="s">
        <v>8</v>
      </c>
      <c r="F7612" t="s">
        <v>7616</v>
      </c>
      <c r="G7612">
        <v>1</v>
      </c>
    </row>
    <row r="7613" spans="1:7" x14ac:dyDescent="0.25">
      <c r="A7613">
        <v>27</v>
      </c>
      <c r="B7613" t="s">
        <v>7514</v>
      </c>
      <c r="C7613">
        <v>5181</v>
      </c>
      <c r="D7613" t="str">
        <f>"1433-2833"</f>
        <v>1433-2833</v>
      </c>
      <c r="E7613" t="s">
        <v>8</v>
      </c>
      <c r="F7613" t="s">
        <v>7617</v>
      </c>
      <c r="G7613">
        <v>1</v>
      </c>
    </row>
    <row r="7614" spans="1:7" x14ac:dyDescent="0.25">
      <c r="A7614">
        <v>27</v>
      </c>
      <c r="B7614" t="s">
        <v>7514</v>
      </c>
      <c r="C7614">
        <v>5010042</v>
      </c>
      <c r="E7614" t="s">
        <v>2100</v>
      </c>
      <c r="F7614" t="s">
        <v>7618</v>
      </c>
      <c r="G7614">
        <v>1</v>
      </c>
    </row>
    <row r="7615" spans="1:7" x14ac:dyDescent="0.25">
      <c r="A7615">
        <v>27</v>
      </c>
      <c r="B7615" t="s">
        <v>7514</v>
      </c>
      <c r="C7615">
        <v>5010976</v>
      </c>
      <c r="E7615" t="s">
        <v>2100</v>
      </c>
      <c r="F7615" t="s">
        <v>7619</v>
      </c>
      <c r="G7615">
        <v>1</v>
      </c>
    </row>
    <row r="7616" spans="1:7" x14ac:dyDescent="0.25">
      <c r="A7616">
        <v>27</v>
      </c>
      <c r="B7616" t="s">
        <v>7514</v>
      </c>
      <c r="C7616">
        <v>5010049</v>
      </c>
      <c r="E7616" t="s">
        <v>2100</v>
      </c>
      <c r="F7616" t="s">
        <v>7620</v>
      </c>
      <c r="G7616">
        <v>1</v>
      </c>
    </row>
    <row r="7617" spans="1:7" x14ac:dyDescent="0.25">
      <c r="A7617">
        <v>27</v>
      </c>
      <c r="B7617" t="s">
        <v>7514</v>
      </c>
      <c r="C7617">
        <v>5010047</v>
      </c>
      <c r="E7617" t="s">
        <v>2100</v>
      </c>
      <c r="F7617" t="s">
        <v>7621</v>
      </c>
      <c r="G7617">
        <v>1</v>
      </c>
    </row>
    <row r="7618" spans="1:7" x14ac:dyDescent="0.25">
      <c r="A7618">
        <v>27</v>
      </c>
      <c r="B7618" t="s">
        <v>7514</v>
      </c>
      <c r="C7618">
        <v>3300</v>
      </c>
      <c r="D7618" t="str">
        <f>"1529-7314"</f>
        <v>1529-7314</v>
      </c>
      <c r="E7618" t="s">
        <v>8</v>
      </c>
      <c r="F7618" t="s">
        <v>7622</v>
      </c>
      <c r="G7618">
        <v>1</v>
      </c>
    </row>
    <row r="7619" spans="1:7" x14ac:dyDescent="0.25">
      <c r="A7619">
        <v>27</v>
      </c>
      <c r="B7619" t="s">
        <v>7514</v>
      </c>
      <c r="C7619">
        <v>719</v>
      </c>
      <c r="E7619" t="s">
        <v>8</v>
      </c>
      <c r="F7619" t="s">
        <v>7623</v>
      </c>
      <c r="G7619">
        <v>1</v>
      </c>
    </row>
    <row r="7620" spans="1:7" x14ac:dyDescent="0.25">
      <c r="A7620">
        <v>27</v>
      </c>
      <c r="B7620" t="s">
        <v>7514</v>
      </c>
      <c r="C7620">
        <v>5010975</v>
      </c>
      <c r="E7620" t="s">
        <v>2100</v>
      </c>
      <c r="F7620" t="s">
        <v>7624</v>
      </c>
      <c r="G7620">
        <v>1</v>
      </c>
    </row>
    <row r="7621" spans="1:7" x14ac:dyDescent="0.25">
      <c r="A7621">
        <v>27</v>
      </c>
      <c r="B7621" t="s">
        <v>7514</v>
      </c>
      <c r="C7621">
        <v>3933</v>
      </c>
      <c r="D7621" t="str">
        <f>"1536-7967"</f>
        <v>1536-7967</v>
      </c>
      <c r="E7621" t="s">
        <v>8</v>
      </c>
      <c r="F7621" t="s">
        <v>7625</v>
      </c>
      <c r="G7621">
        <v>1</v>
      </c>
    </row>
    <row r="7622" spans="1:7" x14ac:dyDescent="0.25">
      <c r="A7622">
        <v>27</v>
      </c>
      <c r="B7622" t="s">
        <v>7514</v>
      </c>
      <c r="C7622">
        <v>8782926</v>
      </c>
      <c r="E7622" t="s">
        <v>8</v>
      </c>
      <c r="F7622" t="s">
        <v>7626</v>
      </c>
      <c r="G7622">
        <v>1</v>
      </c>
    </row>
    <row r="7623" spans="1:7" x14ac:dyDescent="0.25">
      <c r="A7623">
        <v>27</v>
      </c>
      <c r="B7623" t="s">
        <v>7514</v>
      </c>
      <c r="C7623">
        <v>16647</v>
      </c>
      <c r="D7623" t="str">
        <f>"1533-2748"</f>
        <v>1533-2748</v>
      </c>
      <c r="E7623" t="s">
        <v>8</v>
      </c>
      <c r="F7623" t="s">
        <v>7627</v>
      </c>
      <c r="G7623">
        <v>1</v>
      </c>
    </row>
    <row r="7624" spans="1:7" x14ac:dyDescent="0.25">
      <c r="A7624">
        <v>27</v>
      </c>
      <c r="B7624" t="s">
        <v>7514</v>
      </c>
      <c r="C7624">
        <v>201</v>
      </c>
      <c r="D7624" t="str">
        <f>"0896-3568"</f>
        <v>0896-3568</v>
      </c>
      <c r="E7624" t="s">
        <v>8</v>
      </c>
      <c r="F7624" t="s">
        <v>7628</v>
      </c>
      <c r="G7624">
        <v>1</v>
      </c>
    </row>
    <row r="7625" spans="1:7" x14ac:dyDescent="0.25">
      <c r="A7625">
        <v>27</v>
      </c>
      <c r="B7625" t="s">
        <v>7514</v>
      </c>
      <c r="C7625">
        <v>8782930</v>
      </c>
      <c r="E7625" t="s">
        <v>8</v>
      </c>
      <c r="F7625" t="s">
        <v>7629</v>
      </c>
      <c r="G7625">
        <v>1</v>
      </c>
    </row>
    <row r="7626" spans="1:7" x14ac:dyDescent="0.25">
      <c r="A7626">
        <v>27</v>
      </c>
      <c r="B7626" t="s">
        <v>7514</v>
      </c>
      <c r="C7626">
        <v>8782826</v>
      </c>
      <c r="D7626" t="str">
        <f>"2572-1364"</f>
        <v>2572-1364</v>
      </c>
      <c r="E7626" t="s">
        <v>8</v>
      </c>
      <c r="F7626" t="s">
        <v>7630</v>
      </c>
      <c r="G7626">
        <v>1</v>
      </c>
    </row>
    <row r="7627" spans="1:7" x14ac:dyDescent="0.25">
      <c r="A7627">
        <v>27</v>
      </c>
      <c r="B7627" t="s">
        <v>7514</v>
      </c>
      <c r="C7627">
        <v>8782676</v>
      </c>
      <c r="D7627" t="str">
        <f>"2096-157X"</f>
        <v>2096-157X</v>
      </c>
      <c r="E7627" t="s">
        <v>8</v>
      </c>
      <c r="F7627" t="s">
        <v>7631</v>
      </c>
      <c r="G7627">
        <v>1</v>
      </c>
    </row>
    <row r="7628" spans="1:7" x14ac:dyDescent="0.25">
      <c r="A7628">
        <v>27</v>
      </c>
      <c r="B7628" t="s">
        <v>7514</v>
      </c>
      <c r="C7628">
        <v>16552</v>
      </c>
      <c r="D7628" t="str">
        <f>"0748-5786"</f>
        <v>0748-5786</v>
      </c>
      <c r="E7628" t="s">
        <v>8</v>
      </c>
      <c r="F7628" t="s">
        <v>7632</v>
      </c>
      <c r="G7628">
        <v>1</v>
      </c>
    </row>
    <row r="7629" spans="1:7" x14ac:dyDescent="0.25">
      <c r="A7629">
        <v>27</v>
      </c>
      <c r="B7629" t="s">
        <v>7514</v>
      </c>
      <c r="C7629">
        <v>13324</v>
      </c>
      <c r="D7629" t="str">
        <f>"1941-126X"</f>
        <v>1941-126X</v>
      </c>
      <c r="E7629" t="s">
        <v>8</v>
      </c>
      <c r="F7629" t="s">
        <v>7633</v>
      </c>
      <c r="G7629">
        <v>1</v>
      </c>
    </row>
    <row r="7630" spans="1:7" x14ac:dyDescent="0.25">
      <c r="A7630">
        <v>27</v>
      </c>
      <c r="B7630" t="s">
        <v>7514</v>
      </c>
      <c r="C7630">
        <v>7738557</v>
      </c>
      <c r="E7630" t="s">
        <v>8</v>
      </c>
      <c r="F7630" t="s">
        <v>7634</v>
      </c>
      <c r="G7630">
        <v>1</v>
      </c>
    </row>
    <row r="7631" spans="1:7" x14ac:dyDescent="0.25">
      <c r="A7631">
        <v>27</v>
      </c>
      <c r="B7631" t="s">
        <v>7514</v>
      </c>
      <c r="C7631">
        <v>7705086</v>
      </c>
      <c r="D7631" t="str">
        <f>"0976-3503"</f>
        <v>0976-3503</v>
      </c>
      <c r="E7631" t="s">
        <v>8</v>
      </c>
      <c r="F7631" t="s">
        <v>7635</v>
      </c>
      <c r="G7631">
        <v>1</v>
      </c>
    </row>
    <row r="7632" spans="1:7" x14ac:dyDescent="0.25">
      <c r="A7632">
        <v>27</v>
      </c>
      <c r="B7632" t="s">
        <v>7514</v>
      </c>
      <c r="C7632">
        <v>13225</v>
      </c>
      <c r="D7632" t="str">
        <f>"1532-3269"</f>
        <v>1532-3269</v>
      </c>
      <c r="E7632" t="s">
        <v>8</v>
      </c>
      <c r="F7632" t="s">
        <v>7636</v>
      </c>
      <c r="G7632">
        <v>1</v>
      </c>
    </row>
    <row r="7633" spans="1:7" x14ac:dyDescent="0.25">
      <c r="A7633">
        <v>27</v>
      </c>
      <c r="B7633" t="s">
        <v>7514</v>
      </c>
      <c r="C7633">
        <v>160029</v>
      </c>
      <c r="D7633" t="str">
        <f>"1903-7260"</f>
        <v>1903-7260</v>
      </c>
      <c r="E7633" t="s">
        <v>8</v>
      </c>
      <c r="F7633" t="s">
        <v>7637</v>
      </c>
      <c r="G7633">
        <v>1</v>
      </c>
    </row>
    <row r="7634" spans="1:7" x14ac:dyDescent="0.25">
      <c r="A7634">
        <v>27</v>
      </c>
      <c r="B7634" t="s">
        <v>7514</v>
      </c>
      <c r="C7634">
        <v>90090</v>
      </c>
      <c r="E7634" t="s">
        <v>8</v>
      </c>
      <c r="F7634" t="s">
        <v>7638</v>
      </c>
      <c r="G7634">
        <v>1</v>
      </c>
    </row>
    <row r="7635" spans="1:7" x14ac:dyDescent="0.25">
      <c r="A7635">
        <v>27</v>
      </c>
      <c r="B7635" t="s">
        <v>7514</v>
      </c>
      <c r="C7635">
        <v>7757276</v>
      </c>
      <c r="D7635" t="str">
        <f>"2287-9099"</f>
        <v>2287-9099</v>
      </c>
      <c r="E7635" t="s">
        <v>8</v>
      </c>
      <c r="F7635" t="s">
        <v>7639</v>
      </c>
      <c r="G7635">
        <v>1</v>
      </c>
    </row>
    <row r="7636" spans="1:7" x14ac:dyDescent="0.25">
      <c r="A7636">
        <v>27</v>
      </c>
      <c r="B7636" t="s">
        <v>7514</v>
      </c>
      <c r="C7636">
        <v>8835</v>
      </c>
      <c r="D7636" t="str">
        <f>"1445-3312"</f>
        <v>1445-3312</v>
      </c>
      <c r="E7636" t="s">
        <v>8</v>
      </c>
      <c r="F7636" t="s">
        <v>7640</v>
      </c>
      <c r="G7636">
        <v>1</v>
      </c>
    </row>
    <row r="7637" spans="1:7" x14ac:dyDescent="0.25">
      <c r="A7637">
        <v>27</v>
      </c>
      <c r="B7637" t="s">
        <v>7514</v>
      </c>
      <c r="C7637">
        <v>153020</v>
      </c>
      <c r="D7637" t="str">
        <f>"1072-303X"</f>
        <v>1072-303X</v>
      </c>
      <c r="E7637" t="s">
        <v>8</v>
      </c>
      <c r="F7637" t="s">
        <v>7641</v>
      </c>
      <c r="G7637">
        <v>1</v>
      </c>
    </row>
    <row r="7638" spans="1:7" x14ac:dyDescent="0.25">
      <c r="A7638">
        <v>27</v>
      </c>
      <c r="B7638" t="s">
        <v>7514</v>
      </c>
      <c r="C7638">
        <v>23139</v>
      </c>
      <c r="D7638" t="str">
        <f>"0729-1485"</f>
        <v>0729-1485</v>
      </c>
      <c r="E7638" t="s">
        <v>8</v>
      </c>
      <c r="F7638" t="s">
        <v>7642</v>
      </c>
      <c r="G7638">
        <v>1</v>
      </c>
    </row>
    <row r="7639" spans="1:7" x14ac:dyDescent="0.25">
      <c r="A7639">
        <v>27</v>
      </c>
      <c r="B7639" t="s">
        <v>7514</v>
      </c>
      <c r="C7639">
        <v>7413</v>
      </c>
      <c r="D7639" t="str">
        <f>"0961-0006"</f>
        <v>0961-0006</v>
      </c>
      <c r="E7639" t="s">
        <v>8</v>
      </c>
      <c r="F7639" t="s">
        <v>7643</v>
      </c>
      <c r="G7639">
        <v>1</v>
      </c>
    </row>
    <row r="7640" spans="1:7" x14ac:dyDescent="0.25">
      <c r="A7640">
        <v>27</v>
      </c>
      <c r="B7640" t="s">
        <v>7514</v>
      </c>
      <c r="C7640">
        <v>7738361</v>
      </c>
      <c r="E7640" t="s">
        <v>8</v>
      </c>
      <c r="F7640" t="s">
        <v>7644</v>
      </c>
      <c r="G7640">
        <v>1</v>
      </c>
    </row>
    <row r="7641" spans="1:7" x14ac:dyDescent="0.25">
      <c r="A7641">
        <v>27</v>
      </c>
      <c r="B7641" t="s">
        <v>7514</v>
      </c>
      <c r="C7641">
        <v>3674</v>
      </c>
      <c r="D7641" t="str">
        <f>"1533-290X"</f>
        <v>1533-290X</v>
      </c>
      <c r="E7641" t="s">
        <v>8</v>
      </c>
      <c r="F7641" t="s">
        <v>7645</v>
      </c>
      <c r="G7641">
        <v>1</v>
      </c>
    </row>
    <row r="7642" spans="1:7" x14ac:dyDescent="0.25">
      <c r="A7642">
        <v>27</v>
      </c>
      <c r="B7642" t="s">
        <v>7514</v>
      </c>
      <c r="C7642">
        <v>11910</v>
      </c>
      <c r="D7642" t="str">
        <f>"0193-0826"</f>
        <v>0193-0826</v>
      </c>
      <c r="E7642" t="s">
        <v>8</v>
      </c>
      <c r="F7642" t="s">
        <v>7646</v>
      </c>
      <c r="G7642">
        <v>1</v>
      </c>
    </row>
    <row r="7643" spans="1:7" x14ac:dyDescent="0.25">
      <c r="A7643">
        <v>27</v>
      </c>
      <c r="B7643" t="s">
        <v>7514</v>
      </c>
      <c r="C7643">
        <v>8783391</v>
      </c>
      <c r="D7643" t="str">
        <f>"2374-2372"</f>
        <v>2374-2372</v>
      </c>
      <c r="E7643" t="s">
        <v>8</v>
      </c>
      <c r="F7643" t="s">
        <v>7647</v>
      </c>
      <c r="G7643">
        <v>1</v>
      </c>
    </row>
    <row r="7644" spans="1:7" x14ac:dyDescent="0.25">
      <c r="A7644">
        <v>27</v>
      </c>
      <c r="B7644" t="s">
        <v>7514</v>
      </c>
      <c r="C7644">
        <v>630</v>
      </c>
      <c r="D7644" t="str">
        <f>"1938-6389"</f>
        <v>1938-6389</v>
      </c>
      <c r="E7644" t="s">
        <v>8</v>
      </c>
      <c r="F7644" t="s">
        <v>7648</v>
      </c>
      <c r="G7644">
        <v>1</v>
      </c>
    </row>
    <row r="7645" spans="1:7" x14ac:dyDescent="0.25">
      <c r="A7645">
        <v>27</v>
      </c>
      <c r="B7645" t="s">
        <v>7514</v>
      </c>
      <c r="C7645">
        <v>18666</v>
      </c>
      <c r="D7645" t="str">
        <f>"1542-0353"</f>
        <v>1542-0353</v>
      </c>
      <c r="E7645" t="s">
        <v>8</v>
      </c>
      <c r="F7645" t="s">
        <v>7649</v>
      </c>
      <c r="G7645">
        <v>1</v>
      </c>
    </row>
    <row r="7646" spans="1:7" x14ac:dyDescent="0.25">
      <c r="A7646">
        <v>27</v>
      </c>
      <c r="B7646" t="s">
        <v>7514</v>
      </c>
      <c r="C7646">
        <v>8782928</v>
      </c>
      <c r="E7646" t="s">
        <v>8</v>
      </c>
      <c r="F7646" t="s">
        <v>7650</v>
      </c>
      <c r="G7646">
        <v>1</v>
      </c>
    </row>
    <row r="7647" spans="1:7" x14ac:dyDescent="0.25">
      <c r="A7647">
        <v>27</v>
      </c>
      <c r="B7647" t="s">
        <v>7514</v>
      </c>
      <c r="C7647">
        <v>8782932</v>
      </c>
      <c r="E7647" t="s">
        <v>8</v>
      </c>
      <c r="F7647" t="s">
        <v>7651</v>
      </c>
      <c r="G7647">
        <v>1</v>
      </c>
    </row>
    <row r="7648" spans="1:7" x14ac:dyDescent="0.25">
      <c r="A7648">
        <v>27</v>
      </c>
      <c r="B7648" t="s">
        <v>7514</v>
      </c>
      <c r="C7648">
        <v>6172083</v>
      </c>
      <c r="D7648" t="str">
        <f>"2053-4620"</f>
        <v>2053-4620</v>
      </c>
      <c r="E7648" t="s">
        <v>8</v>
      </c>
      <c r="F7648" t="s">
        <v>7652</v>
      </c>
      <c r="G7648">
        <v>1</v>
      </c>
    </row>
    <row r="7649" spans="1:7" x14ac:dyDescent="0.25">
      <c r="A7649">
        <v>27</v>
      </c>
      <c r="B7649" t="s">
        <v>7514</v>
      </c>
      <c r="C7649">
        <v>8775594</v>
      </c>
      <c r="D7649" t="str">
        <f>"2321-6654"</f>
        <v>2321-6654</v>
      </c>
      <c r="E7649" t="s">
        <v>8</v>
      </c>
      <c r="F7649" t="s">
        <v>7653</v>
      </c>
      <c r="G7649">
        <v>1</v>
      </c>
    </row>
    <row r="7650" spans="1:7" x14ac:dyDescent="0.25">
      <c r="A7650">
        <v>27</v>
      </c>
      <c r="B7650" t="s">
        <v>7514</v>
      </c>
      <c r="C7650">
        <v>16162</v>
      </c>
      <c r="D7650" t="str">
        <f>"1067-5027"</f>
        <v>1067-5027</v>
      </c>
      <c r="E7650" t="s">
        <v>8</v>
      </c>
      <c r="F7650" t="s">
        <v>7654</v>
      </c>
      <c r="G7650">
        <v>1</v>
      </c>
    </row>
    <row r="7651" spans="1:7" x14ac:dyDescent="0.25">
      <c r="A7651">
        <v>27</v>
      </c>
      <c r="B7651" t="s">
        <v>7514</v>
      </c>
      <c r="C7651">
        <v>8782931</v>
      </c>
      <c r="D7651" t="str">
        <f>"2475-0158"</f>
        <v>2475-0158</v>
      </c>
      <c r="E7651" t="s">
        <v>8</v>
      </c>
      <c r="F7651" t="s">
        <v>7655</v>
      </c>
      <c r="G7651">
        <v>1</v>
      </c>
    </row>
    <row r="7652" spans="1:7" x14ac:dyDescent="0.25">
      <c r="A7652">
        <v>27</v>
      </c>
      <c r="B7652" t="s">
        <v>7514</v>
      </c>
      <c r="C7652">
        <v>9770</v>
      </c>
      <c r="D7652" t="str">
        <f>"1045-8077"</f>
        <v>1045-8077</v>
      </c>
      <c r="E7652" t="s">
        <v>8</v>
      </c>
      <c r="F7652" t="s">
        <v>7656</v>
      </c>
      <c r="G7652">
        <v>1</v>
      </c>
    </row>
    <row r="7653" spans="1:7" x14ac:dyDescent="0.25">
      <c r="A7653">
        <v>27</v>
      </c>
      <c r="B7653" t="s">
        <v>7514</v>
      </c>
      <c r="C7653">
        <v>7680</v>
      </c>
      <c r="D7653" t="str">
        <f>"1047-3203"</f>
        <v>1047-3203</v>
      </c>
      <c r="E7653" t="s">
        <v>8</v>
      </c>
      <c r="F7653" t="s">
        <v>7657</v>
      </c>
      <c r="G7653">
        <v>1</v>
      </c>
    </row>
    <row r="7654" spans="1:7" x14ac:dyDescent="0.25">
      <c r="A7654">
        <v>27</v>
      </c>
      <c r="B7654" t="s">
        <v>7514</v>
      </c>
      <c r="C7654">
        <v>21504</v>
      </c>
      <c r="D7654" t="str">
        <f>"1932-2909"</f>
        <v>1932-2909</v>
      </c>
      <c r="E7654" t="s">
        <v>8</v>
      </c>
      <c r="F7654" t="s">
        <v>7658</v>
      </c>
      <c r="G7654">
        <v>1</v>
      </c>
    </row>
    <row r="7655" spans="1:7" x14ac:dyDescent="0.25">
      <c r="A7655">
        <v>27</v>
      </c>
      <c r="B7655" t="s">
        <v>7514</v>
      </c>
      <c r="C7655">
        <v>10271</v>
      </c>
      <c r="D7655" t="str">
        <f>"1092-4604"</f>
        <v>1092-4604</v>
      </c>
      <c r="E7655" t="s">
        <v>8</v>
      </c>
      <c r="F7655" t="s">
        <v>7659</v>
      </c>
      <c r="G7655">
        <v>1</v>
      </c>
    </row>
    <row r="7656" spans="1:7" x14ac:dyDescent="0.25">
      <c r="A7656">
        <v>27</v>
      </c>
      <c r="B7656" t="s">
        <v>7514</v>
      </c>
      <c r="C7656">
        <v>13672</v>
      </c>
      <c r="D7656" t="str">
        <f>"0023-9283"</f>
        <v>0023-9283</v>
      </c>
      <c r="E7656" t="s">
        <v>8</v>
      </c>
      <c r="F7656" t="s">
        <v>7660</v>
      </c>
      <c r="G7656">
        <v>1</v>
      </c>
    </row>
    <row r="7657" spans="1:7" x14ac:dyDescent="0.25">
      <c r="A7657">
        <v>27</v>
      </c>
      <c r="B7657" t="s">
        <v>7514</v>
      </c>
      <c r="C7657">
        <v>26858</v>
      </c>
      <c r="D7657" t="str">
        <f>"0270-319X"</f>
        <v>0270-319X</v>
      </c>
      <c r="E7657" t="s">
        <v>8</v>
      </c>
      <c r="F7657" t="s">
        <v>7661</v>
      </c>
      <c r="G7657">
        <v>1</v>
      </c>
    </row>
    <row r="7658" spans="1:7" x14ac:dyDescent="0.25">
      <c r="A7658">
        <v>27</v>
      </c>
      <c r="B7658" t="s">
        <v>7514</v>
      </c>
      <c r="C7658">
        <v>8759537</v>
      </c>
      <c r="D7658" t="str">
        <f>"1846-8527"</f>
        <v>1846-8527</v>
      </c>
      <c r="E7658" t="s">
        <v>8</v>
      </c>
      <c r="F7658" t="s">
        <v>7662</v>
      </c>
      <c r="G7658">
        <v>1</v>
      </c>
    </row>
    <row r="7659" spans="1:7" x14ac:dyDescent="0.25">
      <c r="A7659">
        <v>27</v>
      </c>
      <c r="B7659" t="s">
        <v>7514</v>
      </c>
      <c r="C7659">
        <v>26896</v>
      </c>
      <c r="D7659" t="str">
        <f>"1435-5205"</f>
        <v>1435-5205</v>
      </c>
      <c r="E7659" t="s">
        <v>8</v>
      </c>
      <c r="F7659" t="s">
        <v>7663</v>
      </c>
      <c r="G7659">
        <v>1</v>
      </c>
    </row>
    <row r="7660" spans="1:7" x14ac:dyDescent="0.25">
      <c r="A7660">
        <v>27</v>
      </c>
      <c r="B7660" t="s">
        <v>7514</v>
      </c>
      <c r="C7660">
        <v>5010045</v>
      </c>
      <c r="E7660" t="s">
        <v>2100</v>
      </c>
      <c r="F7660" t="s">
        <v>7664</v>
      </c>
      <c r="G7660">
        <v>1</v>
      </c>
    </row>
    <row r="7661" spans="1:7" x14ac:dyDescent="0.25">
      <c r="A7661">
        <v>27</v>
      </c>
      <c r="B7661" t="s">
        <v>7514</v>
      </c>
      <c r="C7661">
        <v>645</v>
      </c>
      <c r="D7661" t="str">
        <f>"0196-0075"</f>
        <v>0196-0075</v>
      </c>
      <c r="E7661" t="s">
        <v>8</v>
      </c>
      <c r="F7661" t="s">
        <v>7665</v>
      </c>
      <c r="G7661">
        <v>1</v>
      </c>
    </row>
    <row r="7662" spans="1:7" x14ac:dyDescent="0.25">
      <c r="A7662">
        <v>27</v>
      </c>
      <c r="B7662" t="s">
        <v>7514</v>
      </c>
      <c r="C7662">
        <v>46790</v>
      </c>
      <c r="E7662" t="s">
        <v>8</v>
      </c>
      <c r="F7662" t="s">
        <v>7666</v>
      </c>
      <c r="G7662">
        <v>1</v>
      </c>
    </row>
    <row r="7663" spans="1:7" x14ac:dyDescent="0.25">
      <c r="A7663">
        <v>27</v>
      </c>
      <c r="B7663" t="s">
        <v>7514</v>
      </c>
      <c r="C7663">
        <v>7707189</v>
      </c>
      <c r="D7663" t="str">
        <f>"1876-0562"</f>
        <v>1876-0562</v>
      </c>
      <c r="E7663" t="s">
        <v>15</v>
      </c>
      <c r="F7663" t="s">
        <v>7667</v>
      </c>
      <c r="G7663">
        <v>1</v>
      </c>
    </row>
    <row r="7664" spans="1:7" x14ac:dyDescent="0.25">
      <c r="A7664">
        <v>27</v>
      </c>
      <c r="B7664" t="s">
        <v>7514</v>
      </c>
      <c r="C7664">
        <v>4367</v>
      </c>
      <c r="D7664" t="str">
        <f>"0373-4447"</f>
        <v>0373-4447</v>
      </c>
      <c r="E7664" t="s">
        <v>8</v>
      </c>
      <c r="F7664" t="s">
        <v>7667</v>
      </c>
      <c r="G7664">
        <v>1</v>
      </c>
    </row>
    <row r="7665" spans="1:7" x14ac:dyDescent="0.25">
      <c r="A7665">
        <v>27</v>
      </c>
      <c r="B7665" t="s">
        <v>7514</v>
      </c>
      <c r="C7665">
        <v>9372</v>
      </c>
      <c r="D7665" t="str">
        <f>"1464-9055"</f>
        <v>1464-9055</v>
      </c>
      <c r="E7665" t="s">
        <v>8</v>
      </c>
      <c r="F7665" t="s">
        <v>7668</v>
      </c>
      <c r="G7665">
        <v>1</v>
      </c>
    </row>
    <row r="7666" spans="1:7" x14ac:dyDescent="0.25">
      <c r="A7666">
        <v>27</v>
      </c>
      <c r="B7666" t="s">
        <v>7514</v>
      </c>
      <c r="C7666">
        <v>12131</v>
      </c>
      <c r="D7666" t="str">
        <f>"0737-8831"</f>
        <v>0737-8831</v>
      </c>
      <c r="E7666" t="s">
        <v>8</v>
      </c>
      <c r="F7666" t="s">
        <v>7669</v>
      </c>
      <c r="G7666">
        <v>1</v>
      </c>
    </row>
    <row r="7667" spans="1:7" x14ac:dyDescent="0.25">
      <c r="A7667">
        <v>27</v>
      </c>
      <c r="B7667" t="s">
        <v>7514</v>
      </c>
      <c r="C7667">
        <v>16444</v>
      </c>
      <c r="D7667" t="str">
        <f>"0363-0277"</f>
        <v>0363-0277</v>
      </c>
      <c r="E7667" t="s">
        <v>8</v>
      </c>
      <c r="F7667" t="s">
        <v>7670</v>
      </c>
      <c r="G7667">
        <v>1</v>
      </c>
    </row>
    <row r="7668" spans="1:7" x14ac:dyDescent="0.25">
      <c r="A7668">
        <v>27</v>
      </c>
      <c r="B7668" t="s">
        <v>7514</v>
      </c>
      <c r="C7668">
        <v>8758477</v>
      </c>
      <c r="E7668" t="s">
        <v>8</v>
      </c>
      <c r="F7668" t="s">
        <v>7671</v>
      </c>
      <c r="G7668">
        <v>1</v>
      </c>
    </row>
    <row r="7669" spans="1:7" x14ac:dyDescent="0.25">
      <c r="A7669">
        <v>27</v>
      </c>
      <c r="B7669" t="s">
        <v>7514</v>
      </c>
      <c r="C7669">
        <v>9112</v>
      </c>
      <c r="D7669" t="str">
        <f>"0143-5124"</f>
        <v>0143-5124</v>
      </c>
      <c r="E7669" t="s">
        <v>8</v>
      </c>
      <c r="F7669" t="s">
        <v>7672</v>
      </c>
      <c r="G7669">
        <v>1</v>
      </c>
    </row>
    <row r="7670" spans="1:7" x14ac:dyDescent="0.25">
      <c r="A7670">
        <v>27</v>
      </c>
      <c r="B7670" t="s">
        <v>7514</v>
      </c>
      <c r="C7670">
        <v>4721</v>
      </c>
      <c r="E7670" t="s">
        <v>8</v>
      </c>
      <c r="F7670" t="s">
        <v>7673</v>
      </c>
      <c r="G7670">
        <v>1</v>
      </c>
    </row>
    <row r="7671" spans="1:7" x14ac:dyDescent="0.25">
      <c r="A7671">
        <v>27</v>
      </c>
      <c r="B7671" t="s">
        <v>7514</v>
      </c>
      <c r="C7671">
        <v>12283</v>
      </c>
      <c r="D7671" t="str">
        <f>"0024-2527"</f>
        <v>0024-2527</v>
      </c>
      <c r="E7671" t="s">
        <v>8</v>
      </c>
      <c r="F7671" t="s">
        <v>7674</v>
      </c>
      <c r="G7671">
        <v>1</v>
      </c>
    </row>
    <row r="7672" spans="1:7" x14ac:dyDescent="0.25">
      <c r="A7672">
        <v>27</v>
      </c>
      <c r="B7672" t="s">
        <v>7514</v>
      </c>
      <c r="C7672">
        <v>12579</v>
      </c>
      <c r="D7672" t="str">
        <f>"0024-2594"</f>
        <v>0024-2594</v>
      </c>
      <c r="E7672" t="s">
        <v>8</v>
      </c>
      <c r="F7672" t="s">
        <v>7675</v>
      </c>
      <c r="G7672">
        <v>1</v>
      </c>
    </row>
    <row r="7673" spans="1:7" x14ac:dyDescent="0.25">
      <c r="A7673">
        <v>27</v>
      </c>
      <c r="B7673" t="s">
        <v>7514</v>
      </c>
      <c r="C7673">
        <v>1049</v>
      </c>
      <c r="E7673" t="s">
        <v>8</v>
      </c>
      <c r="F7673" t="s">
        <v>7676</v>
      </c>
      <c r="G7673">
        <v>1</v>
      </c>
    </row>
    <row r="7674" spans="1:7" x14ac:dyDescent="0.25">
      <c r="A7674">
        <v>27</v>
      </c>
      <c r="B7674" t="s">
        <v>7514</v>
      </c>
      <c r="C7674">
        <v>13669</v>
      </c>
      <c r="D7674" t="str">
        <f>"0024-2667"</f>
        <v>0024-2667</v>
      </c>
      <c r="E7674" t="s">
        <v>8</v>
      </c>
      <c r="F7674" t="s">
        <v>7677</v>
      </c>
      <c r="G7674">
        <v>1</v>
      </c>
    </row>
    <row r="7675" spans="1:7" x14ac:dyDescent="0.25">
      <c r="A7675">
        <v>27</v>
      </c>
      <c r="B7675" t="s">
        <v>7514</v>
      </c>
      <c r="C7675">
        <v>25947</v>
      </c>
      <c r="D7675" t="str">
        <f>"0957-9656"</f>
        <v>0957-9656</v>
      </c>
      <c r="E7675" t="s">
        <v>8</v>
      </c>
      <c r="F7675" t="s">
        <v>7678</v>
      </c>
      <c r="G7675">
        <v>1</v>
      </c>
    </row>
    <row r="7676" spans="1:7" x14ac:dyDescent="0.25">
      <c r="A7676">
        <v>27</v>
      </c>
      <c r="B7676" t="s">
        <v>7514</v>
      </c>
      <c r="C7676">
        <v>8783349</v>
      </c>
      <c r="D7676" t="str">
        <f>"2381-5329"</f>
        <v>2381-5329</v>
      </c>
      <c r="E7676" t="s">
        <v>8</v>
      </c>
      <c r="F7676" t="s">
        <v>7679</v>
      </c>
      <c r="G7676">
        <v>1</v>
      </c>
    </row>
    <row r="7677" spans="1:7" x14ac:dyDescent="0.25">
      <c r="A7677">
        <v>27</v>
      </c>
      <c r="B7677" t="s">
        <v>7514</v>
      </c>
      <c r="C7677">
        <v>8782824</v>
      </c>
      <c r="D7677" t="str">
        <f>"2475-8116 "</f>
        <v xml:space="preserve">2475-8116 </v>
      </c>
      <c r="E7677" t="s">
        <v>8</v>
      </c>
      <c r="F7677" t="s">
        <v>7680</v>
      </c>
      <c r="G7677">
        <v>1</v>
      </c>
    </row>
    <row r="7678" spans="1:7" x14ac:dyDescent="0.25">
      <c r="A7678">
        <v>27</v>
      </c>
      <c r="B7678" t="s">
        <v>7514</v>
      </c>
      <c r="C7678">
        <v>22947</v>
      </c>
      <c r="D7678" t="str">
        <f>"0276-3869"</f>
        <v>0276-3869</v>
      </c>
      <c r="E7678" t="s">
        <v>8</v>
      </c>
      <c r="F7678" t="s">
        <v>7681</v>
      </c>
      <c r="G7678">
        <v>1</v>
      </c>
    </row>
    <row r="7679" spans="1:7" x14ac:dyDescent="0.25">
      <c r="A7679">
        <v>27</v>
      </c>
      <c r="B7679" t="s">
        <v>7514</v>
      </c>
      <c r="C7679">
        <v>81703</v>
      </c>
      <c r="D7679" t="str">
        <f>"1936-9816"</f>
        <v>1936-9816</v>
      </c>
      <c r="E7679" t="s">
        <v>8</v>
      </c>
      <c r="F7679" t="s">
        <v>7682</v>
      </c>
      <c r="G7679">
        <v>1</v>
      </c>
    </row>
    <row r="7680" spans="1:7" x14ac:dyDescent="0.25">
      <c r="A7680">
        <v>27</v>
      </c>
      <c r="B7680" t="s">
        <v>7514</v>
      </c>
      <c r="C7680">
        <v>13720</v>
      </c>
      <c r="D7680" t="str">
        <f>"0307-4803"</f>
        <v>0307-4803</v>
      </c>
      <c r="E7680" t="s">
        <v>8</v>
      </c>
      <c r="F7680" t="s">
        <v>7683</v>
      </c>
      <c r="G7680">
        <v>1</v>
      </c>
    </row>
    <row r="7681" spans="1:7" x14ac:dyDescent="0.25">
      <c r="A7681">
        <v>27</v>
      </c>
      <c r="B7681" t="s">
        <v>7514</v>
      </c>
      <c r="C7681">
        <v>27334</v>
      </c>
      <c r="E7681" t="s">
        <v>8</v>
      </c>
      <c r="F7681" t="s">
        <v>7684</v>
      </c>
      <c r="G7681">
        <v>1</v>
      </c>
    </row>
    <row r="7682" spans="1:7" x14ac:dyDescent="0.25">
      <c r="A7682">
        <v>27</v>
      </c>
      <c r="B7682" t="s">
        <v>7514</v>
      </c>
      <c r="C7682">
        <v>152320</v>
      </c>
      <c r="D7682" t="str">
        <f>"2245-2931"</f>
        <v>2245-2931</v>
      </c>
      <c r="E7682" t="s">
        <v>8</v>
      </c>
      <c r="F7682" t="s">
        <v>7685</v>
      </c>
      <c r="G7682">
        <v>1</v>
      </c>
    </row>
    <row r="7683" spans="1:7" x14ac:dyDescent="0.25">
      <c r="A7683">
        <v>27</v>
      </c>
      <c r="B7683" t="s">
        <v>7514</v>
      </c>
      <c r="C7683">
        <v>8782825</v>
      </c>
      <c r="E7683" t="s">
        <v>8</v>
      </c>
      <c r="F7683" t="s">
        <v>7686</v>
      </c>
      <c r="G7683">
        <v>1</v>
      </c>
    </row>
    <row r="7684" spans="1:7" x14ac:dyDescent="0.25">
      <c r="A7684">
        <v>27</v>
      </c>
      <c r="B7684" t="s">
        <v>7514</v>
      </c>
      <c r="C7684">
        <v>11563</v>
      </c>
      <c r="D7684" t="str">
        <f>"0804-6743"</f>
        <v>0804-6743</v>
      </c>
      <c r="E7684" t="s">
        <v>8</v>
      </c>
      <c r="F7684" t="s">
        <v>7687</v>
      </c>
      <c r="G7684">
        <v>1</v>
      </c>
    </row>
    <row r="7685" spans="1:7" x14ac:dyDescent="0.25">
      <c r="A7685">
        <v>27</v>
      </c>
      <c r="B7685" t="s">
        <v>7514</v>
      </c>
      <c r="C7685">
        <v>12875</v>
      </c>
      <c r="D7685" t="str">
        <f>"1468-4527"</f>
        <v>1468-4527</v>
      </c>
      <c r="E7685" t="s">
        <v>8</v>
      </c>
      <c r="F7685" t="s">
        <v>7688</v>
      </c>
      <c r="G7685">
        <v>1</v>
      </c>
    </row>
    <row r="7686" spans="1:7" x14ac:dyDescent="0.25">
      <c r="A7686">
        <v>27</v>
      </c>
      <c r="B7686" t="s">
        <v>7514</v>
      </c>
      <c r="C7686">
        <v>146</v>
      </c>
      <c r="D7686" t="str">
        <f>"1939-5256"</f>
        <v>1939-5256</v>
      </c>
      <c r="E7686" t="s">
        <v>8</v>
      </c>
      <c r="F7686" t="s">
        <v>7689</v>
      </c>
      <c r="G7686">
        <v>1</v>
      </c>
    </row>
    <row r="7687" spans="1:7" x14ac:dyDescent="0.25">
      <c r="A7687">
        <v>27</v>
      </c>
      <c r="B7687" t="s">
        <v>7514</v>
      </c>
      <c r="C7687">
        <v>7129</v>
      </c>
      <c r="E7687" t="s">
        <v>8</v>
      </c>
      <c r="F7687" t="s">
        <v>7690</v>
      </c>
      <c r="G7687">
        <v>1</v>
      </c>
    </row>
    <row r="7688" spans="1:7" x14ac:dyDescent="0.25">
      <c r="A7688">
        <v>27</v>
      </c>
      <c r="B7688" t="s">
        <v>7514</v>
      </c>
      <c r="C7688">
        <v>8783384</v>
      </c>
      <c r="E7688" t="s">
        <v>8</v>
      </c>
      <c r="F7688" t="s">
        <v>7691</v>
      </c>
      <c r="G7688">
        <v>1</v>
      </c>
    </row>
    <row r="7689" spans="1:7" x14ac:dyDescent="0.25">
      <c r="A7689">
        <v>27</v>
      </c>
      <c r="B7689" t="s">
        <v>7514</v>
      </c>
      <c r="C7689">
        <v>154015</v>
      </c>
      <c r="E7689" t="s">
        <v>8</v>
      </c>
      <c r="F7689" t="s">
        <v>7692</v>
      </c>
      <c r="G7689">
        <v>1</v>
      </c>
    </row>
    <row r="7690" spans="1:7" x14ac:dyDescent="0.25">
      <c r="A7690">
        <v>27</v>
      </c>
      <c r="B7690" t="s">
        <v>7514</v>
      </c>
      <c r="C7690">
        <v>8764464</v>
      </c>
      <c r="E7690" t="s">
        <v>8</v>
      </c>
      <c r="F7690" t="s">
        <v>7693</v>
      </c>
      <c r="G7690">
        <v>1</v>
      </c>
    </row>
    <row r="7691" spans="1:7" x14ac:dyDescent="0.25">
      <c r="A7691">
        <v>27</v>
      </c>
      <c r="B7691" t="s">
        <v>7514</v>
      </c>
      <c r="C7691">
        <v>16962</v>
      </c>
      <c r="D7691" t="str">
        <f>"1467-8047"</f>
        <v>1467-8047</v>
      </c>
      <c r="E7691" t="s">
        <v>8</v>
      </c>
      <c r="F7691" t="s">
        <v>7694</v>
      </c>
      <c r="G7691">
        <v>1</v>
      </c>
    </row>
    <row r="7692" spans="1:7" x14ac:dyDescent="0.25">
      <c r="A7692">
        <v>27</v>
      </c>
      <c r="B7692" t="s">
        <v>7514</v>
      </c>
      <c r="C7692">
        <v>13424</v>
      </c>
      <c r="D7692" t="str">
        <f>"1531-2542"</f>
        <v>1531-2542</v>
      </c>
      <c r="E7692" t="s">
        <v>8</v>
      </c>
      <c r="F7692" t="s">
        <v>7695</v>
      </c>
      <c r="G7692">
        <v>1</v>
      </c>
    </row>
    <row r="7693" spans="1:7" x14ac:dyDescent="0.25">
      <c r="A7693">
        <v>27</v>
      </c>
      <c r="B7693" t="s">
        <v>7514</v>
      </c>
      <c r="C7693">
        <v>7727556</v>
      </c>
      <c r="E7693" t="s">
        <v>8</v>
      </c>
      <c r="F7693" t="s">
        <v>7696</v>
      </c>
      <c r="G7693">
        <v>1</v>
      </c>
    </row>
    <row r="7694" spans="1:7" x14ac:dyDescent="0.25">
      <c r="A7694">
        <v>27</v>
      </c>
      <c r="B7694" t="s">
        <v>7514</v>
      </c>
      <c r="C7694">
        <v>8781933</v>
      </c>
      <c r="D7694" t="str">
        <f>"2373-9231"</f>
        <v>2373-9231</v>
      </c>
      <c r="E7694" t="s">
        <v>15</v>
      </c>
      <c r="F7694" t="s">
        <v>7697</v>
      </c>
      <c r="G7694">
        <v>1</v>
      </c>
    </row>
    <row r="7695" spans="1:7" x14ac:dyDescent="0.25">
      <c r="A7695">
        <v>27</v>
      </c>
      <c r="B7695" t="s">
        <v>7514</v>
      </c>
      <c r="C7695">
        <v>5010977</v>
      </c>
      <c r="E7695" t="s">
        <v>2100</v>
      </c>
      <c r="F7695" t="s">
        <v>7698</v>
      </c>
      <c r="G7695">
        <v>1</v>
      </c>
    </row>
    <row r="7696" spans="1:7" x14ac:dyDescent="0.25">
      <c r="A7696">
        <v>27</v>
      </c>
      <c r="B7696" t="s">
        <v>7514</v>
      </c>
      <c r="C7696">
        <v>7694844</v>
      </c>
      <c r="D7696" t="str">
        <f>"2155-2487"</f>
        <v>2155-2487</v>
      </c>
      <c r="E7696" t="s">
        <v>8</v>
      </c>
      <c r="F7696" t="s">
        <v>7699</v>
      </c>
      <c r="G7696">
        <v>1</v>
      </c>
    </row>
    <row r="7697" spans="1:7" x14ac:dyDescent="0.25">
      <c r="A7697">
        <v>27</v>
      </c>
      <c r="B7697" t="s">
        <v>7514</v>
      </c>
      <c r="C7697">
        <v>15981</v>
      </c>
      <c r="D7697" t="str">
        <f>"1529-4188"</f>
        <v>1529-4188</v>
      </c>
      <c r="E7697" t="s">
        <v>8</v>
      </c>
      <c r="F7697" t="s">
        <v>7700</v>
      </c>
      <c r="G7697">
        <v>1</v>
      </c>
    </row>
    <row r="7698" spans="1:7" x14ac:dyDescent="0.25">
      <c r="A7698">
        <v>27</v>
      </c>
      <c r="B7698" t="s">
        <v>7514</v>
      </c>
      <c r="C7698">
        <v>4404</v>
      </c>
      <c r="D7698" t="str">
        <f>"0033-0337"</f>
        <v>0033-0337</v>
      </c>
      <c r="E7698" t="s">
        <v>8</v>
      </c>
      <c r="F7698" t="s">
        <v>7701</v>
      </c>
      <c r="G7698">
        <v>1</v>
      </c>
    </row>
    <row r="7699" spans="1:7" x14ac:dyDescent="0.25">
      <c r="A7699">
        <v>27</v>
      </c>
      <c r="B7699" t="s">
        <v>7514</v>
      </c>
      <c r="C7699">
        <v>129992</v>
      </c>
      <c r="D7699" t="str">
        <f>"1052-5726"</f>
        <v>1052-5726</v>
      </c>
      <c r="E7699" t="s">
        <v>8</v>
      </c>
      <c r="F7699" t="s">
        <v>7702</v>
      </c>
      <c r="G7699">
        <v>1</v>
      </c>
    </row>
    <row r="7700" spans="1:7" x14ac:dyDescent="0.25">
      <c r="A7700">
        <v>27</v>
      </c>
      <c r="B7700" t="s">
        <v>7514</v>
      </c>
      <c r="C7700">
        <v>7744267</v>
      </c>
      <c r="E7700" t="s">
        <v>8</v>
      </c>
      <c r="F7700" t="s">
        <v>7703</v>
      </c>
      <c r="G7700">
        <v>1</v>
      </c>
    </row>
    <row r="7701" spans="1:7" x14ac:dyDescent="0.25">
      <c r="A7701">
        <v>27</v>
      </c>
      <c r="B7701" t="s">
        <v>7514</v>
      </c>
      <c r="C7701">
        <v>46423</v>
      </c>
      <c r="D7701" t="str">
        <f>"1000-0135"</f>
        <v>1000-0135</v>
      </c>
      <c r="E7701" t="s">
        <v>8</v>
      </c>
      <c r="F7701" t="s">
        <v>7704</v>
      </c>
      <c r="G7701">
        <v>1</v>
      </c>
    </row>
    <row r="7702" spans="1:7" x14ac:dyDescent="0.25">
      <c r="A7702">
        <v>27</v>
      </c>
      <c r="B7702" t="s">
        <v>7514</v>
      </c>
      <c r="C7702">
        <v>16556</v>
      </c>
      <c r="D7702" t="str">
        <f>"1570-0755"</f>
        <v>1570-0755</v>
      </c>
      <c r="E7702" t="s">
        <v>8</v>
      </c>
      <c r="F7702" t="s">
        <v>7705</v>
      </c>
      <c r="G7702">
        <v>1</v>
      </c>
    </row>
    <row r="7703" spans="1:7" x14ac:dyDescent="0.25">
      <c r="A7703">
        <v>27</v>
      </c>
      <c r="B7703" t="s">
        <v>7514</v>
      </c>
      <c r="C7703">
        <v>10494</v>
      </c>
      <c r="D7703" t="str">
        <f>"0956-5698"</f>
        <v>0956-5698</v>
      </c>
      <c r="E7703" t="s">
        <v>8</v>
      </c>
      <c r="F7703" t="s">
        <v>7706</v>
      </c>
      <c r="G7703">
        <v>1</v>
      </c>
    </row>
    <row r="7704" spans="1:7" x14ac:dyDescent="0.25">
      <c r="A7704">
        <v>27</v>
      </c>
      <c r="B7704" t="s">
        <v>7514</v>
      </c>
      <c r="C7704">
        <v>10245</v>
      </c>
      <c r="D7704" t="str">
        <f>"1094-9054"</f>
        <v>1094-9054</v>
      </c>
      <c r="E7704" t="s">
        <v>8</v>
      </c>
      <c r="F7704" t="s">
        <v>7707</v>
      </c>
      <c r="G7704">
        <v>1</v>
      </c>
    </row>
    <row r="7705" spans="1:7" x14ac:dyDescent="0.25">
      <c r="A7705">
        <v>27</v>
      </c>
      <c r="B7705" t="s">
        <v>7514</v>
      </c>
      <c r="C7705">
        <v>3555</v>
      </c>
      <c r="D7705" t="str">
        <f>"0090-7324"</f>
        <v>0090-7324</v>
      </c>
      <c r="E7705" t="s">
        <v>8</v>
      </c>
      <c r="F7705" t="s">
        <v>7708</v>
      </c>
      <c r="G7705">
        <v>1</v>
      </c>
    </row>
    <row r="7706" spans="1:7" x14ac:dyDescent="0.25">
      <c r="A7706">
        <v>27</v>
      </c>
      <c r="B7706" t="s">
        <v>7514</v>
      </c>
      <c r="C7706">
        <v>7693801</v>
      </c>
      <c r="D7706" t="str">
        <f>"1841-1940"</f>
        <v>1841-1940</v>
      </c>
      <c r="E7706" t="s">
        <v>8</v>
      </c>
      <c r="F7706" t="s">
        <v>7709</v>
      </c>
      <c r="G7706">
        <v>1</v>
      </c>
    </row>
    <row r="7707" spans="1:7" x14ac:dyDescent="0.25">
      <c r="A7707">
        <v>27</v>
      </c>
      <c r="B7707" t="s">
        <v>7514</v>
      </c>
      <c r="C7707">
        <v>2238</v>
      </c>
      <c r="D7707" t="str">
        <f>"1667-8982"</f>
        <v>1667-8982</v>
      </c>
      <c r="E7707" t="s">
        <v>8</v>
      </c>
      <c r="F7707" t="s">
        <v>7710</v>
      </c>
      <c r="G7707">
        <v>1</v>
      </c>
    </row>
    <row r="7708" spans="1:7" x14ac:dyDescent="0.25">
      <c r="A7708">
        <v>27</v>
      </c>
      <c r="B7708" t="s">
        <v>7514</v>
      </c>
      <c r="C7708">
        <v>22616</v>
      </c>
      <c r="D7708" t="str">
        <f>"0036-5602"</f>
        <v>0036-5602</v>
      </c>
      <c r="E7708" t="s">
        <v>8</v>
      </c>
      <c r="F7708" t="s">
        <v>7711</v>
      </c>
      <c r="G7708">
        <v>1</v>
      </c>
    </row>
    <row r="7709" spans="1:7" x14ac:dyDescent="0.25">
      <c r="A7709">
        <v>27</v>
      </c>
      <c r="B7709" t="s">
        <v>7514</v>
      </c>
      <c r="C7709">
        <v>8783390</v>
      </c>
      <c r="D7709" t="str">
        <f>" 1923-0702"</f>
        <v xml:space="preserve"> 1923-0702</v>
      </c>
      <c r="E7709" t="s">
        <v>8</v>
      </c>
      <c r="F7709" t="s">
        <v>7712</v>
      </c>
      <c r="G7709">
        <v>1</v>
      </c>
    </row>
    <row r="7710" spans="1:7" x14ac:dyDescent="0.25">
      <c r="A7710">
        <v>27</v>
      </c>
      <c r="B7710" t="s">
        <v>7514</v>
      </c>
      <c r="C7710">
        <v>15136</v>
      </c>
      <c r="D7710" t="str">
        <f>"1023-9391"</f>
        <v>1023-9391</v>
      </c>
      <c r="E7710" t="s">
        <v>8</v>
      </c>
      <c r="F7710" t="s">
        <v>7713</v>
      </c>
      <c r="G7710">
        <v>1</v>
      </c>
    </row>
    <row r="7711" spans="1:7" x14ac:dyDescent="0.25">
      <c r="A7711">
        <v>27</v>
      </c>
      <c r="B7711" t="s">
        <v>7514</v>
      </c>
      <c r="C7711">
        <v>4739</v>
      </c>
      <c r="D7711" t="str">
        <f>"2165-1019"</f>
        <v>2165-1019</v>
      </c>
      <c r="E7711" t="s">
        <v>8</v>
      </c>
      <c r="F7711" t="s">
        <v>7714</v>
      </c>
      <c r="G7711">
        <v>1</v>
      </c>
    </row>
    <row r="7712" spans="1:7" x14ac:dyDescent="0.25">
      <c r="A7712">
        <v>27</v>
      </c>
      <c r="B7712" t="s">
        <v>7514</v>
      </c>
      <c r="C7712">
        <v>15820</v>
      </c>
      <c r="D7712" t="str">
        <f>"0194-262X"</f>
        <v>0194-262X</v>
      </c>
      <c r="E7712" t="s">
        <v>8</v>
      </c>
      <c r="F7712" t="s">
        <v>7715</v>
      </c>
      <c r="G7712">
        <v>1</v>
      </c>
    </row>
    <row r="7713" spans="1:7" x14ac:dyDescent="0.25">
      <c r="A7713">
        <v>27</v>
      </c>
      <c r="B7713" t="s">
        <v>7514</v>
      </c>
      <c r="C7713">
        <v>5010043</v>
      </c>
      <c r="E7713" t="s">
        <v>2100</v>
      </c>
      <c r="F7713" t="s">
        <v>7716</v>
      </c>
      <c r="G7713">
        <v>1</v>
      </c>
    </row>
    <row r="7714" spans="1:7" x14ac:dyDescent="0.25">
      <c r="A7714">
        <v>27</v>
      </c>
      <c r="B7714" t="s">
        <v>7514</v>
      </c>
      <c r="C7714">
        <v>1334</v>
      </c>
      <c r="D7714" t="str">
        <f>"1834-9013"</f>
        <v>1834-9013</v>
      </c>
      <c r="E7714" t="s">
        <v>8</v>
      </c>
      <c r="F7714" t="s">
        <v>7717</v>
      </c>
      <c r="G7714">
        <v>1</v>
      </c>
    </row>
    <row r="7715" spans="1:7" x14ac:dyDescent="0.25">
      <c r="A7715">
        <v>27</v>
      </c>
      <c r="B7715" t="s">
        <v>7514</v>
      </c>
      <c r="C7715">
        <v>15695</v>
      </c>
      <c r="D7715" t="str">
        <f>"0098-7913"</f>
        <v>0098-7913</v>
      </c>
      <c r="E7715" t="s">
        <v>8</v>
      </c>
      <c r="F7715" t="s">
        <v>7718</v>
      </c>
      <c r="G7715">
        <v>1</v>
      </c>
    </row>
    <row r="7716" spans="1:7" x14ac:dyDescent="0.25">
      <c r="A7716">
        <v>27</v>
      </c>
      <c r="B7716" t="s">
        <v>7514</v>
      </c>
      <c r="C7716">
        <v>1815</v>
      </c>
      <c r="D7716" t="str">
        <f>"1522-8886"</f>
        <v>1522-8886</v>
      </c>
      <c r="E7716" t="s">
        <v>8</v>
      </c>
      <c r="F7716" t="s">
        <v>7719</v>
      </c>
      <c r="G7716">
        <v>1</v>
      </c>
    </row>
    <row r="7717" spans="1:7" x14ac:dyDescent="0.25">
      <c r="A7717">
        <v>27</v>
      </c>
      <c r="B7717" t="s">
        <v>7514</v>
      </c>
      <c r="C7717">
        <v>7200</v>
      </c>
      <c r="D7717" t="str">
        <f>"0894-4393"</f>
        <v>0894-4393</v>
      </c>
      <c r="E7717" t="s">
        <v>8</v>
      </c>
      <c r="F7717" t="s">
        <v>7720</v>
      </c>
      <c r="G7717">
        <v>1</v>
      </c>
    </row>
    <row r="7718" spans="1:7" x14ac:dyDescent="0.25">
      <c r="A7718">
        <v>27</v>
      </c>
      <c r="B7718" t="s">
        <v>7514</v>
      </c>
      <c r="C7718">
        <v>8773482</v>
      </c>
      <c r="E7718" t="s">
        <v>8</v>
      </c>
      <c r="F7718" t="s">
        <v>7721</v>
      </c>
      <c r="G7718">
        <v>1</v>
      </c>
    </row>
    <row r="7719" spans="1:7" x14ac:dyDescent="0.25">
      <c r="A7719">
        <v>27</v>
      </c>
      <c r="B7719" t="s">
        <v>7514</v>
      </c>
      <c r="C7719">
        <v>129333</v>
      </c>
      <c r="D7719" t="str">
        <f>"0256-8861"</f>
        <v>0256-8861</v>
      </c>
      <c r="E7719" t="s">
        <v>8</v>
      </c>
      <c r="F7719" t="s">
        <v>7722</v>
      </c>
      <c r="G7719">
        <v>1</v>
      </c>
    </row>
    <row r="7720" spans="1:7" x14ac:dyDescent="0.25">
      <c r="A7720">
        <v>27</v>
      </c>
      <c r="B7720" t="s">
        <v>7514</v>
      </c>
      <c r="C7720">
        <v>2586</v>
      </c>
      <c r="D7720" t="str">
        <f>"0081-7600"</f>
        <v>0081-7600</v>
      </c>
      <c r="E7720" t="s">
        <v>8</v>
      </c>
      <c r="F7720" t="s">
        <v>7723</v>
      </c>
      <c r="G7720">
        <v>1</v>
      </c>
    </row>
    <row r="7721" spans="1:7" x14ac:dyDescent="0.25">
      <c r="A7721">
        <v>27</v>
      </c>
      <c r="B7721" t="s">
        <v>7514</v>
      </c>
      <c r="C7721">
        <v>8782782</v>
      </c>
      <c r="D7721" t="str">
        <f>"1947-945X"</f>
        <v>1947-945X</v>
      </c>
      <c r="E7721" t="s">
        <v>15</v>
      </c>
      <c r="F7721" t="s">
        <v>7724</v>
      </c>
      <c r="G7721">
        <v>1</v>
      </c>
    </row>
    <row r="7722" spans="1:7" x14ac:dyDescent="0.25">
      <c r="A7722">
        <v>27</v>
      </c>
      <c r="B7722" t="s">
        <v>7514</v>
      </c>
      <c r="C7722">
        <v>22615</v>
      </c>
      <c r="D7722" t="str">
        <f>"1057-2252"</f>
        <v>1057-2252</v>
      </c>
      <c r="E7722" t="s">
        <v>8</v>
      </c>
      <c r="F7722" t="s">
        <v>7725</v>
      </c>
      <c r="G7722">
        <v>1</v>
      </c>
    </row>
    <row r="7723" spans="1:7" x14ac:dyDescent="0.25">
      <c r="A7723">
        <v>27</v>
      </c>
      <c r="B7723" t="s">
        <v>7514</v>
      </c>
      <c r="C7723">
        <v>23206</v>
      </c>
      <c r="D7723" t="str">
        <f>"0731-7131"</f>
        <v>0731-7131</v>
      </c>
      <c r="E7723" t="s">
        <v>8</v>
      </c>
      <c r="F7723" t="s">
        <v>7726</v>
      </c>
      <c r="G7723">
        <v>1</v>
      </c>
    </row>
    <row r="7724" spans="1:7" x14ac:dyDescent="0.25">
      <c r="A7724">
        <v>27</v>
      </c>
      <c r="B7724" t="s">
        <v>7514</v>
      </c>
      <c r="C7724">
        <v>8782748</v>
      </c>
      <c r="E7724" t="s">
        <v>2100</v>
      </c>
      <c r="F7724" t="s">
        <v>7727</v>
      </c>
      <c r="G7724">
        <v>1</v>
      </c>
    </row>
    <row r="7725" spans="1:7" x14ac:dyDescent="0.25">
      <c r="A7725">
        <v>27</v>
      </c>
      <c r="B7725" t="s">
        <v>7514</v>
      </c>
      <c r="C7725">
        <v>16748</v>
      </c>
      <c r="E7725" t="s">
        <v>8</v>
      </c>
      <c r="F7725" t="s">
        <v>7728</v>
      </c>
      <c r="G7725">
        <v>1</v>
      </c>
    </row>
    <row r="7726" spans="1:7" x14ac:dyDescent="0.25">
      <c r="A7726">
        <v>27</v>
      </c>
      <c r="B7726" t="s">
        <v>7514</v>
      </c>
      <c r="C7726">
        <v>16496</v>
      </c>
      <c r="E7726" t="s">
        <v>8</v>
      </c>
      <c r="F7726" t="s">
        <v>7729</v>
      </c>
      <c r="G7726">
        <v>1</v>
      </c>
    </row>
    <row r="7727" spans="1:7" x14ac:dyDescent="0.25">
      <c r="A7727">
        <v>27</v>
      </c>
      <c r="B7727" t="s">
        <v>7514</v>
      </c>
      <c r="C7727">
        <v>10788</v>
      </c>
      <c r="D7727" t="str">
        <f>"0264-0473"</f>
        <v>0264-0473</v>
      </c>
      <c r="E7727" t="s">
        <v>8</v>
      </c>
      <c r="F7727" t="s">
        <v>7730</v>
      </c>
      <c r="G7727">
        <v>1</v>
      </c>
    </row>
    <row r="7728" spans="1:7" x14ac:dyDescent="0.25">
      <c r="A7728">
        <v>27</v>
      </c>
      <c r="B7728" t="s">
        <v>7514</v>
      </c>
      <c r="C7728">
        <v>8517</v>
      </c>
      <c r="D7728" t="str">
        <f>"0019-4131"</f>
        <v>0019-4131</v>
      </c>
      <c r="E7728" t="s">
        <v>8</v>
      </c>
      <c r="F7728" t="s">
        <v>7731</v>
      </c>
      <c r="G7728">
        <v>1</v>
      </c>
    </row>
    <row r="7729" spans="1:7" x14ac:dyDescent="0.25">
      <c r="A7729">
        <v>27</v>
      </c>
      <c r="B7729" t="s">
        <v>7514</v>
      </c>
      <c r="C7729">
        <v>8782927</v>
      </c>
      <c r="E7729" t="s">
        <v>8</v>
      </c>
      <c r="F7729" t="s">
        <v>7732</v>
      </c>
      <c r="G7729">
        <v>1</v>
      </c>
    </row>
    <row r="7730" spans="1:7" x14ac:dyDescent="0.25">
      <c r="A7730">
        <v>27</v>
      </c>
      <c r="B7730" t="s">
        <v>7514</v>
      </c>
      <c r="C7730">
        <v>6158730</v>
      </c>
      <c r="D7730" t="str">
        <f>"1835-2014"</f>
        <v>1835-2014</v>
      </c>
      <c r="E7730" t="s">
        <v>8</v>
      </c>
      <c r="F7730" t="s">
        <v>7733</v>
      </c>
      <c r="G7730">
        <v>1</v>
      </c>
    </row>
    <row r="7731" spans="1:7" x14ac:dyDescent="0.25">
      <c r="A7731">
        <v>27</v>
      </c>
      <c r="B7731" t="s">
        <v>7514</v>
      </c>
      <c r="C7731">
        <v>4601</v>
      </c>
      <c r="D7731" t="str">
        <f>"0099-1333"</f>
        <v>0099-1333</v>
      </c>
      <c r="E7731" t="s">
        <v>8</v>
      </c>
      <c r="F7731" t="s">
        <v>7734</v>
      </c>
      <c r="G7731">
        <v>1</v>
      </c>
    </row>
    <row r="7732" spans="1:7" x14ac:dyDescent="0.25">
      <c r="A7732">
        <v>27</v>
      </c>
      <c r="B7732" t="s">
        <v>7514</v>
      </c>
      <c r="C7732">
        <v>8770296</v>
      </c>
      <c r="D7732" t="str">
        <f>"2330-4227"</f>
        <v>2330-4227</v>
      </c>
      <c r="E7732" t="s">
        <v>8</v>
      </c>
      <c r="F7732" t="s">
        <v>7735</v>
      </c>
      <c r="G7732">
        <v>1</v>
      </c>
    </row>
    <row r="7733" spans="1:7" x14ac:dyDescent="0.25">
      <c r="A7733">
        <v>27</v>
      </c>
      <c r="B7733" t="s">
        <v>7514</v>
      </c>
      <c r="C7733">
        <v>4779</v>
      </c>
      <c r="D7733" t="str">
        <f>"0024-2160"</f>
        <v>0024-2160</v>
      </c>
      <c r="E7733" t="s">
        <v>8</v>
      </c>
      <c r="F7733" t="s">
        <v>7736</v>
      </c>
      <c r="G7733">
        <v>1</v>
      </c>
    </row>
    <row r="7734" spans="1:7" x14ac:dyDescent="0.25">
      <c r="A7734">
        <v>27</v>
      </c>
      <c r="B7734" t="s">
        <v>7514</v>
      </c>
      <c r="C7734">
        <v>8783399</v>
      </c>
      <c r="E7734" t="s">
        <v>8</v>
      </c>
      <c r="F7734" t="s">
        <v>7737</v>
      </c>
      <c r="G7734">
        <v>1</v>
      </c>
    </row>
    <row r="7735" spans="1:7" x14ac:dyDescent="0.25">
      <c r="A7735">
        <v>27</v>
      </c>
      <c r="B7735" t="s">
        <v>7514</v>
      </c>
      <c r="C7735">
        <v>3499</v>
      </c>
      <c r="D7735" t="str">
        <f>"1361-4533"</f>
        <v>1361-4533</v>
      </c>
      <c r="E7735" t="s">
        <v>8</v>
      </c>
      <c r="F7735" t="s">
        <v>7738</v>
      </c>
      <c r="G7735">
        <v>1</v>
      </c>
    </row>
    <row r="7736" spans="1:7" x14ac:dyDescent="0.25">
      <c r="A7736">
        <v>27</v>
      </c>
      <c r="B7736" t="s">
        <v>7514</v>
      </c>
      <c r="C7736">
        <v>7911</v>
      </c>
      <c r="D7736" t="str">
        <f>"1361-4541"</f>
        <v>1361-4541</v>
      </c>
      <c r="E7736" t="s">
        <v>8</v>
      </c>
      <c r="F7736" t="s">
        <v>7739</v>
      </c>
      <c r="G7736">
        <v>1</v>
      </c>
    </row>
    <row r="7737" spans="1:7" x14ac:dyDescent="0.25">
      <c r="A7737">
        <v>27</v>
      </c>
      <c r="B7737" t="s">
        <v>7514</v>
      </c>
      <c r="C7737">
        <v>5464</v>
      </c>
      <c r="D7737" t="str">
        <f>"1361-4576"</f>
        <v>1361-4576</v>
      </c>
      <c r="E7737" t="s">
        <v>8</v>
      </c>
      <c r="F7737" t="s">
        <v>7740</v>
      </c>
      <c r="G7737">
        <v>1</v>
      </c>
    </row>
    <row r="7738" spans="1:7" x14ac:dyDescent="0.25">
      <c r="A7738">
        <v>27</v>
      </c>
      <c r="B7738" t="s">
        <v>7514</v>
      </c>
      <c r="C7738">
        <v>12494</v>
      </c>
      <c r="D7738" t="str">
        <f>"0006-128X"</f>
        <v>0006-128X</v>
      </c>
      <c r="E7738" t="s">
        <v>8</v>
      </c>
      <c r="F7738" t="s">
        <v>7741</v>
      </c>
      <c r="G7738">
        <v>1</v>
      </c>
    </row>
    <row r="7739" spans="1:7" x14ac:dyDescent="0.25">
      <c r="A7739">
        <v>27</v>
      </c>
      <c r="B7739" t="s">
        <v>7514</v>
      </c>
      <c r="C7739">
        <v>1852</v>
      </c>
      <c r="D7739" t="str">
        <f>"0276-3877"</f>
        <v>0276-3877</v>
      </c>
      <c r="E7739" t="s">
        <v>8</v>
      </c>
      <c r="F7739" t="s">
        <v>7742</v>
      </c>
      <c r="G7739">
        <v>1</v>
      </c>
    </row>
    <row r="7740" spans="1:7" x14ac:dyDescent="0.25">
      <c r="A7740">
        <v>27</v>
      </c>
      <c r="B7740" t="s">
        <v>7514</v>
      </c>
      <c r="C7740">
        <v>9946</v>
      </c>
      <c r="D7740" t="str">
        <f>"0361-526X"</f>
        <v>0361-526X</v>
      </c>
      <c r="E7740" t="s">
        <v>8</v>
      </c>
      <c r="F7740" t="s">
        <v>7743</v>
      </c>
      <c r="G7740">
        <v>1</v>
      </c>
    </row>
    <row r="7741" spans="1:7" x14ac:dyDescent="0.25">
      <c r="A7741">
        <v>27</v>
      </c>
      <c r="B7741" t="s">
        <v>7514</v>
      </c>
      <c r="C7741">
        <v>8782933</v>
      </c>
      <c r="D7741" t="str">
        <f>"2369-9779"</f>
        <v>2369-9779</v>
      </c>
      <c r="E7741" t="s">
        <v>8</v>
      </c>
      <c r="F7741" t="s">
        <v>7744</v>
      </c>
      <c r="G7741">
        <v>1</v>
      </c>
    </row>
    <row r="7742" spans="1:7" x14ac:dyDescent="0.25">
      <c r="A7742">
        <v>27</v>
      </c>
      <c r="B7742" t="s">
        <v>7514</v>
      </c>
      <c r="C7742">
        <v>816</v>
      </c>
      <c r="D7742" t="str">
        <f>"0068-6611"</f>
        <v>0068-6611</v>
      </c>
      <c r="E7742" t="s">
        <v>8</v>
      </c>
      <c r="F7742" t="s">
        <v>7745</v>
      </c>
      <c r="G7742">
        <v>1</v>
      </c>
    </row>
    <row r="7743" spans="1:7" x14ac:dyDescent="0.25">
      <c r="A7743">
        <v>27</v>
      </c>
      <c r="B7743" t="s">
        <v>7514</v>
      </c>
      <c r="C7743">
        <v>12191</v>
      </c>
      <c r="D7743" t="str">
        <f>"1820-4503"</f>
        <v>1820-4503</v>
      </c>
      <c r="E7743" t="s">
        <v>8</v>
      </c>
      <c r="F7743" t="s">
        <v>7746</v>
      </c>
      <c r="G7743">
        <v>1</v>
      </c>
    </row>
    <row r="7744" spans="1:7" x14ac:dyDescent="0.25">
      <c r="A7744">
        <v>27</v>
      </c>
      <c r="B7744" t="s">
        <v>7514</v>
      </c>
      <c r="C7744">
        <v>1786</v>
      </c>
      <c r="D7744" t="str">
        <f>"1615-5289"</f>
        <v>1615-5289</v>
      </c>
      <c r="E7744" t="s">
        <v>8</v>
      </c>
      <c r="F7744" t="s">
        <v>7747</v>
      </c>
      <c r="G7744">
        <v>1</v>
      </c>
    </row>
    <row r="7745" spans="1:7" x14ac:dyDescent="0.25">
      <c r="A7745">
        <v>27</v>
      </c>
      <c r="B7745" t="s">
        <v>7514</v>
      </c>
      <c r="C7745">
        <v>14964</v>
      </c>
      <c r="D7745" t="str">
        <f>"0197-3762"</f>
        <v>0197-3762</v>
      </c>
      <c r="E7745" t="s">
        <v>8</v>
      </c>
      <c r="F7745" t="s">
        <v>7748</v>
      </c>
      <c r="G7745">
        <v>1</v>
      </c>
    </row>
    <row r="7746" spans="1:7" x14ac:dyDescent="0.25">
      <c r="A7746">
        <v>27</v>
      </c>
      <c r="B7746" t="s">
        <v>7514</v>
      </c>
      <c r="C7746">
        <v>8768646</v>
      </c>
      <c r="E7746" t="s">
        <v>8</v>
      </c>
      <c r="F7746" t="s">
        <v>7749</v>
      </c>
      <c r="G7746">
        <v>1</v>
      </c>
    </row>
    <row r="7747" spans="1:7" x14ac:dyDescent="0.25">
      <c r="A7747">
        <v>27</v>
      </c>
      <c r="B7747" t="s">
        <v>7514</v>
      </c>
      <c r="C7747">
        <v>27683</v>
      </c>
      <c r="D7747" t="str">
        <f>"2155-7896"</f>
        <v>2155-7896</v>
      </c>
      <c r="E7747" t="s">
        <v>8</v>
      </c>
      <c r="F7747" t="s">
        <v>7750</v>
      </c>
      <c r="G7747">
        <v>1</v>
      </c>
    </row>
    <row r="7748" spans="1:7" x14ac:dyDescent="0.25">
      <c r="A7748">
        <v>27</v>
      </c>
      <c r="B7748" t="s">
        <v>7514</v>
      </c>
      <c r="C7748">
        <v>13079</v>
      </c>
      <c r="D7748" t="str">
        <f>"1386-145X"</f>
        <v>1386-145X</v>
      </c>
      <c r="E7748" t="s">
        <v>8</v>
      </c>
      <c r="F7748" t="s">
        <v>7751</v>
      </c>
      <c r="G7748">
        <v>1</v>
      </c>
    </row>
    <row r="7749" spans="1:7" x14ac:dyDescent="0.25">
      <c r="A7749">
        <v>27</v>
      </c>
      <c r="B7749" t="s">
        <v>7514</v>
      </c>
      <c r="C7749">
        <v>11262</v>
      </c>
      <c r="D7749" t="str">
        <f>"0044-2380"</f>
        <v>0044-2380</v>
      </c>
      <c r="E7749" t="s">
        <v>8</v>
      </c>
      <c r="F7749" t="s">
        <v>7752</v>
      </c>
      <c r="G7749">
        <v>1</v>
      </c>
    </row>
    <row r="7750" spans="1:7" x14ac:dyDescent="0.25">
      <c r="A7750">
        <v>27</v>
      </c>
      <c r="B7750" t="s">
        <v>7514</v>
      </c>
      <c r="C7750">
        <v>53331</v>
      </c>
      <c r="D7750" t="str">
        <f>"1673-5188"</f>
        <v>1673-5188</v>
      </c>
      <c r="E7750" t="s">
        <v>8</v>
      </c>
      <c r="F7750" t="s">
        <v>7753</v>
      </c>
      <c r="G7750">
        <v>1</v>
      </c>
    </row>
    <row r="7751" spans="1:7" x14ac:dyDescent="0.25">
      <c r="A7751">
        <v>28</v>
      </c>
      <c r="B7751" t="s">
        <v>7754</v>
      </c>
      <c r="C7751">
        <v>2719</v>
      </c>
      <c r="D7751" t="str">
        <f>"0084-6597"</f>
        <v>0084-6597</v>
      </c>
      <c r="E7751" t="s">
        <v>8</v>
      </c>
      <c r="F7751" t="s">
        <v>7755</v>
      </c>
      <c r="G7751">
        <v>3</v>
      </c>
    </row>
    <row r="7752" spans="1:7" x14ac:dyDescent="0.25">
      <c r="A7752">
        <v>28</v>
      </c>
      <c r="B7752" t="s">
        <v>7754</v>
      </c>
      <c r="C7752">
        <v>27565</v>
      </c>
      <c r="D7752" t="str">
        <f>"1752-0894"</f>
        <v>1752-0894</v>
      </c>
      <c r="E7752" t="s">
        <v>8</v>
      </c>
      <c r="F7752" t="s">
        <v>7756</v>
      </c>
      <c r="G7752">
        <v>3</v>
      </c>
    </row>
    <row r="7753" spans="1:7" x14ac:dyDescent="0.25">
      <c r="A7753">
        <v>28</v>
      </c>
      <c r="B7753" t="s">
        <v>7754</v>
      </c>
      <c r="C7753">
        <v>3652</v>
      </c>
      <c r="D7753" t="str">
        <f>"8755-1209"</f>
        <v>8755-1209</v>
      </c>
      <c r="E7753" t="s">
        <v>8</v>
      </c>
      <c r="F7753" t="s">
        <v>7757</v>
      </c>
      <c r="G7753">
        <v>3</v>
      </c>
    </row>
    <row r="7754" spans="1:7" x14ac:dyDescent="0.25">
      <c r="A7754">
        <v>28</v>
      </c>
      <c r="B7754" t="s">
        <v>7754</v>
      </c>
      <c r="C7754">
        <v>5073</v>
      </c>
      <c r="D7754" t="str">
        <f>"0065-2687"</f>
        <v>0065-2687</v>
      </c>
      <c r="E7754" t="s">
        <v>15</v>
      </c>
      <c r="F7754" t="s">
        <v>7758</v>
      </c>
      <c r="G7754">
        <v>2</v>
      </c>
    </row>
    <row r="7755" spans="1:7" x14ac:dyDescent="0.25">
      <c r="A7755">
        <v>28</v>
      </c>
      <c r="B7755" t="s">
        <v>7754</v>
      </c>
      <c r="C7755">
        <v>15798</v>
      </c>
      <c r="D7755" t="str">
        <f>"0168-1923"</f>
        <v>0168-1923</v>
      </c>
      <c r="E7755" t="s">
        <v>8</v>
      </c>
      <c r="F7755" t="s">
        <v>7759</v>
      </c>
      <c r="G7755">
        <v>2</v>
      </c>
    </row>
    <row r="7756" spans="1:7" x14ac:dyDescent="0.25">
      <c r="A7756">
        <v>28</v>
      </c>
      <c r="B7756" t="s">
        <v>7754</v>
      </c>
      <c r="C7756">
        <v>14694</v>
      </c>
      <c r="D7756" t="str">
        <f>"1680-7316"</f>
        <v>1680-7316</v>
      </c>
      <c r="E7756" t="s">
        <v>8</v>
      </c>
      <c r="F7756" t="s">
        <v>7760</v>
      </c>
      <c r="G7756">
        <v>2</v>
      </c>
    </row>
    <row r="7757" spans="1:7" x14ac:dyDescent="0.25">
      <c r="A7757">
        <v>28</v>
      </c>
      <c r="B7757" t="s">
        <v>7754</v>
      </c>
      <c r="C7757">
        <v>14968</v>
      </c>
      <c r="D7757" t="str">
        <f>"0003-0007"</f>
        <v>0003-0007</v>
      </c>
      <c r="E7757" t="s">
        <v>8</v>
      </c>
      <c r="F7757" t="s">
        <v>7761</v>
      </c>
      <c r="G7757">
        <v>2</v>
      </c>
    </row>
    <row r="7758" spans="1:7" x14ac:dyDescent="0.25">
      <c r="A7758">
        <v>28</v>
      </c>
      <c r="B7758" t="s">
        <v>7754</v>
      </c>
      <c r="C7758">
        <v>6323</v>
      </c>
      <c r="D7758" t="str">
        <f>"0009-2541"</f>
        <v>0009-2541</v>
      </c>
      <c r="E7758" t="s">
        <v>8</v>
      </c>
      <c r="F7758" t="s">
        <v>7762</v>
      </c>
      <c r="G7758">
        <v>2</v>
      </c>
    </row>
    <row r="7759" spans="1:7" x14ac:dyDescent="0.25">
      <c r="A7759">
        <v>28</v>
      </c>
      <c r="B7759" t="s">
        <v>7754</v>
      </c>
      <c r="C7759">
        <v>1558</v>
      </c>
      <c r="D7759" t="str">
        <f>"0930-7575"</f>
        <v>0930-7575</v>
      </c>
      <c r="E7759" t="s">
        <v>8</v>
      </c>
      <c r="F7759" t="s">
        <v>7763</v>
      </c>
      <c r="G7759">
        <v>2</v>
      </c>
    </row>
    <row r="7760" spans="1:7" x14ac:dyDescent="0.25">
      <c r="A7760">
        <v>28</v>
      </c>
      <c r="B7760" t="s">
        <v>7754</v>
      </c>
      <c r="C7760">
        <v>14445</v>
      </c>
      <c r="D7760" t="str">
        <f>"0010-7999"</f>
        <v>0010-7999</v>
      </c>
      <c r="E7760" t="s">
        <v>8</v>
      </c>
      <c r="F7760" t="s">
        <v>7764</v>
      </c>
      <c r="G7760">
        <v>2</v>
      </c>
    </row>
    <row r="7761" spans="1:7" x14ac:dyDescent="0.25">
      <c r="A7761">
        <v>28</v>
      </c>
      <c r="B7761" t="s">
        <v>7754</v>
      </c>
      <c r="C7761">
        <v>14002</v>
      </c>
      <c r="D7761" t="str">
        <f>"0012-821X"</f>
        <v>0012-821X</v>
      </c>
      <c r="E7761" t="s">
        <v>8</v>
      </c>
      <c r="F7761" t="s">
        <v>7765</v>
      </c>
      <c r="G7761">
        <v>2</v>
      </c>
    </row>
    <row r="7762" spans="1:7" x14ac:dyDescent="0.25">
      <c r="A7762">
        <v>28</v>
      </c>
      <c r="B7762" t="s">
        <v>7754</v>
      </c>
      <c r="C7762">
        <v>14063</v>
      </c>
      <c r="D7762" t="str">
        <f>"0012-8252"</f>
        <v>0012-8252</v>
      </c>
      <c r="E7762" t="s">
        <v>8</v>
      </c>
      <c r="F7762" t="s">
        <v>7766</v>
      </c>
      <c r="G7762">
        <v>2</v>
      </c>
    </row>
    <row r="7763" spans="1:7" x14ac:dyDescent="0.25">
      <c r="A7763">
        <v>28</v>
      </c>
      <c r="B7763" t="s">
        <v>7754</v>
      </c>
      <c r="C7763">
        <v>4701</v>
      </c>
      <c r="D7763" t="str">
        <f>"1472-4677"</f>
        <v>1472-4677</v>
      </c>
      <c r="E7763" t="s">
        <v>8</v>
      </c>
      <c r="F7763" t="s">
        <v>7767</v>
      </c>
      <c r="G7763">
        <v>2</v>
      </c>
    </row>
    <row r="7764" spans="1:7" x14ac:dyDescent="0.25">
      <c r="A7764">
        <v>28</v>
      </c>
      <c r="B7764" t="s">
        <v>7754</v>
      </c>
      <c r="C7764">
        <v>10796</v>
      </c>
      <c r="D7764" t="str">
        <f>"0016-7037"</f>
        <v>0016-7037</v>
      </c>
      <c r="E7764" t="s">
        <v>8</v>
      </c>
      <c r="F7764" t="s">
        <v>7768</v>
      </c>
      <c r="G7764">
        <v>2</v>
      </c>
    </row>
    <row r="7765" spans="1:7" x14ac:dyDescent="0.25">
      <c r="A7765">
        <v>28</v>
      </c>
      <c r="B7765" t="s">
        <v>7754</v>
      </c>
      <c r="C7765">
        <v>5129</v>
      </c>
      <c r="D7765" t="str">
        <f>"0091-7613"</f>
        <v>0091-7613</v>
      </c>
      <c r="E7765" t="s">
        <v>8</v>
      </c>
      <c r="F7765" t="s">
        <v>7769</v>
      </c>
      <c r="G7765">
        <v>2</v>
      </c>
    </row>
    <row r="7766" spans="1:7" x14ac:dyDescent="0.25">
      <c r="A7766">
        <v>28</v>
      </c>
      <c r="B7766" t="s">
        <v>7754</v>
      </c>
      <c r="C7766">
        <v>4460</v>
      </c>
      <c r="D7766" t="str">
        <f>"0886-6236"</f>
        <v>0886-6236</v>
      </c>
      <c r="E7766" t="s">
        <v>8</v>
      </c>
      <c r="F7766" t="s">
        <v>7770</v>
      </c>
      <c r="G7766">
        <v>2</v>
      </c>
    </row>
    <row r="7767" spans="1:7" x14ac:dyDescent="0.25">
      <c r="A7767">
        <v>28</v>
      </c>
      <c r="B7767" t="s">
        <v>7754</v>
      </c>
      <c r="C7767">
        <v>11409</v>
      </c>
      <c r="D7767" t="str">
        <f>"0196-2892"</f>
        <v>0196-2892</v>
      </c>
      <c r="E7767" t="s">
        <v>8</v>
      </c>
      <c r="F7767" t="s">
        <v>7771</v>
      </c>
      <c r="G7767">
        <v>2</v>
      </c>
    </row>
    <row r="7768" spans="1:7" x14ac:dyDescent="0.25">
      <c r="A7768">
        <v>28</v>
      </c>
      <c r="B7768" t="s">
        <v>7754</v>
      </c>
      <c r="C7768">
        <v>8723</v>
      </c>
      <c r="D7768" t="str">
        <f>"0894-8755"</f>
        <v>0894-8755</v>
      </c>
      <c r="E7768" t="s">
        <v>8</v>
      </c>
      <c r="F7768" t="s">
        <v>7772</v>
      </c>
      <c r="G7768">
        <v>2</v>
      </c>
    </row>
    <row r="7769" spans="1:7" x14ac:dyDescent="0.25">
      <c r="A7769">
        <v>28</v>
      </c>
      <c r="B7769" t="s">
        <v>7754</v>
      </c>
      <c r="C7769">
        <v>4498</v>
      </c>
      <c r="D7769" t="str">
        <f>"0949-7714"</f>
        <v>0949-7714</v>
      </c>
      <c r="E7769" t="s">
        <v>8</v>
      </c>
      <c r="F7769" t="s">
        <v>7773</v>
      </c>
      <c r="G7769">
        <v>2</v>
      </c>
    </row>
    <row r="7770" spans="1:7" x14ac:dyDescent="0.25">
      <c r="A7770">
        <v>28</v>
      </c>
      <c r="B7770" t="s">
        <v>7754</v>
      </c>
      <c r="C7770">
        <v>14725</v>
      </c>
      <c r="D7770" t="str">
        <f>"0148-0227"</f>
        <v>0148-0227</v>
      </c>
      <c r="E7770" t="s">
        <v>8</v>
      </c>
      <c r="F7770" t="s">
        <v>7774</v>
      </c>
      <c r="G7770">
        <v>2</v>
      </c>
    </row>
    <row r="7771" spans="1:7" x14ac:dyDescent="0.25">
      <c r="A7771">
        <v>28</v>
      </c>
      <c r="B7771" t="s">
        <v>7754</v>
      </c>
      <c r="C7771">
        <v>5935</v>
      </c>
      <c r="D7771" t="str">
        <f>"0022-1694"</f>
        <v>0022-1694</v>
      </c>
      <c r="E7771" t="s">
        <v>8</v>
      </c>
      <c r="F7771" t="s">
        <v>7775</v>
      </c>
      <c r="G7771">
        <v>2</v>
      </c>
    </row>
    <row r="7772" spans="1:7" x14ac:dyDescent="0.25">
      <c r="A7772">
        <v>28</v>
      </c>
      <c r="B7772" t="s">
        <v>7754</v>
      </c>
      <c r="C7772">
        <v>2345</v>
      </c>
      <c r="D7772" t="str">
        <f>"0022-3530"</f>
        <v>0022-3530</v>
      </c>
      <c r="E7772" t="s">
        <v>8</v>
      </c>
      <c r="F7772" t="s">
        <v>7776</v>
      </c>
      <c r="G7772">
        <v>2</v>
      </c>
    </row>
    <row r="7773" spans="1:7" x14ac:dyDescent="0.25">
      <c r="A7773">
        <v>28</v>
      </c>
      <c r="B7773" t="s">
        <v>7754</v>
      </c>
      <c r="C7773">
        <v>2622</v>
      </c>
      <c r="D7773" t="str">
        <f>"0883-8305"</f>
        <v>0883-8305</v>
      </c>
      <c r="E7773" t="s">
        <v>8</v>
      </c>
      <c r="F7773" t="s">
        <v>7777</v>
      </c>
      <c r="G7773">
        <v>2</v>
      </c>
    </row>
    <row r="7774" spans="1:7" x14ac:dyDescent="0.25">
      <c r="A7774">
        <v>28</v>
      </c>
      <c r="B7774" t="s">
        <v>7754</v>
      </c>
      <c r="C7774">
        <v>2758</v>
      </c>
      <c r="D7774" t="str">
        <f>"0301-9268"</f>
        <v>0301-9268</v>
      </c>
      <c r="E7774" t="s">
        <v>8</v>
      </c>
      <c r="F7774" t="s">
        <v>7778</v>
      </c>
      <c r="G7774">
        <v>2</v>
      </c>
    </row>
    <row r="7775" spans="1:7" x14ac:dyDescent="0.25">
      <c r="A7775">
        <v>28</v>
      </c>
      <c r="B7775" t="s">
        <v>7754</v>
      </c>
      <c r="C7775">
        <v>16389</v>
      </c>
      <c r="D7775" t="str">
        <f>"0277-3791"</f>
        <v>0277-3791</v>
      </c>
      <c r="E7775" t="s">
        <v>8</v>
      </c>
      <c r="F7775" t="s">
        <v>7779</v>
      </c>
      <c r="G7775">
        <v>2</v>
      </c>
    </row>
    <row r="7776" spans="1:7" x14ac:dyDescent="0.25">
      <c r="A7776">
        <v>28</v>
      </c>
      <c r="B7776" t="s">
        <v>7754</v>
      </c>
      <c r="C7776">
        <v>1613</v>
      </c>
      <c r="D7776" t="str">
        <f>"0034-4257"</f>
        <v>0034-4257</v>
      </c>
      <c r="E7776" t="s">
        <v>8</v>
      </c>
      <c r="F7776" t="s">
        <v>7780</v>
      </c>
      <c r="G7776">
        <v>2</v>
      </c>
    </row>
    <row r="7777" spans="1:7" x14ac:dyDescent="0.25">
      <c r="A7777">
        <v>28</v>
      </c>
      <c r="B7777" t="s">
        <v>7754</v>
      </c>
      <c r="C7777">
        <v>7011</v>
      </c>
      <c r="D7777" t="str">
        <f>"0278-7407"</f>
        <v>0278-7407</v>
      </c>
      <c r="E7777" t="s">
        <v>8</v>
      </c>
      <c r="F7777" t="s">
        <v>7781</v>
      </c>
      <c r="G7777">
        <v>2</v>
      </c>
    </row>
    <row r="7778" spans="1:7" x14ac:dyDescent="0.25">
      <c r="A7778">
        <v>28</v>
      </c>
      <c r="B7778" t="s">
        <v>7754</v>
      </c>
      <c r="C7778">
        <v>9358</v>
      </c>
      <c r="D7778" t="str">
        <f>"0583-6050"</f>
        <v>0583-6050</v>
      </c>
      <c r="E7778" t="s">
        <v>8</v>
      </c>
      <c r="F7778" t="s">
        <v>7782</v>
      </c>
      <c r="G7778">
        <v>1</v>
      </c>
    </row>
    <row r="7779" spans="1:7" x14ac:dyDescent="0.25">
      <c r="A7779">
        <v>28</v>
      </c>
      <c r="B7779" t="s">
        <v>7754</v>
      </c>
      <c r="C7779">
        <v>17537</v>
      </c>
      <c r="D7779" t="str">
        <f>"0001-5709"</f>
        <v>0001-5709</v>
      </c>
      <c r="E7779" t="s">
        <v>8</v>
      </c>
      <c r="F7779" t="s">
        <v>7783</v>
      </c>
      <c r="G7779">
        <v>1</v>
      </c>
    </row>
    <row r="7780" spans="1:7" x14ac:dyDescent="0.25">
      <c r="A7780">
        <v>28</v>
      </c>
      <c r="B7780" t="s">
        <v>7754</v>
      </c>
      <c r="C7780">
        <v>4949</v>
      </c>
      <c r="D7780" t="str">
        <f>"1000-9515"</f>
        <v>1000-9515</v>
      </c>
      <c r="E7780" t="s">
        <v>8</v>
      </c>
      <c r="F7780" t="s">
        <v>7784</v>
      </c>
      <c r="G7780">
        <v>1</v>
      </c>
    </row>
    <row r="7781" spans="1:7" x14ac:dyDescent="0.25">
      <c r="A7781">
        <v>28</v>
      </c>
      <c r="B7781" t="s">
        <v>7754</v>
      </c>
      <c r="C7781">
        <v>17523</v>
      </c>
      <c r="D7781" t="str">
        <f>"1895-6572"</f>
        <v>1895-6572</v>
      </c>
      <c r="E7781" t="s">
        <v>8</v>
      </c>
      <c r="F7781" t="s">
        <v>7785</v>
      </c>
      <c r="G7781">
        <v>1</v>
      </c>
    </row>
    <row r="7782" spans="1:7" x14ac:dyDescent="0.25">
      <c r="A7782">
        <v>28</v>
      </c>
      <c r="B7782" t="s">
        <v>7754</v>
      </c>
      <c r="C7782">
        <v>2890</v>
      </c>
      <c r="D7782" t="str">
        <f>"0253-505X"</f>
        <v>0253-505X</v>
      </c>
      <c r="E7782" t="s">
        <v>8</v>
      </c>
      <c r="F7782" t="s">
        <v>7786</v>
      </c>
      <c r="G7782">
        <v>1</v>
      </c>
    </row>
    <row r="7783" spans="1:7" x14ac:dyDescent="0.25">
      <c r="A7783">
        <v>28</v>
      </c>
      <c r="B7783" t="s">
        <v>7754</v>
      </c>
      <c r="C7783">
        <v>14562</v>
      </c>
      <c r="D7783" t="str">
        <f>"0567-7920"</f>
        <v>0567-7920</v>
      </c>
      <c r="E7783" t="s">
        <v>8</v>
      </c>
      <c r="F7783" t="s">
        <v>7787</v>
      </c>
      <c r="G7783">
        <v>1</v>
      </c>
    </row>
    <row r="7784" spans="1:7" x14ac:dyDescent="0.25">
      <c r="A7784">
        <v>28</v>
      </c>
      <c r="B7784" t="s">
        <v>7754</v>
      </c>
      <c r="C7784">
        <v>8783814</v>
      </c>
      <c r="E7784" t="s">
        <v>15</v>
      </c>
      <c r="F7784" t="s">
        <v>7788</v>
      </c>
      <c r="G7784">
        <v>1</v>
      </c>
    </row>
    <row r="7785" spans="1:7" x14ac:dyDescent="0.25">
      <c r="A7785">
        <v>28</v>
      </c>
      <c r="B7785" t="s">
        <v>7754</v>
      </c>
      <c r="C7785">
        <v>11647</v>
      </c>
      <c r="D7785" t="str">
        <f>"0256-1530"</f>
        <v>0256-1530</v>
      </c>
      <c r="E7785" t="s">
        <v>8</v>
      </c>
      <c r="F7785" t="s">
        <v>7789</v>
      </c>
      <c r="G7785">
        <v>1</v>
      </c>
    </row>
    <row r="7786" spans="1:7" x14ac:dyDescent="0.25">
      <c r="A7786">
        <v>28</v>
      </c>
      <c r="B7786" t="s">
        <v>7754</v>
      </c>
      <c r="C7786">
        <v>7082</v>
      </c>
      <c r="D7786" t="str">
        <f>"1680-7340"</f>
        <v>1680-7340</v>
      </c>
      <c r="E7786" t="s">
        <v>8</v>
      </c>
      <c r="F7786" t="s">
        <v>7790</v>
      </c>
      <c r="G7786">
        <v>1</v>
      </c>
    </row>
    <row r="7787" spans="1:7" x14ac:dyDescent="0.25">
      <c r="A7787">
        <v>28</v>
      </c>
      <c r="B7787" t="s">
        <v>7754</v>
      </c>
      <c r="C7787">
        <v>15673</v>
      </c>
      <c r="D7787" t="str">
        <f>"0273-1177"</f>
        <v>0273-1177</v>
      </c>
      <c r="E7787" t="s">
        <v>8</v>
      </c>
      <c r="F7787" t="s">
        <v>7791</v>
      </c>
      <c r="G7787">
        <v>1</v>
      </c>
    </row>
    <row r="7788" spans="1:7" x14ac:dyDescent="0.25">
      <c r="A7788">
        <v>28</v>
      </c>
      <c r="B7788" t="s">
        <v>7754</v>
      </c>
      <c r="C7788">
        <v>230</v>
      </c>
      <c r="D7788" t="str">
        <f>"0309-1708"</f>
        <v>0309-1708</v>
      </c>
      <c r="E7788" t="s">
        <v>8</v>
      </c>
      <c r="F7788" t="s">
        <v>7792</v>
      </c>
      <c r="G7788">
        <v>1</v>
      </c>
    </row>
    <row r="7789" spans="1:7" x14ac:dyDescent="0.25">
      <c r="A7789">
        <v>28</v>
      </c>
      <c r="B7789" t="s">
        <v>7754</v>
      </c>
      <c r="C7789">
        <v>6008123</v>
      </c>
      <c r="D7789" t="str">
        <f>"1875-9637"</f>
        <v>1875-9637</v>
      </c>
      <c r="E7789" t="s">
        <v>8</v>
      </c>
      <c r="F7789" t="s">
        <v>7793</v>
      </c>
      <c r="G7789">
        <v>1</v>
      </c>
    </row>
    <row r="7790" spans="1:7" x14ac:dyDescent="0.25">
      <c r="A7790">
        <v>28</v>
      </c>
      <c r="B7790" t="s">
        <v>7754</v>
      </c>
      <c r="C7790">
        <v>13103</v>
      </c>
      <c r="D7790" t="str">
        <f>"0311-5518"</f>
        <v>0311-5518</v>
      </c>
      <c r="E7790" t="s">
        <v>8</v>
      </c>
      <c r="F7790" t="s">
        <v>7794</v>
      </c>
      <c r="G7790">
        <v>1</v>
      </c>
    </row>
    <row r="7791" spans="1:7" x14ac:dyDescent="0.25">
      <c r="A7791">
        <v>28</v>
      </c>
      <c r="B7791" t="s">
        <v>7754</v>
      </c>
      <c r="C7791">
        <v>7671</v>
      </c>
      <c r="D7791" t="str">
        <f>"0002-7014"</f>
        <v>0002-7014</v>
      </c>
      <c r="E7791" t="s">
        <v>8</v>
      </c>
      <c r="F7791" t="s">
        <v>7795</v>
      </c>
      <c r="G7791">
        <v>1</v>
      </c>
    </row>
    <row r="7792" spans="1:7" x14ac:dyDescent="0.25">
      <c r="A7792">
        <v>28</v>
      </c>
      <c r="B7792" t="s">
        <v>7754</v>
      </c>
      <c r="C7792">
        <v>569</v>
      </c>
      <c r="D7792" t="str">
        <f>"0002-9599"</f>
        <v>0002-9599</v>
      </c>
      <c r="E7792" t="s">
        <v>8</v>
      </c>
      <c r="F7792" t="s">
        <v>7796</v>
      </c>
      <c r="G7792">
        <v>1</v>
      </c>
    </row>
    <row r="7793" spans="1:7" x14ac:dyDescent="0.25">
      <c r="A7793">
        <v>28</v>
      </c>
      <c r="B7793" t="s">
        <v>7754</v>
      </c>
      <c r="C7793">
        <v>15349</v>
      </c>
      <c r="D7793" t="str">
        <f>"0003-004X"</f>
        <v>0003-004X</v>
      </c>
      <c r="E7793" t="s">
        <v>8</v>
      </c>
      <c r="F7793" t="s">
        <v>7797</v>
      </c>
      <c r="G7793">
        <v>1</v>
      </c>
    </row>
    <row r="7794" spans="1:7" x14ac:dyDescent="0.25">
      <c r="A7794">
        <v>28</v>
      </c>
      <c r="B7794" t="s">
        <v>7754</v>
      </c>
      <c r="C7794">
        <v>5281</v>
      </c>
      <c r="D7794" t="str">
        <f>"0753-3969"</f>
        <v>0753-3969</v>
      </c>
      <c r="E7794" t="s">
        <v>8</v>
      </c>
      <c r="F7794" t="s">
        <v>7798</v>
      </c>
      <c r="G7794">
        <v>1</v>
      </c>
    </row>
    <row r="7795" spans="1:7" x14ac:dyDescent="0.25">
      <c r="A7795">
        <v>28</v>
      </c>
      <c r="B7795" t="s">
        <v>7754</v>
      </c>
      <c r="C7795">
        <v>3225</v>
      </c>
      <c r="D7795" t="str">
        <f>"0992-7689"</f>
        <v>0992-7689</v>
      </c>
      <c r="E7795" t="s">
        <v>8</v>
      </c>
      <c r="F7795" t="s">
        <v>7799</v>
      </c>
      <c r="G7795">
        <v>1</v>
      </c>
    </row>
    <row r="7796" spans="1:7" x14ac:dyDescent="0.25">
      <c r="A7796">
        <v>28</v>
      </c>
      <c r="B7796" t="s">
        <v>7754</v>
      </c>
      <c r="C7796">
        <v>15166</v>
      </c>
      <c r="D7796" t="str">
        <f>"1593-5213"</f>
        <v>1593-5213</v>
      </c>
      <c r="E7796" t="s">
        <v>8</v>
      </c>
      <c r="F7796" t="s">
        <v>7800</v>
      </c>
      <c r="G7796">
        <v>1</v>
      </c>
    </row>
    <row r="7797" spans="1:7" x14ac:dyDescent="0.25">
      <c r="A7797">
        <v>28</v>
      </c>
      <c r="B7797" t="s">
        <v>7754</v>
      </c>
      <c r="C7797">
        <v>13732</v>
      </c>
      <c r="D7797" t="str">
        <f>"0260-3055"</f>
        <v>0260-3055</v>
      </c>
      <c r="E7797" t="s">
        <v>8</v>
      </c>
      <c r="F7797" t="s">
        <v>7801</v>
      </c>
      <c r="G7797">
        <v>1</v>
      </c>
    </row>
    <row r="7798" spans="1:7" x14ac:dyDescent="0.25">
      <c r="A7798">
        <v>28</v>
      </c>
      <c r="B7798" t="s">
        <v>7754</v>
      </c>
      <c r="C7798">
        <v>4678</v>
      </c>
      <c r="D7798" t="str">
        <f>"0954-1020"</f>
        <v>0954-1020</v>
      </c>
      <c r="E7798" t="s">
        <v>8</v>
      </c>
      <c r="F7798" t="s">
        <v>7802</v>
      </c>
      <c r="G7798">
        <v>1</v>
      </c>
    </row>
    <row r="7799" spans="1:7" x14ac:dyDescent="0.25">
      <c r="A7799">
        <v>28</v>
      </c>
      <c r="B7799" t="s">
        <v>7754</v>
      </c>
      <c r="C7799">
        <v>100266</v>
      </c>
      <c r="D7799" t="str">
        <f>"1687-7667"</f>
        <v>1687-7667</v>
      </c>
      <c r="E7799" t="s">
        <v>8</v>
      </c>
      <c r="F7799" t="s">
        <v>7803</v>
      </c>
      <c r="G7799">
        <v>1</v>
      </c>
    </row>
    <row r="7800" spans="1:7" x14ac:dyDescent="0.25">
      <c r="A7800">
        <v>28</v>
      </c>
      <c r="B7800" t="s">
        <v>7754</v>
      </c>
      <c r="C7800">
        <v>3098</v>
      </c>
      <c r="D7800" t="str">
        <f>"2572-6838"</f>
        <v>2572-6838</v>
      </c>
      <c r="E7800" t="s">
        <v>8</v>
      </c>
      <c r="F7800" t="s">
        <v>7804</v>
      </c>
      <c r="G7800">
        <v>1</v>
      </c>
    </row>
    <row r="7801" spans="1:7" x14ac:dyDescent="0.25">
      <c r="A7801">
        <v>28</v>
      </c>
      <c r="B7801" t="s">
        <v>7754</v>
      </c>
      <c r="C7801">
        <v>3891</v>
      </c>
      <c r="D7801" t="str">
        <f>"0141-1187"</f>
        <v>0141-1187</v>
      </c>
      <c r="E7801" t="s">
        <v>8</v>
      </c>
      <c r="F7801" t="s">
        <v>7805</v>
      </c>
      <c r="G7801">
        <v>1</v>
      </c>
    </row>
    <row r="7802" spans="1:7" x14ac:dyDescent="0.25">
      <c r="A7802">
        <v>28</v>
      </c>
      <c r="B7802" t="s">
        <v>7754</v>
      </c>
      <c r="C7802">
        <v>2988</v>
      </c>
      <c r="D7802" t="str">
        <f>"1380-6165"</f>
        <v>1380-6165</v>
      </c>
      <c r="E7802" t="s">
        <v>8</v>
      </c>
      <c r="F7802" t="s">
        <v>7806</v>
      </c>
      <c r="G7802">
        <v>1</v>
      </c>
    </row>
    <row r="7803" spans="1:7" x14ac:dyDescent="0.25">
      <c r="A7803">
        <v>28</v>
      </c>
      <c r="B7803" t="s">
        <v>7754</v>
      </c>
      <c r="C7803">
        <v>8758213</v>
      </c>
      <c r="D7803" t="str">
        <f>"2409-4730"</f>
        <v>2409-4730</v>
      </c>
      <c r="E7803" t="s">
        <v>8</v>
      </c>
      <c r="F7803" t="s">
        <v>7807</v>
      </c>
      <c r="G7803">
        <v>1</v>
      </c>
    </row>
    <row r="7804" spans="1:7" x14ac:dyDescent="0.25">
      <c r="A7804">
        <v>28</v>
      </c>
      <c r="B7804" t="s">
        <v>7754</v>
      </c>
      <c r="C7804">
        <v>6130</v>
      </c>
      <c r="D7804" t="str">
        <f>"1532-4982"</f>
        <v>1532-4982</v>
      </c>
      <c r="E7804" t="s">
        <v>8</v>
      </c>
      <c r="F7804" t="s">
        <v>7808</v>
      </c>
      <c r="G7804">
        <v>1</v>
      </c>
    </row>
    <row r="7805" spans="1:7" x14ac:dyDescent="0.25">
      <c r="A7805">
        <v>28</v>
      </c>
      <c r="B7805" t="s">
        <v>7754</v>
      </c>
      <c r="C7805">
        <v>14521</v>
      </c>
      <c r="D7805" t="str">
        <f>"0843-5561"</f>
        <v>0843-5561</v>
      </c>
      <c r="E7805" t="s">
        <v>8</v>
      </c>
      <c r="F7805" t="s">
        <v>7809</v>
      </c>
      <c r="G7805">
        <v>1</v>
      </c>
    </row>
    <row r="7806" spans="1:7" x14ac:dyDescent="0.25">
      <c r="A7806">
        <v>28</v>
      </c>
      <c r="B7806" t="s">
        <v>7754</v>
      </c>
      <c r="C7806">
        <v>3660</v>
      </c>
      <c r="D7806" t="str">
        <f>"0187-6236"</f>
        <v>0187-6236</v>
      </c>
      <c r="E7806" t="s">
        <v>8</v>
      </c>
      <c r="F7806" t="s">
        <v>7810</v>
      </c>
      <c r="G7806">
        <v>1</v>
      </c>
    </row>
    <row r="7807" spans="1:7" x14ac:dyDescent="0.25">
      <c r="A7807">
        <v>28</v>
      </c>
      <c r="B7807" t="s">
        <v>7754</v>
      </c>
      <c r="C7807">
        <v>6763</v>
      </c>
      <c r="D7807" t="str">
        <f>"0705-5900"</f>
        <v>0705-5900</v>
      </c>
      <c r="E7807" t="s">
        <v>8</v>
      </c>
      <c r="F7807" t="s">
        <v>7811</v>
      </c>
      <c r="G7807">
        <v>1</v>
      </c>
    </row>
    <row r="7808" spans="1:7" x14ac:dyDescent="0.25">
      <c r="A7808">
        <v>28</v>
      </c>
      <c r="B7808" t="s">
        <v>7754</v>
      </c>
      <c r="C7808">
        <v>15255</v>
      </c>
      <c r="D7808" t="str">
        <f>"1680-7367"</f>
        <v>1680-7367</v>
      </c>
      <c r="E7808" t="s">
        <v>8</v>
      </c>
      <c r="F7808" t="s">
        <v>7812</v>
      </c>
      <c r="G7808">
        <v>1</v>
      </c>
    </row>
    <row r="7809" spans="1:7" x14ac:dyDescent="0.25">
      <c r="A7809">
        <v>28</v>
      </c>
      <c r="B7809" t="s">
        <v>7754</v>
      </c>
      <c r="C7809">
        <v>14052</v>
      </c>
      <c r="D7809" t="str">
        <f>"1352-2310"</f>
        <v>1352-2310</v>
      </c>
      <c r="E7809" t="s">
        <v>8</v>
      </c>
      <c r="F7809" t="s">
        <v>7813</v>
      </c>
      <c r="G7809">
        <v>1</v>
      </c>
    </row>
    <row r="7810" spans="1:7" x14ac:dyDescent="0.25">
      <c r="A7810">
        <v>28</v>
      </c>
      <c r="B7810" t="s">
        <v>7754</v>
      </c>
      <c r="C7810">
        <v>10978</v>
      </c>
      <c r="E7810" t="s">
        <v>8</v>
      </c>
      <c r="F7810" t="s">
        <v>7814</v>
      </c>
      <c r="G7810">
        <v>1</v>
      </c>
    </row>
    <row r="7811" spans="1:7" x14ac:dyDescent="0.25">
      <c r="A7811">
        <v>28</v>
      </c>
      <c r="B7811" t="s">
        <v>7754</v>
      </c>
      <c r="C7811">
        <v>403</v>
      </c>
      <c r="D7811" t="str">
        <f>"0812-0099"</f>
        <v>0812-0099</v>
      </c>
      <c r="E7811" t="s">
        <v>8</v>
      </c>
      <c r="F7811" t="s">
        <v>7815</v>
      </c>
      <c r="G7811">
        <v>1</v>
      </c>
    </row>
    <row r="7812" spans="1:7" x14ac:dyDescent="0.25">
      <c r="A7812">
        <v>28</v>
      </c>
      <c r="B7812" t="s">
        <v>7754</v>
      </c>
      <c r="C7812">
        <v>9130</v>
      </c>
      <c r="D7812" t="str">
        <f>"1836-716X"</f>
        <v>1836-716X</v>
      </c>
      <c r="E7812" t="s">
        <v>8</v>
      </c>
      <c r="F7812" t="s">
        <v>7816</v>
      </c>
      <c r="G7812">
        <v>1</v>
      </c>
    </row>
    <row r="7813" spans="1:7" x14ac:dyDescent="0.25">
      <c r="A7813">
        <v>28</v>
      </c>
      <c r="B7813" t="s">
        <v>7754</v>
      </c>
      <c r="C7813">
        <v>13455</v>
      </c>
      <c r="D7813" t="str">
        <f>"0950-091X"</f>
        <v>0950-091X</v>
      </c>
      <c r="E7813" t="s">
        <v>8</v>
      </c>
      <c r="F7813" t="s">
        <v>7817</v>
      </c>
      <c r="G7813">
        <v>1</v>
      </c>
    </row>
    <row r="7814" spans="1:7" x14ac:dyDescent="0.25">
      <c r="A7814">
        <v>28</v>
      </c>
      <c r="B7814" t="s">
        <v>7754</v>
      </c>
      <c r="C7814">
        <v>16344</v>
      </c>
      <c r="D7814" t="str">
        <f>"0168-2563"</f>
        <v>0168-2563</v>
      </c>
      <c r="E7814" t="s">
        <v>8</v>
      </c>
      <c r="F7814" t="s">
        <v>7818</v>
      </c>
      <c r="G7814">
        <v>1</v>
      </c>
    </row>
    <row r="7815" spans="1:7" x14ac:dyDescent="0.25">
      <c r="A7815">
        <v>28</v>
      </c>
      <c r="B7815" t="s">
        <v>7754</v>
      </c>
      <c r="C7815">
        <v>7529</v>
      </c>
      <c r="D7815" t="str">
        <f>"1726-4170"</f>
        <v>1726-4170</v>
      </c>
      <c r="E7815" t="s">
        <v>8</v>
      </c>
      <c r="F7815" t="s">
        <v>7819</v>
      </c>
      <c r="G7815">
        <v>1</v>
      </c>
    </row>
    <row r="7816" spans="1:7" x14ac:dyDescent="0.25">
      <c r="A7816">
        <v>28</v>
      </c>
      <c r="B7816" t="s">
        <v>7754</v>
      </c>
      <c r="C7816">
        <v>6905</v>
      </c>
      <c r="D7816" t="str">
        <f>"0006-6729"</f>
        <v>0006-6729</v>
      </c>
      <c r="E7816" t="s">
        <v>8</v>
      </c>
      <c r="F7816" t="s">
        <v>7820</v>
      </c>
      <c r="G7816">
        <v>1</v>
      </c>
    </row>
    <row r="7817" spans="1:7" x14ac:dyDescent="0.25">
      <c r="A7817">
        <v>28</v>
      </c>
      <c r="B7817" t="s">
        <v>7754</v>
      </c>
      <c r="C7817">
        <v>5673</v>
      </c>
      <c r="D7817" t="str">
        <f>"0300-9483"</f>
        <v>0300-9483</v>
      </c>
      <c r="E7817" t="s">
        <v>8</v>
      </c>
      <c r="F7817" t="s">
        <v>7821</v>
      </c>
      <c r="G7817">
        <v>1</v>
      </c>
    </row>
    <row r="7818" spans="1:7" x14ac:dyDescent="0.25">
      <c r="A7818">
        <v>28</v>
      </c>
      <c r="B7818" t="s">
        <v>7754</v>
      </c>
      <c r="C7818">
        <v>6172</v>
      </c>
      <c r="D7818" t="str">
        <f>"0006-8314"</f>
        <v>0006-8314</v>
      </c>
      <c r="E7818" t="s">
        <v>8</v>
      </c>
      <c r="F7818" t="s">
        <v>7822</v>
      </c>
      <c r="G7818">
        <v>1</v>
      </c>
    </row>
    <row r="7819" spans="1:7" x14ac:dyDescent="0.25">
      <c r="A7819">
        <v>28</v>
      </c>
      <c r="B7819" t="s">
        <v>7754</v>
      </c>
      <c r="C7819">
        <v>7392</v>
      </c>
      <c r="D7819" t="str">
        <f>"0037-9409"</f>
        <v>0037-9409</v>
      </c>
      <c r="E7819" t="s">
        <v>8</v>
      </c>
      <c r="F7819" t="s">
        <v>7823</v>
      </c>
      <c r="G7819">
        <v>1</v>
      </c>
    </row>
    <row r="7820" spans="1:7" x14ac:dyDescent="0.25">
      <c r="A7820">
        <v>28</v>
      </c>
      <c r="B7820" t="s">
        <v>7754</v>
      </c>
      <c r="C7820">
        <v>6765</v>
      </c>
      <c r="D7820" t="str">
        <f>"0007-4802"</f>
        <v>0007-4802</v>
      </c>
      <c r="E7820" t="s">
        <v>8</v>
      </c>
      <c r="F7820" t="s">
        <v>7824</v>
      </c>
      <c r="G7820">
        <v>1</v>
      </c>
    </row>
    <row r="7821" spans="1:7" x14ac:dyDescent="0.25">
      <c r="A7821">
        <v>28</v>
      </c>
      <c r="B7821" t="s">
        <v>7754</v>
      </c>
      <c r="C7821">
        <v>2931</v>
      </c>
      <c r="D7821" t="str">
        <f>"1435-9529"</f>
        <v>1435-9529</v>
      </c>
      <c r="E7821" t="s">
        <v>8</v>
      </c>
      <c r="F7821" t="s">
        <v>7825</v>
      </c>
      <c r="G7821">
        <v>1</v>
      </c>
    </row>
    <row r="7822" spans="1:7" x14ac:dyDescent="0.25">
      <c r="A7822">
        <v>28</v>
      </c>
      <c r="B7822" t="s">
        <v>7754</v>
      </c>
      <c r="C7822">
        <v>20</v>
      </c>
      <c r="D7822" t="str">
        <f>"1214-1119"</f>
        <v>1214-1119</v>
      </c>
      <c r="E7822" t="s">
        <v>8</v>
      </c>
      <c r="F7822" t="s">
        <v>7826</v>
      </c>
      <c r="G7822">
        <v>1</v>
      </c>
    </row>
    <row r="7823" spans="1:7" x14ac:dyDescent="0.25">
      <c r="A7823">
        <v>28</v>
      </c>
      <c r="B7823" t="s">
        <v>7754</v>
      </c>
      <c r="C7823">
        <v>7023</v>
      </c>
      <c r="D7823" t="str">
        <f>"0011-6297"</f>
        <v>0011-6297</v>
      </c>
      <c r="E7823" t="s">
        <v>8</v>
      </c>
      <c r="F7823" t="s">
        <v>7827</v>
      </c>
      <c r="G7823">
        <v>1</v>
      </c>
    </row>
    <row r="7824" spans="1:7" x14ac:dyDescent="0.25">
      <c r="A7824">
        <v>28</v>
      </c>
      <c r="B7824" t="s">
        <v>7754</v>
      </c>
      <c r="C7824">
        <v>10329</v>
      </c>
      <c r="D7824" t="str">
        <f>"0037-1106"</f>
        <v>0037-1106</v>
      </c>
      <c r="E7824" t="s">
        <v>8</v>
      </c>
      <c r="F7824" t="s">
        <v>7828</v>
      </c>
      <c r="G7824">
        <v>1</v>
      </c>
    </row>
    <row r="7825" spans="1:7" x14ac:dyDescent="0.25">
      <c r="A7825">
        <v>28</v>
      </c>
      <c r="B7825" t="s">
        <v>7754</v>
      </c>
      <c r="C7825">
        <v>10448</v>
      </c>
      <c r="D7825" t="str">
        <f>"0258-8900"</f>
        <v>0258-8900</v>
      </c>
      <c r="E7825" t="s">
        <v>8</v>
      </c>
      <c r="F7825" t="s">
        <v>7829</v>
      </c>
      <c r="G7825">
        <v>1</v>
      </c>
    </row>
    <row r="7826" spans="1:7" x14ac:dyDescent="0.25">
      <c r="A7826">
        <v>28</v>
      </c>
      <c r="B7826" t="s">
        <v>7754</v>
      </c>
      <c r="C7826">
        <v>4562</v>
      </c>
      <c r="D7826" t="str">
        <f>"0008-4077"</f>
        <v>0008-4077</v>
      </c>
      <c r="E7826" t="s">
        <v>8</v>
      </c>
      <c r="F7826" t="s">
        <v>7830</v>
      </c>
      <c r="G7826">
        <v>1</v>
      </c>
    </row>
    <row r="7827" spans="1:7" x14ac:dyDescent="0.25">
      <c r="A7827">
        <v>28</v>
      </c>
      <c r="B7827" t="s">
        <v>7754</v>
      </c>
      <c r="C7827">
        <v>10722</v>
      </c>
      <c r="D7827" t="str">
        <f>"0703-8992"</f>
        <v>0703-8992</v>
      </c>
      <c r="E7827" t="s">
        <v>8</v>
      </c>
      <c r="F7827" t="s">
        <v>7831</v>
      </c>
      <c r="G7827">
        <v>1</v>
      </c>
    </row>
    <row r="7828" spans="1:7" x14ac:dyDescent="0.25">
      <c r="A7828">
        <v>28</v>
      </c>
      <c r="B7828" t="s">
        <v>7754</v>
      </c>
      <c r="C7828">
        <v>3488</v>
      </c>
      <c r="D7828" t="str">
        <f>"0008-4476"</f>
        <v>0008-4476</v>
      </c>
      <c r="E7828" t="s">
        <v>8</v>
      </c>
      <c r="F7828" t="s">
        <v>7832</v>
      </c>
      <c r="G7828">
        <v>1</v>
      </c>
    </row>
    <row r="7829" spans="1:7" x14ac:dyDescent="0.25">
      <c r="A7829">
        <v>28</v>
      </c>
      <c r="B7829" t="s">
        <v>7754</v>
      </c>
      <c r="C7829">
        <v>11469</v>
      </c>
      <c r="D7829" t="str">
        <f>"0008-4492"</f>
        <v>0008-4492</v>
      </c>
      <c r="E7829" t="s">
        <v>8</v>
      </c>
      <c r="F7829" t="s">
        <v>7833</v>
      </c>
      <c r="G7829">
        <v>1</v>
      </c>
    </row>
    <row r="7830" spans="1:7" x14ac:dyDescent="0.25">
      <c r="A7830">
        <v>28</v>
      </c>
      <c r="B7830" t="s">
        <v>7754</v>
      </c>
      <c r="C7830">
        <v>365</v>
      </c>
      <c r="D7830" t="str">
        <f>"0891-2556"</f>
        <v>0891-2556</v>
      </c>
      <c r="E7830" t="s">
        <v>8</v>
      </c>
      <c r="F7830" t="s">
        <v>7834</v>
      </c>
      <c r="G7830">
        <v>1</v>
      </c>
    </row>
    <row r="7831" spans="1:7" x14ac:dyDescent="0.25">
      <c r="A7831">
        <v>28</v>
      </c>
      <c r="B7831" t="s">
        <v>7754</v>
      </c>
      <c r="C7831">
        <v>16154</v>
      </c>
      <c r="D7831" t="str">
        <f>"1634-0744"</f>
        <v>1634-0744</v>
      </c>
      <c r="E7831" t="s">
        <v>8</v>
      </c>
      <c r="F7831" t="s">
        <v>7835</v>
      </c>
      <c r="G7831">
        <v>1</v>
      </c>
    </row>
    <row r="7832" spans="1:7" x14ac:dyDescent="0.25">
      <c r="A7832">
        <v>28</v>
      </c>
      <c r="B7832" t="s">
        <v>7754</v>
      </c>
      <c r="C7832">
        <v>2484</v>
      </c>
      <c r="D7832" t="str">
        <f>"1048-9053"</f>
        <v>1048-9053</v>
      </c>
      <c r="E7832" t="s">
        <v>8</v>
      </c>
      <c r="F7832" t="s">
        <v>7836</v>
      </c>
      <c r="G7832">
        <v>1</v>
      </c>
    </row>
    <row r="7833" spans="1:7" x14ac:dyDescent="0.25">
      <c r="A7833">
        <v>28</v>
      </c>
      <c r="B7833" t="s">
        <v>7754</v>
      </c>
      <c r="C7833">
        <v>8664</v>
      </c>
      <c r="D7833" t="str">
        <f>"0317-7173"</f>
        <v>0317-7173</v>
      </c>
      <c r="E7833" t="s">
        <v>8</v>
      </c>
      <c r="F7833" t="s">
        <v>7837</v>
      </c>
      <c r="G7833">
        <v>1</v>
      </c>
    </row>
    <row r="7834" spans="1:7" x14ac:dyDescent="0.25">
      <c r="A7834">
        <v>28</v>
      </c>
      <c r="B7834" t="s">
        <v>7754</v>
      </c>
      <c r="C7834">
        <v>5194</v>
      </c>
      <c r="D7834" t="str">
        <f>"1523-0406"</f>
        <v>1523-0406</v>
      </c>
      <c r="E7834" t="s">
        <v>8</v>
      </c>
      <c r="F7834" t="s">
        <v>7838</v>
      </c>
      <c r="G7834">
        <v>1</v>
      </c>
    </row>
    <row r="7835" spans="1:7" x14ac:dyDescent="0.25">
      <c r="A7835">
        <v>28</v>
      </c>
      <c r="B7835" t="s">
        <v>7754</v>
      </c>
      <c r="C7835">
        <v>15610</v>
      </c>
      <c r="D7835" t="str">
        <f>"1356-191X"</f>
        <v>1356-191X</v>
      </c>
      <c r="E7835" t="s">
        <v>8</v>
      </c>
      <c r="F7835" t="s">
        <v>7839</v>
      </c>
      <c r="G7835">
        <v>1</v>
      </c>
    </row>
    <row r="7836" spans="1:7" x14ac:dyDescent="0.25">
      <c r="A7836">
        <v>28</v>
      </c>
      <c r="B7836" t="s">
        <v>7754</v>
      </c>
      <c r="C7836">
        <v>15010</v>
      </c>
      <c r="D7836" t="str">
        <f>"0009-2819"</f>
        <v>0009-2819</v>
      </c>
      <c r="E7836" t="s">
        <v>8</v>
      </c>
      <c r="F7836" t="s">
        <v>7840</v>
      </c>
      <c r="G7836">
        <v>1</v>
      </c>
    </row>
    <row r="7837" spans="1:7" x14ac:dyDescent="0.25">
      <c r="A7837">
        <v>28</v>
      </c>
      <c r="B7837" t="s">
        <v>7754</v>
      </c>
      <c r="C7837">
        <v>11895</v>
      </c>
      <c r="D7837" t="str">
        <f>"0890-5487"</f>
        <v>0890-5487</v>
      </c>
      <c r="E7837" t="s">
        <v>8</v>
      </c>
      <c r="F7837" t="s">
        <v>7841</v>
      </c>
      <c r="G7837">
        <v>1</v>
      </c>
    </row>
    <row r="7838" spans="1:7" x14ac:dyDescent="0.25">
      <c r="A7838">
        <v>28</v>
      </c>
      <c r="B7838" t="s">
        <v>7754</v>
      </c>
      <c r="C7838">
        <v>10607</v>
      </c>
      <c r="D7838" t="str">
        <f>"0001-5733"</f>
        <v>0001-5733</v>
      </c>
      <c r="E7838" t="s">
        <v>8</v>
      </c>
      <c r="F7838" t="s">
        <v>7842</v>
      </c>
      <c r="G7838">
        <v>1</v>
      </c>
    </row>
    <row r="7839" spans="1:7" x14ac:dyDescent="0.25">
      <c r="A7839">
        <v>28</v>
      </c>
      <c r="B7839" t="s">
        <v>7754</v>
      </c>
      <c r="C7839">
        <v>15799</v>
      </c>
      <c r="D7839" t="str">
        <f>"0009-8558"</f>
        <v>0009-8558</v>
      </c>
      <c r="E7839" t="s">
        <v>8</v>
      </c>
      <c r="F7839" t="s">
        <v>7843</v>
      </c>
      <c r="G7839">
        <v>1</v>
      </c>
    </row>
    <row r="7840" spans="1:7" x14ac:dyDescent="0.25">
      <c r="A7840">
        <v>28</v>
      </c>
      <c r="B7840" t="s">
        <v>7754</v>
      </c>
      <c r="C7840">
        <v>7744237</v>
      </c>
      <c r="D7840" t="str">
        <f>"2225-1154"</f>
        <v>2225-1154</v>
      </c>
      <c r="E7840" t="s">
        <v>8</v>
      </c>
      <c r="F7840" t="s">
        <v>7844</v>
      </c>
      <c r="G7840">
        <v>1</v>
      </c>
    </row>
    <row r="7841" spans="1:7" x14ac:dyDescent="0.25">
      <c r="A7841">
        <v>28</v>
      </c>
      <c r="B7841" t="s">
        <v>7754</v>
      </c>
      <c r="C7841">
        <v>12660</v>
      </c>
      <c r="D7841" t="str">
        <f>"1814-9324"</f>
        <v>1814-9324</v>
      </c>
      <c r="E7841" t="s">
        <v>8</v>
      </c>
      <c r="F7841" t="s">
        <v>7845</v>
      </c>
      <c r="G7841">
        <v>1</v>
      </c>
    </row>
    <row r="7842" spans="1:7" x14ac:dyDescent="0.25">
      <c r="A7842">
        <v>28</v>
      </c>
      <c r="B7842" t="s">
        <v>7754</v>
      </c>
      <c r="C7842">
        <v>14753</v>
      </c>
      <c r="D7842" t="str">
        <f>"0936-577X"</f>
        <v>0936-577X</v>
      </c>
      <c r="E7842" t="s">
        <v>8</v>
      </c>
      <c r="F7842" t="s">
        <v>7846</v>
      </c>
      <c r="G7842">
        <v>1</v>
      </c>
    </row>
    <row r="7843" spans="1:7" x14ac:dyDescent="0.25">
      <c r="A7843">
        <v>28</v>
      </c>
      <c r="B7843" t="s">
        <v>7754</v>
      </c>
      <c r="C7843">
        <v>8758214</v>
      </c>
      <c r="E7843" t="s">
        <v>8</v>
      </c>
      <c r="F7843" t="s">
        <v>7847</v>
      </c>
      <c r="G7843">
        <v>1</v>
      </c>
    </row>
    <row r="7844" spans="1:7" x14ac:dyDescent="0.25">
      <c r="A7844">
        <v>28</v>
      </c>
      <c r="B7844" t="s">
        <v>7754</v>
      </c>
      <c r="C7844">
        <v>6090</v>
      </c>
      <c r="D7844" t="str">
        <f>"0165-0009"</f>
        <v>0165-0009</v>
      </c>
      <c r="E7844" t="s">
        <v>8</v>
      </c>
      <c r="F7844" t="s">
        <v>7848</v>
      </c>
      <c r="G7844">
        <v>1</v>
      </c>
    </row>
    <row r="7845" spans="1:7" x14ac:dyDescent="0.25">
      <c r="A7845">
        <v>28</v>
      </c>
      <c r="B7845" t="s">
        <v>7754</v>
      </c>
      <c r="C7845">
        <v>11462</v>
      </c>
      <c r="D7845" t="str">
        <f>"0165-232X"</f>
        <v>0165-232X</v>
      </c>
      <c r="E7845" t="s">
        <v>8</v>
      </c>
      <c r="F7845" t="s">
        <v>7849</v>
      </c>
      <c r="G7845">
        <v>1</v>
      </c>
    </row>
    <row r="7846" spans="1:7" x14ac:dyDescent="0.25">
      <c r="A7846">
        <v>28</v>
      </c>
      <c r="B7846" t="s">
        <v>7754</v>
      </c>
      <c r="C7846">
        <v>2896</v>
      </c>
      <c r="D7846" t="str">
        <f>"1631-0713"</f>
        <v>1631-0713</v>
      </c>
      <c r="E7846" t="s">
        <v>8</v>
      </c>
      <c r="F7846" t="s">
        <v>7850</v>
      </c>
      <c r="G7846">
        <v>1</v>
      </c>
    </row>
    <row r="7847" spans="1:7" x14ac:dyDescent="0.25">
      <c r="A7847">
        <v>28</v>
      </c>
      <c r="B7847" t="s">
        <v>7754</v>
      </c>
      <c r="C7847">
        <v>6688</v>
      </c>
      <c r="D7847" t="str">
        <f>"1631-0683"</f>
        <v>1631-0683</v>
      </c>
      <c r="E7847" t="s">
        <v>8</v>
      </c>
      <c r="F7847" t="s">
        <v>7851</v>
      </c>
      <c r="G7847">
        <v>1</v>
      </c>
    </row>
    <row r="7848" spans="1:7" x14ac:dyDescent="0.25">
      <c r="A7848">
        <v>28</v>
      </c>
      <c r="B7848" t="s">
        <v>7754</v>
      </c>
      <c r="C7848">
        <v>13333</v>
      </c>
      <c r="D7848" t="str">
        <f>"1420-0597"</f>
        <v>1420-0597</v>
      </c>
      <c r="E7848" t="s">
        <v>8</v>
      </c>
      <c r="F7848" t="s">
        <v>7852</v>
      </c>
      <c r="G7848">
        <v>1</v>
      </c>
    </row>
    <row r="7849" spans="1:7" x14ac:dyDescent="0.25">
      <c r="A7849">
        <v>28</v>
      </c>
      <c r="B7849" t="s">
        <v>7754</v>
      </c>
      <c r="C7849">
        <v>5816</v>
      </c>
      <c r="D7849" t="str">
        <f>"0098-3004"</f>
        <v>0098-3004</v>
      </c>
      <c r="E7849" t="s">
        <v>8</v>
      </c>
      <c r="F7849" t="s">
        <v>7853</v>
      </c>
      <c r="G7849">
        <v>1</v>
      </c>
    </row>
    <row r="7850" spans="1:7" x14ac:dyDescent="0.25">
      <c r="A7850">
        <v>28</v>
      </c>
      <c r="B7850" t="s">
        <v>7754</v>
      </c>
      <c r="C7850">
        <v>7636</v>
      </c>
      <c r="D7850" t="str">
        <f>"0278-4343"</f>
        <v>0278-4343</v>
      </c>
      <c r="E7850" t="s">
        <v>8</v>
      </c>
      <c r="F7850" t="s">
        <v>7854</v>
      </c>
      <c r="G7850">
        <v>1</v>
      </c>
    </row>
    <row r="7851" spans="1:7" x14ac:dyDescent="0.25">
      <c r="A7851">
        <v>28</v>
      </c>
      <c r="B7851" t="s">
        <v>7754</v>
      </c>
      <c r="C7851">
        <v>15549</v>
      </c>
      <c r="D7851" t="str">
        <f>"0195-6671"</f>
        <v>0195-6671</v>
      </c>
      <c r="E7851" t="s">
        <v>8</v>
      </c>
      <c r="F7851" t="s">
        <v>7855</v>
      </c>
      <c r="G7851">
        <v>1</v>
      </c>
    </row>
    <row r="7852" spans="1:7" x14ac:dyDescent="0.25">
      <c r="A7852">
        <v>28</v>
      </c>
      <c r="B7852" t="s">
        <v>7754</v>
      </c>
      <c r="C7852">
        <v>14021</v>
      </c>
      <c r="D7852" t="str">
        <f>"0967-0637"</f>
        <v>0967-0637</v>
      </c>
      <c r="E7852" t="s">
        <v>8</v>
      </c>
      <c r="F7852" t="s">
        <v>7856</v>
      </c>
      <c r="G7852">
        <v>1</v>
      </c>
    </row>
    <row r="7853" spans="1:7" x14ac:dyDescent="0.25">
      <c r="A7853">
        <v>28</v>
      </c>
      <c r="B7853" t="s">
        <v>7754</v>
      </c>
      <c r="C7853">
        <v>2535</v>
      </c>
      <c r="D7853" t="str">
        <f>"0013-9998"</f>
        <v>0013-9998</v>
      </c>
      <c r="E7853" t="s">
        <v>8</v>
      </c>
      <c r="F7853" t="s">
        <v>7857</v>
      </c>
      <c r="G7853">
        <v>1</v>
      </c>
    </row>
    <row r="7854" spans="1:7" x14ac:dyDescent="0.25">
      <c r="A7854">
        <v>28</v>
      </c>
      <c r="B7854" t="s">
        <v>7754</v>
      </c>
      <c r="C7854">
        <v>3649</v>
      </c>
      <c r="D7854" t="str">
        <f>"1028-334X"</f>
        <v>1028-334X</v>
      </c>
      <c r="E7854" t="s">
        <v>8</v>
      </c>
      <c r="F7854" t="s">
        <v>7858</v>
      </c>
      <c r="G7854">
        <v>1</v>
      </c>
    </row>
    <row r="7855" spans="1:7" x14ac:dyDescent="0.25">
      <c r="A7855">
        <v>28</v>
      </c>
      <c r="B7855" t="s">
        <v>7754</v>
      </c>
      <c r="C7855">
        <v>15711</v>
      </c>
      <c r="D7855" t="str">
        <f>"0377-0265"</f>
        <v>0377-0265</v>
      </c>
      <c r="E7855" t="s">
        <v>8</v>
      </c>
      <c r="F7855" t="s">
        <v>7859</v>
      </c>
      <c r="G7855">
        <v>1</v>
      </c>
    </row>
    <row r="7856" spans="1:7" x14ac:dyDescent="0.25">
      <c r="A7856">
        <v>28</v>
      </c>
      <c r="B7856" t="s">
        <v>7754</v>
      </c>
      <c r="C7856">
        <v>16824</v>
      </c>
      <c r="D7856" t="str">
        <f>"1943-345X"</f>
        <v>1943-345X</v>
      </c>
      <c r="E7856" t="s">
        <v>8</v>
      </c>
      <c r="F7856" t="s">
        <v>7860</v>
      </c>
      <c r="G7856">
        <v>1</v>
      </c>
    </row>
    <row r="7857" spans="1:7" x14ac:dyDescent="0.25">
      <c r="A7857">
        <v>28</v>
      </c>
      <c r="B7857" t="s">
        <v>7754</v>
      </c>
      <c r="C7857">
        <v>136578</v>
      </c>
      <c r="D7857" t="str">
        <f>"1755-6910"</f>
        <v>1755-6910</v>
      </c>
      <c r="E7857" t="s">
        <v>8</v>
      </c>
      <c r="F7857" t="s">
        <v>7861</v>
      </c>
      <c r="G7857">
        <v>1</v>
      </c>
    </row>
    <row r="7858" spans="1:7" x14ac:dyDescent="0.25">
      <c r="A7858">
        <v>28</v>
      </c>
      <c r="B7858" t="s">
        <v>7754</v>
      </c>
      <c r="C7858">
        <v>16628</v>
      </c>
      <c r="E7858" t="s">
        <v>8</v>
      </c>
      <c r="F7858" t="s">
        <v>7862</v>
      </c>
      <c r="G7858">
        <v>1</v>
      </c>
    </row>
    <row r="7859" spans="1:7" x14ac:dyDescent="0.25">
      <c r="A7859">
        <v>28</v>
      </c>
      <c r="B7859" t="s">
        <v>7754</v>
      </c>
      <c r="C7859">
        <v>180082</v>
      </c>
      <c r="D7859" t="str">
        <f>"2196-6311"</f>
        <v>2196-6311</v>
      </c>
      <c r="E7859" t="s">
        <v>8</v>
      </c>
      <c r="F7859" t="s">
        <v>7863</v>
      </c>
      <c r="G7859">
        <v>1</v>
      </c>
    </row>
    <row r="7860" spans="1:7" x14ac:dyDescent="0.25">
      <c r="A7860">
        <v>28</v>
      </c>
      <c r="B7860" t="s">
        <v>7754</v>
      </c>
      <c r="C7860">
        <v>16800</v>
      </c>
      <c r="D7860" t="str">
        <f>"0197-9337"</f>
        <v>0197-9337</v>
      </c>
      <c r="E7860" t="s">
        <v>8</v>
      </c>
      <c r="F7860" t="s">
        <v>7864</v>
      </c>
      <c r="G7860">
        <v>1</v>
      </c>
    </row>
    <row r="7861" spans="1:7" x14ac:dyDescent="0.25">
      <c r="A7861">
        <v>28</v>
      </c>
      <c r="B7861" t="s">
        <v>7754</v>
      </c>
      <c r="C7861">
        <v>16697</v>
      </c>
      <c r="D7861" t="str">
        <f>"1343-8832"</f>
        <v>1343-8832</v>
      </c>
      <c r="E7861" t="s">
        <v>8</v>
      </c>
      <c r="F7861" t="s">
        <v>7865</v>
      </c>
      <c r="G7861">
        <v>1</v>
      </c>
    </row>
    <row r="7862" spans="1:7" x14ac:dyDescent="0.25">
      <c r="A7862">
        <v>28</v>
      </c>
      <c r="B7862" t="s">
        <v>7754</v>
      </c>
      <c r="C7862">
        <v>20844</v>
      </c>
      <c r="D7862" t="str">
        <f>"1642-3593"</f>
        <v>1642-3593</v>
      </c>
      <c r="E7862" t="s">
        <v>8</v>
      </c>
      <c r="F7862" t="s">
        <v>7866</v>
      </c>
      <c r="G7862">
        <v>1</v>
      </c>
    </row>
    <row r="7863" spans="1:7" x14ac:dyDescent="0.25">
      <c r="A7863">
        <v>28</v>
      </c>
      <c r="B7863" t="s">
        <v>7754</v>
      </c>
      <c r="C7863">
        <v>2275</v>
      </c>
      <c r="D7863" t="str">
        <f>"0361-0128"</f>
        <v>0361-0128</v>
      </c>
      <c r="E7863" t="s">
        <v>8</v>
      </c>
      <c r="F7863" t="s">
        <v>7867</v>
      </c>
      <c r="G7863">
        <v>1</v>
      </c>
    </row>
    <row r="7864" spans="1:7" x14ac:dyDescent="0.25">
      <c r="A7864">
        <v>28</v>
      </c>
      <c r="B7864" t="s">
        <v>7754</v>
      </c>
      <c r="C7864">
        <v>17852</v>
      </c>
      <c r="D7864" t="str">
        <f>"1811-5209"</f>
        <v>1811-5209</v>
      </c>
      <c r="E7864" t="s">
        <v>8</v>
      </c>
      <c r="F7864" t="s">
        <v>7868</v>
      </c>
      <c r="G7864">
        <v>1</v>
      </c>
    </row>
    <row r="7865" spans="1:7" x14ac:dyDescent="0.25">
      <c r="A7865">
        <v>28</v>
      </c>
      <c r="B7865" t="s">
        <v>7754</v>
      </c>
      <c r="C7865">
        <v>8783815</v>
      </c>
      <c r="E7865" t="s">
        <v>15</v>
      </c>
      <c r="F7865" t="s">
        <v>7869</v>
      </c>
      <c r="G7865">
        <v>1</v>
      </c>
    </row>
    <row r="7866" spans="1:7" x14ac:dyDescent="0.25">
      <c r="A7866">
        <v>28</v>
      </c>
      <c r="B7866" t="s">
        <v>7754</v>
      </c>
      <c r="C7866">
        <v>15547</v>
      </c>
      <c r="D7866" t="str">
        <f>"0013-7952"</f>
        <v>0013-7952</v>
      </c>
      <c r="E7866" t="s">
        <v>8</v>
      </c>
      <c r="F7866" t="s">
        <v>7870</v>
      </c>
      <c r="G7866">
        <v>1</v>
      </c>
    </row>
    <row r="7867" spans="1:7" x14ac:dyDescent="0.25">
      <c r="A7867">
        <v>28</v>
      </c>
      <c r="B7867" t="s">
        <v>7754</v>
      </c>
      <c r="C7867">
        <v>6102234</v>
      </c>
      <c r="D7867" t="str">
        <f>"1866-6280"</f>
        <v>1866-6280</v>
      </c>
      <c r="E7867" t="s">
        <v>8</v>
      </c>
      <c r="F7867" t="s">
        <v>7871</v>
      </c>
      <c r="G7867">
        <v>1</v>
      </c>
    </row>
    <row r="7868" spans="1:7" x14ac:dyDescent="0.25">
      <c r="A7868">
        <v>28</v>
      </c>
      <c r="B7868" t="s">
        <v>7754</v>
      </c>
      <c r="C7868">
        <v>10328</v>
      </c>
      <c r="D7868" t="str">
        <f>"1075-9565"</f>
        <v>1075-9565</v>
      </c>
      <c r="E7868" t="s">
        <v>8</v>
      </c>
      <c r="F7868" t="s">
        <v>7872</v>
      </c>
      <c r="G7868">
        <v>1</v>
      </c>
    </row>
    <row r="7869" spans="1:7" x14ac:dyDescent="0.25">
      <c r="A7869">
        <v>28</v>
      </c>
      <c r="B7869" t="s">
        <v>7754</v>
      </c>
      <c r="C7869">
        <v>15333</v>
      </c>
      <c r="D7869" t="str">
        <f>"0096-3941"</f>
        <v>0096-3941</v>
      </c>
      <c r="E7869" t="s">
        <v>8</v>
      </c>
      <c r="F7869" t="s">
        <v>7873</v>
      </c>
      <c r="G7869">
        <v>1</v>
      </c>
    </row>
    <row r="7870" spans="1:7" x14ac:dyDescent="0.25">
      <c r="A7870">
        <v>28</v>
      </c>
      <c r="B7870" t="s">
        <v>7754</v>
      </c>
      <c r="C7870">
        <v>15154</v>
      </c>
      <c r="D7870" t="str">
        <f>"0705-3797"</f>
        <v>0705-3797</v>
      </c>
      <c r="E7870" t="s">
        <v>8</v>
      </c>
      <c r="F7870" t="s">
        <v>7874</v>
      </c>
      <c r="G7870">
        <v>1</v>
      </c>
    </row>
    <row r="7871" spans="1:7" x14ac:dyDescent="0.25">
      <c r="A7871">
        <v>28</v>
      </c>
      <c r="B7871" t="s">
        <v>7754</v>
      </c>
      <c r="C7871">
        <v>3886</v>
      </c>
      <c r="D7871" t="str">
        <f>"0935-1221"</f>
        <v>0935-1221</v>
      </c>
      <c r="E7871" t="s">
        <v>8</v>
      </c>
      <c r="F7871" t="s">
        <v>7875</v>
      </c>
      <c r="G7871">
        <v>1</v>
      </c>
    </row>
    <row r="7872" spans="1:7" x14ac:dyDescent="0.25">
      <c r="A7872">
        <v>28</v>
      </c>
      <c r="B7872" t="s">
        <v>7754</v>
      </c>
      <c r="C7872">
        <v>21654</v>
      </c>
      <c r="D7872" t="str">
        <f>"0812-3985"</f>
        <v>0812-3985</v>
      </c>
      <c r="E7872" t="s">
        <v>8</v>
      </c>
      <c r="F7872" t="s">
        <v>7876</v>
      </c>
      <c r="G7872">
        <v>1</v>
      </c>
    </row>
    <row r="7873" spans="1:7" x14ac:dyDescent="0.25">
      <c r="A7873">
        <v>28</v>
      </c>
      <c r="B7873" t="s">
        <v>7754</v>
      </c>
      <c r="C7873">
        <v>15810</v>
      </c>
      <c r="D7873" t="str">
        <f>"0172-9179"</f>
        <v>0172-9179</v>
      </c>
      <c r="E7873" t="s">
        <v>8</v>
      </c>
      <c r="F7873" t="s">
        <v>7877</v>
      </c>
      <c r="G7873">
        <v>1</v>
      </c>
    </row>
    <row r="7874" spans="1:7" x14ac:dyDescent="0.25">
      <c r="A7874">
        <v>28</v>
      </c>
      <c r="B7874" t="s">
        <v>7754</v>
      </c>
      <c r="C7874">
        <v>3389</v>
      </c>
      <c r="D7874" t="str">
        <f>"0263-5046"</f>
        <v>0263-5046</v>
      </c>
      <c r="E7874" t="s">
        <v>8</v>
      </c>
      <c r="F7874" t="s">
        <v>7878</v>
      </c>
      <c r="G7874">
        <v>1</v>
      </c>
    </row>
    <row r="7875" spans="1:7" x14ac:dyDescent="0.25">
      <c r="A7875">
        <v>28</v>
      </c>
      <c r="B7875" t="s">
        <v>7754</v>
      </c>
      <c r="C7875">
        <v>105741</v>
      </c>
      <c r="D7875" t="str">
        <f>"1721-8039"</f>
        <v>1721-8039</v>
      </c>
      <c r="E7875" t="s">
        <v>8</v>
      </c>
      <c r="F7875" t="s">
        <v>7879</v>
      </c>
      <c r="G7875">
        <v>1</v>
      </c>
    </row>
    <row r="7876" spans="1:7" x14ac:dyDescent="0.25">
      <c r="A7876">
        <v>28</v>
      </c>
      <c r="B7876" t="s">
        <v>7754</v>
      </c>
      <c r="C7876">
        <v>1440</v>
      </c>
      <c r="D7876" t="str">
        <f>"0016-6995"</f>
        <v>0016-6995</v>
      </c>
      <c r="E7876" t="s">
        <v>8</v>
      </c>
      <c r="F7876" t="s">
        <v>7880</v>
      </c>
      <c r="G7876">
        <v>1</v>
      </c>
    </row>
    <row r="7877" spans="1:7" x14ac:dyDescent="0.25">
      <c r="A7877">
        <v>28</v>
      </c>
      <c r="B7877" t="s">
        <v>7754</v>
      </c>
      <c r="C7877">
        <v>3284</v>
      </c>
      <c r="D7877" t="str">
        <f>"0016-7002"</f>
        <v>0016-7002</v>
      </c>
      <c r="E7877" t="s">
        <v>8</v>
      </c>
      <c r="F7877" t="s">
        <v>7881</v>
      </c>
      <c r="G7877">
        <v>1</v>
      </c>
    </row>
    <row r="7878" spans="1:7" x14ac:dyDescent="0.25">
      <c r="A7878">
        <v>28</v>
      </c>
      <c r="B7878" t="s">
        <v>7754</v>
      </c>
      <c r="C7878">
        <v>8264</v>
      </c>
      <c r="E7878" t="s">
        <v>8</v>
      </c>
      <c r="F7878" t="s">
        <v>7882</v>
      </c>
      <c r="G7878">
        <v>1</v>
      </c>
    </row>
    <row r="7879" spans="1:7" x14ac:dyDescent="0.25">
      <c r="A7879">
        <v>28</v>
      </c>
      <c r="B7879" t="s">
        <v>7754</v>
      </c>
      <c r="C7879">
        <v>14109</v>
      </c>
      <c r="D7879" t="str">
        <f>"0016-7029"</f>
        <v>0016-7029</v>
      </c>
      <c r="E7879" t="s">
        <v>8</v>
      </c>
      <c r="F7879" t="s">
        <v>7883</v>
      </c>
      <c r="G7879">
        <v>1</v>
      </c>
    </row>
    <row r="7880" spans="1:7" x14ac:dyDescent="0.25">
      <c r="A7880">
        <v>28</v>
      </c>
      <c r="B7880" t="s">
        <v>7754</v>
      </c>
      <c r="C7880">
        <v>4386</v>
      </c>
      <c r="E7880" t="s">
        <v>8</v>
      </c>
      <c r="F7880" t="s">
        <v>7884</v>
      </c>
      <c r="G7880">
        <v>1</v>
      </c>
    </row>
    <row r="7881" spans="1:7" x14ac:dyDescent="0.25">
      <c r="A7881">
        <v>28</v>
      </c>
      <c r="B7881" t="s">
        <v>7754</v>
      </c>
      <c r="C7881">
        <v>8670</v>
      </c>
      <c r="D7881" t="str">
        <f>"1467-7873"</f>
        <v>1467-7873</v>
      </c>
      <c r="E7881" t="s">
        <v>8</v>
      </c>
      <c r="F7881" t="s">
        <v>7885</v>
      </c>
      <c r="G7881">
        <v>1</v>
      </c>
    </row>
    <row r="7882" spans="1:7" x14ac:dyDescent="0.25">
      <c r="A7882">
        <v>28</v>
      </c>
      <c r="B7882" t="s">
        <v>7754</v>
      </c>
      <c r="C7882">
        <v>17189</v>
      </c>
      <c r="D7882" t="str">
        <f>"1733-8387"</f>
        <v>1733-8387</v>
      </c>
      <c r="E7882" t="s">
        <v>8</v>
      </c>
      <c r="F7882" t="s">
        <v>7886</v>
      </c>
      <c r="G7882">
        <v>1</v>
      </c>
    </row>
    <row r="7883" spans="1:7" x14ac:dyDescent="0.25">
      <c r="A7883">
        <v>28</v>
      </c>
      <c r="B7883" t="s">
        <v>7754</v>
      </c>
      <c r="C7883">
        <v>8292</v>
      </c>
      <c r="D7883" t="str">
        <f>"0985-3111"</f>
        <v>0985-3111</v>
      </c>
      <c r="E7883" t="s">
        <v>8</v>
      </c>
      <c r="F7883" t="s">
        <v>7887</v>
      </c>
      <c r="G7883">
        <v>1</v>
      </c>
    </row>
    <row r="7884" spans="1:7" x14ac:dyDescent="0.25">
      <c r="A7884">
        <v>28</v>
      </c>
      <c r="B7884" t="s">
        <v>7754</v>
      </c>
      <c r="C7884">
        <v>15968</v>
      </c>
      <c r="D7884" t="str">
        <f>"1280-9659"</f>
        <v>1280-9659</v>
      </c>
      <c r="E7884" t="s">
        <v>8</v>
      </c>
      <c r="F7884" t="s">
        <v>7888</v>
      </c>
      <c r="G7884">
        <v>1</v>
      </c>
    </row>
    <row r="7885" spans="1:7" x14ac:dyDescent="0.25">
      <c r="A7885">
        <v>28</v>
      </c>
      <c r="B7885" t="s">
        <v>7754</v>
      </c>
      <c r="C7885">
        <v>2810</v>
      </c>
      <c r="D7885" t="str">
        <f>"1468-8115"</f>
        <v>1468-8115</v>
      </c>
      <c r="E7885" t="s">
        <v>8</v>
      </c>
      <c r="F7885" t="s">
        <v>7889</v>
      </c>
      <c r="G7885">
        <v>1</v>
      </c>
    </row>
    <row r="7886" spans="1:7" x14ac:dyDescent="0.25">
      <c r="A7886">
        <v>28</v>
      </c>
      <c r="B7886" t="s">
        <v>7754</v>
      </c>
      <c r="C7886">
        <v>82326</v>
      </c>
      <c r="D7886" t="str">
        <f>"1601-8796"</f>
        <v>1601-8796</v>
      </c>
      <c r="E7886" t="s">
        <v>8</v>
      </c>
      <c r="F7886" t="s">
        <v>7890</v>
      </c>
      <c r="G7886">
        <v>1</v>
      </c>
    </row>
    <row r="7887" spans="1:7" x14ac:dyDescent="0.25">
      <c r="A7887">
        <v>28</v>
      </c>
      <c r="B7887" t="s">
        <v>7754</v>
      </c>
      <c r="C7887">
        <v>803</v>
      </c>
      <c r="D7887" t="str">
        <f>"0435-3676"</f>
        <v>0435-3676</v>
      </c>
      <c r="E7887" t="s">
        <v>8</v>
      </c>
      <c r="F7887" t="s">
        <v>7891</v>
      </c>
      <c r="G7887">
        <v>1</v>
      </c>
    </row>
    <row r="7888" spans="1:7" x14ac:dyDescent="0.25">
      <c r="A7888">
        <v>28</v>
      </c>
      <c r="B7888" t="s">
        <v>7754</v>
      </c>
      <c r="C7888">
        <v>17972</v>
      </c>
      <c r="D7888" t="str">
        <f>"1695-6133"</f>
        <v>1695-6133</v>
      </c>
      <c r="E7888" t="s">
        <v>8</v>
      </c>
      <c r="F7888" t="s">
        <v>7892</v>
      </c>
      <c r="G7888">
        <v>1</v>
      </c>
    </row>
    <row r="7889" spans="1:7" x14ac:dyDescent="0.25">
      <c r="A7889">
        <v>28</v>
      </c>
      <c r="B7889" t="s">
        <v>7754</v>
      </c>
      <c r="C7889">
        <v>14296</v>
      </c>
      <c r="D7889" t="str">
        <f>"1335-0552"</f>
        <v>1335-0552</v>
      </c>
      <c r="E7889" t="s">
        <v>8</v>
      </c>
      <c r="F7889" t="s">
        <v>7893</v>
      </c>
      <c r="G7889">
        <v>1</v>
      </c>
    </row>
    <row r="7890" spans="1:7" x14ac:dyDescent="0.25">
      <c r="A7890">
        <v>28</v>
      </c>
      <c r="B7890" t="s">
        <v>7754</v>
      </c>
      <c r="C7890">
        <v>9545</v>
      </c>
      <c r="D7890" t="str">
        <f>"0072-1050"</f>
        <v>0072-1050</v>
      </c>
      <c r="E7890" t="s">
        <v>8</v>
      </c>
      <c r="F7890" t="s">
        <v>7894</v>
      </c>
      <c r="G7890">
        <v>1</v>
      </c>
    </row>
    <row r="7891" spans="1:7" x14ac:dyDescent="0.25">
      <c r="A7891">
        <v>28</v>
      </c>
      <c r="B7891" t="s">
        <v>7754</v>
      </c>
      <c r="C7891">
        <v>13838</v>
      </c>
      <c r="D7891" t="str">
        <f>"0016-7568"</f>
        <v>0016-7568</v>
      </c>
      <c r="E7891" t="s">
        <v>8</v>
      </c>
      <c r="F7891" t="s">
        <v>7895</v>
      </c>
      <c r="G7891">
        <v>1</v>
      </c>
    </row>
    <row r="7892" spans="1:7" x14ac:dyDescent="0.25">
      <c r="A7892">
        <v>28</v>
      </c>
      <c r="B7892" t="s">
        <v>7754</v>
      </c>
      <c r="C7892">
        <v>9591</v>
      </c>
      <c r="D7892" t="str">
        <f>"1641-7291"</f>
        <v>1641-7291</v>
      </c>
      <c r="E7892" t="s">
        <v>8</v>
      </c>
      <c r="F7892" t="s">
        <v>7896</v>
      </c>
      <c r="G7892">
        <v>1</v>
      </c>
    </row>
    <row r="7893" spans="1:7" x14ac:dyDescent="0.25">
      <c r="A7893">
        <v>28</v>
      </c>
      <c r="B7893" t="s">
        <v>7754</v>
      </c>
      <c r="C7893">
        <v>2375</v>
      </c>
      <c r="D7893" t="str">
        <f>"0016-7606"</f>
        <v>0016-7606</v>
      </c>
      <c r="E7893" t="s">
        <v>8</v>
      </c>
      <c r="F7893" t="s">
        <v>7897</v>
      </c>
      <c r="G7893">
        <v>1</v>
      </c>
    </row>
    <row r="7894" spans="1:7" x14ac:dyDescent="0.25">
      <c r="A7894">
        <v>28</v>
      </c>
      <c r="B7894" t="s">
        <v>7754</v>
      </c>
      <c r="C7894">
        <v>12632</v>
      </c>
      <c r="D7894" t="str">
        <f>"0305-8719"</f>
        <v>0305-8719</v>
      </c>
      <c r="E7894" t="s">
        <v>15</v>
      </c>
      <c r="F7894" t="s">
        <v>7898</v>
      </c>
      <c r="G7894">
        <v>1</v>
      </c>
    </row>
    <row r="7895" spans="1:7" x14ac:dyDescent="0.25">
      <c r="A7895">
        <v>28</v>
      </c>
      <c r="B7895" t="s">
        <v>7754</v>
      </c>
      <c r="C7895">
        <v>153772</v>
      </c>
      <c r="D7895" t="str">
        <f>"1604-8156"</f>
        <v>1604-8156</v>
      </c>
      <c r="E7895" t="s">
        <v>8</v>
      </c>
      <c r="F7895" t="s">
        <v>7899</v>
      </c>
      <c r="G7895">
        <v>1</v>
      </c>
    </row>
    <row r="7896" spans="1:7" x14ac:dyDescent="0.25">
      <c r="A7896">
        <v>28</v>
      </c>
      <c r="B7896" t="s">
        <v>7754</v>
      </c>
      <c r="C7896">
        <v>7609</v>
      </c>
      <c r="D7896" t="str">
        <f>"1075-7015"</f>
        <v>1075-7015</v>
      </c>
      <c r="E7896" t="s">
        <v>8</v>
      </c>
      <c r="F7896" t="s">
        <v>7900</v>
      </c>
      <c r="G7896">
        <v>1</v>
      </c>
    </row>
    <row r="7897" spans="1:7" x14ac:dyDescent="0.25">
      <c r="A7897">
        <v>28</v>
      </c>
      <c r="B7897" t="s">
        <v>7754</v>
      </c>
      <c r="C7897">
        <v>326</v>
      </c>
      <c r="D7897" t="str">
        <f>"0266-6979"</f>
        <v>0266-6979</v>
      </c>
      <c r="E7897" t="s">
        <v>8</v>
      </c>
      <c r="F7897" t="s">
        <v>7901</v>
      </c>
      <c r="G7897">
        <v>1</v>
      </c>
    </row>
    <row r="7898" spans="1:7" x14ac:dyDescent="0.25">
      <c r="A7898">
        <v>28</v>
      </c>
      <c r="B7898" t="s">
        <v>7754</v>
      </c>
      <c r="C7898">
        <v>2858</v>
      </c>
      <c r="D7898" t="str">
        <f>"0016-7932"</f>
        <v>0016-7932</v>
      </c>
      <c r="E7898" t="s">
        <v>8</v>
      </c>
      <c r="F7898" t="s">
        <v>7902</v>
      </c>
      <c r="G7898">
        <v>1</v>
      </c>
    </row>
    <row r="7899" spans="1:7" x14ac:dyDescent="0.25">
      <c r="A7899">
        <v>28</v>
      </c>
      <c r="B7899" t="s">
        <v>7754</v>
      </c>
      <c r="C7899">
        <v>3778</v>
      </c>
      <c r="D7899" t="str">
        <f>"0276-0460"</f>
        <v>0276-0460</v>
      </c>
      <c r="E7899" t="s">
        <v>8</v>
      </c>
      <c r="F7899" t="s">
        <v>7903</v>
      </c>
      <c r="G7899">
        <v>1</v>
      </c>
    </row>
    <row r="7900" spans="1:7" x14ac:dyDescent="0.25">
      <c r="A7900">
        <v>28</v>
      </c>
      <c r="B7900" t="s">
        <v>7754</v>
      </c>
      <c r="C7900">
        <v>364</v>
      </c>
      <c r="D7900" t="str">
        <f>"0169-555X"</f>
        <v>0169-555X</v>
      </c>
      <c r="E7900" t="s">
        <v>8</v>
      </c>
      <c r="F7900" t="s">
        <v>7904</v>
      </c>
      <c r="G7900">
        <v>1</v>
      </c>
    </row>
    <row r="7901" spans="1:7" x14ac:dyDescent="0.25">
      <c r="A7901">
        <v>28</v>
      </c>
      <c r="B7901" t="s">
        <v>7754</v>
      </c>
      <c r="C7901">
        <v>9623</v>
      </c>
      <c r="D7901" t="str">
        <f>"0367-4231"</f>
        <v>0367-4231</v>
      </c>
      <c r="E7901" t="s">
        <v>8</v>
      </c>
      <c r="F7901" t="s">
        <v>7905</v>
      </c>
      <c r="G7901">
        <v>1</v>
      </c>
    </row>
    <row r="7902" spans="1:7" x14ac:dyDescent="0.25">
      <c r="A7902">
        <v>28</v>
      </c>
      <c r="B7902" t="s">
        <v>7754</v>
      </c>
      <c r="C7902">
        <v>14919</v>
      </c>
      <c r="D7902" t="str">
        <f>"0956-540X"</f>
        <v>0956-540X</v>
      </c>
      <c r="E7902" t="s">
        <v>8</v>
      </c>
      <c r="F7902" t="s">
        <v>7906</v>
      </c>
      <c r="G7902">
        <v>1</v>
      </c>
    </row>
    <row r="7903" spans="1:7" x14ac:dyDescent="0.25">
      <c r="A7903">
        <v>28</v>
      </c>
      <c r="B7903" t="s">
        <v>7754</v>
      </c>
      <c r="C7903">
        <v>3487</v>
      </c>
      <c r="D7903" t="str">
        <f>"0016-8025"</f>
        <v>0016-8025</v>
      </c>
      <c r="E7903" t="s">
        <v>8</v>
      </c>
      <c r="F7903" t="s">
        <v>7907</v>
      </c>
      <c r="G7903">
        <v>1</v>
      </c>
    </row>
    <row r="7904" spans="1:7" x14ac:dyDescent="0.25">
      <c r="A7904">
        <v>28</v>
      </c>
      <c r="B7904" t="s">
        <v>7754</v>
      </c>
      <c r="C7904">
        <v>8982</v>
      </c>
      <c r="D7904" t="str">
        <f>"0094-8276"</f>
        <v>0094-8276</v>
      </c>
      <c r="E7904" t="s">
        <v>8</v>
      </c>
      <c r="F7904" t="s">
        <v>7908</v>
      </c>
      <c r="G7904">
        <v>1</v>
      </c>
    </row>
    <row r="7905" spans="1:7" x14ac:dyDescent="0.25">
      <c r="A7905">
        <v>28</v>
      </c>
      <c r="B7905" t="s">
        <v>7754</v>
      </c>
      <c r="C7905">
        <v>3691</v>
      </c>
      <c r="D7905" t="str">
        <f>"0016-8033"</f>
        <v>0016-8033</v>
      </c>
      <c r="E7905" t="s">
        <v>8</v>
      </c>
      <c r="F7905" t="s">
        <v>7909</v>
      </c>
      <c r="G7905">
        <v>1</v>
      </c>
    </row>
    <row r="7906" spans="1:7" x14ac:dyDescent="0.25">
      <c r="A7906">
        <v>28</v>
      </c>
      <c r="B7906" t="s">
        <v>7754</v>
      </c>
      <c r="C7906">
        <v>2314</v>
      </c>
      <c r="D7906" t="str">
        <f>"0315-0941"</f>
        <v>0315-0941</v>
      </c>
      <c r="E7906" t="s">
        <v>8</v>
      </c>
      <c r="F7906" t="s">
        <v>7910</v>
      </c>
      <c r="G7906">
        <v>1</v>
      </c>
    </row>
    <row r="7907" spans="1:7" x14ac:dyDescent="0.25">
      <c r="A7907">
        <v>28</v>
      </c>
      <c r="B7907" t="s">
        <v>7754</v>
      </c>
      <c r="C7907">
        <v>7704627</v>
      </c>
      <c r="D7907" t="str">
        <f>"1674-9871"</f>
        <v>1674-9871</v>
      </c>
      <c r="E7907" t="s">
        <v>8</v>
      </c>
      <c r="F7907" t="s">
        <v>7911</v>
      </c>
      <c r="G7907">
        <v>1</v>
      </c>
    </row>
    <row r="7908" spans="1:7" x14ac:dyDescent="0.25">
      <c r="A7908">
        <v>28</v>
      </c>
      <c r="B7908" t="s">
        <v>7754</v>
      </c>
      <c r="C7908">
        <v>17065</v>
      </c>
      <c r="D7908" t="str">
        <f>"1226-4806"</f>
        <v>1226-4806</v>
      </c>
      <c r="E7908" t="s">
        <v>8</v>
      </c>
      <c r="F7908" t="s">
        <v>7912</v>
      </c>
      <c r="G7908">
        <v>1</v>
      </c>
    </row>
    <row r="7909" spans="1:7" x14ac:dyDescent="0.25">
      <c r="A7909">
        <v>28</v>
      </c>
      <c r="B7909" t="s">
        <v>7754</v>
      </c>
      <c r="C7909">
        <v>154588</v>
      </c>
      <c r="D7909" t="str">
        <f>"1991-959X"</f>
        <v>1991-959X</v>
      </c>
      <c r="E7909" t="s">
        <v>8</v>
      </c>
      <c r="F7909" t="s">
        <v>7913</v>
      </c>
      <c r="G7909">
        <v>1</v>
      </c>
    </row>
    <row r="7910" spans="1:7" x14ac:dyDescent="0.25">
      <c r="A7910">
        <v>28</v>
      </c>
      <c r="B7910" t="s">
        <v>7754</v>
      </c>
      <c r="C7910">
        <v>3514</v>
      </c>
      <c r="E7910" t="s">
        <v>8</v>
      </c>
      <c r="F7910" t="s">
        <v>7914</v>
      </c>
      <c r="G7910">
        <v>1</v>
      </c>
    </row>
    <row r="7911" spans="1:7" x14ac:dyDescent="0.25">
      <c r="A7911">
        <v>28</v>
      </c>
      <c r="B7911" t="s">
        <v>7754</v>
      </c>
      <c r="C7911">
        <v>17685</v>
      </c>
      <c r="D7911" t="str">
        <f>"1639-4488"</f>
        <v>1639-4488</v>
      </c>
      <c r="E7911" t="s">
        <v>8</v>
      </c>
      <c r="F7911" t="s">
        <v>7915</v>
      </c>
      <c r="G7911">
        <v>1</v>
      </c>
    </row>
    <row r="7912" spans="1:7" x14ac:dyDescent="0.25">
      <c r="A7912">
        <v>28</v>
      </c>
      <c r="B7912" t="s">
        <v>7754</v>
      </c>
      <c r="C7912">
        <v>12238</v>
      </c>
      <c r="D7912" t="str">
        <f>"0016-8521"</f>
        <v>0016-8521</v>
      </c>
      <c r="E7912" t="s">
        <v>8</v>
      </c>
      <c r="F7912" t="s">
        <v>7916</v>
      </c>
      <c r="G7912">
        <v>1</v>
      </c>
    </row>
    <row r="7913" spans="1:7" x14ac:dyDescent="0.25">
      <c r="A7913">
        <v>28</v>
      </c>
      <c r="B7913" t="s">
        <v>7754</v>
      </c>
      <c r="C7913">
        <v>7751502</v>
      </c>
      <c r="D7913" t="str">
        <f>"2195-9706"</f>
        <v>2195-9706</v>
      </c>
      <c r="E7913" t="s">
        <v>8</v>
      </c>
      <c r="F7913" t="s">
        <v>7917</v>
      </c>
      <c r="G7913">
        <v>1</v>
      </c>
    </row>
    <row r="7914" spans="1:7" x14ac:dyDescent="0.25">
      <c r="A7914">
        <v>28</v>
      </c>
      <c r="B7914" t="s">
        <v>7754</v>
      </c>
      <c r="C7914">
        <v>11061</v>
      </c>
      <c r="D7914" t="str">
        <f>"0375-6505"</f>
        <v>0375-6505</v>
      </c>
      <c r="E7914" t="s">
        <v>8</v>
      </c>
      <c r="F7914" t="s">
        <v>7918</v>
      </c>
      <c r="G7914">
        <v>1</v>
      </c>
    </row>
    <row r="7915" spans="1:7" x14ac:dyDescent="0.25">
      <c r="A7915">
        <v>28</v>
      </c>
      <c r="B7915" t="s">
        <v>7754</v>
      </c>
      <c r="C7915">
        <v>13344</v>
      </c>
      <c r="D7915" t="str">
        <f>"1103-5897"</f>
        <v>1103-5897</v>
      </c>
      <c r="E7915" t="s">
        <v>8</v>
      </c>
      <c r="F7915" t="s">
        <v>7919</v>
      </c>
      <c r="G7915">
        <v>1</v>
      </c>
    </row>
    <row r="7916" spans="1:7" x14ac:dyDescent="0.25">
      <c r="A7916">
        <v>28</v>
      </c>
      <c r="B7916" t="s">
        <v>7754</v>
      </c>
      <c r="C7916">
        <v>17889</v>
      </c>
      <c r="D7916" t="str">
        <f>"1548-1603"</f>
        <v>1548-1603</v>
      </c>
      <c r="E7916" t="s">
        <v>8</v>
      </c>
      <c r="F7916" t="s">
        <v>7920</v>
      </c>
      <c r="G7916">
        <v>1</v>
      </c>
    </row>
    <row r="7917" spans="1:7" x14ac:dyDescent="0.25">
      <c r="A7917">
        <v>28</v>
      </c>
      <c r="B7917" t="s">
        <v>7754</v>
      </c>
      <c r="C7917">
        <v>1797</v>
      </c>
      <c r="D7917" t="str">
        <f>"0921-8181"</f>
        <v>0921-8181</v>
      </c>
      <c r="E7917" t="s">
        <v>8</v>
      </c>
      <c r="F7917" t="s">
        <v>7921</v>
      </c>
      <c r="G7917">
        <v>1</v>
      </c>
    </row>
    <row r="7918" spans="1:7" x14ac:dyDescent="0.25">
      <c r="A7918">
        <v>28</v>
      </c>
      <c r="B7918" t="s">
        <v>7754</v>
      </c>
      <c r="C7918">
        <v>4826</v>
      </c>
      <c r="D7918" t="str">
        <f>"1342-937X"</f>
        <v>1342-937X</v>
      </c>
      <c r="E7918" t="s">
        <v>8</v>
      </c>
      <c r="F7918" t="s">
        <v>7922</v>
      </c>
      <c r="G7918">
        <v>1</v>
      </c>
    </row>
    <row r="7919" spans="1:7" x14ac:dyDescent="0.25">
      <c r="A7919">
        <v>28</v>
      </c>
      <c r="B7919" t="s">
        <v>7754</v>
      </c>
      <c r="C7919">
        <v>492</v>
      </c>
      <c r="D7919" t="str">
        <f>"0017-467X"</f>
        <v>0017-467X</v>
      </c>
      <c r="E7919" t="s">
        <v>8</v>
      </c>
      <c r="F7919" t="s">
        <v>7923</v>
      </c>
      <c r="G7919">
        <v>1</v>
      </c>
    </row>
    <row r="7920" spans="1:7" x14ac:dyDescent="0.25">
      <c r="A7920">
        <v>28</v>
      </c>
      <c r="B7920" t="s">
        <v>7754</v>
      </c>
      <c r="C7920">
        <v>9670</v>
      </c>
      <c r="D7920" t="str">
        <f>"1069-3629"</f>
        <v>1069-3629</v>
      </c>
      <c r="E7920" t="s">
        <v>8</v>
      </c>
      <c r="F7920" t="s">
        <v>7924</v>
      </c>
      <c r="G7920">
        <v>1</v>
      </c>
    </row>
    <row r="7921" spans="1:7" x14ac:dyDescent="0.25">
      <c r="A7921">
        <v>28</v>
      </c>
      <c r="B7921" t="s">
        <v>7754</v>
      </c>
      <c r="C7921">
        <v>47633</v>
      </c>
      <c r="D7921" t="str">
        <f>"1052-5173"</f>
        <v>1052-5173</v>
      </c>
      <c r="E7921" t="s">
        <v>8</v>
      </c>
      <c r="F7921" t="s">
        <v>7925</v>
      </c>
      <c r="G7921">
        <v>1</v>
      </c>
    </row>
    <row r="7922" spans="1:7" x14ac:dyDescent="0.25">
      <c r="A7922">
        <v>28</v>
      </c>
      <c r="B7922" t="s">
        <v>7754</v>
      </c>
      <c r="C7922">
        <v>9856</v>
      </c>
      <c r="D7922" t="str">
        <f>"1431-2174"</f>
        <v>1431-2174</v>
      </c>
      <c r="E7922" t="s">
        <v>8</v>
      </c>
      <c r="F7922" t="s">
        <v>7926</v>
      </c>
      <c r="G7922">
        <v>1</v>
      </c>
    </row>
    <row r="7923" spans="1:7" x14ac:dyDescent="0.25">
      <c r="A7923">
        <v>28</v>
      </c>
      <c r="B7923" t="s">
        <v>7754</v>
      </c>
      <c r="C7923">
        <v>1173</v>
      </c>
      <c r="D7923" t="str">
        <f>"0885-6087"</f>
        <v>0885-6087</v>
      </c>
      <c r="E7923" t="s">
        <v>8</v>
      </c>
      <c r="F7923" t="s">
        <v>7927</v>
      </c>
      <c r="G7923">
        <v>1</v>
      </c>
    </row>
    <row r="7924" spans="1:7" x14ac:dyDescent="0.25">
      <c r="A7924">
        <v>28</v>
      </c>
      <c r="B7924" t="s">
        <v>7754</v>
      </c>
      <c r="C7924">
        <v>959</v>
      </c>
      <c r="D7924" t="str">
        <f>"0262-6667"</f>
        <v>0262-6667</v>
      </c>
      <c r="E7924" t="s">
        <v>8</v>
      </c>
      <c r="F7924" t="s">
        <v>7928</v>
      </c>
      <c r="G7924">
        <v>1</v>
      </c>
    </row>
    <row r="7925" spans="1:7" x14ac:dyDescent="0.25">
      <c r="A7925">
        <v>28</v>
      </c>
      <c r="B7925" t="s">
        <v>7754</v>
      </c>
      <c r="C7925">
        <v>9136</v>
      </c>
      <c r="D7925" t="str">
        <f>"1027-5606"</f>
        <v>1027-5606</v>
      </c>
      <c r="E7925" t="s">
        <v>8</v>
      </c>
      <c r="F7925" t="s">
        <v>7929</v>
      </c>
      <c r="G7925">
        <v>1</v>
      </c>
    </row>
    <row r="7926" spans="1:7" x14ac:dyDescent="0.25">
      <c r="A7926">
        <v>28</v>
      </c>
      <c r="B7926" t="s">
        <v>7754</v>
      </c>
      <c r="C7926">
        <v>9761</v>
      </c>
      <c r="D7926" t="str">
        <f>"1998-9563"</f>
        <v>1998-9563</v>
      </c>
      <c r="E7926" t="s">
        <v>8</v>
      </c>
      <c r="F7926" t="s">
        <v>7930</v>
      </c>
      <c r="G7926">
        <v>1</v>
      </c>
    </row>
    <row r="7927" spans="1:7" x14ac:dyDescent="0.25">
      <c r="A7927">
        <v>28</v>
      </c>
      <c r="B7927" t="s">
        <v>7754</v>
      </c>
      <c r="C7927">
        <v>6174</v>
      </c>
      <c r="D7927" t="str">
        <f>"1545-598X"</f>
        <v>1545-598X</v>
      </c>
      <c r="E7927" t="s">
        <v>8</v>
      </c>
      <c r="F7927" t="s">
        <v>7931</v>
      </c>
      <c r="G7927">
        <v>1</v>
      </c>
    </row>
    <row r="7928" spans="1:7" x14ac:dyDescent="0.25">
      <c r="A7928">
        <v>28</v>
      </c>
      <c r="B7928" t="s">
        <v>7754</v>
      </c>
      <c r="C7928">
        <v>7738377</v>
      </c>
      <c r="D7928" t="str">
        <f>"2168-6831"</f>
        <v>2168-6831</v>
      </c>
      <c r="E7928" t="s">
        <v>8</v>
      </c>
      <c r="F7928" t="s">
        <v>7932</v>
      </c>
      <c r="G7928">
        <v>1</v>
      </c>
    </row>
    <row r="7929" spans="1:7" x14ac:dyDescent="0.25">
      <c r="A7929">
        <v>28</v>
      </c>
      <c r="B7929" t="s">
        <v>7754</v>
      </c>
      <c r="C7929">
        <v>10065</v>
      </c>
      <c r="D7929" t="str">
        <f>"0364-9059"</f>
        <v>0364-9059</v>
      </c>
      <c r="E7929" t="s">
        <v>8</v>
      </c>
      <c r="F7929" t="s">
        <v>7933</v>
      </c>
      <c r="G7929">
        <v>1</v>
      </c>
    </row>
    <row r="7930" spans="1:7" x14ac:dyDescent="0.25">
      <c r="A7930">
        <v>28</v>
      </c>
      <c r="B7930" t="s">
        <v>7754</v>
      </c>
      <c r="C7930">
        <v>16328</v>
      </c>
      <c r="D7930" t="str">
        <f>"2037-4909"</f>
        <v>2037-4909</v>
      </c>
      <c r="E7930" t="s">
        <v>8</v>
      </c>
      <c r="F7930" t="s">
        <v>7934</v>
      </c>
      <c r="G7930">
        <v>1</v>
      </c>
    </row>
    <row r="7931" spans="1:7" x14ac:dyDescent="0.25">
      <c r="A7931">
        <v>28</v>
      </c>
      <c r="B7931" t="s">
        <v>7754</v>
      </c>
      <c r="C7931">
        <v>4768</v>
      </c>
      <c r="D7931" t="str">
        <f>"0379-5136"</f>
        <v>0379-5136</v>
      </c>
      <c r="E7931" t="s">
        <v>8</v>
      </c>
      <c r="F7931" t="s">
        <v>7935</v>
      </c>
      <c r="G7931">
        <v>1</v>
      </c>
    </row>
    <row r="7932" spans="1:7" x14ac:dyDescent="0.25">
      <c r="A7932">
        <v>28</v>
      </c>
      <c r="B7932" t="s">
        <v>7754</v>
      </c>
      <c r="C7932">
        <v>9444</v>
      </c>
      <c r="D7932" t="str">
        <f>"0939-9585"</f>
        <v>0939-9585</v>
      </c>
      <c r="E7932" t="s">
        <v>15</v>
      </c>
      <c r="F7932" t="s">
        <v>7936</v>
      </c>
      <c r="G7932">
        <v>1</v>
      </c>
    </row>
    <row r="7933" spans="1:7" x14ac:dyDescent="0.25">
      <c r="A7933">
        <v>28</v>
      </c>
      <c r="B7933" t="s">
        <v>7754</v>
      </c>
      <c r="C7933">
        <v>8783816</v>
      </c>
      <c r="E7933" t="s">
        <v>15</v>
      </c>
      <c r="F7933" t="s">
        <v>7936</v>
      </c>
      <c r="G7933">
        <v>1</v>
      </c>
    </row>
    <row r="7934" spans="1:7" x14ac:dyDescent="0.25">
      <c r="A7934">
        <v>28</v>
      </c>
      <c r="B7934" t="s">
        <v>7754</v>
      </c>
      <c r="C7934">
        <v>8647</v>
      </c>
      <c r="D7934" t="str">
        <f>"0020-6814"</f>
        <v>0020-6814</v>
      </c>
      <c r="E7934" t="s">
        <v>8</v>
      </c>
      <c r="F7934" t="s">
        <v>7937</v>
      </c>
      <c r="G7934">
        <v>1</v>
      </c>
    </row>
    <row r="7935" spans="1:7" x14ac:dyDescent="0.25">
      <c r="A7935">
        <v>28</v>
      </c>
      <c r="B7935" t="s">
        <v>7754</v>
      </c>
      <c r="C7935">
        <v>7719128</v>
      </c>
      <c r="D7935" t="str">
        <f>"2156-1710"</f>
        <v>2156-1710</v>
      </c>
      <c r="E7935" t="s">
        <v>8</v>
      </c>
      <c r="F7935" t="s">
        <v>7938</v>
      </c>
      <c r="G7935">
        <v>1</v>
      </c>
    </row>
    <row r="7936" spans="1:7" x14ac:dyDescent="0.25">
      <c r="A7936">
        <v>28</v>
      </c>
      <c r="B7936" t="s">
        <v>7754</v>
      </c>
      <c r="C7936">
        <v>9199</v>
      </c>
      <c r="D7936" t="str">
        <f>"0303-2434"</f>
        <v>0303-2434</v>
      </c>
      <c r="E7936" t="s">
        <v>8</v>
      </c>
      <c r="F7936" t="s">
        <v>7939</v>
      </c>
      <c r="G7936">
        <v>1</v>
      </c>
    </row>
    <row r="7937" spans="1:7" x14ac:dyDescent="0.25">
      <c r="A7937">
        <v>28</v>
      </c>
      <c r="B7937" t="s">
        <v>7754</v>
      </c>
      <c r="C7937">
        <v>8778</v>
      </c>
      <c r="D7937" t="str">
        <f>"0899-8418"</f>
        <v>0899-8418</v>
      </c>
      <c r="E7937" t="s">
        <v>8</v>
      </c>
      <c r="F7937" t="s">
        <v>7940</v>
      </c>
      <c r="G7937">
        <v>1</v>
      </c>
    </row>
    <row r="7938" spans="1:7" x14ac:dyDescent="0.25">
      <c r="A7938">
        <v>28</v>
      </c>
      <c r="B7938" t="s">
        <v>7754</v>
      </c>
      <c r="C7938">
        <v>13780</v>
      </c>
      <c r="D7938" t="str">
        <f>"0166-5162"</f>
        <v>0166-5162</v>
      </c>
      <c r="E7938" t="s">
        <v>8</v>
      </c>
      <c r="F7938" t="s">
        <v>7941</v>
      </c>
      <c r="G7938">
        <v>1</v>
      </c>
    </row>
    <row r="7939" spans="1:7" x14ac:dyDescent="0.25">
      <c r="A7939">
        <v>28</v>
      </c>
      <c r="B7939" t="s">
        <v>7754</v>
      </c>
      <c r="C7939">
        <v>11100</v>
      </c>
      <c r="D7939" t="str">
        <f>"1437-3254"</f>
        <v>1437-3254</v>
      </c>
      <c r="E7939" t="s">
        <v>8</v>
      </c>
      <c r="F7939" t="s">
        <v>7942</v>
      </c>
      <c r="G7939">
        <v>1</v>
      </c>
    </row>
    <row r="7940" spans="1:7" x14ac:dyDescent="0.25">
      <c r="A7940">
        <v>28</v>
      </c>
      <c r="B7940" t="s">
        <v>7754</v>
      </c>
      <c r="C7940">
        <v>12306</v>
      </c>
      <c r="D7940" t="str">
        <f>"0301-7516"</f>
        <v>0301-7516</v>
      </c>
      <c r="E7940" t="s">
        <v>8</v>
      </c>
      <c r="F7940" t="s">
        <v>7943</v>
      </c>
      <c r="G7940">
        <v>1</v>
      </c>
    </row>
    <row r="7941" spans="1:7" x14ac:dyDescent="0.25">
      <c r="A7941">
        <v>28</v>
      </c>
      <c r="B7941" t="s">
        <v>7754</v>
      </c>
      <c r="C7941">
        <v>2261</v>
      </c>
      <c r="D7941" t="str">
        <f>"0143-1161"</f>
        <v>0143-1161</v>
      </c>
      <c r="E7941" t="s">
        <v>8</v>
      </c>
      <c r="F7941" t="s">
        <v>7944</v>
      </c>
      <c r="G7941">
        <v>1</v>
      </c>
    </row>
    <row r="7942" spans="1:7" x14ac:dyDescent="0.25">
      <c r="A7942">
        <v>28</v>
      </c>
      <c r="B7942" t="s">
        <v>7754</v>
      </c>
      <c r="C7942">
        <v>8686</v>
      </c>
      <c r="D7942" t="str">
        <f>"0392-6672"</f>
        <v>0392-6672</v>
      </c>
      <c r="E7942" t="s">
        <v>8</v>
      </c>
      <c r="F7942" t="s">
        <v>7945</v>
      </c>
      <c r="G7942">
        <v>1</v>
      </c>
    </row>
    <row r="7943" spans="1:7" x14ac:dyDescent="0.25">
      <c r="A7943">
        <v>28</v>
      </c>
      <c r="B7943" t="s">
        <v>7754</v>
      </c>
      <c r="C7943">
        <v>8300</v>
      </c>
      <c r="D7943" t="str">
        <f>"0342-7188"</f>
        <v>0342-7188</v>
      </c>
      <c r="E7943" t="s">
        <v>8</v>
      </c>
      <c r="F7943" t="s">
        <v>7946</v>
      </c>
      <c r="G7943">
        <v>1</v>
      </c>
    </row>
    <row r="7944" spans="1:7" x14ac:dyDescent="0.25">
      <c r="A7944">
        <v>28</v>
      </c>
      <c r="B7944" t="s">
        <v>7754</v>
      </c>
      <c r="C7944">
        <v>10867</v>
      </c>
      <c r="D7944" t="str">
        <f>"1038-4871"</f>
        <v>1038-4871</v>
      </c>
      <c r="E7944" t="s">
        <v>8</v>
      </c>
      <c r="F7944" t="s">
        <v>7947</v>
      </c>
      <c r="G7944">
        <v>1</v>
      </c>
    </row>
    <row r="7945" spans="1:7" x14ac:dyDescent="0.25">
      <c r="A7945">
        <v>28</v>
      </c>
      <c r="B7945" t="s">
        <v>7754</v>
      </c>
      <c r="C7945">
        <v>4117</v>
      </c>
      <c r="D7945" t="str">
        <f>"0924-2716"</f>
        <v>0924-2716</v>
      </c>
      <c r="E7945" t="s">
        <v>8</v>
      </c>
      <c r="F7945" t="s">
        <v>7948</v>
      </c>
      <c r="G7945">
        <v>1</v>
      </c>
    </row>
    <row r="7946" spans="1:7" x14ac:dyDescent="0.25">
      <c r="A7946">
        <v>28</v>
      </c>
      <c r="B7946" t="s">
        <v>7754</v>
      </c>
      <c r="C7946">
        <v>17333</v>
      </c>
      <c r="D7946" t="str">
        <f>"2038-1719"</f>
        <v>2038-1719</v>
      </c>
      <c r="E7946" t="s">
        <v>8</v>
      </c>
      <c r="F7946" t="s">
        <v>7949</v>
      </c>
      <c r="G7946">
        <v>1</v>
      </c>
    </row>
    <row r="7947" spans="1:7" x14ac:dyDescent="0.25">
      <c r="A7947">
        <v>28</v>
      </c>
      <c r="B7947" t="s">
        <v>7754</v>
      </c>
      <c r="C7947">
        <v>838</v>
      </c>
      <c r="D7947" t="str">
        <f>"0001-4338"</f>
        <v>0001-4338</v>
      </c>
      <c r="E7947" t="s">
        <v>8</v>
      </c>
      <c r="F7947" t="s">
        <v>7950</v>
      </c>
      <c r="G7947">
        <v>1</v>
      </c>
    </row>
    <row r="7948" spans="1:7" x14ac:dyDescent="0.25">
      <c r="A7948">
        <v>28</v>
      </c>
      <c r="B7948" t="s">
        <v>7754</v>
      </c>
      <c r="C7948">
        <v>892</v>
      </c>
      <c r="D7948" t="str">
        <f>"1069-3513"</f>
        <v>1069-3513</v>
      </c>
      <c r="E7948" t="s">
        <v>8</v>
      </c>
      <c r="F7948" t="s">
        <v>7951</v>
      </c>
      <c r="G7948">
        <v>1</v>
      </c>
    </row>
    <row r="7949" spans="1:7" x14ac:dyDescent="0.25">
      <c r="A7949">
        <v>28</v>
      </c>
      <c r="B7949" t="s">
        <v>7754</v>
      </c>
      <c r="C7949">
        <v>1259</v>
      </c>
      <c r="D7949" t="str">
        <f>"0021-8502"</f>
        <v>0021-8502</v>
      </c>
      <c r="E7949" t="s">
        <v>8</v>
      </c>
      <c r="F7949" t="s">
        <v>7952</v>
      </c>
      <c r="G7949">
        <v>1</v>
      </c>
    </row>
    <row r="7950" spans="1:7" x14ac:dyDescent="0.25">
      <c r="A7950">
        <v>28</v>
      </c>
      <c r="B7950" t="s">
        <v>7754</v>
      </c>
      <c r="C7950">
        <v>10851</v>
      </c>
      <c r="D7950" t="str">
        <f>"1464-343X"</f>
        <v>1464-343X</v>
      </c>
      <c r="E7950" t="s">
        <v>8</v>
      </c>
      <c r="F7950" t="s">
        <v>7953</v>
      </c>
      <c r="G7950">
        <v>1</v>
      </c>
    </row>
    <row r="7951" spans="1:7" x14ac:dyDescent="0.25">
      <c r="A7951">
        <v>28</v>
      </c>
      <c r="B7951" t="s">
        <v>7754</v>
      </c>
      <c r="C7951">
        <v>23372</v>
      </c>
      <c r="D7951" t="str">
        <f>"1862-9016"</f>
        <v>1862-9016</v>
      </c>
      <c r="E7951" t="s">
        <v>8</v>
      </c>
      <c r="F7951" t="s">
        <v>7954</v>
      </c>
      <c r="G7951">
        <v>1</v>
      </c>
    </row>
    <row r="7952" spans="1:7" x14ac:dyDescent="0.25">
      <c r="A7952">
        <v>28</v>
      </c>
      <c r="B7952" t="s">
        <v>7754</v>
      </c>
      <c r="C7952">
        <v>9743</v>
      </c>
      <c r="D7952" t="str">
        <f>"0926-9851"</f>
        <v>0926-9851</v>
      </c>
      <c r="E7952" t="s">
        <v>8</v>
      </c>
      <c r="F7952" t="s">
        <v>7955</v>
      </c>
      <c r="G7952">
        <v>1</v>
      </c>
    </row>
    <row r="7953" spans="1:7" x14ac:dyDescent="0.25">
      <c r="A7953">
        <v>28</v>
      </c>
      <c r="B7953" t="s">
        <v>7754</v>
      </c>
      <c r="C7953">
        <v>9575</v>
      </c>
      <c r="D7953" t="str">
        <f>"1558-8424"</f>
        <v>1558-8424</v>
      </c>
      <c r="E7953" t="s">
        <v>8</v>
      </c>
      <c r="F7953" t="s">
        <v>7956</v>
      </c>
      <c r="G7953">
        <v>1</v>
      </c>
    </row>
    <row r="7954" spans="1:7" x14ac:dyDescent="0.25">
      <c r="A7954">
        <v>28</v>
      </c>
      <c r="B7954" t="s">
        <v>7754</v>
      </c>
      <c r="C7954">
        <v>6379</v>
      </c>
      <c r="D7954" t="str">
        <f>"1367-9120"</f>
        <v>1367-9120</v>
      </c>
      <c r="E7954" t="s">
        <v>8</v>
      </c>
      <c r="F7954" t="s">
        <v>7957</v>
      </c>
      <c r="G7954">
        <v>1</v>
      </c>
    </row>
    <row r="7955" spans="1:7" x14ac:dyDescent="0.25">
      <c r="A7955">
        <v>28</v>
      </c>
      <c r="B7955" t="s">
        <v>7754</v>
      </c>
      <c r="C7955">
        <v>8895</v>
      </c>
      <c r="D7955" t="str">
        <f>"0739-0572"</f>
        <v>0739-0572</v>
      </c>
      <c r="E7955" t="s">
        <v>8</v>
      </c>
      <c r="F7955" t="s">
        <v>7958</v>
      </c>
      <c r="G7955">
        <v>1</v>
      </c>
    </row>
    <row r="7956" spans="1:7" x14ac:dyDescent="0.25">
      <c r="A7956">
        <v>28</v>
      </c>
      <c r="B7956" t="s">
        <v>7754</v>
      </c>
      <c r="C7956">
        <v>623</v>
      </c>
      <c r="D7956" t="str">
        <f>"1364-6826"</f>
        <v>1364-6826</v>
      </c>
      <c r="E7956" t="s">
        <v>8</v>
      </c>
      <c r="F7956" t="s">
        <v>7959</v>
      </c>
      <c r="G7956">
        <v>1</v>
      </c>
    </row>
    <row r="7957" spans="1:7" x14ac:dyDescent="0.25">
      <c r="A7957">
        <v>28</v>
      </c>
      <c r="B7957" t="s">
        <v>7754</v>
      </c>
      <c r="C7957">
        <v>6965</v>
      </c>
      <c r="D7957" t="str">
        <f>"0167-7764"</f>
        <v>0167-7764</v>
      </c>
      <c r="E7957" t="s">
        <v>8</v>
      </c>
      <c r="F7957" t="s">
        <v>7960</v>
      </c>
      <c r="G7957">
        <v>1</v>
      </c>
    </row>
    <row r="7958" spans="1:7" x14ac:dyDescent="0.25">
      <c r="A7958">
        <v>28</v>
      </c>
      <c r="B7958" t="s">
        <v>7754</v>
      </c>
      <c r="C7958">
        <v>3166</v>
      </c>
      <c r="D7958" t="str">
        <f>"1090-6924"</f>
        <v>1090-6924</v>
      </c>
      <c r="E7958" t="s">
        <v>8</v>
      </c>
      <c r="F7958" t="s">
        <v>7961</v>
      </c>
      <c r="G7958">
        <v>1</v>
      </c>
    </row>
    <row r="7959" spans="1:7" x14ac:dyDescent="0.25">
      <c r="A7959">
        <v>28</v>
      </c>
      <c r="B7959" t="s">
        <v>7754</v>
      </c>
      <c r="C7959">
        <v>6169023</v>
      </c>
      <c r="D7959" t="str">
        <f>"1674-487X"</f>
        <v>1674-487X</v>
      </c>
      <c r="E7959" t="s">
        <v>8</v>
      </c>
      <c r="F7959" t="s">
        <v>7962</v>
      </c>
      <c r="G7959">
        <v>1</v>
      </c>
    </row>
    <row r="7960" spans="1:7" x14ac:dyDescent="0.25">
      <c r="A7960">
        <v>28</v>
      </c>
      <c r="B7960" t="s">
        <v>7754</v>
      </c>
      <c r="C7960">
        <v>153038</v>
      </c>
      <c r="D7960" t="str">
        <f>"0253-4126"</f>
        <v>0253-4126</v>
      </c>
      <c r="E7960" t="s">
        <v>8</v>
      </c>
      <c r="F7960" t="s">
        <v>7963</v>
      </c>
      <c r="G7960">
        <v>1</v>
      </c>
    </row>
    <row r="7961" spans="1:7" x14ac:dyDescent="0.25">
      <c r="A7961">
        <v>28</v>
      </c>
      <c r="B7961" t="s">
        <v>7754</v>
      </c>
      <c r="C7961">
        <v>13624</v>
      </c>
      <c r="D7961" t="str">
        <f>"1026-1613"</f>
        <v>1026-1613</v>
      </c>
      <c r="E7961" t="s">
        <v>8</v>
      </c>
      <c r="F7961" t="s">
        <v>7964</v>
      </c>
      <c r="G7961">
        <v>1</v>
      </c>
    </row>
    <row r="7962" spans="1:7" x14ac:dyDescent="0.25">
      <c r="A7962">
        <v>28</v>
      </c>
      <c r="B7962" t="s">
        <v>7754</v>
      </c>
      <c r="C7962">
        <v>457</v>
      </c>
      <c r="D7962" t="str">
        <f>"1083-1363"</f>
        <v>1083-1363</v>
      </c>
      <c r="E7962" t="s">
        <v>8</v>
      </c>
      <c r="F7962" t="s">
        <v>7965</v>
      </c>
      <c r="G7962">
        <v>1</v>
      </c>
    </row>
    <row r="7963" spans="1:7" x14ac:dyDescent="0.25">
      <c r="A7963">
        <v>28</v>
      </c>
      <c r="B7963" t="s">
        <v>7754</v>
      </c>
      <c r="C7963">
        <v>7260</v>
      </c>
      <c r="D7963" t="str">
        <f>"0265-931X"</f>
        <v>0265-931X</v>
      </c>
      <c r="E7963" t="s">
        <v>8</v>
      </c>
      <c r="F7963" t="s">
        <v>7966</v>
      </c>
      <c r="G7963">
        <v>1</v>
      </c>
    </row>
    <row r="7964" spans="1:7" x14ac:dyDescent="0.25">
      <c r="A7964">
        <v>28</v>
      </c>
      <c r="B7964" t="s">
        <v>7754</v>
      </c>
      <c r="C7964">
        <v>11531</v>
      </c>
      <c r="D7964" t="str">
        <f>"0096-1191"</f>
        <v>0096-1191</v>
      </c>
      <c r="E7964" t="s">
        <v>8</v>
      </c>
      <c r="F7964" t="s">
        <v>7967</v>
      </c>
      <c r="G7964">
        <v>1</v>
      </c>
    </row>
    <row r="7965" spans="1:7" x14ac:dyDescent="0.25">
      <c r="A7965">
        <v>28</v>
      </c>
      <c r="B7965" t="s">
        <v>7754</v>
      </c>
      <c r="C7965">
        <v>9518</v>
      </c>
      <c r="D7965" t="str">
        <f>"0375-6742"</f>
        <v>0375-6742</v>
      </c>
      <c r="E7965" t="s">
        <v>8</v>
      </c>
      <c r="F7965" t="s">
        <v>7968</v>
      </c>
      <c r="G7965">
        <v>1</v>
      </c>
    </row>
    <row r="7966" spans="1:7" x14ac:dyDescent="0.25">
      <c r="A7966">
        <v>28</v>
      </c>
      <c r="B7966" t="s">
        <v>7754</v>
      </c>
      <c r="C7966">
        <v>170342</v>
      </c>
      <c r="D7966" t="str">
        <f>"2081-9919"</f>
        <v>2081-9919</v>
      </c>
      <c r="E7966" t="s">
        <v>8</v>
      </c>
      <c r="F7966" t="s">
        <v>7969</v>
      </c>
      <c r="G7966">
        <v>1</v>
      </c>
    </row>
    <row r="7967" spans="1:7" x14ac:dyDescent="0.25">
      <c r="A7967">
        <v>28</v>
      </c>
      <c r="B7967" t="s">
        <v>7754</v>
      </c>
      <c r="C7967">
        <v>12382</v>
      </c>
      <c r="D7967" t="str">
        <f>"0264-3707"</f>
        <v>0264-3707</v>
      </c>
      <c r="E7967" t="s">
        <v>8</v>
      </c>
      <c r="F7967" t="s">
        <v>7970</v>
      </c>
      <c r="G7967">
        <v>1</v>
      </c>
    </row>
    <row r="7968" spans="1:7" x14ac:dyDescent="0.25">
      <c r="A7968">
        <v>28</v>
      </c>
      <c r="B7968" t="s">
        <v>7754</v>
      </c>
      <c r="C7968">
        <v>9109</v>
      </c>
      <c r="D7968" t="str">
        <f>"1435-5930"</f>
        <v>1435-5930</v>
      </c>
      <c r="E7968" t="s">
        <v>8</v>
      </c>
      <c r="F7968" t="s">
        <v>7971</v>
      </c>
      <c r="G7968">
        <v>1</v>
      </c>
    </row>
    <row r="7969" spans="1:7" x14ac:dyDescent="0.25">
      <c r="A7969">
        <v>28</v>
      </c>
      <c r="B7969" t="s">
        <v>7754</v>
      </c>
      <c r="C7969">
        <v>15779</v>
      </c>
      <c r="D7969" t="str">
        <f>"1742-2132"</f>
        <v>1742-2132</v>
      </c>
      <c r="E7969" t="s">
        <v>8</v>
      </c>
      <c r="F7969" t="s">
        <v>7972</v>
      </c>
      <c r="G7969">
        <v>1</v>
      </c>
    </row>
    <row r="7970" spans="1:7" x14ac:dyDescent="0.25">
      <c r="A7970">
        <v>28</v>
      </c>
      <c r="B7970" t="s">
        <v>7754</v>
      </c>
      <c r="C7970">
        <v>662</v>
      </c>
      <c r="D7970" t="str">
        <f>"0022-1430"</f>
        <v>0022-1430</v>
      </c>
      <c r="E7970" t="s">
        <v>8</v>
      </c>
      <c r="F7970" t="s">
        <v>7973</v>
      </c>
      <c r="G7970">
        <v>1</v>
      </c>
    </row>
    <row r="7971" spans="1:7" x14ac:dyDescent="0.25">
      <c r="A7971">
        <v>28</v>
      </c>
      <c r="B7971" t="s">
        <v>7754</v>
      </c>
      <c r="C7971">
        <v>15293</v>
      </c>
      <c r="D7971" t="str">
        <f>"0380-1330"</f>
        <v>0380-1330</v>
      </c>
      <c r="E7971" t="s">
        <v>8</v>
      </c>
      <c r="F7971" t="s">
        <v>7974</v>
      </c>
      <c r="G7971">
        <v>1</v>
      </c>
    </row>
    <row r="7972" spans="1:7" x14ac:dyDescent="0.25">
      <c r="A7972">
        <v>28</v>
      </c>
      <c r="B7972" t="s">
        <v>7754</v>
      </c>
      <c r="C7972">
        <v>3399</v>
      </c>
      <c r="D7972" t="str">
        <f>"1525-755X"</f>
        <v>1525-755X</v>
      </c>
      <c r="E7972" t="s">
        <v>8</v>
      </c>
      <c r="F7972" t="s">
        <v>7975</v>
      </c>
      <c r="G7972">
        <v>1</v>
      </c>
    </row>
    <row r="7973" spans="1:7" x14ac:dyDescent="0.25">
      <c r="A7973">
        <v>28</v>
      </c>
      <c r="B7973" t="s">
        <v>7754</v>
      </c>
      <c r="C7973">
        <v>756</v>
      </c>
      <c r="D7973" t="str">
        <f>"0924-7963"</f>
        <v>0924-7963</v>
      </c>
      <c r="E7973" t="s">
        <v>8</v>
      </c>
      <c r="F7973" t="s">
        <v>7976</v>
      </c>
      <c r="G7973">
        <v>1</v>
      </c>
    </row>
    <row r="7974" spans="1:7" x14ac:dyDescent="0.25">
      <c r="A7974">
        <v>28</v>
      </c>
      <c r="B7974" t="s">
        <v>7754</v>
      </c>
      <c r="C7974">
        <v>13218</v>
      </c>
      <c r="D7974" t="str">
        <f>"0263-4929"</f>
        <v>0263-4929</v>
      </c>
      <c r="E7974" t="s">
        <v>8</v>
      </c>
      <c r="F7974" t="s">
        <v>7977</v>
      </c>
      <c r="G7974">
        <v>1</v>
      </c>
    </row>
    <row r="7975" spans="1:7" x14ac:dyDescent="0.25">
      <c r="A7975">
        <v>28</v>
      </c>
      <c r="B7975" t="s">
        <v>7754</v>
      </c>
      <c r="C7975">
        <v>43</v>
      </c>
      <c r="D7975" t="str">
        <f>"0262-821X"</f>
        <v>0262-821X</v>
      </c>
      <c r="E7975" t="s">
        <v>8</v>
      </c>
      <c r="F7975" t="s">
        <v>7978</v>
      </c>
      <c r="G7975">
        <v>1</v>
      </c>
    </row>
    <row r="7976" spans="1:7" x14ac:dyDescent="0.25">
      <c r="A7976">
        <v>28</v>
      </c>
      <c r="B7976" t="s">
        <v>7754</v>
      </c>
      <c r="C7976">
        <v>16584</v>
      </c>
      <c r="D7976" t="str">
        <f>"1345-6296"</f>
        <v>1345-6296</v>
      </c>
      <c r="E7976" t="s">
        <v>8</v>
      </c>
      <c r="F7976" t="s">
        <v>7979</v>
      </c>
      <c r="G7976">
        <v>1</v>
      </c>
    </row>
    <row r="7977" spans="1:7" x14ac:dyDescent="0.25">
      <c r="A7977">
        <v>28</v>
      </c>
      <c r="B7977" t="s">
        <v>7754</v>
      </c>
      <c r="C7977">
        <v>2543</v>
      </c>
      <c r="D7977" t="str">
        <f>"0373-4633"</f>
        <v>0373-4633</v>
      </c>
      <c r="E7977" t="s">
        <v>8</v>
      </c>
      <c r="F7977" t="s">
        <v>7980</v>
      </c>
      <c r="G7977">
        <v>1</v>
      </c>
    </row>
    <row r="7978" spans="1:7" x14ac:dyDescent="0.25">
      <c r="A7978">
        <v>28</v>
      </c>
      <c r="B7978" t="s">
        <v>7754</v>
      </c>
      <c r="C7978">
        <v>1466</v>
      </c>
      <c r="D7978" t="str">
        <f>"0916-8370"</f>
        <v>0916-8370</v>
      </c>
      <c r="E7978" t="s">
        <v>8</v>
      </c>
      <c r="F7978" t="s">
        <v>7981</v>
      </c>
      <c r="G7978">
        <v>1</v>
      </c>
    </row>
    <row r="7979" spans="1:7" x14ac:dyDescent="0.25">
      <c r="A7979">
        <v>28</v>
      </c>
      <c r="B7979" t="s">
        <v>7754</v>
      </c>
      <c r="C7979">
        <v>8617</v>
      </c>
      <c r="D7979" t="str">
        <f>"0022-3360"</f>
        <v>0022-3360</v>
      </c>
      <c r="E7979" t="s">
        <v>8</v>
      </c>
      <c r="F7979" t="s">
        <v>7982</v>
      </c>
      <c r="G7979">
        <v>1</v>
      </c>
    </row>
    <row r="7980" spans="1:7" x14ac:dyDescent="0.25">
      <c r="A7980">
        <v>28</v>
      </c>
      <c r="B7980" t="s">
        <v>7754</v>
      </c>
      <c r="C7980">
        <v>2674</v>
      </c>
      <c r="D7980" t="str">
        <f>"0141-6421"</f>
        <v>0141-6421</v>
      </c>
      <c r="E7980" t="s">
        <v>8</v>
      </c>
      <c r="F7980" t="s">
        <v>7983</v>
      </c>
      <c r="G7980">
        <v>1</v>
      </c>
    </row>
    <row r="7981" spans="1:7" x14ac:dyDescent="0.25">
      <c r="A7981">
        <v>28</v>
      </c>
      <c r="B7981" t="s">
        <v>7754</v>
      </c>
      <c r="C7981">
        <v>1717</v>
      </c>
      <c r="D7981" t="str">
        <f>"0022-3670"</f>
        <v>0022-3670</v>
      </c>
      <c r="E7981" t="s">
        <v>8</v>
      </c>
      <c r="F7981" t="s">
        <v>7984</v>
      </c>
      <c r="G7981">
        <v>1</v>
      </c>
    </row>
    <row r="7982" spans="1:7" x14ac:dyDescent="0.25">
      <c r="A7982">
        <v>28</v>
      </c>
      <c r="B7982" t="s">
        <v>7754</v>
      </c>
      <c r="C7982">
        <v>5288</v>
      </c>
      <c r="D7982" t="str">
        <f>"0267-8179"</f>
        <v>0267-8179</v>
      </c>
      <c r="E7982" t="s">
        <v>8</v>
      </c>
      <c r="F7982" t="s">
        <v>7985</v>
      </c>
      <c r="G7982">
        <v>1</v>
      </c>
    </row>
    <row r="7983" spans="1:7" x14ac:dyDescent="0.25">
      <c r="A7983">
        <v>28</v>
      </c>
      <c r="B7983" t="s">
        <v>7754</v>
      </c>
      <c r="C7983">
        <v>128</v>
      </c>
      <c r="D7983" t="str">
        <f>"1527-1404"</f>
        <v>1527-1404</v>
      </c>
      <c r="E7983" t="s">
        <v>8</v>
      </c>
      <c r="F7983" t="s">
        <v>7986</v>
      </c>
      <c r="G7983">
        <v>1</v>
      </c>
    </row>
    <row r="7984" spans="1:7" x14ac:dyDescent="0.25">
      <c r="A7984">
        <v>28</v>
      </c>
      <c r="B7984" t="s">
        <v>7754</v>
      </c>
      <c r="C7984">
        <v>16601</v>
      </c>
      <c r="D7984" t="str">
        <f>"0963-0651"</f>
        <v>0963-0651</v>
      </c>
      <c r="E7984" t="s">
        <v>8</v>
      </c>
      <c r="F7984" t="s">
        <v>7987</v>
      </c>
      <c r="G7984">
        <v>1</v>
      </c>
    </row>
    <row r="7985" spans="1:7" x14ac:dyDescent="0.25">
      <c r="A7985">
        <v>28</v>
      </c>
      <c r="B7985" t="s">
        <v>7754</v>
      </c>
      <c r="C7985">
        <v>14477</v>
      </c>
      <c r="D7985" t="str">
        <f>"1383-4649"</f>
        <v>1383-4649</v>
      </c>
      <c r="E7985" t="s">
        <v>8</v>
      </c>
      <c r="F7985" t="s">
        <v>7988</v>
      </c>
      <c r="G7985">
        <v>1</v>
      </c>
    </row>
    <row r="7986" spans="1:7" x14ac:dyDescent="0.25">
      <c r="A7986">
        <v>28</v>
      </c>
      <c r="B7986" t="s">
        <v>7754</v>
      </c>
      <c r="C7986">
        <v>9736</v>
      </c>
      <c r="D7986" t="str">
        <f>"0895-9811"</f>
        <v>0895-9811</v>
      </c>
      <c r="E7986" t="s">
        <v>8</v>
      </c>
      <c r="F7986" t="s">
        <v>7989</v>
      </c>
      <c r="G7986">
        <v>1</v>
      </c>
    </row>
    <row r="7987" spans="1:7" x14ac:dyDescent="0.25">
      <c r="A7987">
        <v>28</v>
      </c>
      <c r="B7987" t="s">
        <v>7754</v>
      </c>
      <c r="C7987">
        <v>7719076</v>
      </c>
      <c r="D7987" t="str">
        <f>"2115-7251"</f>
        <v>2115-7251</v>
      </c>
      <c r="E7987" t="s">
        <v>8</v>
      </c>
      <c r="F7987" t="s">
        <v>7990</v>
      </c>
      <c r="G7987">
        <v>1</v>
      </c>
    </row>
    <row r="7988" spans="1:7" x14ac:dyDescent="0.25">
      <c r="A7988">
        <v>28</v>
      </c>
      <c r="B7988" t="s">
        <v>7754</v>
      </c>
      <c r="C7988">
        <v>6015</v>
      </c>
      <c r="D7988" t="str">
        <f>"1530-4736"</f>
        <v>1530-4736</v>
      </c>
      <c r="E7988" t="s">
        <v>8</v>
      </c>
      <c r="F7988" t="s">
        <v>7991</v>
      </c>
      <c r="G7988">
        <v>1</v>
      </c>
    </row>
    <row r="7989" spans="1:7" x14ac:dyDescent="0.25">
      <c r="A7989">
        <v>28</v>
      </c>
      <c r="B7989" t="s">
        <v>7754</v>
      </c>
      <c r="C7989">
        <v>11571</v>
      </c>
      <c r="D7989" t="str">
        <f>"0191-8141"</f>
        <v>0191-8141</v>
      </c>
      <c r="E7989" t="s">
        <v>8</v>
      </c>
      <c r="F7989" t="s">
        <v>7992</v>
      </c>
      <c r="G7989">
        <v>1</v>
      </c>
    </row>
    <row r="7990" spans="1:7" x14ac:dyDescent="0.25">
      <c r="A7990">
        <v>28</v>
      </c>
      <c r="B7990" t="s">
        <v>7754</v>
      </c>
      <c r="C7990">
        <v>7473</v>
      </c>
      <c r="D7990" t="str">
        <f>"0733-9453"</f>
        <v>0733-9453</v>
      </c>
      <c r="E7990" t="s">
        <v>8</v>
      </c>
      <c r="F7990" t="s">
        <v>7993</v>
      </c>
      <c r="G7990">
        <v>1</v>
      </c>
    </row>
    <row r="7991" spans="1:7" x14ac:dyDescent="0.25">
      <c r="A7991">
        <v>28</v>
      </c>
      <c r="B7991" t="s">
        <v>7754</v>
      </c>
      <c r="C7991">
        <v>13097</v>
      </c>
      <c r="D7991" t="str">
        <f>"1477-2019"</f>
        <v>1477-2019</v>
      </c>
      <c r="E7991" t="s">
        <v>8</v>
      </c>
      <c r="F7991" t="s">
        <v>7994</v>
      </c>
      <c r="G7991">
        <v>1</v>
      </c>
    </row>
    <row r="7992" spans="1:7" x14ac:dyDescent="0.25">
      <c r="A7992">
        <v>28</v>
      </c>
      <c r="B7992" t="s">
        <v>7754</v>
      </c>
      <c r="C7992">
        <v>3163</v>
      </c>
      <c r="D7992" t="str">
        <f>"0022-4928"</f>
        <v>0022-4928</v>
      </c>
      <c r="E7992" t="s">
        <v>8</v>
      </c>
      <c r="F7992" t="s">
        <v>7995</v>
      </c>
      <c r="G7992">
        <v>1</v>
      </c>
    </row>
    <row r="7993" spans="1:7" x14ac:dyDescent="0.25">
      <c r="A7993">
        <v>28</v>
      </c>
      <c r="B7993" t="s">
        <v>7754</v>
      </c>
      <c r="C7993">
        <v>12685</v>
      </c>
      <c r="D7993" t="str">
        <f>"0016-7649"</f>
        <v>0016-7649</v>
      </c>
      <c r="E7993" t="s">
        <v>8</v>
      </c>
      <c r="F7993" t="s">
        <v>7996</v>
      </c>
      <c r="G7993">
        <v>1</v>
      </c>
    </row>
    <row r="7994" spans="1:7" x14ac:dyDescent="0.25">
      <c r="A7994">
        <v>28</v>
      </c>
      <c r="B7994" t="s">
        <v>7754</v>
      </c>
      <c r="C7994">
        <v>16436</v>
      </c>
      <c r="D7994" t="str">
        <f>"0016-7622"</f>
        <v>0016-7622</v>
      </c>
      <c r="E7994" t="s">
        <v>8</v>
      </c>
      <c r="F7994" t="s">
        <v>7997</v>
      </c>
      <c r="G7994">
        <v>1</v>
      </c>
    </row>
    <row r="7995" spans="1:7" x14ac:dyDescent="0.25">
      <c r="A7995">
        <v>28</v>
      </c>
      <c r="B7995" t="s">
        <v>7754</v>
      </c>
      <c r="C7995">
        <v>1703</v>
      </c>
      <c r="D7995" t="str">
        <f>"0026-1165"</f>
        <v>0026-1165</v>
      </c>
      <c r="E7995" t="s">
        <v>8</v>
      </c>
      <c r="F7995" t="s">
        <v>7998</v>
      </c>
      <c r="G7995">
        <v>1</v>
      </c>
    </row>
    <row r="7996" spans="1:7" x14ac:dyDescent="0.25">
      <c r="A7996">
        <v>28</v>
      </c>
      <c r="B7996" t="s">
        <v>7754</v>
      </c>
      <c r="C7996">
        <v>15901</v>
      </c>
      <c r="D7996" t="str">
        <f>"0272-4634"</f>
        <v>0272-4634</v>
      </c>
      <c r="E7996" t="s">
        <v>8</v>
      </c>
      <c r="F7996" t="s">
        <v>7999</v>
      </c>
      <c r="G7996">
        <v>1</v>
      </c>
    </row>
    <row r="7997" spans="1:7" x14ac:dyDescent="0.25">
      <c r="A7997">
        <v>28</v>
      </c>
      <c r="B7997" t="s">
        <v>7754</v>
      </c>
      <c r="C7997">
        <v>2219</v>
      </c>
      <c r="D7997" t="str">
        <f>"0377-0273"</f>
        <v>0377-0273</v>
      </c>
      <c r="E7997" t="s">
        <v>8</v>
      </c>
      <c r="F7997" t="s">
        <v>8000</v>
      </c>
      <c r="G7997">
        <v>1</v>
      </c>
    </row>
    <row r="7998" spans="1:7" x14ac:dyDescent="0.25">
      <c r="A7998">
        <v>28</v>
      </c>
      <c r="B7998" t="s">
        <v>7754</v>
      </c>
      <c r="C7998">
        <v>162</v>
      </c>
      <c r="D7998" t="str">
        <f>"0930-0317"</f>
        <v>0930-0317</v>
      </c>
      <c r="E7998" t="s">
        <v>15</v>
      </c>
      <c r="F7998" t="s">
        <v>8001</v>
      </c>
      <c r="G7998">
        <v>1</v>
      </c>
    </row>
    <row r="7999" spans="1:7" x14ac:dyDescent="0.25">
      <c r="A7999">
        <v>28</v>
      </c>
      <c r="B7999" t="s">
        <v>7754</v>
      </c>
      <c r="C7999">
        <v>6686</v>
      </c>
      <c r="D7999" t="str">
        <f>"0024-1164"</f>
        <v>0024-1164</v>
      </c>
      <c r="E7999" t="s">
        <v>8</v>
      </c>
      <c r="F7999" t="s">
        <v>8002</v>
      </c>
      <c r="G7999">
        <v>1</v>
      </c>
    </row>
    <row r="8000" spans="1:7" x14ac:dyDescent="0.25">
      <c r="A8000">
        <v>28</v>
      </c>
      <c r="B8000" t="s">
        <v>7754</v>
      </c>
      <c r="C8000">
        <v>1116</v>
      </c>
      <c r="D8000" t="str">
        <f>"0024-4902"</f>
        <v>0024-4902</v>
      </c>
      <c r="E8000" t="s">
        <v>8</v>
      </c>
      <c r="F8000" t="s">
        <v>8003</v>
      </c>
      <c r="G8000">
        <v>1</v>
      </c>
    </row>
    <row r="8001" spans="1:7" x14ac:dyDescent="0.25">
      <c r="A8001">
        <v>28</v>
      </c>
      <c r="B8001" t="s">
        <v>7754</v>
      </c>
      <c r="C8001">
        <v>2083</v>
      </c>
      <c r="D8001" t="str">
        <f>"0024-4937"</f>
        <v>0024-4937</v>
      </c>
      <c r="E8001" t="s">
        <v>8</v>
      </c>
      <c r="F8001" t="s">
        <v>8004</v>
      </c>
      <c r="G8001">
        <v>1</v>
      </c>
    </row>
    <row r="8002" spans="1:7" x14ac:dyDescent="0.25">
      <c r="A8002">
        <v>28</v>
      </c>
      <c r="B8002" t="s">
        <v>7754</v>
      </c>
      <c r="C8002">
        <v>1250</v>
      </c>
      <c r="D8002" t="str">
        <f>"0264-8172"</f>
        <v>0264-8172</v>
      </c>
      <c r="E8002" t="s">
        <v>8</v>
      </c>
      <c r="F8002" t="s">
        <v>8005</v>
      </c>
      <c r="G8002">
        <v>1</v>
      </c>
    </row>
    <row r="8003" spans="1:7" x14ac:dyDescent="0.25">
      <c r="A8003">
        <v>28</v>
      </c>
      <c r="B8003" t="s">
        <v>7754</v>
      </c>
      <c r="C8003">
        <v>1622</v>
      </c>
      <c r="D8003" t="str">
        <f>"0149-0419"</f>
        <v>0149-0419</v>
      </c>
      <c r="E8003" t="s">
        <v>8</v>
      </c>
      <c r="F8003" t="s">
        <v>8006</v>
      </c>
      <c r="G8003">
        <v>1</v>
      </c>
    </row>
    <row r="8004" spans="1:7" x14ac:dyDescent="0.25">
      <c r="A8004">
        <v>28</v>
      </c>
      <c r="B8004" t="s">
        <v>7754</v>
      </c>
      <c r="C8004">
        <v>15263</v>
      </c>
      <c r="D8004" t="str">
        <f>"0025-3227"</f>
        <v>0025-3227</v>
      </c>
      <c r="E8004" t="s">
        <v>8</v>
      </c>
      <c r="F8004" t="s">
        <v>8007</v>
      </c>
      <c r="G8004">
        <v>1</v>
      </c>
    </row>
    <row r="8005" spans="1:7" x14ac:dyDescent="0.25">
      <c r="A8005">
        <v>28</v>
      </c>
      <c r="B8005" t="s">
        <v>7754</v>
      </c>
      <c r="C8005">
        <v>4590</v>
      </c>
      <c r="D8005" t="str">
        <f>"0025-3235"</f>
        <v>0025-3235</v>
      </c>
      <c r="E8005" t="s">
        <v>8</v>
      </c>
      <c r="F8005" t="s">
        <v>8008</v>
      </c>
      <c r="G8005">
        <v>1</v>
      </c>
    </row>
    <row r="8006" spans="1:7" x14ac:dyDescent="0.25">
      <c r="A8006">
        <v>28</v>
      </c>
      <c r="B8006" t="s">
        <v>7754</v>
      </c>
      <c r="C8006">
        <v>13825</v>
      </c>
      <c r="D8006" t="str">
        <f>"1064-119X"</f>
        <v>1064-119X</v>
      </c>
      <c r="E8006" t="s">
        <v>8</v>
      </c>
      <c r="F8006" t="s">
        <v>8009</v>
      </c>
      <c r="G8006">
        <v>1</v>
      </c>
    </row>
    <row r="8007" spans="1:7" x14ac:dyDescent="0.25">
      <c r="A8007">
        <v>28</v>
      </c>
      <c r="B8007" t="s">
        <v>7754</v>
      </c>
      <c r="C8007">
        <v>14444</v>
      </c>
      <c r="D8007" t="str">
        <f>"0377-8398"</f>
        <v>0377-8398</v>
      </c>
      <c r="E8007" t="s">
        <v>8</v>
      </c>
      <c r="F8007" t="s">
        <v>8010</v>
      </c>
      <c r="G8007">
        <v>1</v>
      </c>
    </row>
    <row r="8008" spans="1:7" x14ac:dyDescent="0.25">
      <c r="A8008">
        <v>28</v>
      </c>
      <c r="B8008" t="s">
        <v>7754</v>
      </c>
      <c r="C8008">
        <v>27132</v>
      </c>
      <c r="D8008" t="str">
        <f>"1874-8961"</f>
        <v>1874-8961</v>
      </c>
      <c r="E8008" t="s">
        <v>8</v>
      </c>
      <c r="F8008" t="s">
        <v>8011</v>
      </c>
      <c r="G8008">
        <v>1</v>
      </c>
    </row>
    <row r="8009" spans="1:7" x14ac:dyDescent="0.25">
      <c r="A8009">
        <v>28</v>
      </c>
      <c r="B8009" t="s">
        <v>7754</v>
      </c>
      <c r="C8009">
        <v>14324</v>
      </c>
      <c r="D8009" t="str">
        <f>"1086-9379"</f>
        <v>1086-9379</v>
      </c>
      <c r="E8009" t="s">
        <v>8</v>
      </c>
      <c r="F8009" t="s">
        <v>8012</v>
      </c>
      <c r="G8009">
        <v>1</v>
      </c>
    </row>
    <row r="8010" spans="1:7" x14ac:dyDescent="0.25">
      <c r="A8010">
        <v>28</v>
      </c>
      <c r="B8010" t="s">
        <v>7754</v>
      </c>
      <c r="C8010">
        <v>11991</v>
      </c>
      <c r="D8010" t="str">
        <f>"1350-4827"</f>
        <v>1350-4827</v>
      </c>
      <c r="E8010" t="s">
        <v>8</v>
      </c>
      <c r="F8010" t="s">
        <v>8013</v>
      </c>
      <c r="G8010">
        <v>1</v>
      </c>
    </row>
    <row r="8011" spans="1:7" x14ac:dyDescent="0.25">
      <c r="A8011">
        <v>28</v>
      </c>
      <c r="B8011" t="s">
        <v>7754</v>
      </c>
      <c r="C8011">
        <v>2541</v>
      </c>
      <c r="D8011" t="str">
        <f>"0941-2948"</f>
        <v>0941-2948</v>
      </c>
      <c r="E8011" t="s">
        <v>8</v>
      </c>
      <c r="F8011" t="s">
        <v>8014</v>
      </c>
      <c r="G8011">
        <v>1</v>
      </c>
    </row>
    <row r="8012" spans="1:7" x14ac:dyDescent="0.25">
      <c r="A8012">
        <v>28</v>
      </c>
      <c r="B8012" t="s">
        <v>7754</v>
      </c>
      <c r="C8012">
        <v>8961</v>
      </c>
      <c r="D8012" t="str">
        <f>"0177-7971"</f>
        <v>0177-7971</v>
      </c>
      <c r="E8012" t="s">
        <v>8</v>
      </c>
      <c r="F8012" t="s">
        <v>8015</v>
      </c>
      <c r="G8012">
        <v>1</v>
      </c>
    </row>
    <row r="8013" spans="1:7" x14ac:dyDescent="0.25">
      <c r="A8013">
        <v>28</v>
      </c>
      <c r="B8013" t="s">
        <v>7754</v>
      </c>
      <c r="C8013">
        <v>1289</v>
      </c>
      <c r="D8013" t="str">
        <f>"0026-2803"</f>
        <v>0026-2803</v>
      </c>
      <c r="E8013" t="s">
        <v>8</v>
      </c>
      <c r="F8013" t="s">
        <v>8016</v>
      </c>
      <c r="G8013">
        <v>1</v>
      </c>
    </row>
    <row r="8014" spans="1:7" x14ac:dyDescent="0.25">
      <c r="A8014">
        <v>28</v>
      </c>
      <c r="B8014" t="s">
        <v>7754</v>
      </c>
      <c r="C8014">
        <v>11344</v>
      </c>
      <c r="D8014" t="str">
        <f>"0026-4598"</f>
        <v>0026-4598</v>
      </c>
      <c r="E8014" t="s">
        <v>8</v>
      </c>
      <c r="F8014" t="s">
        <v>8017</v>
      </c>
      <c r="G8014">
        <v>1</v>
      </c>
    </row>
    <row r="8015" spans="1:7" x14ac:dyDescent="0.25">
      <c r="A8015">
        <v>28</v>
      </c>
      <c r="B8015" t="s">
        <v>7754</v>
      </c>
      <c r="C8015">
        <v>8424</v>
      </c>
      <c r="D8015" t="str">
        <f>"0026-461X"</f>
        <v>0026-461X</v>
      </c>
      <c r="E8015" t="s">
        <v>8</v>
      </c>
      <c r="F8015" t="s">
        <v>8018</v>
      </c>
      <c r="G8015">
        <v>1</v>
      </c>
    </row>
    <row r="8016" spans="1:7" x14ac:dyDescent="0.25">
      <c r="A8016">
        <v>28</v>
      </c>
      <c r="B8016" t="s">
        <v>7754</v>
      </c>
      <c r="C8016">
        <v>7201</v>
      </c>
      <c r="D8016" t="str">
        <f>"0930-0708"</f>
        <v>0930-0708</v>
      </c>
      <c r="E8016" t="s">
        <v>8</v>
      </c>
      <c r="F8016" t="s">
        <v>8019</v>
      </c>
      <c r="G8016">
        <v>1</v>
      </c>
    </row>
    <row r="8017" spans="1:7" x14ac:dyDescent="0.25">
      <c r="A8017">
        <v>28</v>
      </c>
      <c r="B8017" t="s">
        <v>7754</v>
      </c>
      <c r="C8017">
        <v>7067</v>
      </c>
      <c r="D8017" t="str">
        <f>"0892-6875"</f>
        <v>0892-6875</v>
      </c>
      <c r="E8017" t="s">
        <v>8</v>
      </c>
      <c r="F8017" t="s">
        <v>8020</v>
      </c>
      <c r="G8017">
        <v>1</v>
      </c>
    </row>
    <row r="8018" spans="1:7" x14ac:dyDescent="0.25">
      <c r="A8018">
        <v>28</v>
      </c>
      <c r="B8018" t="s">
        <v>7754</v>
      </c>
      <c r="C8018">
        <v>6589</v>
      </c>
      <c r="D8018" t="str">
        <f>"0027-0644"</f>
        <v>0027-0644</v>
      </c>
      <c r="E8018" t="s">
        <v>8</v>
      </c>
      <c r="F8018" t="s">
        <v>8021</v>
      </c>
      <c r="G8018">
        <v>1</v>
      </c>
    </row>
    <row r="8019" spans="1:7" x14ac:dyDescent="0.25">
      <c r="A8019">
        <v>28</v>
      </c>
      <c r="B8019" t="s">
        <v>7754</v>
      </c>
      <c r="C8019">
        <v>5501</v>
      </c>
      <c r="D8019" t="str">
        <f>"0921-030X"</f>
        <v>0921-030X</v>
      </c>
      <c r="E8019" t="s">
        <v>8</v>
      </c>
      <c r="F8019" t="s">
        <v>8022</v>
      </c>
      <c r="G8019">
        <v>1</v>
      </c>
    </row>
    <row r="8020" spans="1:7" x14ac:dyDescent="0.25">
      <c r="A8020">
        <v>28</v>
      </c>
      <c r="B8020" t="s">
        <v>7754</v>
      </c>
      <c r="C8020">
        <v>190</v>
      </c>
      <c r="D8020" t="str">
        <f>"1561-8633"</f>
        <v>1561-8633</v>
      </c>
      <c r="E8020" t="s">
        <v>8</v>
      </c>
      <c r="F8020" t="s">
        <v>8023</v>
      </c>
      <c r="G8020">
        <v>1</v>
      </c>
    </row>
    <row r="8021" spans="1:7" x14ac:dyDescent="0.25">
      <c r="A8021">
        <v>28</v>
      </c>
      <c r="B8021" t="s">
        <v>7754</v>
      </c>
      <c r="C8021">
        <v>1089</v>
      </c>
      <c r="D8021" t="str">
        <f>"1527-6988"</f>
        <v>1527-6988</v>
      </c>
      <c r="E8021" t="s">
        <v>8</v>
      </c>
      <c r="F8021" t="s">
        <v>8024</v>
      </c>
      <c r="G8021">
        <v>1</v>
      </c>
    </row>
    <row r="8022" spans="1:7" x14ac:dyDescent="0.25">
      <c r="A8022">
        <v>28</v>
      </c>
      <c r="B8022" t="s">
        <v>7754</v>
      </c>
      <c r="C8022">
        <v>5601</v>
      </c>
      <c r="D8022" t="str">
        <f>"0028-1522"</f>
        <v>0028-1522</v>
      </c>
      <c r="E8022" t="s">
        <v>8</v>
      </c>
      <c r="F8022" t="s">
        <v>8025</v>
      </c>
      <c r="G8022">
        <v>1</v>
      </c>
    </row>
    <row r="8023" spans="1:7" x14ac:dyDescent="0.25">
      <c r="A8023">
        <v>28</v>
      </c>
      <c r="B8023" t="s">
        <v>7754</v>
      </c>
      <c r="C8023">
        <v>6850</v>
      </c>
      <c r="D8023" t="str">
        <f>"1569-4445"</f>
        <v>1569-4445</v>
      </c>
      <c r="E8023" t="s">
        <v>8</v>
      </c>
      <c r="F8023" t="s">
        <v>8026</v>
      </c>
      <c r="G8023">
        <v>1</v>
      </c>
    </row>
    <row r="8024" spans="1:7" x14ac:dyDescent="0.25">
      <c r="A8024">
        <v>28</v>
      </c>
      <c r="B8024" t="s">
        <v>7754</v>
      </c>
      <c r="C8024">
        <v>2785</v>
      </c>
      <c r="D8024" t="str">
        <f>"0016-7746"</f>
        <v>0016-7746</v>
      </c>
      <c r="E8024" t="s">
        <v>8</v>
      </c>
      <c r="F8024" t="s">
        <v>8027</v>
      </c>
      <c r="G8024">
        <v>1</v>
      </c>
    </row>
    <row r="8025" spans="1:7" x14ac:dyDescent="0.25">
      <c r="A8025">
        <v>28</v>
      </c>
      <c r="B8025" t="s">
        <v>7754</v>
      </c>
      <c r="C8025">
        <v>7604</v>
      </c>
      <c r="D8025" t="str">
        <f>"0077-7749"</f>
        <v>0077-7749</v>
      </c>
      <c r="E8025" t="s">
        <v>8</v>
      </c>
      <c r="F8025" t="s">
        <v>8028</v>
      </c>
      <c r="G8025">
        <v>1</v>
      </c>
    </row>
    <row r="8026" spans="1:7" x14ac:dyDescent="0.25">
      <c r="A8026">
        <v>28</v>
      </c>
      <c r="B8026" t="s">
        <v>7754</v>
      </c>
      <c r="C8026">
        <v>3471</v>
      </c>
      <c r="D8026" t="str">
        <f>"0077-7757"</f>
        <v>0077-7757</v>
      </c>
      <c r="E8026" t="s">
        <v>8</v>
      </c>
      <c r="F8026" t="s">
        <v>8029</v>
      </c>
      <c r="G8026">
        <v>1</v>
      </c>
    </row>
    <row r="8027" spans="1:7" x14ac:dyDescent="0.25">
      <c r="A8027">
        <v>28</v>
      </c>
      <c r="B8027" t="s">
        <v>7754</v>
      </c>
      <c r="C8027">
        <v>16975</v>
      </c>
      <c r="D8027" t="str">
        <f>"0028-8306"</f>
        <v>0028-8306</v>
      </c>
      <c r="E8027" t="s">
        <v>8</v>
      </c>
      <c r="F8027" t="s">
        <v>8030</v>
      </c>
      <c r="G8027">
        <v>1</v>
      </c>
    </row>
    <row r="8028" spans="1:7" x14ac:dyDescent="0.25">
      <c r="A8028">
        <v>28</v>
      </c>
      <c r="B8028" t="s">
        <v>7754</v>
      </c>
      <c r="C8028">
        <v>360</v>
      </c>
      <c r="D8028" t="str">
        <f>"0078-0421"</f>
        <v>0078-0421</v>
      </c>
      <c r="E8028" t="s">
        <v>8</v>
      </c>
      <c r="F8028" t="s">
        <v>8031</v>
      </c>
      <c r="G8028">
        <v>1</v>
      </c>
    </row>
    <row r="8029" spans="1:7" x14ac:dyDescent="0.25">
      <c r="A8029">
        <v>28</v>
      </c>
      <c r="B8029" t="s">
        <v>7754</v>
      </c>
      <c r="C8029">
        <v>15960</v>
      </c>
      <c r="E8029" t="s">
        <v>8</v>
      </c>
      <c r="F8029" t="s">
        <v>8032</v>
      </c>
      <c r="G8029">
        <v>1</v>
      </c>
    </row>
    <row r="8030" spans="1:7" x14ac:dyDescent="0.25">
      <c r="A8030">
        <v>28</v>
      </c>
      <c r="B8030" t="s">
        <v>7754</v>
      </c>
      <c r="C8030">
        <v>9961</v>
      </c>
      <c r="D8030" t="str">
        <f>"1023-5809"</f>
        <v>1023-5809</v>
      </c>
      <c r="E8030" t="s">
        <v>8</v>
      </c>
      <c r="F8030" t="s">
        <v>8033</v>
      </c>
      <c r="G8030">
        <v>1</v>
      </c>
    </row>
    <row r="8031" spans="1:7" x14ac:dyDescent="0.25">
      <c r="A8031">
        <v>28</v>
      </c>
      <c r="B8031" t="s">
        <v>7754</v>
      </c>
      <c r="C8031">
        <v>1294</v>
      </c>
      <c r="D8031" t="str">
        <f>"0029-196X"</f>
        <v>0029-196X</v>
      </c>
      <c r="E8031" t="s">
        <v>8</v>
      </c>
      <c r="F8031" t="s">
        <v>8034</v>
      </c>
      <c r="G8031">
        <v>1</v>
      </c>
    </row>
    <row r="8032" spans="1:7" x14ac:dyDescent="0.25">
      <c r="A8032">
        <v>28</v>
      </c>
      <c r="B8032" t="s">
        <v>7754</v>
      </c>
      <c r="C8032">
        <v>14204</v>
      </c>
      <c r="D8032" t="str">
        <f>"1598-141X"</f>
        <v>1598-141X</v>
      </c>
      <c r="E8032" t="s">
        <v>8</v>
      </c>
      <c r="F8032" t="s">
        <v>8035</v>
      </c>
      <c r="G8032">
        <v>1</v>
      </c>
    </row>
    <row r="8033" spans="1:7" x14ac:dyDescent="0.25">
      <c r="A8033">
        <v>28</v>
      </c>
      <c r="B8033" t="s">
        <v>7754</v>
      </c>
      <c r="C8033">
        <v>13115</v>
      </c>
      <c r="D8033" t="str">
        <f>"1616-7341"</f>
        <v>1616-7341</v>
      </c>
      <c r="E8033" t="s">
        <v>8</v>
      </c>
      <c r="F8033" t="s">
        <v>8036</v>
      </c>
      <c r="G8033">
        <v>1</v>
      </c>
    </row>
    <row r="8034" spans="1:7" x14ac:dyDescent="0.25">
      <c r="A8034">
        <v>28</v>
      </c>
      <c r="B8034" t="s">
        <v>7754</v>
      </c>
      <c r="C8034">
        <v>8496</v>
      </c>
      <c r="D8034" t="str">
        <f>"0029-8018"</f>
        <v>0029-8018</v>
      </c>
      <c r="E8034" t="s">
        <v>8</v>
      </c>
      <c r="F8034" t="s">
        <v>8037</v>
      </c>
      <c r="G8034">
        <v>1</v>
      </c>
    </row>
    <row r="8035" spans="1:7" x14ac:dyDescent="0.25">
      <c r="A8035">
        <v>28</v>
      </c>
      <c r="B8035" t="s">
        <v>7754</v>
      </c>
      <c r="C8035">
        <v>4074</v>
      </c>
      <c r="D8035" t="str">
        <f>"1812-0784"</f>
        <v>1812-0784</v>
      </c>
      <c r="E8035" t="s">
        <v>8</v>
      </c>
      <c r="F8035" t="s">
        <v>8038</v>
      </c>
      <c r="G8035">
        <v>1</v>
      </c>
    </row>
    <row r="8036" spans="1:7" x14ac:dyDescent="0.25">
      <c r="A8036">
        <v>28</v>
      </c>
      <c r="B8036" t="s">
        <v>7754</v>
      </c>
      <c r="C8036">
        <v>15678</v>
      </c>
      <c r="D8036" t="str">
        <f>"0078-3234"</f>
        <v>0078-3234</v>
      </c>
      <c r="E8036" t="s">
        <v>8</v>
      </c>
      <c r="F8036" t="s">
        <v>8039</v>
      </c>
      <c r="G8036">
        <v>1</v>
      </c>
    </row>
    <row r="8037" spans="1:7" x14ac:dyDescent="0.25">
      <c r="A8037">
        <v>28</v>
      </c>
      <c r="B8037" t="s">
        <v>7754</v>
      </c>
      <c r="C8037">
        <v>5860</v>
      </c>
      <c r="D8037" t="str">
        <f>"0001-4370"</f>
        <v>0001-4370</v>
      </c>
      <c r="E8037" t="s">
        <v>8</v>
      </c>
      <c r="F8037" t="s">
        <v>8040</v>
      </c>
      <c r="G8037">
        <v>1</v>
      </c>
    </row>
    <row r="8038" spans="1:7" x14ac:dyDescent="0.25">
      <c r="A8038">
        <v>28</v>
      </c>
      <c r="B8038" t="s">
        <v>7754</v>
      </c>
      <c r="C8038">
        <v>979</v>
      </c>
      <c r="D8038" t="str">
        <f>"0029-8182"</f>
        <v>0029-8182</v>
      </c>
      <c r="E8038" t="s">
        <v>8</v>
      </c>
      <c r="F8038" t="s">
        <v>8041</v>
      </c>
      <c r="G8038">
        <v>1</v>
      </c>
    </row>
    <row r="8039" spans="1:7" x14ac:dyDescent="0.25">
      <c r="A8039">
        <v>28</v>
      </c>
      <c r="B8039" t="s">
        <v>7754</v>
      </c>
      <c r="C8039">
        <v>6207</v>
      </c>
      <c r="D8039" t="str">
        <f>"0391-2612"</f>
        <v>0391-2612</v>
      </c>
      <c r="E8039" t="s">
        <v>8</v>
      </c>
      <c r="F8039" t="s">
        <v>8042</v>
      </c>
      <c r="G8039">
        <v>1</v>
      </c>
    </row>
    <row r="8040" spans="1:7" x14ac:dyDescent="0.25">
      <c r="A8040">
        <v>28</v>
      </c>
      <c r="B8040" t="s">
        <v>7754</v>
      </c>
      <c r="C8040">
        <v>8759070</v>
      </c>
      <c r="E8040" t="s">
        <v>8</v>
      </c>
      <c r="F8040" t="s">
        <v>8043</v>
      </c>
      <c r="G8040">
        <v>1</v>
      </c>
    </row>
    <row r="8041" spans="1:7" x14ac:dyDescent="0.25">
      <c r="A8041">
        <v>28</v>
      </c>
      <c r="B8041" t="s">
        <v>7754</v>
      </c>
      <c r="C8041">
        <v>11236</v>
      </c>
      <c r="D8041" t="str">
        <f>"0169-1368"</f>
        <v>0169-1368</v>
      </c>
      <c r="E8041" t="s">
        <v>8</v>
      </c>
      <c r="F8041" t="s">
        <v>8044</v>
      </c>
      <c r="G8041">
        <v>1</v>
      </c>
    </row>
    <row r="8042" spans="1:7" x14ac:dyDescent="0.25">
      <c r="A8042">
        <v>28</v>
      </c>
      <c r="B8042" t="s">
        <v>7754</v>
      </c>
      <c r="C8042">
        <v>12877</v>
      </c>
      <c r="D8042" t="str">
        <f>"0146-6380"</f>
        <v>0146-6380</v>
      </c>
      <c r="E8042" t="s">
        <v>8</v>
      </c>
      <c r="F8042" t="s">
        <v>8045</v>
      </c>
      <c r="G8042">
        <v>1</v>
      </c>
    </row>
    <row r="8043" spans="1:7" x14ac:dyDescent="0.25">
      <c r="A8043">
        <v>28</v>
      </c>
      <c r="B8043" t="s">
        <v>7754</v>
      </c>
      <c r="C8043">
        <v>2504</v>
      </c>
      <c r="D8043" t="str">
        <f>"0031-0182"</f>
        <v>0031-0182</v>
      </c>
      <c r="E8043" t="s">
        <v>8</v>
      </c>
      <c r="F8043" t="s">
        <v>8046</v>
      </c>
      <c r="G8043">
        <v>1</v>
      </c>
    </row>
    <row r="8044" spans="1:7" x14ac:dyDescent="0.25">
      <c r="A8044">
        <v>28</v>
      </c>
      <c r="B8044" t="s">
        <v>7754</v>
      </c>
      <c r="C8044">
        <v>10909</v>
      </c>
      <c r="D8044" t="str">
        <f>"0375-0442"</f>
        <v>0375-0442</v>
      </c>
      <c r="E8044" t="s">
        <v>8</v>
      </c>
      <c r="F8044" t="s">
        <v>8047</v>
      </c>
      <c r="G8044">
        <v>1</v>
      </c>
    </row>
    <row r="8045" spans="1:7" x14ac:dyDescent="0.25">
      <c r="A8045">
        <v>28</v>
      </c>
      <c r="B8045" t="s">
        <v>7754</v>
      </c>
      <c r="C8045">
        <v>15479</v>
      </c>
      <c r="D8045" t="str">
        <f>"1935-3952"</f>
        <v>1935-3952</v>
      </c>
      <c r="E8045" t="s">
        <v>8</v>
      </c>
      <c r="F8045" t="s">
        <v>8048</v>
      </c>
      <c r="G8045">
        <v>1</v>
      </c>
    </row>
    <row r="8046" spans="1:7" x14ac:dyDescent="0.25">
      <c r="A8046">
        <v>28</v>
      </c>
      <c r="B8046" t="s">
        <v>7754</v>
      </c>
      <c r="C8046">
        <v>15485</v>
      </c>
      <c r="D8046" t="str">
        <f>"0031-0220"</f>
        <v>0031-0220</v>
      </c>
      <c r="E8046" t="s">
        <v>8</v>
      </c>
      <c r="F8046" t="s">
        <v>8049</v>
      </c>
      <c r="G8046">
        <v>1</v>
      </c>
    </row>
    <row r="8047" spans="1:7" x14ac:dyDescent="0.25">
      <c r="A8047">
        <v>28</v>
      </c>
      <c r="B8047" t="s">
        <v>7754</v>
      </c>
      <c r="C8047">
        <v>2309</v>
      </c>
      <c r="D8047" t="str">
        <f>"0031-0239"</f>
        <v>0031-0239</v>
      </c>
      <c r="E8047" t="s">
        <v>8</v>
      </c>
      <c r="F8047" t="s">
        <v>8050</v>
      </c>
      <c r="G8047">
        <v>1</v>
      </c>
    </row>
    <row r="8048" spans="1:7" x14ac:dyDescent="0.25">
      <c r="A8048">
        <v>28</v>
      </c>
      <c r="B8048" t="s">
        <v>7754</v>
      </c>
      <c r="C8048">
        <v>2829</v>
      </c>
      <c r="D8048" t="str">
        <f>"0883-1351"</f>
        <v>0883-1351</v>
      </c>
      <c r="E8048" t="s">
        <v>8</v>
      </c>
      <c r="F8048" t="s">
        <v>8051</v>
      </c>
      <c r="G8048">
        <v>1</v>
      </c>
    </row>
    <row r="8049" spans="1:7" x14ac:dyDescent="0.25">
      <c r="A8049">
        <v>28</v>
      </c>
      <c r="B8049" t="s">
        <v>7754</v>
      </c>
      <c r="C8049">
        <v>4757</v>
      </c>
      <c r="D8049" t="str">
        <f>"0094-8373"</f>
        <v>0094-8373</v>
      </c>
      <c r="E8049" t="s">
        <v>8</v>
      </c>
      <c r="F8049" t="s">
        <v>8052</v>
      </c>
      <c r="G8049">
        <v>1</v>
      </c>
    </row>
    <row r="8050" spans="1:7" x14ac:dyDescent="0.25">
      <c r="A8050">
        <v>28</v>
      </c>
      <c r="B8050" t="s">
        <v>7754</v>
      </c>
      <c r="C8050">
        <v>8029</v>
      </c>
      <c r="D8050" t="str">
        <f>"0031-0301"</f>
        <v>0031-0301</v>
      </c>
      <c r="E8050" t="s">
        <v>8</v>
      </c>
      <c r="F8050" t="s">
        <v>8053</v>
      </c>
      <c r="G8050">
        <v>1</v>
      </c>
    </row>
    <row r="8051" spans="1:7" x14ac:dyDescent="0.25">
      <c r="A8051">
        <v>28</v>
      </c>
      <c r="B8051" t="s">
        <v>7754</v>
      </c>
      <c r="C8051">
        <v>8783817</v>
      </c>
      <c r="E8051" t="s">
        <v>15</v>
      </c>
      <c r="F8051" t="s">
        <v>8054</v>
      </c>
      <c r="G8051">
        <v>1</v>
      </c>
    </row>
    <row r="8052" spans="1:7" x14ac:dyDescent="0.25">
      <c r="A8052">
        <v>28</v>
      </c>
      <c r="B8052" t="s">
        <v>7754</v>
      </c>
      <c r="C8052">
        <v>8783818</v>
      </c>
      <c r="E8052" t="s">
        <v>15</v>
      </c>
      <c r="F8052" t="s">
        <v>8055</v>
      </c>
      <c r="G8052">
        <v>1</v>
      </c>
    </row>
    <row r="8053" spans="1:7" x14ac:dyDescent="0.25">
      <c r="A8053">
        <v>28</v>
      </c>
      <c r="B8053" t="s">
        <v>7754</v>
      </c>
      <c r="C8053">
        <v>17806</v>
      </c>
      <c r="D8053" t="str">
        <f>"0191-6122"</f>
        <v>0191-6122</v>
      </c>
      <c r="E8053" t="s">
        <v>8</v>
      </c>
      <c r="F8053" t="s">
        <v>8056</v>
      </c>
      <c r="G8053">
        <v>1</v>
      </c>
    </row>
    <row r="8054" spans="1:7" x14ac:dyDescent="0.25">
      <c r="A8054">
        <v>28</v>
      </c>
      <c r="B8054" t="s">
        <v>7754</v>
      </c>
      <c r="C8054">
        <v>14411</v>
      </c>
      <c r="D8054" t="str">
        <f>"1045-6740"</f>
        <v>1045-6740</v>
      </c>
      <c r="E8054" t="s">
        <v>8</v>
      </c>
      <c r="F8054" t="s">
        <v>8057</v>
      </c>
      <c r="G8054">
        <v>1</v>
      </c>
    </row>
    <row r="8055" spans="1:7" x14ac:dyDescent="0.25">
      <c r="A8055">
        <v>28</v>
      </c>
      <c r="B8055" t="s">
        <v>7754</v>
      </c>
      <c r="C8055">
        <v>15226</v>
      </c>
      <c r="D8055" t="str">
        <f>"1354-0793"</f>
        <v>1354-0793</v>
      </c>
      <c r="E8055" t="s">
        <v>8</v>
      </c>
      <c r="F8055" t="s">
        <v>8058</v>
      </c>
      <c r="G8055">
        <v>1</v>
      </c>
    </row>
    <row r="8056" spans="1:7" x14ac:dyDescent="0.25">
      <c r="A8056">
        <v>28</v>
      </c>
      <c r="B8056" t="s">
        <v>7754</v>
      </c>
      <c r="C8056">
        <v>12165</v>
      </c>
      <c r="D8056" t="str">
        <f>"0869-5911"</f>
        <v>0869-5911</v>
      </c>
      <c r="E8056" t="s">
        <v>8</v>
      </c>
      <c r="F8056" t="s">
        <v>8059</v>
      </c>
      <c r="G8056">
        <v>1</v>
      </c>
    </row>
    <row r="8057" spans="1:7" x14ac:dyDescent="0.25">
      <c r="A8057">
        <v>28</v>
      </c>
      <c r="B8057" t="s">
        <v>7754</v>
      </c>
      <c r="C8057">
        <v>3042</v>
      </c>
      <c r="D8057" t="str">
        <f>"0099-1112"</f>
        <v>0099-1112</v>
      </c>
      <c r="E8057" t="s">
        <v>8</v>
      </c>
      <c r="F8057" t="s">
        <v>8060</v>
      </c>
      <c r="G8057">
        <v>1</v>
      </c>
    </row>
    <row r="8058" spans="1:7" x14ac:dyDescent="0.25">
      <c r="A8058">
        <v>28</v>
      </c>
      <c r="B8058" t="s">
        <v>7754</v>
      </c>
      <c r="C8058">
        <v>5662</v>
      </c>
      <c r="D8058" t="str">
        <f>"0272-3646"</f>
        <v>0272-3646</v>
      </c>
      <c r="E8058" t="s">
        <v>8</v>
      </c>
      <c r="F8058" t="s">
        <v>8061</v>
      </c>
      <c r="G8058">
        <v>1</v>
      </c>
    </row>
    <row r="8059" spans="1:7" x14ac:dyDescent="0.25">
      <c r="A8059">
        <v>28</v>
      </c>
      <c r="B8059" t="s">
        <v>7754</v>
      </c>
      <c r="C8059">
        <v>13887</v>
      </c>
      <c r="D8059" t="str">
        <f>"1474-7065"</f>
        <v>1474-7065</v>
      </c>
      <c r="E8059" t="s">
        <v>8</v>
      </c>
      <c r="F8059" t="s">
        <v>8062</v>
      </c>
      <c r="G8059">
        <v>1</v>
      </c>
    </row>
    <row r="8060" spans="1:7" x14ac:dyDescent="0.25">
      <c r="A8060">
        <v>28</v>
      </c>
      <c r="B8060" t="s">
        <v>7754</v>
      </c>
      <c r="C8060">
        <v>3136</v>
      </c>
      <c r="D8060" t="str">
        <f>"0031-9201"</f>
        <v>0031-9201</v>
      </c>
      <c r="E8060" t="s">
        <v>8</v>
      </c>
      <c r="F8060" t="s">
        <v>8063</v>
      </c>
      <c r="G8060">
        <v>1</v>
      </c>
    </row>
    <row r="8061" spans="1:7" x14ac:dyDescent="0.25">
      <c r="A8061">
        <v>28</v>
      </c>
      <c r="B8061" t="s">
        <v>7754</v>
      </c>
      <c r="C8061">
        <v>9165</v>
      </c>
      <c r="D8061" t="str">
        <f>"0800-0395"</f>
        <v>0800-0395</v>
      </c>
      <c r="E8061" t="s">
        <v>8</v>
      </c>
      <c r="F8061" t="s">
        <v>8064</v>
      </c>
      <c r="G8061">
        <v>1</v>
      </c>
    </row>
    <row r="8062" spans="1:7" x14ac:dyDescent="0.25">
      <c r="A8062">
        <v>28</v>
      </c>
      <c r="B8062" t="s">
        <v>7754</v>
      </c>
      <c r="C8062">
        <v>19128</v>
      </c>
      <c r="D8062" t="str">
        <f>"1873-9652"</f>
        <v>1873-9652</v>
      </c>
      <c r="E8062" t="s">
        <v>8</v>
      </c>
      <c r="F8062" t="s">
        <v>8065</v>
      </c>
      <c r="G8062">
        <v>1</v>
      </c>
    </row>
    <row r="8063" spans="1:7" x14ac:dyDescent="0.25">
      <c r="A8063">
        <v>28</v>
      </c>
      <c r="B8063" t="s">
        <v>7754</v>
      </c>
      <c r="C8063">
        <v>27558</v>
      </c>
      <c r="D8063" t="str">
        <f>"0079-2985"</f>
        <v>0079-2985</v>
      </c>
      <c r="E8063" t="s">
        <v>8</v>
      </c>
      <c r="F8063" t="s">
        <v>8066</v>
      </c>
      <c r="G8063">
        <v>1</v>
      </c>
    </row>
    <row r="8064" spans="1:7" x14ac:dyDescent="0.25">
      <c r="A8064">
        <v>28</v>
      </c>
      <c r="B8064" t="s">
        <v>7754</v>
      </c>
      <c r="C8064">
        <v>14124</v>
      </c>
      <c r="D8064" t="str">
        <f>"0016-7878"</f>
        <v>0016-7878</v>
      </c>
      <c r="E8064" t="s">
        <v>8</v>
      </c>
      <c r="F8064" t="s">
        <v>8067</v>
      </c>
      <c r="G8064">
        <v>1</v>
      </c>
    </row>
    <row r="8065" spans="1:7" x14ac:dyDescent="0.25">
      <c r="A8065">
        <v>28</v>
      </c>
      <c r="B8065" t="s">
        <v>7754</v>
      </c>
      <c r="C8065">
        <v>13534</v>
      </c>
      <c r="D8065" t="str">
        <f>"2199-8981"</f>
        <v>2199-8981</v>
      </c>
      <c r="E8065" t="s">
        <v>15</v>
      </c>
      <c r="F8065" t="s">
        <v>8068</v>
      </c>
      <c r="G8065">
        <v>1</v>
      </c>
    </row>
    <row r="8066" spans="1:7" x14ac:dyDescent="0.25">
      <c r="A8066">
        <v>28</v>
      </c>
      <c r="B8066" t="s">
        <v>7754</v>
      </c>
      <c r="C8066">
        <v>14724</v>
      </c>
      <c r="D8066" t="str">
        <f>"0044-0604"</f>
        <v>0044-0604</v>
      </c>
      <c r="E8066" t="s">
        <v>8</v>
      </c>
      <c r="F8066" t="s">
        <v>8069</v>
      </c>
      <c r="G8066">
        <v>1</v>
      </c>
    </row>
    <row r="8067" spans="1:7" x14ac:dyDescent="0.25">
      <c r="A8067">
        <v>28</v>
      </c>
      <c r="B8067" t="s">
        <v>7754</v>
      </c>
      <c r="C8067">
        <v>376</v>
      </c>
      <c r="D8067" t="str">
        <f>"0309-1333"</f>
        <v>0309-1333</v>
      </c>
      <c r="E8067" t="s">
        <v>8</v>
      </c>
      <c r="F8067" t="s">
        <v>8070</v>
      </c>
      <c r="G8067">
        <v>1</v>
      </c>
    </row>
    <row r="8068" spans="1:7" x14ac:dyDescent="0.25">
      <c r="A8068">
        <v>28</v>
      </c>
      <c r="B8068" t="s">
        <v>7754</v>
      </c>
      <c r="C8068">
        <v>10220</v>
      </c>
      <c r="D8068" t="str">
        <f>"0030-834X"</f>
        <v>0030-834X</v>
      </c>
      <c r="E8068" t="s">
        <v>8</v>
      </c>
      <c r="F8068" t="s">
        <v>8071</v>
      </c>
      <c r="G8068">
        <v>1</v>
      </c>
    </row>
    <row r="8069" spans="1:7" x14ac:dyDescent="0.25">
      <c r="A8069">
        <v>28</v>
      </c>
      <c r="B8069" t="s">
        <v>7754</v>
      </c>
      <c r="C8069">
        <v>7187</v>
      </c>
      <c r="D8069" t="str">
        <f>"0033-4553"</f>
        <v>0033-4553</v>
      </c>
      <c r="E8069" t="s">
        <v>8</v>
      </c>
      <c r="F8069" t="s">
        <v>8072</v>
      </c>
      <c r="G8069">
        <v>1</v>
      </c>
    </row>
    <row r="8070" spans="1:7" x14ac:dyDescent="0.25">
      <c r="A8070">
        <v>28</v>
      </c>
      <c r="B8070" t="s">
        <v>7754</v>
      </c>
      <c r="C8070">
        <v>4476</v>
      </c>
      <c r="D8070" t="str">
        <f>"0035-9009"</f>
        <v>0035-9009</v>
      </c>
      <c r="E8070" t="s">
        <v>8</v>
      </c>
      <c r="F8070" t="s">
        <v>8073</v>
      </c>
      <c r="G8070">
        <v>1</v>
      </c>
    </row>
    <row r="8071" spans="1:7" x14ac:dyDescent="0.25">
      <c r="A8071">
        <v>28</v>
      </c>
      <c r="B8071" t="s">
        <v>7754</v>
      </c>
      <c r="C8071">
        <v>5287</v>
      </c>
      <c r="D8071" t="str">
        <f>"1871-1014"</f>
        <v>1871-1014</v>
      </c>
      <c r="E8071" t="s">
        <v>8</v>
      </c>
      <c r="F8071" t="s">
        <v>8074</v>
      </c>
      <c r="G8071">
        <v>1</v>
      </c>
    </row>
    <row r="8072" spans="1:7" x14ac:dyDescent="0.25">
      <c r="A8072">
        <v>28</v>
      </c>
      <c r="B8072" t="s">
        <v>7754</v>
      </c>
      <c r="C8072">
        <v>12330</v>
      </c>
      <c r="D8072" t="str">
        <f>"1040-6182"</f>
        <v>1040-6182</v>
      </c>
      <c r="E8072" t="s">
        <v>8</v>
      </c>
      <c r="F8072" t="s">
        <v>8075</v>
      </c>
      <c r="G8072">
        <v>1</v>
      </c>
    </row>
    <row r="8073" spans="1:7" x14ac:dyDescent="0.25">
      <c r="A8073">
        <v>28</v>
      </c>
      <c r="B8073" t="s">
        <v>7754</v>
      </c>
      <c r="C8073">
        <v>16966</v>
      </c>
      <c r="D8073" t="str">
        <f>"0033-5894"</f>
        <v>0033-5894</v>
      </c>
      <c r="E8073" t="s">
        <v>8</v>
      </c>
      <c r="F8073" t="s">
        <v>8076</v>
      </c>
      <c r="G8073">
        <v>1</v>
      </c>
    </row>
    <row r="8074" spans="1:7" x14ac:dyDescent="0.25">
      <c r="A8074">
        <v>28</v>
      </c>
      <c r="B8074" t="s">
        <v>7754</v>
      </c>
      <c r="C8074">
        <v>16792</v>
      </c>
      <c r="D8074" t="str">
        <f>"0033-8222"</f>
        <v>0033-8222</v>
      </c>
      <c r="E8074" t="s">
        <v>8</v>
      </c>
      <c r="F8074" t="s">
        <v>8077</v>
      </c>
      <c r="G8074">
        <v>1</v>
      </c>
    </row>
    <row r="8075" spans="1:7" x14ac:dyDescent="0.25">
      <c r="A8075">
        <v>28</v>
      </c>
      <c r="B8075" t="s">
        <v>7754</v>
      </c>
      <c r="C8075">
        <v>7600</v>
      </c>
      <c r="D8075" t="str">
        <f>"1344-1698"</f>
        <v>1344-1698</v>
      </c>
      <c r="E8075" t="s">
        <v>8</v>
      </c>
      <c r="F8075" t="s">
        <v>8078</v>
      </c>
      <c r="G8075">
        <v>1</v>
      </c>
    </row>
    <row r="8076" spans="1:7" x14ac:dyDescent="0.25">
      <c r="A8076">
        <v>28</v>
      </c>
      <c r="B8076" t="s">
        <v>7754</v>
      </c>
      <c r="C8076">
        <v>9261</v>
      </c>
      <c r="D8076" t="str">
        <f>"0034-6667"</f>
        <v>0034-6667</v>
      </c>
      <c r="E8076" t="s">
        <v>8</v>
      </c>
      <c r="F8076" t="s">
        <v>8079</v>
      </c>
      <c r="G8076">
        <v>1</v>
      </c>
    </row>
    <row r="8077" spans="1:7" x14ac:dyDescent="0.25">
      <c r="A8077">
        <v>28</v>
      </c>
      <c r="B8077" t="s">
        <v>7754</v>
      </c>
      <c r="C8077">
        <v>11618</v>
      </c>
      <c r="D8077" t="str">
        <f>"1529-6466"</f>
        <v>1529-6466</v>
      </c>
      <c r="E8077" t="s">
        <v>15</v>
      </c>
      <c r="F8077" t="s">
        <v>8080</v>
      </c>
      <c r="G8077">
        <v>1</v>
      </c>
    </row>
    <row r="8078" spans="1:7" x14ac:dyDescent="0.25">
      <c r="A8078">
        <v>28</v>
      </c>
      <c r="B8078" t="s">
        <v>7754</v>
      </c>
      <c r="C8078">
        <v>5611</v>
      </c>
      <c r="D8078" t="str">
        <f>"1026-8774"</f>
        <v>1026-8774</v>
      </c>
      <c r="E8078" t="s">
        <v>8</v>
      </c>
      <c r="F8078" t="s">
        <v>8081</v>
      </c>
      <c r="G8078">
        <v>1</v>
      </c>
    </row>
    <row r="8079" spans="1:7" x14ac:dyDescent="0.25">
      <c r="A8079">
        <v>28</v>
      </c>
      <c r="B8079" t="s">
        <v>7754</v>
      </c>
      <c r="C8079">
        <v>26710</v>
      </c>
      <c r="D8079" t="str">
        <f>"0035-1598"</f>
        <v>0035-1598</v>
      </c>
      <c r="E8079" t="s">
        <v>8</v>
      </c>
      <c r="F8079" t="s">
        <v>8082</v>
      </c>
      <c r="G8079">
        <v>1</v>
      </c>
    </row>
    <row r="8080" spans="1:7" x14ac:dyDescent="0.25">
      <c r="A8080">
        <v>28</v>
      </c>
      <c r="B8080" t="s">
        <v>7754</v>
      </c>
      <c r="C8080">
        <v>16432</v>
      </c>
      <c r="D8080" t="str">
        <f>"0035-6883"</f>
        <v>0035-6883</v>
      </c>
      <c r="E8080" t="s">
        <v>8</v>
      </c>
      <c r="F8080" t="s">
        <v>8083</v>
      </c>
      <c r="G8080">
        <v>1</v>
      </c>
    </row>
    <row r="8081" spans="1:7" x14ac:dyDescent="0.25">
      <c r="A8081">
        <v>28</v>
      </c>
      <c r="B8081" t="s">
        <v>7754</v>
      </c>
      <c r="C8081">
        <v>7431</v>
      </c>
      <c r="D8081" t="str">
        <f>"0723-2632"</f>
        <v>0723-2632</v>
      </c>
      <c r="E8081" t="s">
        <v>8</v>
      </c>
      <c r="F8081" t="s">
        <v>8084</v>
      </c>
      <c r="G8081">
        <v>1</v>
      </c>
    </row>
    <row r="8082" spans="1:7" x14ac:dyDescent="0.25">
      <c r="A8082">
        <v>28</v>
      </c>
      <c r="B8082" t="s">
        <v>7754</v>
      </c>
      <c r="C8082">
        <v>18787</v>
      </c>
      <c r="D8082" t="str">
        <f>"0035-7529"</f>
        <v>0035-7529</v>
      </c>
      <c r="E8082" t="s">
        <v>8</v>
      </c>
      <c r="F8082" t="s">
        <v>8085</v>
      </c>
      <c r="G8082">
        <v>1</v>
      </c>
    </row>
    <row r="8083" spans="1:7" x14ac:dyDescent="0.25">
      <c r="A8083">
        <v>28</v>
      </c>
      <c r="B8083" t="s">
        <v>7754</v>
      </c>
      <c r="C8083">
        <v>8783819</v>
      </c>
      <c r="E8083" t="s">
        <v>15</v>
      </c>
      <c r="F8083" t="s">
        <v>8086</v>
      </c>
      <c r="G8083">
        <v>1</v>
      </c>
    </row>
    <row r="8084" spans="1:7" x14ac:dyDescent="0.25">
      <c r="A8084">
        <v>28</v>
      </c>
      <c r="B8084" t="s">
        <v>7754</v>
      </c>
      <c r="C8084">
        <v>8783820</v>
      </c>
      <c r="E8084" t="s">
        <v>15</v>
      </c>
      <c r="F8084" t="s">
        <v>8087</v>
      </c>
      <c r="G8084">
        <v>1</v>
      </c>
    </row>
    <row r="8085" spans="1:7" x14ac:dyDescent="0.25">
      <c r="A8085">
        <v>28</v>
      </c>
      <c r="B8085" t="s">
        <v>7754</v>
      </c>
      <c r="C8085">
        <v>2563</v>
      </c>
      <c r="D8085" t="str">
        <f>"1068-7971"</f>
        <v>1068-7971</v>
      </c>
      <c r="E8085" t="s">
        <v>8</v>
      </c>
      <c r="F8085" t="s">
        <v>8088</v>
      </c>
      <c r="G8085">
        <v>1</v>
      </c>
    </row>
    <row r="8086" spans="1:7" x14ac:dyDescent="0.25">
      <c r="A8086">
        <v>28</v>
      </c>
      <c r="B8086" t="s">
        <v>7754</v>
      </c>
      <c r="C8086">
        <v>6273629</v>
      </c>
      <c r="D8086" t="str">
        <f>"1674-7313"</f>
        <v>1674-7313</v>
      </c>
      <c r="E8086" t="s">
        <v>8</v>
      </c>
      <c r="F8086" t="s">
        <v>8089</v>
      </c>
      <c r="G8086">
        <v>1</v>
      </c>
    </row>
    <row r="8087" spans="1:7" x14ac:dyDescent="0.25">
      <c r="A8087">
        <v>28</v>
      </c>
      <c r="B8087" t="s">
        <v>7754</v>
      </c>
      <c r="C8087">
        <v>14943</v>
      </c>
      <c r="D8087" t="str">
        <f>"0036-9276"</f>
        <v>0036-9276</v>
      </c>
      <c r="E8087" t="s">
        <v>8</v>
      </c>
      <c r="F8087" t="s">
        <v>8090</v>
      </c>
      <c r="G8087">
        <v>1</v>
      </c>
    </row>
    <row r="8088" spans="1:7" x14ac:dyDescent="0.25">
      <c r="A8088">
        <v>28</v>
      </c>
      <c r="B8088" t="s">
        <v>7754</v>
      </c>
      <c r="C8088">
        <v>6986</v>
      </c>
      <c r="D8088" t="str">
        <f>"0037-0738"</f>
        <v>0037-0738</v>
      </c>
      <c r="E8088" t="s">
        <v>8</v>
      </c>
      <c r="F8088" t="s">
        <v>8091</v>
      </c>
      <c r="G8088">
        <v>1</v>
      </c>
    </row>
    <row r="8089" spans="1:7" x14ac:dyDescent="0.25">
      <c r="A8089">
        <v>28</v>
      </c>
      <c r="B8089" t="s">
        <v>7754</v>
      </c>
      <c r="C8089">
        <v>7286</v>
      </c>
      <c r="D8089" t="str">
        <f>"0037-0746"</f>
        <v>0037-0746</v>
      </c>
      <c r="E8089" t="s">
        <v>8</v>
      </c>
      <c r="F8089" t="s">
        <v>8092</v>
      </c>
      <c r="G8089">
        <v>1</v>
      </c>
    </row>
    <row r="8090" spans="1:7" x14ac:dyDescent="0.25">
      <c r="A8090">
        <v>28</v>
      </c>
      <c r="B8090" t="s">
        <v>7754</v>
      </c>
      <c r="C8090">
        <v>8427</v>
      </c>
      <c r="D8090" t="str">
        <f>"0895-0695"</f>
        <v>0895-0695</v>
      </c>
      <c r="E8090" t="s">
        <v>8</v>
      </c>
      <c r="F8090" t="s">
        <v>8093</v>
      </c>
      <c r="G8090">
        <v>1</v>
      </c>
    </row>
    <row r="8091" spans="1:7" x14ac:dyDescent="0.25">
      <c r="A8091">
        <v>28</v>
      </c>
      <c r="B8091" t="s">
        <v>7754</v>
      </c>
      <c r="C8091">
        <v>15227</v>
      </c>
      <c r="D8091" t="str">
        <f>"1012-0750"</f>
        <v>1012-0750</v>
      </c>
      <c r="E8091" t="s">
        <v>8</v>
      </c>
      <c r="F8091" t="s">
        <v>8094</v>
      </c>
      <c r="G8091">
        <v>1</v>
      </c>
    </row>
    <row r="8092" spans="1:7" x14ac:dyDescent="0.25">
      <c r="A8092">
        <v>28</v>
      </c>
      <c r="B8092" t="s">
        <v>7754</v>
      </c>
      <c r="C8092">
        <v>9528</v>
      </c>
      <c r="E8092" t="s">
        <v>8</v>
      </c>
      <c r="F8092" t="s">
        <v>8095</v>
      </c>
      <c r="G8092">
        <v>1</v>
      </c>
    </row>
    <row r="8093" spans="1:7" x14ac:dyDescent="0.25">
      <c r="A8093">
        <v>28</v>
      </c>
      <c r="B8093" t="s">
        <v>7754</v>
      </c>
      <c r="C8093">
        <v>18114</v>
      </c>
      <c r="D8093" t="str">
        <f>"0038-6804"</f>
        <v>0038-6804</v>
      </c>
      <c r="E8093" t="s">
        <v>15</v>
      </c>
      <c r="F8093" t="s">
        <v>8096</v>
      </c>
      <c r="G8093">
        <v>1</v>
      </c>
    </row>
    <row r="8094" spans="1:7" x14ac:dyDescent="0.25">
      <c r="A8094">
        <v>28</v>
      </c>
      <c r="B8094" t="s">
        <v>7754</v>
      </c>
      <c r="C8094">
        <v>16730</v>
      </c>
      <c r="D8094" t="str">
        <f>"0869-5938"</f>
        <v>0869-5938</v>
      </c>
      <c r="E8094" t="s">
        <v>8</v>
      </c>
      <c r="F8094" t="s">
        <v>8097</v>
      </c>
      <c r="G8094">
        <v>1</v>
      </c>
    </row>
    <row r="8095" spans="1:7" x14ac:dyDescent="0.25">
      <c r="A8095">
        <v>28</v>
      </c>
      <c r="B8095" t="s">
        <v>7754</v>
      </c>
      <c r="C8095">
        <v>9426</v>
      </c>
      <c r="D8095" t="str">
        <f>"0039-3169"</f>
        <v>0039-3169</v>
      </c>
      <c r="E8095" t="s">
        <v>8</v>
      </c>
      <c r="F8095" t="s">
        <v>8098</v>
      </c>
      <c r="G8095">
        <v>1</v>
      </c>
    </row>
    <row r="8096" spans="1:7" x14ac:dyDescent="0.25">
      <c r="A8096">
        <v>28</v>
      </c>
      <c r="B8096" t="s">
        <v>7754</v>
      </c>
      <c r="C8096">
        <v>11474</v>
      </c>
      <c r="D8096" t="str">
        <f>"0169-3298"</f>
        <v>0169-3298</v>
      </c>
      <c r="E8096" t="s">
        <v>8</v>
      </c>
      <c r="F8096" t="s">
        <v>8099</v>
      </c>
      <c r="G8096">
        <v>1</v>
      </c>
    </row>
    <row r="8097" spans="1:7" x14ac:dyDescent="0.25">
      <c r="A8097">
        <v>28</v>
      </c>
      <c r="B8097" t="s">
        <v>7754</v>
      </c>
      <c r="C8097">
        <v>17808</v>
      </c>
      <c r="D8097" t="str">
        <f>"1661-8726"</f>
        <v>1661-8726</v>
      </c>
      <c r="E8097" t="s">
        <v>8</v>
      </c>
      <c r="F8097" t="s">
        <v>8100</v>
      </c>
      <c r="G8097">
        <v>1</v>
      </c>
    </row>
    <row r="8098" spans="1:7" x14ac:dyDescent="0.25">
      <c r="A8098">
        <v>28</v>
      </c>
      <c r="B8098" t="s">
        <v>7754</v>
      </c>
      <c r="C8098">
        <v>14303</v>
      </c>
      <c r="D8098" t="str">
        <f>"0040-1951"</f>
        <v>0040-1951</v>
      </c>
      <c r="E8098" t="s">
        <v>8</v>
      </c>
      <c r="F8098" t="s">
        <v>8101</v>
      </c>
      <c r="G8098">
        <v>1</v>
      </c>
    </row>
    <row r="8099" spans="1:7" x14ac:dyDescent="0.25">
      <c r="A8099">
        <v>28</v>
      </c>
      <c r="B8099" t="s">
        <v>7754</v>
      </c>
      <c r="C8099">
        <v>16969</v>
      </c>
      <c r="D8099" t="str">
        <f>"0280-6495"</f>
        <v>0280-6495</v>
      </c>
      <c r="E8099" t="s">
        <v>8</v>
      </c>
      <c r="F8099" t="s">
        <v>8102</v>
      </c>
      <c r="G8099">
        <v>1</v>
      </c>
    </row>
    <row r="8100" spans="1:7" x14ac:dyDescent="0.25">
      <c r="A8100">
        <v>28</v>
      </c>
      <c r="B8100" t="s">
        <v>7754</v>
      </c>
      <c r="C8100">
        <v>10812</v>
      </c>
      <c r="D8100" t="str">
        <f>"0280-6509"</f>
        <v>0280-6509</v>
      </c>
      <c r="E8100" t="s">
        <v>8</v>
      </c>
      <c r="F8100" t="s">
        <v>8103</v>
      </c>
      <c r="G8100">
        <v>1</v>
      </c>
    </row>
    <row r="8101" spans="1:7" x14ac:dyDescent="0.25">
      <c r="A8101">
        <v>28</v>
      </c>
      <c r="B8101" t="s">
        <v>7754</v>
      </c>
      <c r="C8101">
        <v>12035</v>
      </c>
      <c r="D8101" t="str">
        <f>"0954-4879"</f>
        <v>0954-4879</v>
      </c>
      <c r="E8101" t="s">
        <v>8</v>
      </c>
      <c r="F8101" t="s">
        <v>8104</v>
      </c>
      <c r="G8101">
        <v>1</v>
      </c>
    </row>
    <row r="8102" spans="1:7" x14ac:dyDescent="0.25">
      <c r="A8102">
        <v>28</v>
      </c>
      <c r="B8102" t="s">
        <v>7754</v>
      </c>
      <c r="C8102">
        <v>15909</v>
      </c>
      <c r="D8102" t="str">
        <f>"1017-0839"</f>
        <v>1017-0839</v>
      </c>
      <c r="E8102" t="s">
        <v>8</v>
      </c>
      <c r="F8102" t="s">
        <v>8105</v>
      </c>
      <c r="G8102">
        <v>1</v>
      </c>
    </row>
    <row r="8103" spans="1:7" x14ac:dyDescent="0.25">
      <c r="A8103">
        <v>28</v>
      </c>
      <c r="B8103" t="s">
        <v>7754</v>
      </c>
      <c r="C8103">
        <v>12208</v>
      </c>
      <c r="D8103" t="str">
        <f>"0008-7041"</f>
        <v>0008-7041</v>
      </c>
      <c r="E8103" t="s">
        <v>8</v>
      </c>
      <c r="F8103" t="s">
        <v>8106</v>
      </c>
      <c r="G8103">
        <v>1</v>
      </c>
    </row>
    <row r="8104" spans="1:7" x14ac:dyDescent="0.25">
      <c r="A8104">
        <v>28</v>
      </c>
      <c r="B8104" t="s">
        <v>7754</v>
      </c>
      <c r="C8104">
        <v>16000</v>
      </c>
      <c r="D8104" t="str">
        <f>"1994-0416"</f>
        <v>1994-0416</v>
      </c>
      <c r="E8104" t="s">
        <v>8</v>
      </c>
      <c r="F8104" t="s">
        <v>8107</v>
      </c>
      <c r="G8104">
        <v>1</v>
      </c>
    </row>
    <row r="8105" spans="1:7" x14ac:dyDescent="0.25">
      <c r="A8105">
        <v>28</v>
      </c>
      <c r="B8105" t="s">
        <v>7754</v>
      </c>
      <c r="C8105">
        <v>127973</v>
      </c>
      <c r="D8105" t="str">
        <f>"1994-0432"</f>
        <v>1994-0432</v>
      </c>
      <c r="E8105" t="s">
        <v>8</v>
      </c>
      <c r="F8105" t="s">
        <v>8108</v>
      </c>
      <c r="G8105">
        <v>1</v>
      </c>
    </row>
    <row r="8106" spans="1:7" x14ac:dyDescent="0.25">
      <c r="A8106">
        <v>28</v>
      </c>
      <c r="B8106" t="s">
        <v>7754</v>
      </c>
      <c r="C8106">
        <v>10374</v>
      </c>
      <c r="D8106" t="str">
        <f>"0959-6836"</f>
        <v>0959-6836</v>
      </c>
      <c r="E8106" t="s">
        <v>8</v>
      </c>
      <c r="F8106" t="s">
        <v>8109</v>
      </c>
      <c r="G8106">
        <v>1</v>
      </c>
    </row>
    <row r="8107" spans="1:7" x14ac:dyDescent="0.25">
      <c r="A8107">
        <v>28</v>
      </c>
      <c r="B8107" t="s">
        <v>7754</v>
      </c>
      <c r="C8107">
        <v>5248</v>
      </c>
      <c r="D8107" t="str">
        <f>"0020-6946"</f>
        <v>0020-6946</v>
      </c>
      <c r="E8107" t="s">
        <v>8</v>
      </c>
      <c r="F8107" t="s">
        <v>8110</v>
      </c>
      <c r="G8107">
        <v>1</v>
      </c>
    </row>
    <row r="8108" spans="1:7" x14ac:dyDescent="0.25">
      <c r="A8108">
        <v>28</v>
      </c>
      <c r="B8108" t="s">
        <v>7754</v>
      </c>
      <c r="C8108">
        <v>12990</v>
      </c>
      <c r="D8108" t="str">
        <f>"0022-1376"</f>
        <v>0022-1376</v>
      </c>
      <c r="E8108" t="s">
        <v>8</v>
      </c>
      <c r="F8108" t="s">
        <v>8111</v>
      </c>
      <c r="G8108">
        <v>1</v>
      </c>
    </row>
    <row r="8109" spans="1:7" x14ac:dyDescent="0.25">
      <c r="A8109">
        <v>28</v>
      </c>
      <c r="B8109" t="s">
        <v>7754</v>
      </c>
      <c r="C8109">
        <v>10702</v>
      </c>
      <c r="D8109" t="str">
        <f>"0031-868X"</f>
        <v>0031-868X</v>
      </c>
      <c r="E8109" t="s">
        <v>8</v>
      </c>
      <c r="F8109" t="s">
        <v>8112</v>
      </c>
      <c r="G8109">
        <v>1</v>
      </c>
    </row>
    <row r="8110" spans="1:7" x14ac:dyDescent="0.25">
      <c r="A8110">
        <v>28</v>
      </c>
      <c r="B8110" t="s">
        <v>7754</v>
      </c>
      <c r="C8110">
        <v>6273</v>
      </c>
      <c r="D8110" t="str">
        <f>"0177-798X"</f>
        <v>0177-798X</v>
      </c>
      <c r="E8110" t="s">
        <v>8</v>
      </c>
      <c r="F8110" t="s">
        <v>8113</v>
      </c>
      <c r="G8110">
        <v>1</v>
      </c>
    </row>
    <row r="8111" spans="1:7" x14ac:dyDescent="0.25">
      <c r="A8111">
        <v>28</v>
      </c>
      <c r="B8111" t="s">
        <v>7754</v>
      </c>
      <c r="C8111">
        <v>8782662</v>
      </c>
      <c r="E8111" t="s">
        <v>8</v>
      </c>
      <c r="F8111" t="s">
        <v>8114</v>
      </c>
      <c r="G8111">
        <v>1</v>
      </c>
    </row>
    <row r="8112" spans="1:7" x14ac:dyDescent="0.25">
      <c r="A8112">
        <v>28</v>
      </c>
      <c r="B8112" t="s">
        <v>7754</v>
      </c>
      <c r="C8112">
        <v>17915</v>
      </c>
      <c r="D8112" t="str">
        <f>"1300-0985"</f>
        <v>1300-0985</v>
      </c>
      <c r="E8112" t="s">
        <v>8</v>
      </c>
      <c r="F8112" t="s">
        <v>8115</v>
      </c>
      <c r="G8112">
        <v>1</v>
      </c>
    </row>
    <row r="8113" spans="1:7" x14ac:dyDescent="0.25">
      <c r="A8113">
        <v>28</v>
      </c>
      <c r="B8113" t="s">
        <v>7754</v>
      </c>
      <c r="C8113">
        <v>17723</v>
      </c>
      <c r="D8113" t="str">
        <f>"1747-6585"</f>
        <v>1747-6585</v>
      </c>
      <c r="E8113" t="s">
        <v>8</v>
      </c>
      <c r="F8113" t="s">
        <v>8116</v>
      </c>
      <c r="G8113">
        <v>1</v>
      </c>
    </row>
    <row r="8114" spans="1:7" x14ac:dyDescent="0.25">
      <c r="A8114">
        <v>28</v>
      </c>
      <c r="B8114" t="s">
        <v>7754</v>
      </c>
      <c r="C8114">
        <v>1392</v>
      </c>
      <c r="D8114" t="str">
        <f>"0882-8156"</f>
        <v>0882-8156</v>
      </c>
      <c r="E8114" t="s">
        <v>8</v>
      </c>
      <c r="F8114" t="s">
        <v>8117</v>
      </c>
      <c r="G8114">
        <v>1</v>
      </c>
    </row>
    <row r="8115" spans="1:7" x14ac:dyDescent="0.25">
      <c r="A8115">
        <v>28</v>
      </c>
      <c r="B8115" t="s">
        <v>7754</v>
      </c>
      <c r="C8115">
        <v>27651</v>
      </c>
      <c r="D8115" t="str">
        <f>"0855-4307"</f>
        <v>0855-4307</v>
      </c>
      <c r="E8115" t="s">
        <v>8</v>
      </c>
      <c r="F8115" t="s">
        <v>8118</v>
      </c>
      <c r="G8115">
        <v>1</v>
      </c>
    </row>
    <row r="8116" spans="1:7" x14ac:dyDescent="0.25">
      <c r="A8116">
        <v>28</v>
      </c>
      <c r="B8116" t="s">
        <v>7754</v>
      </c>
      <c r="C8116">
        <v>1569</v>
      </c>
      <c r="D8116" t="str">
        <f>"1000-0569"</f>
        <v>1000-0569</v>
      </c>
      <c r="E8116" t="s">
        <v>8</v>
      </c>
      <c r="F8116" t="s">
        <v>8119</v>
      </c>
      <c r="G8116">
        <v>1</v>
      </c>
    </row>
    <row r="8117" spans="1:7" x14ac:dyDescent="0.25">
      <c r="A8117">
        <v>28</v>
      </c>
      <c r="B8117" t="s">
        <v>7754</v>
      </c>
      <c r="C8117">
        <v>5680</v>
      </c>
      <c r="D8117" t="str">
        <f>"0372-8854"</f>
        <v>0372-8854</v>
      </c>
      <c r="E8117" t="s">
        <v>8</v>
      </c>
      <c r="F8117" t="s">
        <v>8120</v>
      </c>
      <c r="G8117">
        <v>1</v>
      </c>
    </row>
    <row r="8118" spans="1:7" x14ac:dyDescent="0.25">
      <c r="A8118">
        <v>28</v>
      </c>
      <c r="B8118" t="s">
        <v>7754</v>
      </c>
      <c r="C8118">
        <v>7422</v>
      </c>
      <c r="D8118" t="str">
        <f>"0149-1423"</f>
        <v>0149-1423</v>
      </c>
      <c r="E8118" t="s">
        <v>8</v>
      </c>
      <c r="F8118" t="s">
        <v>8121</v>
      </c>
      <c r="G8118">
        <v>1</v>
      </c>
    </row>
    <row r="8119" spans="1:7" x14ac:dyDescent="0.25">
      <c r="A8119">
        <v>29</v>
      </c>
      <c r="B8119" t="s">
        <v>8122</v>
      </c>
      <c r="C8119">
        <v>12396</v>
      </c>
      <c r="D8119" t="str">
        <f>"0001-8732"</f>
        <v>0001-8732</v>
      </c>
      <c r="E8119" t="s">
        <v>8</v>
      </c>
      <c r="F8119" t="s">
        <v>8123</v>
      </c>
      <c r="G8119">
        <v>2</v>
      </c>
    </row>
    <row r="8120" spans="1:7" x14ac:dyDescent="0.25">
      <c r="A8120">
        <v>29</v>
      </c>
      <c r="B8120" t="s">
        <v>8122</v>
      </c>
      <c r="C8120">
        <v>11308</v>
      </c>
      <c r="D8120" t="str">
        <f>"0066-4146"</f>
        <v>0066-4146</v>
      </c>
      <c r="E8120" t="s">
        <v>8</v>
      </c>
      <c r="F8120" t="s">
        <v>8124</v>
      </c>
      <c r="G8120">
        <v>2</v>
      </c>
    </row>
    <row r="8121" spans="1:7" x14ac:dyDescent="0.25">
      <c r="A8121">
        <v>29</v>
      </c>
      <c r="B8121" t="s">
        <v>8122</v>
      </c>
      <c r="C8121">
        <v>10116</v>
      </c>
      <c r="D8121" t="str">
        <f>"0163-8998"</f>
        <v>0163-8998</v>
      </c>
      <c r="E8121" t="s">
        <v>8</v>
      </c>
      <c r="F8121" t="s">
        <v>8125</v>
      </c>
      <c r="G8121">
        <v>2</v>
      </c>
    </row>
    <row r="8122" spans="1:7" x14ac:dyDescent="0.25">
      <c r="A8122">
        <v>29</v>
      </c>
      <c r="B8122" t="s">
        <v>8122</v>
      </c>
      <c r="C8122">
        <v>14771</v>
      </c>
      <c r="D8122" t="str">
        <f>"0003-6951"</f>
        <v>0003-6951</v>
      </c>
      <c r="E8122" t="s">
        <v>8</v>
      </c>
      <c r="F8122" t="s">
        <v>8126</v>
      </c>
      <c r="G8122">
        <v>2</v>
      </c>
    </row>
    <row r="8123" spans="1:7" x14ac:dyDescent="0.25">
      <c r="A8123">
        <v>29</v>
      </c>
      <c r="B8123" t="s">
        <v>8122</v>
      </c>
      <c r="C8123">
        <v>1384</v>
      </c>
      <c r="D8123" t="str">
        <f>"0004-6361"</f>
        <v>0004-6361</v>
      </c>
      <c r="E8123" t="s">
        <v>8</v>
      </c>
      <c r="F8123" t="s">
        <v>8127</v>
      </c>
      <c r="G8123">
        <v>2</v>
      </c>
    </row>
    <row r="8124" spans="1:7" x14ac:dyDescent="0.25">
      <c r="A8124">
        <v>29</v>
      </c>
      <c r="B8124" t="s">
        <v>8122</v>
      </c>
      <c r="C8124">
        <v>3315</v>
      </c>
      <c r="D8124" t="str">
        <f>"0295-5075"</f>
        <v>0295-5075</v>
      </c>
      <c r="E8124" t="s">
        <v>8</v>
      </c>
      <c r="F8124" t="s">
        <v>8128</v>
      </c>
      <c r="G8124">
        <v>2</v>
      </c>
    </row>
    <row r="8125" spans="1:7" x14ac:dyDescent="0.25">
      <c r="A8125">
        <v>29</v>
      </c>
      <c r="B8125" t="s">
        <v>8122</v>
      </c>
      <c r="C8125">
        <v>10714</v>
      </c>
      <c r="E8125" t="s">
        <v>8</v>
      </c>
      <c r="F8125" t="s">
        <v>8129</v>
      </c>
      <c r="G8125">
        <v>2</v>
      </c>
    </row>
    <row r="8126" spans="1:7" x14ac:dyDescent="0.25">
      <c r="A8126">
        <v>29</v>
      </c>
      <c r="B8126" t="s">
        <v>8122</v>
      </c>
      <c r="C8126">
        <v>9876</v>
      </c>
      <c r="D8126" t="str">
        <f>"0035-8711"</f>
        <v>0035-8711</v>
      </c>
      <c r="E8126" t="s">
        <v>8</v>
      </c>
      <c r="F8126" t="s">
        <v>8130</v>
      </c>
      <c r="G8126">
        <v>2</v>
      </c>
    </row>
    <row r="8127" spans="1:7" x14ac:dyDescent="0.25">
      <c r="A8127">
        <v>29</v>
      </c>
      <c r="B8127" t="s">
        <v>8122</v>
      </c>
      <c r="C8127">
        <v>16691</v>
      </c>
      <c r="D8127" t="str">
        <f>"1749-4885"</f>
        <v>1749-4885</v>
      </c>
      <c r="E8127" t="s">
        <v>8</v>
      </c>
      <c r="F8127" t="s">
        <v>8131</v>
      </c>
      <c r="G8127">
        <v>2</v>
      </c>
    </row>
    <row r="8128" spans="1:7" x14ac:dyDescent="0.25">
      <c r="A8128">
        <v>29</v>
      </c>
      <c r="B8128" t="s">
        <v>8122</v>
      </c>
      <c r="C8128">
        <v>10482</v>
      </c>
      <c r="D8128" t="str">
        <f>"1745-2473"</f>
        <v>1745-2473</v>
      </c>
      <c r="E8128" t="s">
        <v>8</v>
      </c>
      <c r="F8128" t="s">
        <v>8132</v>
      </c>
      <c r="G8128">
        <v>2</v>
      </c>
    </row>
    <row r="8129" spans="1:7" x14ac:dyDescent="0.25">
      <c r="A8129">
        <v>29</v>
      </c>
      <c r="B8129" t="s">
        <v>8122</v>
      </c>
      <c r="C8129">
        <v>282</v>
      </c>
      <c r="E8129" t="s">
        <v>8</v>
      </c>
      <c r="F8129" t="s">
        <v>8133</v>
      </c>
      <c r="G8129">
        <v>2</v>
      </c>
    </row>
    <row r="8130" spans="1:7" x14ac:dyDescent="0.25">
      <c r="A8130">
        <v>29</v>
      </c>
      <c r="B8130" t="s">
        <v>8122</v>
      </c>
      <c r="C8130">
        <v>15615</v>
      </c>
      <c r="D8130" t="str">
        <f>"0550-3213"</f>
        <v>0550-3213</v>
      </c>
      <c r="E8130" t="s">
        <v>8</v>
      </c>
      <c r="F8130" t="s">
        <v>8134</v>
      </c>
      <c r="G8130">
        <v>2</v>
      </c>
    </row>
    <row r="8131" spans="1:7" x14ac:dyDescent="0.25">
      <c r="A8131">
        <v>29</v>
      </c>
      <c r="B8131" t="s">
        <v>8122</v>
      </c>
      <c r="C8131">
        <v>1220</v>
      </c>
      <c r="E8131" t="s">
        <v>8</v>
      </c>
      <c r="F8131" t="s">
        <v>8135</v>
      </c>
      <c r="G8131">
        <v>2</v>
      </c>
    </row>
    <row r="8132" spans="1:7" x14ac:dyDescent="0.25">
      <c r="A8132">
        <v>29</v>
      </c>
      <c r="B8132" t="s">
        <v>8122</v>
      </c>
      <c r="C8132">
        <v>7494</v>
      </c>
      <c r="D8132" t="str">
        <f>"0031-9007"</f>
        <v>0031-9007</v>
      </c>
      <c r="E8132" t="s">
        <v>8</v>
      </c>
      <c r="F8132" t="s">
        <v>8136</v>
      </c>
      <c r="G8132">
        <v>2</v>
      </c>
    </row>
    <row r="8133" spans="1:7" x14ac:dyDescent="0.25">
      <c r="A8133">
        <v>29</v>
      </c>
      <c r="B8133" t="s">
        <v>8122</v>
      </c>
      <c r="C8133">
        <v>3665</v>
      </c>
      <c r="D8133" t="str">
        <f>"0370-2693"</f>
        <v>0370-2693</v>
      </c>
      <c r="E8133" t="s">
        <v>8</v>
      </c>
      <c r="F8133" t="s">
        <v>8137</v>
      </c>
      <c r="G8133">
        <v>2</v>
      </c>
    </row>
    <row r="8134" spans="1:7" x14ac:dyDescent="0.25">
      <c r="A8134">
        <v>29</v>
      </c>
      <c r="B8134" t="s">
        <v>8122</v>
      </c>
      <c r="C8134">
        <v>14703</v>
      </c>
      <c r="D8134" t="str">
        <f>"0370-1573"</f>
        <v>0370-1573</v>
      </c>
      <c r="E8134" t="s">
        <v>8</v>
      </c>
      <c r="F8134" t="s">
        <v>8138</v>
      </c>
      <c r="G8134">
        <v>2</v>
      </c>
    </row>
    <row r="8135" spans="1:7" x14ac:dyDescent="0.25">
      <c r="A8135">
        <v>29</v>
      </c>
      <c r="B8135" t="s">
        <v>8122</v>
      </c>
      <c r="C8135">
        <v>6872</v>
      </c>
      <c r="D8135" t="str">
        <f>"0031-9228"</f>
        <v>0031-9228</v>
      </c>
      <c r="E8135" t="s">
        <v>8</v>
      </c>
      <c r="F8135" t="s">
        <v>8139</v>
      </c>
      <c r="G8135">
        <v>2</v>
      </c>
    </row>
    <row r="8136" spans="1:7" x14ac:dyDescent="0.25">
      <c r="A8136">
        <v>29</v>
      </c>
      <c r="B8136" t="s">
        <v>8122</v>
      </c>
      <c r="C8136">
        <v>11105</v>
      </c>
      <c r="D8136" t="str">
        <f>"0034-4885"</f>
        <v>0034-4885</v>
      </c>
      <c r="E8136" t="s">
        <v>8</v>
      </c>
      <c r="F8136" t="s">
        <v>8140</v>
      </c>
      <c r="G8136">
        <v>2</v>
      </c>
    </row>
    <row r="8137" spans="1:7" x14ac:dyDescent="0.25">
      <c r="A8137">
        <v>29</v>
      </c>
      <c r="B8137" t="s">
        <v>8122</v>
      </c>
      <c r="C8137">
        <v>15640</v>
      </c>
      <c r="D8137" t="str">
        <f>"0034-6861"</f>
        <v>0034-6861</v>
      </c>
      <c r="E8137" t="s">
        <v>8</v>
      </c>
      <c r="F8137" t="s">
        <v>8141</v>
      </c>
      <c r="G8137">
        <v>2</v>
      </c>
    </row>
    <row r="8138" spans="1:7" x14ac:dyDescent="0.25">
      <c r="A8138">
        <v>29</v>
      </c>
      <c r="B8138" t="s">
        <v>8122</v>
      </c>
      <c r="C8138">
        <v>17058</v>
      </c>
      <c r="D8138" t="str">
        <f>"1613-6810"</f>
        <v>1613-6810</v>
      </c>
      <c r="E8138" t="s">
        <v>8</v>
      </c>
      <c r="F8138" t="s">
        <v>8142</v>
      </c>
      <c r="G8138">
        <v>2</v>
      </c>
    </row>
    <row r="8139" spans="1:7" x14ac:dyDescent="0.25">
      <c r="A8139">
        <v>29</v>
      </c>
      <c r="B8139" t="s">
        <v>8122</v>
      </c>
      <c r="C8139">
        <v>8322</v>
      </c>
      <c r="D8139" t="str">
        <f>"0935-4956"</f>
        <v>0935-4956</v>
      </c>
      <c r="E8139" t="s">
        <v>8</v>
      </c>
      <c r="F8139" t="s">
        <v>8143</v>
      </c>
      <c r="G8139">
        <v>2</v>
      </c>
    </row>
    <row r="8140" spans="1:7" x14ac:dyDescent="0.25">
      <c r="A8140">
        <v>29</v>
      </c>
      <c r="B8140" t="s">
        <v>8122</v>
      </c>
      <c r="C8140">
        <v>13621</v>
      </c>
      <c r="D8140" t="str">
        <f>"0004-637X"</f>
        <v>0004-637X</v>
      </c>
      <c r="E8140" t="s">
        <v>8</v>
      </c>
      <c r="F8140" t="s">
        <v>8144</v>
      </c>
      <c r="G8140">
        <v>2</v>
      </c>
    </row>
    <row r="8141" spans="1:7" x14ac:dyDescent="0.25">
      <c r="A8141">
        <v>29</v>
      </c>
      <c r="B8141" t="s">
        <v>8122</v>
      </c>
      <c r="C8141">
        <v>14273</v>
      </c>
      <c r="D8141" t="str">
        <f>"0067-0049"</f>
        <v>0067-0049</v>
      </c>
      <c r="E8141" t="s">
        <v>8</v>
      </c>
      <c r="F8141" t="s">
        <v>8145</v>
      </c>
      <c r="G8141">
        <v>2</v>
      </c>
    </row>
    <row r="8142" spans="1:7" x14ac:dyDescent="0.25">
      <c r="A8142">
        <v>29</v>
      </c>
      <c r="B8142" t="s">
        <v>8122</v>
      </c>
      <c r="C8142">
        <v>12730</v>
      </c>
      <c r="D8142" t="str">
        <f>"1126-6708"</f>
        <v>1126-6708</v>
      </c>
      <c r="E8142" t="s">
        <v>8</v>
      </c>
      <c r="F8142" t="s">
        <v>8146</v>
      </c>
      <c r="G8142">
        <v>2</v>
      </c>
    </row>
    <row r="8143" spans="1:7" x14ac:dyDescent="0.25">
      <c r="A8143">
        <v>29</v>
      </c>
      <c r="B8143" t="s">
        <v>8122</v>
      </c>
      <c r="C8143">
        <v>9133</v>
      </c>
      <c r="D8143" t="str">
        <f>"1063-7710"</f>
        <v>1063-7710</v>
      </c>
      <c r="E8143" t="s">
        <v>8</v>
      </c>
      <c r="F8143" t="s">
        <v>8147</v>
      </c>
      <c r="G8143">
        <v>1</v>
      </c>
    </row>
    <row r="8144" spans="1:7" x14ac:dyDescent="0.25">
      <c r="A8144">
        <v>29</v>
      </c>
      <c r="B8144" t="s">
        <v>8122</v>
      </c>
      <c r="C8144">
        <v>6515</v>
      </c>
      <c r="D8144" t="str">
        <f>"0094-5765"</f>
        <v>0094-5765</v>
      </c>
      <c r="E8144" t="s">
        <v>8</v>
      </c>
      <c r="F8144" t="s">
        <v>8148</v>
      </c>
      <c r="G8144">
        <v>1</v>
      </c>
    </row>
    <row r="8145" spans="1:7" x14ac:dyDescent="0.25">
      <c r="A8145">
        <v>29</v>
      </c>
      <c r="B8145" t="s">
        <v>8122</v>
      </c>
      <c r="C8145">
        <v>12129</v>
      </c>
      <c r="D8145" t="str">
        <f>"0001-5237"</f>
        <v>0001-5237</v>
      </c>
      <c r="E8145" t="s">
        <v>8</v>
      </c>
      <c r="F8145" t="s">
        <v>8149</v>
      </c>
      <c r="G8145">
        <v>1</v>
      </c>
    </row>
    <row r="8146" spans="1:7" x14ac:dyDescent="0.25">
      <c r="A8146">
        <v>29</v>
      </c>
      <c r="B8146" t="s">
        <v>8122</v>
      </c>
      <c r="C8146">
        <v>10232</v>
      </c>
      <c r="D8146" t="str">
        <f>"0587-4246"</f>
        <v>0587-4246</v>
      </c>
      <c r="E8146" t="s">
        <v>8</v>
      </c>
      <c r="F8146" t="s">
        <v>8150</v>
      </c>
      <c r="G8146">
        <v>1</v>
      </c>
    </row>
    <row r="8147" spans="1:7" x14ac:dyDescent="0.25">
      <c r="A8147">
        <v>29</v>
      </c>
      <c r="B8147" t="s">
        <v>8122</v>
      </c>
      <c r="C8147">
        <v>5102</v>
      </c>
      <c r="D8147" t="str">
        <f>"0587-4254"</f>
        <v>0587-4254</v>
      </c>
      <c r="E8147" t="s">
        <v>8</v>
      </c>
      <c r="F8147" t="s">
        <v>8151</v>
      </c>
      <c r="G8147">
        <v>1</v>
      </c>
    </row>
    <row r="8148" spans="1:7" x14ac:dyDescent="0.25">
      <c r="A8148">
        <v>29</v>
      </c>
      <c r="B8148" t="s">
        <v>8122</v>
      </c>
      <c r="C8148">
        <v>10496</v>
      </c>
      <c r="D8148" t="str">
        <f>"0323-0465"</f>
        <v>0323-0465</v>
      </c>
      <c r="E8148" t="s">
        <v>8</v>
      </c>
      <c r="F8148" t="s">
        <v>8152</v>
      </c>
      <c r="G8148">
        <v>1</v>
      </c>
    </row>
    <row r="8149" spans="1:7" x14ac:dyDescent="0.25">
      <c r="A8149">
        <v>29</v>
      </c>
      <c r="B8149" t="s">
        <v>8122</v>
      </c>
      <c r="C8149">
        <v>1353</v>
      </c>
      <c r="D8149" t="str">
        <f>"1049-250X"</f>
        <v>1049-250X</v>
      </c>
      <c r="E8149" t="s">
        <v>8</v>
      </c>
      <c r="F8149" t="s">
        <v>8153</v>
      </c>
      <c r="G8149">
        <v>1</v>
      </c>
    </row>
    <row r="8150" spans="1:7" x14ac:dyDescent="0.25">
      <c r="A8150">
        <v>29</v>
      </c>
      <c r="B8150" t="s">
        <v>8122</v>
      </c>
      <c r="C8150">
        <v>8222</v>
      </c>
      <c r="D8150" t="str">
        <f>"0065-2385"</f>
        <v>0065-2385</v>
      </c>
      <c r="E8150" t="s">
        <v>15</v>
      </c>
      <c r="F8150" t="s">
        <v>8154</v>
      </c>
      <c r="G8150">
        <v>1</v>
      </c>
    </row>
    <row r="8151" spans="1:7" x14ac:dyDescent="0.25">
      <c r="A8151">
        <v>29</v>
      </c>
      <c r="B8151" t="s">
        <v>8122</v>
      </c>
      <c r="C8151">
        <v>3335</v>
      </c>
      <c r="D8151" t="str">
        <f>"0094-243X"</f>
        <v>0094-243X</v>
      </c>
      <c r="E8151" t="s">
        <v>8</v>
      </c>
      <c r="F8151" t="s">
        <v>8155</v>
      </c>
      <c r="G8151">
        <v>1</v>
      </c>
    </row>
    <row r="8152" spans="1:7" x14ac:dyDescent="0.25">
      <c r="A8152">
        <v>29</v>
      </c>
      <c r="B8152" t="s">
        <v>8122</v>
      </c>
      <c r="C8152">
        <v>6944</v>
      </c>
      <c r="D8152" t="str">
        <f>"0002-9505"</f>
        <v>0002-9505</v>
      </c>
      <c r="E8152" t="s">
        <v>8</v>
      </c>
      <c r="F8152" t="s">
        <v>8156</v>
      </c>
      <c r="G8152">
        <v>1</v>
      </c>
    </row>
    <row r="8153" spans="1:7" x14ac:dyDescent="0.25">
      <c r="A8153">
        <v>29</v>
      </c>
      <c r="B8153" t="s">
        <v>8122</v>
      </c>
      <c r="C8153">
        <v>13271</v>
      </c>
      <c r="D8153" t="str">
        <f>"0003-3804"</f>
        <v>0003-3804</v>
      </c>
      <c r="E8153" t="s">
        <v>8</v>
      </c>
      <c r="F8153" t="s">
        <v>8157</v>
      </c>
      <c r="G8153">
        <v>1</v>
      </c>
    </row>
    <row r="8154" spans="1:7" x14ac:dyDescent="0.25">
      <c r="A8154">
        <v>29</v>
      </c>
      <c r="B8154" t="s">
        <v>8122</v>
      </c>
      <c r="C8154">
        <v>1830</v>
      </c>
      <c r="D8154" t="str">
        <f>"0182-4295"</f>
        <v>0182-4295</v>
      </c>
      <c r="E8154" t="s">
        <v>8</v>
      </c>
      <c r="F8154" t="s">
        <v>8158</v>
      </c>
      <c r="G8154">
        <v>1</v>
      </c>
    </row>
    <row r="8155" spans="1:7" x14ac:dyDescent="0.25">
      <c r="A8155">
        <v>29</v>
      </c>
      <c r="B8155" t="s">
        <v>8122</v>
      </c>
      <c r="C8155">
        <v>8718</v>
      </c>
      <c r="D8155" t="str">
        <f>"0306-4549"</f>
        <v>0306-4549</v>
      </c>
      <c r="E8155" t="s">
        <v>8</v>
      </c>
      <c r="F8155" t="s">
        <v>8159</v>
      </c>
      <c r="G8155">
        <v>1</v>
      </c>
    </row>
    <row r="8156" spans="1:7" x14ac:dyDescent="0.25">
      <c r="A8156">
        <v>29</v>
      </c>
      <c r="B8156" t="s">
        <v>8122</v>
      </c>
      <c r="C8156">
        <v>13320</v>
      </c>
      <c r="D8156" t="str">
        <f>"0003-4916"</f>
        <v>0003-4916</v>
      </c>
      <c r="E8156" t="s">
        <v>8</v>
      </c>
      <c r="F8156" t="s">
        <v>8160</v>
      </c>
      <c r="G8156">
        <v>1</v>
      </c>
    </row>
    <row r="8157" spans="1:7" x14ac:dyDescent="0.25">
      <c r="A8157">
        <v>29</v>
      </c>
      <c r="B8157" t="s">
        <v>8122</v>
      </c>
      <c r="C8157">
        <v>7605</v>
      </c>
      <c r="D8157" t="str">
        <f>"0946-2171"</f>
        <v>0946-2171</v>
      </c>
      <c r="E8157" t="s">
        <v>8</v>
      </c>
      <c r="F8157" t="s">
        <v>8161</v>
      </c>
      <c r="G8157">
        <v>1</v>
      </c>
    </row>
    <row r="8158" spans="1:7" x14ac:dyDescent="0.25">
      <c r="A8158">
        <v>29</v>
      </c>
      <c r="B8158" t="s">
        <v>8122</v>
      </c>
      <c r="C8158">
        <v>7267</v>
      </c>
      <c r="D8158" t="str">
        <f>"1882-0778"</f>
        <v>1882-0778</v>
      </c>
      <c r="E8158" t="s">
        <v>8</v>
      </c>
      <c r="F8158" t="s">
        <v>8162</v>
      </c>
      <c r="G8158">
        <v>1</v>
      </c>
    </row>
    <row r="8159" spans="1:7" x14ac:dyDescent="0.25">
      <c r="A8159">
        <v>29</v>
      </c>
      <c r="B8159" t="s">
        <v>8122</v>
      </c>
      <c r="C8159">
        <v>540</v>
      </c>
      <c r="D8159" t="str">
        <f>"0969-8043"</f>
        <v>0969-8043</v>
      </c>
      <c r="E8159" t="s">
        <v>8</v>
      </c>
      <c r="F8159" t="s">
        <v>8163</v>
      </c>
      <c r="G8159">
        <v>1</v>
      </c>
    </row>
    <row r="8160" spans="1:7" x14ac:dyDescent="0.25">
      <c r="A8160">
        <v>29</v>
      </c>
      <c r="B8160" t="s">
        <v>8122</v>
      </c>
      <c r="C8160">
        <v>11825</v>
      </c>
      <c r="D8160" t="str">
        <f>"0004-6337"</f>
        <v>0004-6337</v>
      </c>
      <c r="E8160" t="s">
        <v>8</v>
      </c>
      <c r="F8160" t="s">
        <v>8164</v>
      </c>
      <c r="G8160">
        <v>1</v>
      </c>
    </row>
    <row r="8161" spans="1:7" x14ac:dyDescent="0.25">
      <c r="A8161">
        <v>29</v>
      </c>
      <c r="B8161" t="s">
        <v>8122</v>
      </c>
      <c r="C8161">
        <v>6935</v>
      </c>
      <c r="D8161" t="str">
        <f>"1366-8781"</f>
        <v>1366-8781</v>
      </c>
      <c r="E8161" t="s">
        <v>8</v>
      </c>
      <c r="F8161" t="s">
        <v>8165</v>
      </c>
      <c r="G8161">
        <v>1</v>
      </c>
    </row>
    <row r="8162" spans="1:7" x14ac:dyDescent="0.25">
      <c r="A8162">
        <v>29</v>
      </c>
      <c r="B8162" t="s">
        <v>8122</v>
      </c>
      <c r="C8162">
        <v>11278</v>
      </c>
      <c r="D8162" t="str">
        <f>"1063-7737"</f>
        <v>1063-7737</v>
      </c>
      <c r="E8162" t="s">
        <v>8</v>
      </c>
      <c r="F8162" t="s">
        <v>8166</v>
      </c>
      <c r="G8162">
        <v>1</v>
      </c>
    </row>
    <row r="8163" spans="1:7" x14ac:dyDescent="0.25">
      <c r="A8163">
        <v>29</v>
      </c>
      <c r="B8163" t="s">
        <v>8122</v>
      </c>
      <c r="C8163">
        <v>1475</v>
      </c>
      <c r="D8163" t="str">
        <f>"1063-7729"</f>
        <v>1063-7729</v>
      </c>
      <c r="E8163" t="s">
        <v>8</v>
      </c>
      <c r="F8163" t="s">
        <v>8167</v>
      </c>
      <c r="G8163">
        <v>1</v>
      </c>
    </row>
    <row r="8164" spans="1:7" x14ac:dyDescent="0.25">
      <c r="A8164">
        <v>29</v>
      </c>
      <c r="B8164" t="s">
        <v>8122</v>
      </c>
      <c r="C8164">
        <v>7888</v>
      </c>
      <c r="D8164" t="str">
        <f>"0927-6505"</f>
        <v>0927-6505</v>
      </c>
      <c r="E8164" t="s">
        <v>8</v>
      </c>
      <c r="F8164" t="s">
        <v>8168</v>
      </c>
      <c r="G8164">
        <v>1</v>
      </c>
    </row>
    <row r="8165" spans="1:7" x14ac:dyDescent="0.25">
      <c r="A8165">
        <v>29</v>
      </c>
      <c r="B8165" t="s">
        <v>8122</v>
      </c>
      <c r="C8165">
        <v>16120</v>
      </c>
      <c r="D8165" t="str">
        <f>"0571-7256"</f>
        <v>0571-7256</v>
      </c>
      <c r="E8165" t="s">
        <v>8</v>
      </c>
      <c r="F8165" t="s">
        <v>8169</v>
      </c>
      <c r="G8165">
        <v>1</v>
      </c>
    </row>
    <row r="8166" spans="1:7" x14ac:dyDescent="0.25">
      <c r="A8166">
        <v>29</v>
      </c>
      <c r="B8166" t="s">
        <v>8122</v>
      </c>
      <c r="C8166">
        <v>2813</v>
      </c>
      <c r="D8166" t="str">
        <f>"0004-640X"</f>
        <v>0004-640X</v>
      </c>
      <c r="E8166" t="s">
        <v>8</v>
      </c>
      <c r="F8166" t="s">
        <v>8170</v>
      </c>
      <c r="G8166">
        <v>1</v>
      </c>
    </row>
    <row r="8167" spans="1:7" x14ac:dyDescent="0.25">
      <c r="A8167">
        <v>29</v>
      </c>
      <c r="B8167" t="s">
        <v>8122</v>
      </c>
      <c r="C8167">
        <v>16222</v>
      </c>
      <c r="D8167" t="str">
        <f>"0092-640X"</f>
        <v>0092-640X</v>
      </c>
      <c r="E8167" t="s">
        <v>8</v>
      </c>
      <c r="F8167" t="s">
        <v>8171</v>
      </c>
      <c r="G8167">
        <v>1</v>
      </c>
    </row>
    <row r="8168" spans="1:7" x14ac:dyDescent="0.25">
      <c r="A8168">
        <v>29</v>
      </c>
      <c r="B8168" t="s">
        <v>8122</v>
      </c>
      <c r="C8168">
        <v>6645</v>
      </c>
      <c r="D8168" t="str">
        <f>"1063-4258"</f>
        <v>1063-4258</v>
      </c>
      <c r="E8168" t="s">
        <v>8</v>
      </c>
      <c r="F8168" t="s">
        <v>8172</v>
      </c>
      <c r="G8168">
        <v>1</v>
      </c>
    </row>
    <row r="8169" spans="1:7" x14ac:dyDescent="0.25">
      <c r="A8169">
        <v>29</v>
      </c>
      <c r="B8169" t="s">
        <v>8122</v>
      </c>
      <c r="C8169">
        <v>852</v>
      </c>
      <c r="D8169" t="str">
        <f>"0103-9733"</f>
        <v>0103-9733</v>
      </c>
      <c r="E8169" t="s">
        <v>8</v>
      </c>
      <c r="F8169" t="s">
        <v>8173</v>
      </c>
      <c r="G8169">
        <v>1</v>
      </c>
    </row>
    <row r="8170" spans="1:7" x14ac:dyDescent="0.25">
      <c r="A8170">
        <v>29</v>
      </c>
      <c r="B8170" t="s">
        <v>8122</v>
      </c>
      <c r="C8170">
        <v>12412</v>
      </c>
      <c r="D8170" t="str">
        <f>"0250-4707"</f>
        <v>0250-4707</v>
      </c>
      <c r="E8170" t="s">
        <v>8</v>
      </c>
      <c r="F8170" t="s">
        <v>8174</v>
      </c>
      <c r="G8170">
        <v>1</v>
      </c>
    </row>
    <row r="8171" spans="1:7" x14ac:dyDescent="0.25">
      <c r="A8171">
        <v>29</v>
      </c>
      <c r="B8171" t="s">
        <v>8122</v>
      </c>
      <c r="C8171">
        <v>6484</v>
      </c>
      <c r="D8171" t="str">
        <f>"0008-4204"</f>
        <v>0008-4204</v>
      </c>
      <c r="E8171" t="s">
        <v>8</v>
      </c>
      <c r="F8171" t="s">
        <v>8175</v>
      </c>
      <c r="G8171">
        <v>1</v>
      </c>
    </row>
    <row r="8172" spans="1:7" x14ac:dyDescent="0.25">
      <c r="A8172">
        <v>29</v>
      </c>
      <c r="B8172" t="s">
        <v>8122</v>
      </c>
      <c r="C8172">
        <v>1923</v>
      </c>
      <c r="D8172" t="str">
        <f>"0923-2958"</f>
        <v>0923-2958</v>
      </c>
      <c r="E8172" t="s">
        <v>8</v>
      </c>
      <c r="F8172" t="s">
        <v>8176</v>
      </c>
      <c r="G8172">
        <v>1</v>
      </c>
    </row>
    <row r="8173" spans="1:7" x14ac:dyDescent="0.25">
      <c r="A8173">
        <v>29</v>
      </c>
      <c r="B8173" t="s">
        <v>8122</v>
      </c>
      <c r="C8173">
        <v>770</v>
      </c>
      <c r="D8173" t="str">
        <f>"1644-3608"</f>
        <v>1644-3608</v>
      </c>
      <c r="E8173" t="s">
        <v>8</v>
      </c>
      <c r="F8173" t="s">
        <v>8177</v>
      </c>
      <c r="G8173">
        <v>1</v>
      </c>
    </row>
    <row r="8174" spans="1:7" x14ac:dyDescent="0.25">
      <c r="A8174">
        <v>29</v>
      </c>
      <c r="B8174" t="s">
        <v>8122</v>
      </c>
      <c r="C8174">
        <v>4193</v>
      </c>
      <c r="D8174" t="str">
        <f>"0009-2614"</f>
        <v>0009-2614</v>
      </c>
      <c r="E8174" t="s">
        <v>8</v>
      </c>
      <c r="F8174" t="s">
        <v>8178</v>
      </c>
      <c r="G8174">
        <v>1</v>
      </c>
    </row>
    <row r="8175" spans="1:7" x14ac:dyDescent="0.25">
      <c r="A8175">
        <v>29</v>
      </c>
      <c r="B8175" t="s">
        <v>8122</v>
      </c>
      <c r="C8175">
        <v>6092</v>
      </c>
      <c r="D8175" t="str">
        <f>"0275-1062"</f>
        <v>0275-1062</v>
      </c>
      <c r="E8175" t="s">
        <v>8</v>
      </c>
      <c r="F8175" t="s">
        <v>8179</v>
      </c>
      <c r="G8175">
        <v>1</v>
      </c>
    </row>
    <row r="8176" spans="1:7" x14ac:dyDescent="0.25">
      <c r="A8176">
        <v>29</v>
      </c>
      <c r="B8176" t="s">
        <v>8122</v>
      </c>
      <c r="C8176">
        <v>4597</v>
      </c>
      <c r="D8176" t="str">
        <f>"0577-9073"</f>
        <v>0577-9073</v>
      </c>
      <c r="E8176" t="s">
        <v>8</v>
      </c>
      <c r="F8176" t="s">
        <v>8180</v>
      </c>
      <c r="G8176">
        <v>1</v>
      </c>
    </row>
    <row r="8177" spans="1:7" x14ac:dyDescent="0.25">
      <c r="A8177">
        <v>29</v>
      </c>
      <c r="B8177" t="s">
        <v>8122</v>
      </c>
      <c r="C8177">
        <v>152259</v>
      </c>
      <c r="D8177" t="str">
        <f>"1674-1056"</f>
        <v>1674-1056</v>
      </c>
      <c r="E8177" t="s">
        <v>8</v>
      </c>
      <c r="F8177" t="s">
        <v>8181</v>
      </c>
      <c r="G8177">
        <v>1</v>
      </c>
    </row>
    <row r="8178" spans="1:7" x14ac:dyDescent="0.25">
      <c r="A8178">
        <v>29</v>
      </c>
      <c r="B8178" t="s">
        <v>8122</v>
      </c>
      <c r="C8178">
        <v>5006</v>
      </c>
      <c r="D8178" t="str">
        <f>"1674-1137"</f>
        <v>1674-1137</v>
      </c>
      <c r="E8178" t="s">
        <v>8</v>
      </c>
      <c r="F8178" t="s">
        <v>8182</v>
      </c>
      <c r="G8178">
        <v>1</v>
      </c>
    </row>
    <row r="8179" spans="1:7" x14ac:dyDescent="0.25">
      <c r="A8179">
        <v>29</v>
      </c>
      <c r="B8179" t="s">
        <v>8122</v>
      </c>
      <c r="C8179">
        <v>10875</v>
      </c>
      <c r="D8179" t="str">
        <f>"0256-307X"</f>
        <v>0256-307X</v>
      </c>
      <c r="E8179" t="s">
        <v>8</v>
      </c>
      <c r="F8179" t="s">
        <v>8183</v>
      </c>
      <c r="G8179">
        <v>1</v>
      </c>
    </row>
    <row r="8180" spans="1:7" x14ac:dyDescent="0.25">
      <c r="A8180">
        <v>29</v>
      </c>
      <c r="B8180" t="s">
        <v>8122</v>
      </c>
      <c r="C8180">
        <v>6240</v>
      </c>
      <c r="D8180" t="str">
        <f>"0264-9381"</f>
        <v>0264-9381</v>
      </c>
      <c r="E8180" t="s">
        <v>8</v>
      </c>
      <c r="F8180" t="s">
        <v>8184</v>
      </c>
      <c r="G8180">
        <v>1</v>
      </c>
    </row>
    <row r="8181" spans="1:7" x14ac:dyDescent="0.25">
      <c r="A8181">
        <v>29</v>
      </c>
      <c r="B8181" t="s">
        <v>8122</v>
      </c>
      <c r="C8181">
        <v>6943</v>
      </c>
      <c r="D8181" t="str">
        <f>"0253-6102"</f>
        <v>0253-6102</v>
      </c>
      <c r="E8181" t="s">
        <v>8</v>
      </c>
      <c r="F8181" t="s">
        <v>8185</v>
      </c>
      <c r="G8181">
        <v>1</v>
      </c>
    </row>
    <row r="8182" spans="1:7" x14ac:dyDescent="0.25">
      <c r="A8182">
        <v>29</v>
      </c>
      <c r="B8182" t="s">
        <v>8122</v>
      </c>
      <c r="C8182">
        <v>16500</v>
      </c>
      <c r="D8182" t="str">
        <f>"1631-0705"</f>
        <v>1631-0705</v>
      </c>
      <c r="E8182" t="s">
        <v>8</v>
      </c>
      <c r="F8182" t="s">
        <v>8186</v>
      </c>
      <c r="G8182">
        <v>1</v>
      </c>
    </row>
    <row r="8183" spans="1:7" x14ac:dyDescent="0.25">
      <c r="A8183">
        <v>29</v>
      </c>
      <c r="B8183" t="s">
        <v>8122</v>
      </c>
      <c r="C8183">
        <v>14413</v>
      </c>
      <c r="D8183" t="str">
        <f>"0010-4655"</f>
        <v>0010-4655</v>
      </c>
      <c r="E8183" t="s">
        <v>8</v>
      </c>
      <c r="F8183" t="s">
        <v>8187</v>
      </c>
      <c r="G8183">
        <v>1</v>
      </c>
    </row>
    <row r="8184" spans="1:7" x14ac:dyDescent="0.25">
      <c r="A8184">
        <v>29</v>
      </c>
      <c r="B8184" t="s">
        <v>8122</v>
      </c>
      <c r="C8184">
        <v>1696</v>
      </c>
      <c r="D8184" t="str">
        <f>"1546-6086"</f>
        <v>1546-6086</v>
      </c>
      <c r="E8184" t="s">
        <v>8</v>
      </c>
      <c r="F8184" t="s">
        <v>8188</v>
      </c>
      <c r="G8184">
        <v>1</v>
      </c>
    </row>
    <row r="8185" spans="1:7" x14ac:dyDescent="0.25">
      <c r="A8185">
        <v>29</v>
      </c>
      <c r="B8185" t="s">
        <v>8122</v>
      </c>
      <c r="C8185">
        <v>2297</v>
      </c>
      <c r="D8185" t="str">
        <f>"1607-324X"</f>
        <v>1607-324X</v>
      </c>
      <c r="E8185" t="s">
        <v>8</v>
      </c>
      <c r="F8185" t="s">
        <v>8189</v>
      </c>
      <c r="G8185">
        <v>1</v>
      </c>
    </row>
    <row r="8186" spans="1:7" x14ac:dyDescent="0.25">
      <c r="A8186">
        <v>29</v>
      </c>
      <c r="B8186" t="s">
        <v>8122</v>
      </c>
      <c r="C8186">
        <v>13005</v>
      </c>
      <c r="D8186" t="str">
        <f>"0010-7514"</f>
        <v>0010-7514</v>
      </c>
      <c r="E8186" t="s">
        <v>8</v>
      </c>
      <c r="F8186" t="s">
        <v>8190</v>
      </c>
      <c r="G8186">
        <v>1</v>
      </c>
    </row>
    <row r="8187" spans="1:7" x14ac:dyDescent="0.25">
      <c r="A8187">
        <v>29</v>
      </c>
      <c r="B8187" t="s">
        <v>8122</v>
      </c>
      <c r="C8187">
        <v>16816</v>
      </c>
      <c r="D8187" t="str">
        <f>"0863-1042"</f>
        <v>0863-1042</v>
      </c>
      <c r="E8187" t="s">
        <v>8</v>
      </c>
      <c r="F8187" t="s">
        <v>8191</v>
      </c>
      <c r="G8187">
        <v>1</v>
      </c>
    </row>
    <row r="8188" spans="1:7" x14ac:dyDescent="0.25">
      <c r="A8188">
        <v>29</v>
      </c>
      <c r="B8188" t="s">
        <v>8122</v>
      </c>
      <c r="C8188">
        <v>4561</v>
      </c>
      <c r="D8188" t="str">
        <f>"0010-9525"</f>
        <v>0010-9525</v>
      </c>
      <c r="E8188" t="s">
        <v>8</v>
      </c>
      <c r="F8188" t="s">
        <v>8192</v>
      </c>
      <c r="G8188">
        <v>1</v>
      </c>
    </row>
    <row r="8189" spans="1:7" x14ac:dyDescent="0.25">
      <c r="A8189">
        <v>29</v>
      </c>
      <c r="B8189" t="s">
        <v>8122</v>
      </c>
      <c r="C8189">
        <v>13129</v>
      </c>
      <c r="D8189" t="str">
        <f>"1567-1739"</f>
        <v>1567-1739</v>
      </c>
      <c r="E8189" t="s">
        <v>8</v>
      </c>
      <c r="F8189" t="s">
        <v>8193</v>
      </c>
      <c r="G8189">
        <v>1</v>
      </c>
    </row>
    <row r="8190" spans="1:7" x14ac:dyDescent="0.25">
      <c r="A8190">
        <v>29</v>
      </c>
      <c r="B8190" t="s">
        <v>8122</v>
      </c>
      <c r="C8190">
        <v>6820</v>
      </c>
      <c r="D8190" t="str">
        <f>"1028-3358"</f>
        <v>1028-3358</v>
      </c>
      <c r="E8190" t="s">
        <v>8</v>
      </c>
      <c r="F8190" t="s">
        <v>8194</v>
      </c>
      <c r="G8190">
        <v>1</v>
      </c>
    </row>
    <row r="8191" spans="1:7" x14ac:dyDescent="0.25">
      <c r="A8191">
        <v>29</v>
      </c>
      <c r="B8191" t="s">
        <v>8122</v>
      </c>
      <c r="C8191">
        <v>6137</v>
      </c>
      <c r="D8191" t="str">
        <f>"0167-9295"</f>
        <v>0167-9295</v>
      </c>
      <c r="E8191" t="s">
        <v>8</v>
      </c>
      <c r="F8191" t="s">
        <v>8195</v>
      </c>
      <c r="G8191">
        <v>1</v>
      </c>
    </row>
    <row r="8192" spans="1:7" x14ac:dyDescent="0.25">
      <c r="A8192">
        <v>29</v>
      </c>
      <c r="B8192" t="s">
        <v>8122</v>
      </c>
      <c r="C8192">
        <v>8783758</v>
      </c>
      <c r="D8192" t="str">
        <f>"1382-4309"</f>
        <v>1382-4309</v>
      </c>
      <c r="E8192" t="s">
        <v>15</v>
      </c>
      <c r="F8192" t="s">
        <v>8196</v>
      </c>
      <c r="G8192">
        <v>1</v>
      </c>
    </row>
    <row r="8193" spans="1:7" x14ac:dyDescent="0.25">
      <c r="A8193">
        <v>29</v>
      </c>
      <c r="B8193" t="s">
        <v>8122</v>
      </c>
      <c r="C8193">
        <v>3752</v>
      </c>
      <c r="D8193" t="str">
        <f>"0143-0807"</f>
        <v>0143-0807</v>
      </c>
      <c r="E8193" t="s">
        <v>8</v>
      </c>
      <c r="F8193" t="s">
        <v>8197</v>
      </c>
      <c r="G8193">
        <v>1</v>
      </c>
    </row>
    <row r="8194" spans="1:7" x14ac:dyDescent="0.25">
      <c r="A8194">
        <v>29</v>
      </c>
      <c r="B8194" t="s">
        <v>8122</v>
      </c>
      <c r="C8194">
        <v>15595</v>
      </c>
      <c r="D8194" t="str">
        <f>"0922-6435"</f>
        <v>0922-6435</v>
      </c>
      <c r="E8194" t="s">
        <v>8</v>
      </c>
      <c r="F8194" t="s">
        <v>8198</v>
      </c>
      <c r="G8194">
        <v>1</v>
      </c>
    </row>
    <row r="8195" spans="1:7" x14ac:dyDescent="0.25">
      <c r="A8195">
        <v>29</v>
      </c>
      <c r="B8195" t="s">
        <v>8122</v>
      </c>
      <c r="C8195">
        <v>14016</v>
      </c>
      <c r="D8195" t="str">
        <f>"0731-5171"</f>
        <v>0731-5171</v>
      </c>
      <c r="E8195" t="s">
        <v>8</v>
      </c>
      <c r="F8195" t="s">
        <v>8199</v>
      </c>
      <c r="G8195">
        <v>1</v>
      </c>
    </row>
    <row r="8196" spans="1:7" x14ac:dyDescent="0.25">
      <c r="A8196">
        <v>29</v>
      </c>
      <c r="B8196" t="s">
        <v>8122</v>
      </c>
      <c r="C8196">
        <v>2508</v>
      </c>
      <c r="D8196" t="str">
        <f>"0177-7963"</f>
        <v>0177-7963</v>
      </c>
      <c r="E8196" t="s">
        <v>8</v>
      </c>
      <c r="F8196" t="s">
        <v>8200</v>
      </c>
      <c r="G8196">
        <v>1</v>
      </c>
    </row>
    <row r="8197" spans="1:7" x14ac:dyDescent="0.25">
      <c r="A8197">
        <v>29</v>
      </c>
      <c r="B8197" t="s">
        <v>8122</v>
      </c>
      <c r="C8197">
        <v>8783759</v>
      </c>
      <c r="E8197" t="s">
        <v>15</v>
      </c>
      <c r="F8197" t="s">
        <v>8201</v>
      </c>
      <c r="G8197">
        <v>1</v>
      </c>
    </row>
    <row r="8198" spans="1:7" x14ac:dyDescent="0.25">
      <c r="A8198">
        <v>29</v>
      </c>
      <c r="B8198" t="s">
        <v>8122</v>
      </c>
      <c r="C8198">
        <v>4507</v>
      </c>
      <c r="D8198" t="str">
        <f>"0015-8208"</f>
        <v>0015-8208</v>
      </c>
      <c r="E8198" t="s">
        <v>8</v>
      </c>
      <c r="F8198" t="s">
        <v>8202</v>
      </c>
      <c r="G8198">
        <v>1</v>
      </c>
    </row>
    <row r="8199" spans="1:7" x14ac:dyDescent="0.25">
      <c r="A8199">
        <v>29</v>
      </c>
      <c r="B8199" t="s">
        <v>8122</v>
      </c>
      <c r="C8199">
        <v>7348</v>
      </c>
      <c r="D8199" t="str">
        <f>"0015-9018"</f>
        <v>0015-9018</v>
      </c>
      <c r="E8199" t="s">
        <v>8</v>
      </c>
      <c r="F8199" t="s">
        <v>8203</v>
      </c>
      <c r="G8199">
        <v>1</v>
      </c>
    </row>
    <row r="8200" spans="1:7" x14ac:dyDescent="0.25">
      <c r="A8200">
        <v>29</v>
      </c>
      <c r="B8200" t="s">
        <v>8122</v>
      </c>
      <c r="C8200">
        <v>12481</v>
      </c>
      <c r="D8200" t="str">
        <f>"0920-3796"</f>
        <v>0920-3796</v>
      </c>
      <c r="E8200" t="s">
        <v>8</v>
      </c>
      <c r="F8200" t="s">
        <v>8204</v>
      </c>
      <c r="G8200">
        <v>1</v>
      </c>
    </row>
    <row r="8201" spans="1:7" x14ac:dyDescent="0.25">
      <c r="A8201">
        <v>29</v>
      </c>
      <c r="B8201" t="s">
        <v>8122</v>
      </c>
      <c r="C8201">
        <v>3625</v>
      </c>
      <c r="D8201" t="str">
        <f>"1536-1055"</f>
        <v>1536-1055</v>
      </c>
      <c r="E8201" t="s">
        <v>8</v>
      </c>
      <c r="F8201" t="s">
        <v>8205</v>
      </c>
      <c r="G8201">
        <v>1</v>
      </c>
    </row>
    <row r="8202" spans="1:7" x14ac:dyDescent="0.25">
      <c r="A8202">
        <v>29</v>
      </c>
      <c r="B8202" t="s">
        <v>8122</v>
      </c>
      <c r="C8202">
        <v>14377</v>
      </c>
      <c r="D8202" t="str">
        <f>"0001-7701"</f>
        <v>0001-7701</v>
      </c>
      <c r="E8202" t="s">
        <v>8</v>
      </c>
      <c r="F8202" t="s">
        <v>8206</v>
      </c>
      <c r="G8202">
        <v>1</v>
      </c>
    </row>
    <row r="8203" spans="1:7" x14ac:dyDescent="0.25">
      <c r="A8203">
        <v>29</v>
      </c>
      <c r="B8203" t="s">
        <v>8122</v>
      </c>
      <c r="C8203">
        <v>4089</v>
      </c>
      <c r="D8203" t="str">
        <f>"0895-7959"</f>
        <v>0895-7959</v>
      </c>
      <c r="E8203" t="s">
        <v>8</v>
      </c>
      <c r="F8203" t="s">
        <v>8207</v>
      </c>
      <c r="G8203">
        <v>1</v>
      </c>
    </row>
    <row r="8204" spans="1:7" x14ac:dyDescent="0.25">
      <c r="A8204">
        <v>29</v>
      </c>
      <c r="B8204" t="s">
        <v>8122</v>
      </c>
      <c r="C8204">
        <v>5670</v>
      </c>
      <c r="D8204" t="str">
        <f>"0018-151X"</f>
        <v>0018-151X</v>
      </c>
      <c r="E8204" t="s">
        <v>8</v>
      </c>
      <c r="F8204" t="s">
        <v>8208</v>
      </c>
      <c r="G8204">
        <v>1</v>
      </c>
    </row>
    <row r="8205" spans="1:7" x14ac:dyDescent="0.25">
      <c r="A8205">
        <v>29</v>
      </c>
      <c r="B8205" t="s">
        <v>8122</v>
      </c>
      <c r="C8205">
        <v>10099</v>
      </c>
      <c r="D8205" t="str">
        <f>"0304-3843"</f>
        <v>0304-3843</v>
      </c>
      <c r="E8205" t="s">
        <v>8</v>
      </c>
      <c r="F8205" t="s">
        <v>8209</v>
      </c>
      <c r="G8205">
        <v>1</v>
      </c>
    </row>
    <row r="8206" spans="1:7" x14ac:dyDescent="0.25">
      <c r="A8206">
        <v>29</v>
      </c>
      <c r="B8206" t="s">
        <v>8122</v>
      </c>
      <c r="C8206">
        <v>7276</v>
      </c>
      <c r="D8206" t="str">
        <f>"0019-1035"</f>
        <v>0019-1035</v>
      </c>
      <c r="E8206" t="s">
        <v>8</v>
      </c>
      <c r="F8206" t="s">
        <v>8210</v>
      </c>
      <c r="G8206">
        <v>1</v>
      </c>
    </row>
    <row r="8207" spans="1:7" x14ac:dyDescent="0.25">
      <c r="A8207">
        <v>29</v>
      </c>
      <c r="B8207" t="s">
        <v>8122</v>
      </c>
      <c r="C8207">
        <v>11424</v>
      </c>
      <c r="D8207" t="str">
        <f>"0093-3813"</f>
        <v>0093-3813</v>
      </c>
      <c r="E8207" t="s">
        <v>8</v>
      </c>
      <c r="F8207" t="s">
        <v>8211</v>
      </c>
      <c r="G8207">
        <v>1</v>
      </c>
    </row>
    <row r="8208" spans="1:7" x14ac:dyDescent="0.25">
      <c r="A8208">
        <v>29</v>
      </c>
      <c r="B8208" t="s">
        <v>8122</v>
      </c>
      <c r="C8208">
        <v>17394</v>
      </c>
      <c r="D8208" t="str">
        <f>"0973-1458"</f>
        <v>0973-1458</v>
      </c>
      <c r="E8208" t="s">
        <v>8</v>
      </c>
      <c r="F8208" t="s">
        <v>8212</v>
      </c>
      <c r="G8208">
        <v>1</v>
      </c>
    </row>
    <row r="8209" spans="1:7" x14ac:dyDescent="0.25">
      <c r="A8209">
        <v>29</v>
      </c>
      <c r="B8209" t="s">
        <v>8122</v>
      </c>
      <c r="C8209">
        <v>14407</v>
      </c>
      <c r="D8209" t="str">
        <f>"0019-5596"</f>
        <v>0019-5596</v>
      </c>
      <c r="E8209" t="s">
        <v>8</v>
      </c>
      <c r="F8209" t="s">
        <v>8213</v>
      </c>
      <c r="G8209">
        <v>1</v>
      </c>
    </row>
    <row r="8210" spans="1:7" x14ac:dyDescent="0.25">
      <c r="A8210">
        <v>29</v>
      </c>
      <c r="B8210" t="s">
        <v>8122</v>
      </c>
      <c r="C8210">
        <v>27007</v>
      </c>
      <c r="D8210" t="str">
        <f>"0367-8393"</f>
        <v>0367-8393</v>
      </c>
      <c r="E8210" t="s">
        <v>8</v>
      </c>
      <c r="F8210" t="s">
        <v>8214</v>
      </c>
      <c r="G8210">
        <v>1</v>
      </c>
    </row>
    <row r="8211" spans="1:7" x14ac:dyDescent="0.25">
      <c r="A8211">
        <v>29</v>
      </c>
      <c r="B8211" t="s">
        <v>8122</v>
      </c>
      <c r="C8211">
        <v>6937</v>
      </c>
      <c r="D8211" t="str">
        <f>"0374-0676"</f>
        <v>0374-0676</v>
      </c>
      <c r="E8211" t="s">
        <v>8</v>
      </c>
      <c r="F8211" t="s">
        <v>8215</v>
      </c>
      <c r="G8211">
        <v>1</v>
      </c>
    </row>
    <row r="8212" spans="1:7" x14ac:dyDescent="0.25">
      <c r="A8212">
        <v>29</v>
      </c>
      <c r="B8212" t="s">
        <v>8122</v>
      </c>
      <c r="C8212">
        <v>4282</v>
      </c>
      <c r="D8212" t="str">
        <f>"0951-3248"</f>
        <v>0951-3248</v>
      </c>
      <c r="E8212" t="s">
        <v>8</v>
      </c>
      <c r="F8212" t="s">
        <v>8216</v>
      </c>
      <c r="G8212">
        <v>1</v>
      </c>
    </row>
    <row r="8213" spans="1:7" x14ac:dyDescent="0.25">
      <c r="A8213">
        <v>29</v>
      </c>
      <c r="B8213" t="s">
        <v>8122</v>
      </c>
      <c r="C8213">
        <v>19051</v>
      </c>
      <c r="D8213" t="str">
        <f>"1027-5851"</f>
        <v>1027-5851</v>
      </c>
      <c r="E8213" t="s">
        <v>8</v>
      </c>
      <c r="F8213" t="s">
        <v>8217</v>
      </c>
      <c r="G8213">
        <v>1</v>
      </c>
    </row>
    <row r="8214" spans="1:7" x14ac:dyDescent="0.25">
      <c r="A8214">
        <v>29</v>
      </c>
      <c r="B8214" t="s">
        <v>8122</v>
      </c>
      <c r="C8214">
        <v>8261</v>
      </c>
      <c r="D8214" t="str">
        <f>"0217-751X"</f>
        <v>0217-751X</v>
      </c>
      <c r="E8214" t="s">
        <v>8</v>
      </c>
      <c r="F8214" t="s">
        <v>8218</v>
      </c>
      <c r="G8214">
        <v>1</v>
      </c>
    </row>
    <row r="8215" spans="1:7" x14ac:dyDescent="0.25">
      <c r="A8215">
        <v>29</v>
      </c>
      <c r="B8215" t="s">
        <v>8122</v>
      </c>
      <c r="C8215">
        <v>4780</v>
      </c>
      <c r="D8215" t="str">
        <f>"0217-9792"</f>
        <v>0217-9792</v>
      </c>
      <c r="E8215" t="s">
        <v>8</v>
      </c>
      <c r="F8215" t="s">
        <v>8219</v>
      </c>
      <c r="G8215">
        <v>1</v>
      </c>
    </row>
    <row r="8216" spans="1:7" x14ac:dyDescent="0.25">
      <c r="A8216">
        <v>29</v>
      </c>
      <c r="B8216" t="s">
        <v>8122</v>
      </c>
      <c r="C8216">
        <v>14235</v>
      </c>
      <c r="D8216" t="str">
        <f>"0129-1831"</f>
        <v>0129-1831</v>
      </c>
      <c r="E8216" t="s">
        <v>8</v>
      </c>
      <c r="F8216" t="s">
        <v>8220</v>
      </c>
      <c r="G8216">
        <v>1</v>
      </c>
    </row>
    <row r="8217" spans="1:7" x14ac:dyDescent="0.25">
      <c r="A8217">
        <v>29</v>
      </c>
      <c r="B8217" t="s">
        <v>8122</v>
      </c>
      <c r="C8217">
        <v>4598</v>
      </c>
      <c r="D8217" t="str">
        <f>"0218-2718"</f>
        <v>0218-2718</v>
      </c>
      <c r="E8217" t="s">
        <v>8</v>
      </c>
      <c r="F8217" t="s">
        <v>8221</v>
      </c>
      <c r="G8217">
        <v>1</v>
      </c>
    </row>
    <row r="8218" spans="1:7" x14ac:dyDescent="0.25">
      <c r="A8218">
        <v>29</v>
      </c>
      <c r="B8218" t="s">
        <v>8122</v>
      </c>
      <c r="C8218">
        <v>6501</v>
      </c>
      <c r="D8218" t="str">
        <f>"0218-3013"</f>
        <v>0218-3013</v>
      </c>
      <c r="E8218" t="s">
        <v>8</v>
      </c>
      <c r="F8218" t="s">
        <v>8222</v>
      </c>
      <c r="G8218">
        <v>1</v>
      </c>
    </row>
    <row r="8219" spans="1:7" x14ac:dyDescent="0.25">
      <c r="A8219">
        <v>29</v>
      </c>
      <c r="B8219" t="s">
        <v>8122</v>
      </c>
      <c r="C8219">
        <v>1473</v>
      </c>
      <c r="D8219" t="str">
        <f>"0020-7748"</f>
        <v>0020-7748</v>
      </c>
      <c r="E8219" t="s">
        <v>8</v>
      </c>
      <c r="F8219" t="s">
        <v>8223</v>
      </c>
      <c r="G8219">
        <v>1</v>
      </c>
    </row>
    <row r="8220" spans="1:7" x14ac:dyDescent="0.25">
      <c r="A8220">
        <v>29</v>
      </c>
      <c r="B8220" t="s">
        <v>8122</v>
      </c>
      <c r="C8220">
        <v>11611</v>
      </c>
      <c r="D8220" t="str">
        <f>"0947-7047"</f>
        <v>0947-7047</v>
      </c>
      <c r="E8220" t="s">
        <v>8</v>
      </c>
      <c r="F8220" t="s">
        <v>8224</v>
      </c>
      <c r="G8220">
        <v>1</v>
      </c>
    </row>
    <row r="8221" spans="1:7" x14ac:dyDescent="0.25">
      <c r="A8221">
        <v>29</v>
      </c>
      <c r="B8221" t="s">
        <v>8122</v>
      </c>
      <c r="C8221">
        <v>11886</v>
      </c>
      <c r="D8221" t="str">
        <f>"0370-1972"</f>
        <v>0370-1972</v>
      </c>
      <c r="E8221" t="s">
        <v>8</v>
      </c>
      <c r="F8221" t="s">
        <v>8225</v>
      </c>
      <c r="G8221">
        <v>1</v>
      </c>
    </row>
    <row r="8222" spans="1:7" x14ac:dyDescent="0.25">
      <c r="A8222">
        <v>29</v>
      </c>
      <c r="B8222" t="s">
        <v>8122</v>
      </c>
      <c r="C8222">
        <v>4694</v>
      </c>
      <c r="D8222" t="str">
        <f>"0007-084X"</f>
        <v>0007-084X</v>
      </c>
      <c r="E8222" t="s">
        <v>8</v>
      </c>
      <c r="F8222" t="s">
        <v>8226</v>
      </c>
      <c r="G8222">
        <v>1</v>
      </c>
    </row>
    <row r="8223" spans="1:7" x14ac:dyDescent="0.25">
      <c r="A8223">
        <v>29</v>
      </c>
      <c r="B8223" t="s">
        <v>8122</v>
      </c>
      <c r="C8223">
        <v>10378</v>
      </c>
      <c r="D8223" t="str">
        <f>"0021-3640"</f>
        <v>0021-3640</v>
      </c>
      <c r="E8223" t="s">
        <v>8</v>
      </c>
      <c r="F8223" t="s">
        <v>8227</v>
      </c>
      <c r="G8223">
        <v>1</v>
      </c>
    </row>
    <row r="8224" spans="1:7" x14ac:dyDescent="0.25">
      <c r="A8224">
        <v>29</v>
      </c>
      <c r="B8224" t="s">
        <v>8122</v>
      </c>
      <c r="C8224">
        <v>9712</v>
      </c>
      <c r="D8224" t="str">
        <f>"0021-8979"</f>
        <v>0021-8979</v>
      </c>
      <c r="E8224" t="s">
        <v>8</v>
      </c>
      <c r="F8224" t="s">
        <v>8228</v>
      </c>
      <c r="G8224">
        <v>1</v>
      </c>
    </row>
    <row r="8225" spans="1:7" x14ac:dyDescent="0.25">
      <c r="A8225">
        <v>29</v>
      </c>
      <c r="B8225" t="s">
        <v>8122</v>
      </c>
      <c r="C8225">
        <v>7615</v>
      </c>
      <c r="D8225" t="str">
        <f>"0250-6335"</f>
        <v>0250-6335</v>
      </c>
      <c r="E8225" t="s">
        <v>8</v>
      </c>
      <c r="F8225" t="s">
        <v>8229</v>
      </c>
      <c r="G8225">
        <v>1</v>
      </c>
    </row>
    <row r="8226" spans="1:7" x14ac:dyDescent="0.25">
      <c r="A8226">
        <v>29</v>
      </c>
      <c r="B8226" t="s">
        <v>8122</v>
      </c>
      <c r="C8226">
        <v>24616</v>
      </c>
      <c r="D8226" t="str">
        <f>"1864-063X"</f>
        <v>1864-063X</v>
      </c>
      <c r="E8226" t="s">
        <v>8</v>
      </c>
      <c r="F8226" t="s">
        <v>8230</v>
      </c>
      <c r="G8226">
        <v>1</v>
      </c>
    </row>
    <row r="8227" spans="1:7" x14ac:dyDescent="0.25">
      <c r="A8227">
        <v>29</v>
      </c>
      <c r="B8227" t="s">
        <v>8122</v>
      </c>
      <c r="C8227">
        <v>8265</v>
      </c>
      <c r="D8227" t="str">
        <f>"0021-9991"</f>
        <v>0021-9991</v>
      </c>
      <c r="E8227" t="s">
        <v>8</v>
      </c>
      <c r="F8227" t="s">
        <v>8231</v>
      </c>
      <c r="G8227">
        <v>1</v>
      </c>
    </row>
    <row r="8228" spans="1:7" x14ac:dyDescent="0.25">
      <c r="A8228">
        <v>29</v>
      </c>
      <c r="B8228" t="s">
        <v>8122</v>
      </c>
      <c r="C8228">
        <v>536</v>
      </c>
      <c r="D8228" t="str">
        <f>"1063-7761"</f>
        <v>1063-7761</v>
      </c>
      <c r="E8228" t="s">
        <v>8</v>
      </c>
      <c r="F8228" t="s">
        <v>8232</v>
      </c>
      <c r="G8228">
        <v>1</v>
      </c>
    </row>
    <row r="8229" spans="1:7" x14ac:dyDescent="0.25">
      <c r="A8229">
        <v>29</v>
      </c>
      <c r="B8229" t="s">
        <v>8122</v>
      </c>
      <c r="C8229">
        <v>16771</v>
      </c>
      <c r="D8229" t="str">
        <f>"0164-0313"</f>
        <v>0164-0313</v>
      </c>
      <c r="E8229" t="s">
        <v>8</v>
      </c>
      <c r="F8229" t="s">
        <v>8233</v>
      </c>
      <c r="G8229">
        <v>1</v>
      </c>
    </row>
    <row r="8230" spans="1:7" x14ac:dyDescent="0.25">
      <c r="A8230">
        <v>29</v>
      </c>
      <c r="B8230" t="s">
        <v>8122</v>
      </c>
      <c r="C8230">
        <v>27079</v>
      </c>
      <c r="D8230" t="str">
        <f>"1748-0221"</f>
        <v>1748-0221</v>
      </c>
      <c r="E8230" t="s">
        <v>8</v>
      </c>
      <c r="F8230" t="s">
        <v>8234</v>
      </c>
      <c r="G8230">
        <v>1</v>
      </c>
    </row>
    <row r="8231" spans="1:7" x14ac:dyDescent="0.25">
      <c r="A8231">
        <v>29</v>
      </c>
      <c r="B8231" t="s">
        <v>8122</v>
      </c>
      <c r="C8231">
        <v>10517</v>
      </c>
      <c r="D8231" t="str">
        <f>"0022-2291"</f>
        <v>0022-2291</v>
      </c>
      <c r="E8231" t="s">
        <v>8</v>
      </c>
      <c r="F8231" t="s">
        <v>8235</v>
      </c>
      <c r="G8231">
        <v>1</v>
      </c>
    </row>
    <row r="8232" spans="1:7" x14ac:dyDescent="0.25">
      <c r="A8232">
        <v>29</v>
      </c>
      <c r="B8232" t="s">
        <v>8122</v>
      </c>
      <c r="C8232">
        <v>5916</v>
      </c>
      <c r="D8232" t="str">
        <f>"0022-2313"</f>
        <v>0022-2313</v>
      </c>
      <c r="E8232" t="s">
        <v>8</v>
      </c>
      <c r="F8232" t="s">
        <v>8236</v>
      </c>
      <c r="G8232">
        <v>1</v>
      </c>
    </row>
    <row r="8233" spans="1:7" x14ac:dyDescent="0.25">
      <c r="A8233">
        <v>29</v>
      </c>
      <c r="B8233" t="s">
        <v>8122</v>
      </c>
      <c r="C8233">
        <v>27463</v>
      </c>
      <c r="D8233" t="str">
        <f>"1934-2608"</f>
        <v>1934-2608</v>
      </c>
      <c r="E8233" t="s">
        <v>8</v>
      </c>
      <c r="F8233" t="s">
        <v>8237</v>
      </c>
      <c r="G8233">
        <v>1</v>
      </c>
    </row>
    <row r="8234" spans="1:7" x14ac:dyDescent="0.25">
      <c r="A8234">
        <v>29</v>
      </c>
      <c r="B8234" t="s">
        <v>8122</v>
      </c>
      <c r="C8234">
        <v>13350</v>
      </c>
      <c r="D8234" t="str">
        <f>"1402-9251"</f>
        <v>1402-9251</v>
      </c>
      <c r="E8234" t="s">
        <v>8</v>
      </c>
      <c r="F8234" t="s">
        <v>8238</v>
      </c>
      <c r="G8234">
        <v>1</v>
      </c>
    </row>
    <row r="8235" spans="1:7" x14ac:dyDescent="0.25">
      <c r="A8235">
        <v>29</v>
      </c>
      <c r="B8235" t="s">
        <v>8122</v>
      </c>
      <c r="C8235">
        <v>13124</v>
      </c>
      <c r="D8235" t="str">
        <f>"0022-3131"</f>
        <v>0022-3131</v>
      </c>
      <c r="E8235" t="s">
        <v>8</v>
      </c>
      <c r="F8235" t="s">
        <v>8239</v>
      </c>
      <c r="G8235">
        <v>1</v>
      </c>
    </row>
    <row r="8236" spans="1:7" x14ac:dyDescent="0.25">
      <c r="A8236">
        <v>29</v>
      </c>
      <c r="B8236" t="s">
        <v>8122</v>
      </c>
      <c r="C8236">
        <v>3857</v>
      </c>
      <c r="D8236" t="str">
        <f>"1027-4642"</f>
        <v>1027-4642</v>
      </c>
      <c r="E8236" t="s">
        <v>8</v>
      </c>
      <c r="F8236" t="s">
        <v>8240</v>
      </c>
      <c r="G8236">
        <v>1</v>
      </c>
    </row>
    <row r="8237" spans="1:7" x14ac:dyDescent="0.25">
      <c r="A8237">
        <v>29</v>
      </c>
      <c r="B8237" t="s">
        <v>8122</v>
      </c>
      <c r="C8237">
        <v>9071</v>
      </c>
      <c r="D8237" t="str">
        <f>"0953-4075"</f>
        <v>0953-4075</v>
      </c>
      <c r="E8237" t="s">
        <v>8</v>
      </c>
      <c r="F8237" t="s">
        <v>8241</v>
      </c>
      <c r="G8237">
        <v>1</v>
      </c>
    </row>
    <row r="8238" spans="1:7" x14ac:dyDescent="0.25">
      <c r="A8238">
        <v>29</v>
      </c>
      <c r="B8238" t="s">
        <v>8122</v>
      </c>
      <c r="C8238">
        <v>7947</v>
      </c>
      <c r="D8238" t="str">
        <f>"0022-3727"</f>
        <v>0022-3727</v>
      </c>
      <c r="E8238" t="s">
        <v>8</v>
      </c>
      <c r="F8238" t="s">
        <v>8242</v>
      </c>
      <c r="G8238">
        <v>1</v>
      </c>
    </row>
    <row r="8239" spans="1:7" x14ac:dyDescent="0.25">
      <c r="A8239">
        <v>29</v>
      </c>
      <c r="B8239" t="s">
        <v>8122</v>
      </c>
      <c r="C8239">
        <v>82</v>
      </c>
      <c r="D8239" t="str">
        <f>"0954-3899"</f>
        <v>0954-3899</v>
      </c>
      <c r="E8239" t="s">
        <v>8</v>
      </c>
      <c r="F8239" t="s">
        <v>8243</v>
      </c>
      <c r="G8239">
        <v>1</v>
      </c>
    </row>
    <row r="8240" spans="1:7" x14ac:dyDescent="0.25">
      <c r="A8240">
        <v>29</v>
      </c>
      <c r="B8240" t="s">
        <v>8122</v>
      </c>
      <c r="C8240">
        <v>1285</v>
      </c>
      <c r="D8240" t="str">
        <f>"0953-8984"</f>
        <v>0953-8984</v>
      </c>
      <c r="E8240" t="s">
        <v>8</v>
      </c>
      <c r="F8240" t="s">
        <v>8244</v>
      </c>
      <c r="G8240">
        <v>1</v>
      </c>
    </row>
    <row r="8241" spans="1:7" x14ac:dyDescent="0.25">
      <c r="A8241">
        <v>29</v>
      </c>
      <c r="B8241" t="s">
        <v>8122</v>
      </c>
      <c r="C8241">
        <v>16680</v>
      </c>
      <c r="D8241" t="str">
        <f>"1742-6588"</f>
        <v>1742-6588</v>
      </c>
      <c r="E8241" t="s">
        <v>15</v>
      </c>
      <c r="F8241" t="s">
        <v>8245</v>
      </c>
      <c r="G8241">
        <v>1</v>
      </c>
    </row>
    <row r="8242" spans="1:7" x14ac:dyDescent="0.25">
      <c r="A8242">
        <v>29</v>
      </c>
      <c r="B8242" t="s">
        <v>8122</v>
      </c>
      <c r="C8242">
        <v>11497</v>
      </c>
      <c r="D8242" t="str">
        <f>"0022-3778"</f>
        <v>0022-3778</v>
      </c>
      <c r="E8242" t="s">
        <v>8</v>
      </c>
      <c r="F8242" t="s">
        <v>8246</v>
      </c>
      <c r="G8242">
        <v>1</v>
      </c>
    </row>
    <row r="8243" spans="1:7" x14ac:dyDescent="0.25">
      <c r="A8243">
        <v>29</v>
      </c>
      <c r="B8243" t="s">
        <v>8122</v>
      </c>
      <c r="C8243">
        <v>3592</v>
      </c>
      <c r="D8243" t="str">
        <f>"0909-0495"</f>
        <v>0909-0495</v>
      </c>
      <c r="E8243" t="s">
        <v>8</v>
      </c>
      <c r="F8243" t="s">
        <v>8247</v>
      </c>
      <c r="G8243">
        <v>1</v>
      </c>
    </row>
    <row r="8244" spans="1:7" x14ac:dyDescent="0.25">
      <c r="A8244">
        <v>29</v>
      </c>
      <c r="B8244" t="s">
        <v>8122</v>
      </c>
      <c r="C8244">
        <v>10787</v>
      </c>
      <c r="D8244" t="str">
        <f>"0374-4884"</f>
        <v>0374-4884</v>
      </c>
      <c r="E8244" t="s">
        <v>8</v>
      </c>
      <c r="F8244" t="s">
        <v>8248</v>
      </c>
      <c r="G8244">
        <v>1</v>
      </c>
    </row>
    <row r="8245" spans="1:7" x14ac:dyDescent="0.25">
      <c r="A8245">
        <v>29</v>
      </c>
      <c r="B8245" t="s">
        <v>8122</v>
      </c>
      <c r="C8245">
        <v>13816</v>
      </c>
      <c r="D8245" t="str">
        <f>"1084-7529"</f>
        <v>1084-7529</v>
      </c>
      <c r="E8245" t="s">
        <v>8</v>
      </c>
      <c r="F8245" t="s">
        <v>8249</v>
      </c>
      <c r="G8245">
        <v>1</v>
      </c>
    </row>
    <row r="8246" spans="1:7" x14ac:dyDescent="0.25">
      <c r="A8246">
        <v>29</v>
      </c>
      <c r="B8246" t="s">
        <v>8122</v>
      </c>
      <c r="C8246">
        <v>271</v>
      </c>
      <c r="D8246" t="str">
        <f>"0031-9015"</f>
        <v>0031-9015</v>
      </c>
      <c r="E8246" t="s">
        <v>8</v>
      </c>
      <c r="F8246" t="s">
        <v>8250</v>
      </c>
      <c r="G8246">
        <v>1</v>
      </c>
    </row>
    <row r="8247" spans="1:7" x14ac:dyDescent="0.25">
      <c r="A8247">
        <v>29</v>
      </c>
      <c r="B8247" t="s">
        <v>8122</v>
      </c>
      <c r="C8247">
        <v>1772</v>
      </c>
      <c r="D8247" t="str">
        <f>"0895-3996"</f>
        <v>0895-3996</v>
      </c>
      <c r="E8247" t="s">
        <v>8</v>
      </c>
      <c r="F8247" t="s">
        <v>8251</v>
      </c>
      <c r="G8247">
        <v>1</v>
      </c>
    </row>
    <row r="8248" spans="1:7" x14ac:dyDescent="0.25">
      <c r="A8248">
        <v>29</v>
      </c>
      <c r="B8248" t="s">
        <v>8122</v>
      </c>
      <c r="C8248">
        <v>18695</v>
      </c>
      <c r="D8248" t="str">
        <f>"1673-1581"</f>
        <v>1673-1581</v>
      </c>
      <c r="E8248" t="s">
        <v>8</v>
      </c>
      <c r="F8248" t="s">
        <v>8252</v>
      </c>
      <c r="G8248">
        <v>1</v>
      </c>
    </row>
    <row r="8249" spans="1:7" x14ac:dyDescent="0.25">
      <c r="A8249">
        <v>29</v>
      </c>
      <c r="B8249" t="s">
        <v>8122</v>
      </c>
      <c r="C8249">
        <v>14181</v>
      </c>
      <c r="D8249" t="str">
        <f>"0932-3902"</f>
        <v>0932-3902</v>
      </c>
      <c r="E8249" t="s">
        <v>8</v>
      </c>
      <c r="F8249" t="s">
        <v>8253</v>
      </c>
      <c r="G8249">
        <v>1</v>
      </c>
    </row>
    <row r="8250" spans="1:7" x14ac:dyDescent="0.25">
      <c r="A8250">
        <v>29</v>
      </c>
      <c r="B8250" t="s">
        <v>8122</v>
      </c>
      <c r="C8250">
        <v>25466</v>
      </c>
      <c r="D8250" t="str">
        <f>"1863-8880"</f>
        <v>1863-8880</v>
      </c>
      <c r="E8250" t="s">
        <v>8</v>
      </c>
      <c r="F8250" t="s">
        <v>8254</v>
      </c>
      <c r="G8250">
        <v>1</v>
      </c>
    </row>
    <row r="8251" spans="1:7" x14ac:dyDescent="0.25">
      <c r="A8251">
        <v>29</v>
      </c>
      <c r="B8251" t="s">
        <v>8122</v>
      </c>
      <c r="C8251">
        <v>14188</v>
      </c>
      <c r="D8251" t="str">
        <f>"0263-0346"</f>
        <v>0263-0346</v>
      </c>
      <c r="E8251" t="s">
        <v>8</v>
      </c>
      <c r="F8251" t="s">
        <v>8255</v>
      </c>
      <c r="G8251">
        <v>1</v>
      </c>
    </row>
    <row r="8252" spans="1:7" x14ac:dyDescent="0.25">
      <c r="A8252">
        <v>29</v>
      </c>
      <c r="B8252" t="s">
        <v>8122</v>
      </c>
      <c r="C8252">
        <v>17835</v>
      </c>
      <c r="D8252" t="str">
        <f>"1043-8092"</f>
        <v>1043-8092</v>
      </c>
      <c r="E8252" t="s">
        <v>8</v>
      </c>
      <c r="F8252" t="s">
        <v>8256</v>
      </c>
      <c r="G8252">
        <v>1</v>
      </c>
    </row>
    <row r="8253" spans="1:7" x14ac:dyDescent="0.25">
      <c r="A8253">
        <v>29</v>
      </c>
      <c r="B8253" t="s">
        <v>8122</v>
      </c>
      <c r="C8253">
        <v>14957</v>
      </c>
      <c r="D8253" t="str">
        <f>"1054-660X"</f>
        <v>1054-660X</v>
      </c>
      <c r="E8253" t="s">
        <v>8</v>
      </c>
      <c r="F8253" t="s">
        <v>8257</v>
      </c>
      <c r="G8253">
        <v>1</v>
      </c>
    </row>
    <row r="8254" spans="1:7" x14ac:dyDescent="0.25">
      <c r="A8254">
        <v>29</v>
      </c>
      <c r="B8254" t="s">
        <v>8122</v>
      </c>
      <c r="C8254">
        <v>18078</v>
      </c>
      <c r="D8254" t="str">
        <f>"1612-2011"</f>
        <v>1612-2011</v>
      </c>
      <c r="E8254" t="s">
        <v>8</v>
      </c>
      <c r="F8254" t="s">
        <v>8258</v>
      </c>
      <c r="G8254">
        <v>1</v>
      </c>
    </row>
    <row r="8255" spans="1:7" x14ac:dyDescent="0.25">
      <c r="A8255">
        <v>29</v>
      </c>
      <c r="B8255" t="s">
        <v>8122</v>
      </c>
      <c r="C8255">
        <v>4471</v>
      </c>
      <c r="D8255" t="str">
        <f>"0075-8450"</f>
        <v>0075-8450</v>
      </c>
      <c r="E8255" t="s">
        <v>15</v>
      </c>
      <c r="F8255" t="s">
        <v>8259</v>
      </c>
      <c r="G8255">
        <v>1</v>
      </c>
    </row>
    <row r="8256" spans="1:7" x14ac:dyDescent="0.25">
      <c r="A8256">
        <v>29</v>
      </c>
      <c r="B8256" t="s">
        <v>8122</v>
      </c>
      <c r="C8256">
        <v>9762</v>
      </c>
      <c r="D8256" t="str">
        <f>"1550-2427"</f>
        <v>1550-2427</v>
      </c>
      <c r="E8256" t="s">
        <v>8</v>
      </c>
      <c r="F8256" t="s">
        <v>8260</v>
      </c>
      <c r="G8256">
        <v>1</v>
      </c>
    </row>
    <row r="8257" spans="1:7" x14ac:dyDescent="0.25">
      <c r="A8257">
        <v>29</v>
      </c>
      <c r="B8257" t="s">
        <v>8122</v>
      </c>
      <c r="C8257">
        <v>7732236</v>
      </c>
      <c r="D8257" t="str">
        <f>"2095-5545"</f>
        <v>2095-5545</v>
      </c>
      <c r="E8257" t="s">
        <v>8</v>
      </c>
      <c r="F8257" t="s">
        <v>8261</v>
      </c>
      <c r="G8257">
        <v>1</v>
      </c>
    </row>
    <row r="8258" spans="1:7" x14ac:dyDescent="0.25">
      <c r="A8258">
        <v>29</v>
      </c>
      <c r="B8258" t="s">
        <v>8122</v>
      </c>
      <c r="C8258">
        <v>5705</v>
      </c>
      <c r="E8258" t="s">
        <v>8</v>
      </c>
      <c r="F8258" t="s">
        <v>8262</v>
      </c>
      <c r="G8258">
        <v>1</v>
      </c>
    </row>
    <row r="8259" spans="1:7" x14ac:dyDescent="0.25">
      <c r="A8259">
        <v>29</v>
      </c>
      <c r="B8259" t="s">
        <v>8122</v>
      </c>
      <c r="C8259">
        <v>7305</v>
      </c>
      <c r="D8259" t="str">
        <f>"1063-777X"</f>
        <v>1063-777X</v>
      </c>
      <c r="E8259" t="s">
        <v>8</v>
      </c>
      <c r="F8259" t="s">
        <v>8263</v>
      </c>
      <c r="G8259">
        <v>1</v>
      </c>
    </row>
    <row r="8260" spans="1:7" x14ac:dyDescent="0.25">
      <c r="A8260">
        <v>29</v>
      </c>
      <c r="B8260" t="s">
        <v>8122</v>
      </c>
      <c r="C8260">
        <v>425</v>
      </c>
      <c r="D8260" t="str">
        <f>"0094-2405"</f>
        <v>0094-2405</v>
      </c>
      <c r="E8260" t="s">
        <v>8</v>
      </c>
      <c r="F8260" t="s">
        <v>8264</v>
      </c>
      <c r="G8260">
        <v>1</v>
      </c>
    </row>
    <row r="8261" spans="1:7" x14ac:dyDescent="0.25">
      <c r="A8261">
        <v>29</v>
      </c>
      <c r="B8261" t="s">
        <v>8122</v>
      </c>
      <c r="C8261">
        <v>8570</v>
      </c>
      <c r="D8261" t="str">
        <f>"0026-1394"</f>
        <v>0026-1394</v>
      </c>
      <c r="E8261" t="s">
        <v>8</v>
      </c>
      <c r="F8261" t="s">
        <v>8265</v>
      </c>
      <c r="G8261">
        <v>1</v>
      </c>
    </row>
    <row r="8262" spans="1:7" x14ac:dyDescent="0.25">
      <c r="A8262">
        <v>29</v>
      </c>
      <c r="B8262" t="s">
        <v>8122</v>
      </c>
      <c r="C8262">
        <v>2961</v>
      </c>
      <c r="D8262" t="str">
        <f>"0217-7323"</f>
        <v>0217-7323</v>
      </c>
      <c r="E8262" t="s">
        <v>8</v>
      </c>
      <c r="F8262" t="s">
        <v>8266</v>
      </c>
      <c r="G8262">
        <v>1</v>
      </c>
    </row>
    <row r="8263" spans="1:7" x14ac:dyDescent="0.25">
      <c r="A8263">
        <v>29</v>
      </c>
      <c r="B8263" t="s">
        <v>8122</v>
      </c>
      <c r="C8263">
        <v>5381</v>
      </c>
      <c r="D8263" t="str">
        <f>"0217-9849"</f>
        <v>0217-9849</v>
      </c>
      <c r="E8263" t="s">
        <v>8</v>
      </c>
      <c r="F8263" t="s">
        <v>8267</v>
      </c>
      <c r="G8263">
        <v>1</v>
      </c>
    </row>
    <row r="8264" spans="1:7" x14ac:dyDescent="0.25">
      <c r="A8264">
        <v>29</v>
      </c>
      <c r="B8264" t="s">
        <v>8122</v>
      </c>
      <c r="C8264">
        <v>17792</v>
      </c>
      <c r="D8264" t="str">
        <f>"1556-7265"</f>
        <v>1556-7265</v>
      </c>
      <c r="E8264" t="s">
        <v>8</v>
      </c>
      <c r="F8264" t="s">
        <v>8268</v>
      </c>
      <c r="G8264">
        <v>1</v>
      </c>
    </row>
    <row r="8265" spans="1:7" x14ac:dyDescent="0.25">
      <c r="A8265">
        <v>29</v>
      </c>
      <c r="B8265" t="s">
        <v>8122</v>
      </c>
      <c r="C8265">
        <v>7846</v>
      </c>
      <c r="D8265" t="str">
        <f>"1384-1076"</f>
        <v>1384-1076</v>
      </c>
      <c r="E8265" t="s">
        <v>8</v>
      </c>
      <c r="F8265" t="s">
        <v>8269</v>
      </c>
      <c r="G8265">
        <v>1</v>
      </c>
    </row>
    <row r="8266" spans="1:7" x14ac:dyDescent="0.25">
      <c r="A8266">
        <v>29</v>
      </c>
      <c r="B8266" t="s">
        <v>8122</v>
      </c>
      <c r="C8266">
        <v>5450</v>
      </c>
      <c r="D8266" t="str">
        <f>"1387-6473"</f>
        <v>1387-6473</v>
      </c>
      <c r="E8266" t="s">
        <v>8</v>
      </c>
      <c r="F8266" t="s">
        <v>8270</v>
      </c>
      <c r="G8266">
        <v>1</v>
      </c>
    </row>
    <row r="8267" spans="1:7" x14ac:dyDescent="0.25">
      <c r="A8267">
        <v>29</v>
      </c>
      <c r="B8267" t="s">
        <v>8122</v>
      </c>
      <c r="C8267">
        <v>22918</v>
      </c>
      <c r="D8267" t="str">
        <f>"1543-0537"</f>
        <v>1543-0537</v>
      </c>
      <c r="E8267" t="s">
        <v>8</v>
      </c>
      <c r="F8267" t="s">
        <v>8271</v>
      </c>
      <c r="G8267">
        <v>1</v>
      </c>
    </row>
    <row r="8268" spans="1:7" x14ac:dyDescent="0.25">
      <c r="A8268">
        <v>29</v>
      </c>
      <c r="B8268" t="s">
        <v>8122</v>
      </c>
      <c r="C8268">
        <v>8781960</v>
      </c>
      <c r="D8268" t="str">
        <f>"2405-6014"</f>
        <v>2405-6014</v>
      </c>
      <c r="E8268" t="s">
        <v>8</v>
      </c>
      <c r="F8268" t="s">
        <v>8272</v>
      </c>
      <c r="G8268">
        <v>1</v>
      </c>
    </row>
    <row r="8269" spans="1:7" x14ac:dyDescent="0.25">
      <c r="A8269">
        <v>29</v>
      </c>
      <c r="B8269" t="s">
        <v>8122</v>
      </c>
      <c r="C8269">
        <v>9664</v>
      </c>
      <c r="D8269" t="str">
        <f>"0090-3752"</f>
        <v>0090-3752</v>
      </c>
      <c r="E8269" t="s">
        <v>8</v>
      </c>
      <c r="F8269" t="s">
        <v>8273</v>
      </c>
      <c r="G8269">
        <v>1</v>
      </c>
    </row>
    <row r="8270" spans="1:7" x14ac:dyDescent="0.25">
      <c r="A8270">
        <v>29</v>
      </c>
      <c r="B8270" t="s">
        <v>8122</v>
      </c>
      <c r="C8270">
        <v>2866</v>
      </c>
      <c r="D8270" t="str">
        <f>"0029-5493"</f>
        <v>0029-5493</v>
      </c>
      <c r="E8270" t="s">
        <v>8</v>
      </c>
      <c r="F8270" t="s">
        <v>8274</v>
      </c>
      <c r="G8270">
        <v>1</v>
      </c>
    </row>
    <row r="8271" spans="1:7" x14ac:dyDescent="0.25">
      <c r="A8271">
        <v>29</v>
      </c>
      <c r="B8271" t="s">
        <v>8122</v>
      </c>
      <c r="C8271">
        <v>16767</v>
      </c>
      <c r="D8271" t="str">
        <f>"0029-5507"</f>
        <v>0029-5507</v>
      </c>
      <c r="E8271" t="s">
        <v>8</v>
      </c>
      <c r="F8271" t="s">
        <v>8275</v>
      </c>
      <c r="G8271">
        <v>1</v>
      </c>
    </row>
    <row r="8272" spans="1:7" x14ac:dyDescent="0.25">
      <c r="A8272">
        <v>29</v>
      </c>
      <c r="B8272" t="s">
        <v>8122</v>
      </c>
      <c r="C8272">
        <v>14519</v>
      </c>
      <c r="D8272" t="str">
        <f>"0029-5515"</f>
        <v>0029-5515</v>
      </c>
      <c r="E8272" t="s">
        <v>8</v>
      </c>
      <c r="F8272" t="s">
        <v>8276</v>
      </c>
      <c r="G8272">
        <v>1</v>
      </c>
    </row>
    <row r="8273" spans="1:7" x14ac:dyDescent="0.25">
      <c r="A8273">
        <v>29</v>
      </c>
      <c r="B8273" t="s">
        <v>8122</v>
      </c>
      <c r="C8273">
        <v>13198</v>
      </c>
      <c r="D8273" t="str">
        <f>"0168-9002"</f>
        <v>0168-9002</v>
      </c>
      <c r="E8273" t="s">
        <v>8</v>
      </c>
      <c r="F8273" t="s">
        <v>8277</v>
      </c>
      <c r="G8273">
        <v>1</v>
      </c>
    </row>
    <row r="8274" spans="1:7" x14ac:dyDescent="0.25">
      <c r="A8274">
        <v>29</v>
      </c>
      <c r="B8274" t="s">
        <v>8122</v>
      </c>
      <c r="C8274">
        <v>4790</v>
      </c>
      <c r="D8274" t="str">
        <f>"0168-583X"</f>
        <v>0168-583X</v>
      </c>
      <c r="E8274" t="s">
        <v>8</v>
      </c>
      <c r="F8274" t="s">
        <v>8278</v>
      </c>
      <c r="G8274">
        <v>1</v>
      </c>
    </row>
    <row r="8275" spans="1:7" x14ac:dyDescent="0.25">
      <c r="A8275">
        <v>29</v>
      </c>
      <c r="B8275" t="s">
        <v>8122</v>
      </c>
      <c r="C8275">
        <v>15205</v>
      </c>
      <c r="D8275" t="str">
        <f>"0375-9474"</f>
        <v>0375-9474</v>
      </c>
      <c r="E8275" t="s">
        <v>8</v>
      </c>
      <c r="F8275" t="s">
        <v>8279</v>
      </c>
      <c r="G8275">
        <v>1</v>
      </c>
    </row>
    <row r="8276" spans="1:7" x14ac:dyDescent="0.25">
      <c r="A8276">
        <v>29</v>
      </c>
      <c r="B8276" t="s">
        <v>8122</v>
      </c>
      <c r="C8276">
        <v>15886</v>
      </c>
      <c r="D8276" t="str">
        <f>"0029-5639"</f>
        <v>0029-5639</v>
      </c>
      <c r="E8276" t="s">
        <v>8</v>
      </c>
      <c r="F8276" t="s">
        <v>8280</v>
      </c>
      <c r="G8276">
        <v>1</v>
      </c>
    </row>
    <row r="8277" spans="1:7" x14ac:dyDescent="0.25">
      <c r="A8277">
        <v>29</v>
      </c>
      <c r="B8277" t="s">
        <v>8122</v>
      </c>
      <c r="C8277">
        <v>13941</v>
      </c>
      <c r="D8277" t="str">
        <f>"0029-5922"</f>
        <v>0029-5922</v>
      </c>
      <c r="E8277" t="s">
        <v>8</v>
      </c>
      <c r="F8277" t="s">
        <v>8281</v>
      </c>
      <c r="G8277">
        <v>1</v>
      </c>
    </row>
    <row r="8278" spans="1:7" x14ac:dyDescent="0.25">
      <c r="A8278">
        <v>29</v>
      </c>
      <c r="B8278" t="s">
        <v>8122</v>
      </c>
      <c r="C8278">
        <v>15158</v>
      </c>
      <c r="D8278" t="str">
        <f>"0030-4026"</f>
        <v>0030-4026</v>
      </c>
      <c r="E8278" t="s">
        <v>8</v>
      </c>
      <c r="F8278" t="s">
        <v>8282</v>
      </c>
      <c r="G8278">
        <v>1</v>
      </c>
    </row>
    <row r="8279" spans="1:7" x14ac:dyDescent="0.25">
      <c r="A8279">
        <v>29</v>
      </c>
      <c r="B8279" t="s">
        <v>8122</v>
      </c>
      <c r="C8279">
        <v>67</v>
      </c>
      <c r="D8279" t="str">
        <f>"0141-1594"</f>
        <v>0141-1594</v>
      </c>
      <c r="E8279" t="s">
        <v>8</v>
      </c>
      <c r="F8279" t="s">
        <v>8283</v>
      </c>
      <c r="G8279">
        <v>1</v>
      </c>
    </row>
    <row r="8280" spans="1:7" x14ac:dyDescent="0.25">
      <c r="A8280">
        <v>29</v>
      </c>
      <c r="B8280" t="s">
        <v>8122</v>
      </c>
      <c r="C8280">
        <v>14595</v>
      </c>
      <c r="D8280" t="str">
        <f>"0378-4371"</f>
        <v>0378-4371</v>
      </c>
      <c r="E8280" t="s">
        <v>8</v>
      </c>
      <c r="F8280" t="s">
        <v>8284</v>
      </c>
      <c r="G8280">
        <v>1</v>
      </c>
    </row>
    <row r="8281" spans="1:7" x14ac:dyDescent="0.25">
      <c r="A8281">
        <v>29</v>
      </c>
      <c r="B8281" t="s">
        <v>8122</v>
      </c>
      <c r="C8281">
        <v>11320</v>
      </c>
      <c r="D8281" t="str">
        <f>"0921-4526"</f>
        <v>0921-4526</v>
      </c>
      <c r="E8281" t="s">
        <v>8</v>
      </c>
      <c r="F8281" t="s">
        <v>8285</v>
      </c>
      <c r="G8281">
        <v>1</v>
      </c>
    </row>
    <row r="8282" spans="1:7" x14ac:dyDescent="0.25">
      <c r="A8282">
        <v>29</v>
      </c>
      <c r="B8282" t="s">
        <v>8122</v>
      </c>
      <c r="C8282">
        <v>15202</v>
      </c>
      <c r="D8282" t="str">
        <f>"0921-4534"</f>
        <v>0921-4534</v>
      </c>
      <c r="E8282" t="s">
        <v>8</v>
      </c>
      <c r="F8282" t="s">
        <v>8286</v>
      </c>
      <c r="G8282">
        <v>1</v>
      </c>
    </row>
    <row r="8283" spans="1:7" x14ac:dyDescent="0.25">
      <c r="A8283">
        <v>29</v>
      </c>
      <c r="B8283" t="s">
        <v>8122</v>
      </c>
      <c r="C8283">
        <v>1390</v>
      </c>
      <c r="D8283" t="str">
        <f>"0167-2789"</f>
        <v>0167-2789</v>
      </c>
      <c r="E8283" t="s">
        <v>8</v>
      </c>
      <c r="F8283" t="s">
        <v>8287</v>
      </c>
      <c r="G8283">
        <v>1</v>
      </c>
    </row>
    <row r="8284" spans="1:7" x14ac:dyDescent="0.25">
      <c r="A8284">
        <v>29</v>
      </c>
      <c r="B8284" t="s">
        <v>8122</v>
      </c>
      <c r="C8284">
        <v>7096</v>
      </c>
      <c r="D8284" t="str">
        <f>"0031-8949"</f>
        <v>0031-8949</v>
      </c>
      <c r="E8284" t="s">
        <v>8</v>
      </c>
      <c r="F8284" t="s">
        <v>8288</v>
      </c>
      <c r="G8284">
        <v>1</v>
      </c>
    </row>
    <row r="8285" spans="1:7" x14ac:dyDescent="0.25">
      <c r="A8285">
        <v>29</v>
      </c>
      <c r="B8285" t="s">
        <v>8122</v>
      </c>
      <c r="C8285">
        <v>10092</v>
      </c>
      <c r="D8285" t="str">
        <f>"0281-1847"</f>
        <v>0281-1847</v>
      </c>
      <c r="E8285" t="s">
        <v>8</v>
      </c>
      <c r="F8285" t="s">
        <v>8289</v>
      </c>
      <c r="G8285">
        <v>1</v>
      </c>
    </row>
    <row r="8286" spans="1:7" x14ac:dyDescent="0.25">
      <c r="A8286">
        <v>29</v>
      </c>
      <c r="B8286" t="s">
        <v>8122</v>
      </c>
      <c r="C8286">
        <v>5126</v>
      </c>
      <c r="D8286" t="str">
        <f>"1862-6300"</f>
        <v>1862-6300</v>
      </c>
      <c r="E8286" t="s">
        <v>8</v>
      </c>
      <c r="F8286" t="s">
        <v>8290</v>
      </c>
      <c r="G8286">
        <v>1</v>
      </c>
    </row>
    <row r="8287" spans="1:7" x14ac:dyDescent="0.25">
      <c r="A8287">
        <v>29</v>
      </c>
      <c r="B8287" t="s">
        <v>8122</v>
      </c>
      <c r="C8287">
        <v>1801</v>
      </c>
      <c r="D8287" t="str">
        <f>"1862-6351"</f>
        <v>1862-6351</v>
      </c>
      <c r="E8287" t="s">
        <v>8</v>
      </c>
      <c r="F8287" t="s">
        <v>8291</v>
      </c>
      <c r="G8287">
        <v>1</v>
      </c>
    </row>
    <row r="8288" spans="1:7" x14ac:dyDescent="0.25">
      <c r="A8288">
        <v>29</v>
      </c>
      <c r="B8288" t="s">
        <v>8122</v>
      </c>
      <c r="C8288">
        <v>12737</v>
      </c>
      <c r="D8288" t="str">
        <f>"1029-9599"</f>
        <v>1029-9599</v>
      </c>
      <c r="E8288" t="s">
        <v>8</v>
      </c>
      <c r="F8288" t="s">
        <v>8292</v>
      </c>
      <c r="G8288">
        <v>1</v>
      </c>
    </row>
    <row r="8289" spans="1:7" x14ac:dyDescent="0.25">
      <c r="A8289">
        <v>29</v>
      </c>
      <c r="B8289" t="s">
        <v>8122</v>
      </c>
      <c r="C8289">
        <v>8782433</v>
      </c>
      <c r="D8289" t="str">
        <f>"2469-9926"</f>
        <v>2469-9926</v>
      </c>
      <c r="E8289" t="s">
        <v>8</v>
      </c>
      <c r="F8289" t="s">
        <v>8293</v>
      </c>
      <c r="G8289">
        <v>1</v>
      </c>
    </row>
    <row r="8290" spans="1:7" x14ac:dyDescent="0.25">
      <c r="A8290">
        <v>29</v>
      </c>
      <c r="B8290" t="s">
        <v>8122</v>
      </c>
      <c r="C8290">
        <v>13533</v>
      </c>
      <c r="D8290" t="str">
        <f>"1098-4402"</f>
        <v>1098-4402</v>
      </c>
      <c r="E8290" t="s">
        <v>8</v>
      </c>
      <c r="F8290" t="s">
        <v>8294</v>
      </c>
      <c r="G8290">
        <v>1</v>
      </c>
    </row>
    <row r="8291" spans="1:7" x14ac:dyDescent="0.25">
      <c r="A8291">
        <v>29</v>
      </c>
      <c r="B8291" t="s">
        <v>8122</v>
      </c>
      <c r="C8291">
        <v>8782435</v>
      </c>
      <c r="D8291" t="str">
        <f>"2469-9985"</f>
        <v>2469-9985</v>
      </c>
      <c r="E8291" t="s">
        <v>8</v>
      </c>
      <c r="F8291" t="s">
        <v>8295</v>
      </c>
      <c r="G8291">
        <v>1</v>
      </c>
    </row>
    <row r="8292" spans="1:7" x14ac:dyDescent="0.25">
      <c r="A8292">
        <v>29</v>
      </c>
      <c r="B8292" t="s">
        <v>8122</v>
      </c>
      <c r="C8292">
        <v>8782436</v>
      </c>
      <c r="D8292" t="str">
        <f>"2470-0010"</f>
        <v>2470-0010</v>
      </c>
      <c r="E8292" t="s">
        <v>8</v>
      </c>
      <c r="F8292" t="s">
        <v>8296</v>
      </c>
      <c r="G8292">
        <v>1</v>
      </c>
    </row>
    <row r="8293" spans="1:7" x14ac:dyDescent="0.25">
      <c r="A8293">
        <v>29</v>
      </c>
      <c r="B8293" t="s">
        <v>8122</v>
      </c>
      <c r="C8293">
        <v>8782437</v>
      </c>
      <c r="D8293" t="str">
        <f>"2470-0045"</f>
        <v>2470-0045</v>
      </c>
      <c r="E8293" t="s">
        <v>8</v>
      </c>
      <c r="F8293" t="s">
        <v>8297</v>
      </c>
      <c r="G8293">
        <v>1</v>
      </c>
    </row>
    <row r="8294" spans="1:7" x14ac:dyDescent="0.25">
      <c r="A8294">
        <v>29</v>
      </c>
      <c r="B8294" t="s">
        <v>8122</v>
      </c>
      <c r="C8294">
        <v>8782761</v>
      </c>
      <c r="D8294" t="str">
        <f>"2469-9918"</f>
        <v>2469-9918</v>
      </c>
      <c r="E8294" t="s">
        <v>8</v>
      </c>
      <c r="F8294" t="s">
        <v>8298</v>
      </c>
      <c r="G8294">
        <v>1</v>
      </c>
    </row>
    <row r="8295" spans="1:7" x14ac:dyDescent="0.25">
      <c r="A8295">
        <v>29</v>
      </c>
      <c r="B8295" t="s">
        <v>8122</v>
      </c>
      <c r="C8295">
        <v>13920</v>
      </c>
      <c r="D8295" t="str">
        <f>"1063-7869"</f>
        <v>1063-7869</v>
      </c>
      <c r="E8295" t="s">
        <v>8</v>
      </c>
      <c r="F8295" t="s">
        <v>8299</v>
      </c>
      <c r="G8295">
        <v>1</v>
      </c>
    </row>
    <row r="8296" spans="1:7" x14ac:dyDescent="0.25">
      <c r="A8296">
        <v>29</v>
      </c>
      <c r="B8296" t="s">
        <v>8122</v>
      </c>
      <c r="C8296">
        <v>15087</v>
      </c>
      <c r="D8296" t="str">
        <f>"0836-1398"</f>
        <v>0836-1398</v>
      </c>
      <c r="E8296" t="s">
        <v>8</v>
      </c>
      <c r="F8296" t="s">
        <v>8300</v>
      </c>
      <c r="G8296">
        <v>1</v>
      </c>
    </row>
    <row r="8297" spans="1:7" x14ac:dyDescent="0.25">
      <c r="A8297">
        <v>29</v>
      </c>
      <c r="B8297" t="s">
        <v>8122</v>
      </c>
      <c r="C8297">
        <v>3404</v>
      </c>
      <c r="D8297" t="str">
        <f>"1422-6944"</f>
        <v>1422-6944</v>
      </c>
      <c r="E8297" t="s">
        <v>8</v>
      </c>
      <c r="F8297" t="s">
        <v>8301</v>
      </c>
      <c r="G8297">
        <v>1</v>
      </c>
    </row>
    <row r="8298" spans="1:7" x14ac:dyDescent="0.25">
      <c r="A8298">
        <v>29</v>
      </c>
      <c r="B8298" t="s">
        <v>8122</v>
      </c>
      <c r="C8298">
        <v>5733</v>
      </c>
      <c r="D8298" t="str">
        <f>"0375-9601"</f>
        <v>0375-9601</v>
      </c>
      <c r="E8298" t="s">
        <v>8</v>
      </c>
      <c r="F8298" t="s">
        <v>8302</v>
      </c>
      <c r="G8298">
        <v>1</v>
      </c>
    </row>
    <row r="8299" spans="1:7" x14ac:dyDescent="0.25">
      <c r="A8299">
        <v>29</v>
      </c>
      <c r="B8299" t="s">
        <v>8122</v>
      </c>
      <c r="C8299">
        <v>781</v>
      </c>
      <c r="D8299" t="str">
        <f>"1063-7788"</f>
        <v>1063-7788</v>
      </c>
      <c r="E8299" t="s">
        <v>8</v>
      </c>
      <c r="F8299" t="s">
        <v>8303</v>
      </c>
      <c r="G8299">
        <v>1</v>
      </c>
    </row>
    <row r="8300" spans="1:7" x14ac:dyDescent="0.25">
      <c r="A8300">
        <v>29</v>
      </c>
      <c r="B8300" t="s">
        <v>8122</v>
      </c>
      <c r="C8300">
        <v>10334</v>
      </c>
      <c r="D8300" t="str">
        <f>"1063-7796"</f>
        <v>1063-7796</v>
      </c>
      <c r="E8300" t="s">
        <v>8</v>
      </c>
      <c r="F8300" t="s">
        <v>8304</v>
      </c>
      <c r="G8300">
        <v>1</v>
      </c>
    </row>
    <row r="8301" spans="1:7" x14ac:dyDescent="0.25">
      <c r="A8301">
        <v>29</v>
      </c>
      <c r="B8301" t="s">
        <v>8122</v>
      </c>
      <c r="C8301">
        <v>14733</v>
      </c>
      <c r="D8301" t="str">
        <f>"1070-664X"</f>
        <v>1070-664X</v>
      </c>
      <c r="E8301" t="s">
        <v>8</v>
      </c>
      <c r="F8301" t="s">
        <v>8305</v>
      </c>
      <c r="G8301">
        <v>1</v>
      </c>
    </row>
    <row r="8302" spans="1:7" x14ac:dyDescent="0.25">
      <c r="A8302">
        <v>29</v>
      </c>
      <c r="B8302" t="s">
        <v>8122</v>
      </c>
      <c r="C8302">
        <v>6238</v>
      </c>
      <c r="D8302" t="str">
        <f>"1063-7834"</f>
        <v>1063-7834</v>
      </c>
      <c r="E8302" t="s">
        <v>8</v>
      </c>
      <c r="F8302" t="s">
        <v>8306</v>
      </c>
      <c r="G8302">
        <v>1</v>
      </c>
    </row>
    <row r="8303" spans="1:7" x14ac:dyDescent="0.25">
      <c r="A8303">
        <v>29</v>
      </c>
      <c r="B8303" t="s">
        <v>8122</v>
      </c>
      <c r="C8303">
        <v>8783760</v>
      </c>
      <c r="E8303" t="s">
        <v>15</v>
      </c>
      <c r="F8303" t="s">
        <v>8307</v>
      </c>
      <c r="G8303">
        <v>1</v>
      </c>
    </row>
    <row r="8304" spans="1:7" x14ac:dyDescent="0.25">
      <c r="A8304">
        <v>29</v>
      </c>
      <c r="B8304" t="s">
        <v>8122</v>
      </c>
      <c r="C8304">
        <v>5182</v>
      </c>
      <c r="D8304" t="str">
        <f>"0953-8585"</f>
        <v>0953-8585</v>
      </c>
      <c r="E8304" t="s">
        <v>8</v>
      </c>
      <c r="F8304" t="s">
        <v>8308</v>
      </c>
      <c r="G8304">
        <v>1</v>
      </c>
    </row>
    <row r="8305" spans="1:7" x14ac:dyDescent="0.25">
      <c r="A8305">
        <v>29</v>
      </c>
      <c r="B8305" t="s">
        <v>8122</v>
      </c>
      <c r="C8305">
        <v>4485</v>
      </c>
      <c r="D8305" t="str">
        <f>"0032-0633"</f>
        <v>0032-0633</v>
      </c>
      <c r="E8305" t="s">
        <v>8</v>
      </c>
      <c r="F8305" t="s">
        <v>8309</v>
      </c>
      <c r="G8305">
        <v>1</v>
      </c>
    </row>
    <row r="8306" spans="1:7" x14ac:dyDescent="0.25">
      <c r="A8306">
        <v>29</v>
      </c>
      <c r="B8306" t="s">
        <v>8122</v>
      </c>
      <c r="C8306">
        <v>2119</v>
      </c>
      <c r="D8306" t="str">
        <f>"0741-3335"</f>
        <v>0741-3335</v>
      </c>
      <c r="E8306" t="s">
        <v>8</v>
      </c>
      <c r="F8306" t="s">
        <v>8310</v>
      </c>
      <c r="G8306">
        <v>1</v>
      </c>
    </row>
    <row r="8307" spans="1:7" x14ac:dyDescent="0.25">
      <c r="A8307">
        <v>29</v>
      </c>
      <c r="B8307" t="s">
        <v>8122</v>
      </c>
      <c r="C8307">
        <v>13053</v>
      </c>
      <c r="D8307" t="str">
        <f>"1063-780X"</f>
        <v>1063-780X</v>
      </c>
      <c r="E8307" t="s">
        <v>8</v>
      </c>
      <c r="F8307" t="s">
        <v>8311</v>
      </c>
      <c r="G8307">
        <v>1</v>
      </c>
    </row>
    <row r="8308" spans="1:7" x14ac:dyDescent="0.25">
      <c r="A8308">
        <v>29</v>
      </c>
      <c r="B8308" t="s">
        <v>8122</v>
      </c>
      <c r="C8308">
        <v>15975</v>
      </c>
      <c r="D8308" t="str">
        <f>"0963-0252"</f>
        <v>0963-0252</v>
      </c>
      <c r="E8308" t="s">
        <v>8</v>
      </c>
      <c r="F8308" t="s">
        <v>8312</v>
      </c>
      <c r="G8308">
        <v>1</v>
      </c>
    </row>
    <row r="8309" spans="1:7" x14ac:dyDescent="0.25">
      <c r="A8309">
        <v>29</v>
      </c>
      <c r="B8309" t="s">
        <v>8122</v>
      </c>
      <c r="C8309">
        <v>7137</v>
      </c>
      <c r="D8309" t="str">
        <f>"0304-4289"</f>
        <v>0304-4289</v>
      </c>
      <c r="E8309" t="s">
        <v>8</v>
      </c>
      <c r="F8309" t="s">
        <v>8313</v>
      </c>
      <c r="G8309">
        <v>1</v>
      </c>
    </row>
    <row r="8310" spans="1:7" x14ac:dyDescent="0.25">
      <c r="A8310">
        <v>29</v>
      </c>
      <c r="B8310" t="s">
        <v>8122</v>
      </c>
      <c r="C8310">
        <v>20771</v>
      </c>
      <c r="D8310" t="str">
        <f>"1743-9213"</f>
        <v>1743-9213</v>
      </c>
      <c r="E8310" t="s">
        <v>8</v>
      </c>
      <c r="F8310" t="s">
        <v>8314</v>
      </c>
      <c r="G8310">
        <v>1</v>
      </c>
    </row>
    <row r="8311" spans="1:7" x14ac:dyDescent="0.25">
      <c r="A8311">
        <v>29</v>
      </c>
      <c r="B8311" t="s">
        <v>8122</v>
      </c>
      <c r="C8311">
        <v>4124</v>
      </c>
      <c r="D8311" t="str">
        <f>"0149-1970"</f>
        <v>0149-1970</v>
      </c>
      <c r="E8311" t="s">
        <v>8</v>
      </c>
      <c r="F8311" t="s">
        <v>8315</v>
      </c>
      <c r="G8311">
        <v>1</v>
      </c>
    </row>
    <row r="8312" spans="1:7" x14ac:dyDescent="0.25">
      <c r="A8312">
        <v>29</v>
      </c>
      <c r="B8312" t="s">
        <v>8122</v>
      </c>
      <c r="C8312">
        <v>16802</v>
      </c>
      <c r="D8312" t="str">
        <f>"0146-6410"</f>
        <v>0146-6410</v>
      </c>
      <c r="E8312" t="s">
        <v>8</v>
      </c>
      <c r="F8312" t="s">
        <v>8316</v>
      </c>
      <c r="G8312">
        <v>1</v>
      </c>
    </row>
    <row r="8313" spans="1:7" x14ac:dyDescent="0.25">
      <c r="A8313">
        <v>29</v>
      </c>
      <c r="B8313" t="s">
        <v>8122</v>
      </c>
      <c r="C8313">
        <v>3153</v>
      </c>
      <c r="D8313" t="str">
        <f>"1062-7995"</f>
        <v>1062-7995</v>
      </c>
      <c r="E8313" t="s">
        <v>8</v>
      </c>
      <c r="F8313" t="s">
        <v>8317</v>
      </c>
      <c r="G8313">
        <v>1</v>
      </c>
    </row>
    <row r="8314" spans="1:7" x14ac:dyDescent="0.25">
      <c r="A8314">
        <v>29</v>
      </c>
      <c r="B8314" t="s">
        <v>8122</v>
      </c>
      <c r="C8314">
        <v>7737381</v>
      </c>
      <c r="E8314" t="s">
        <v>8</v>
      </c>
      <c r="F8314" t="s">
        <v>8318</v>
      </c>
      <c r="G8314">
        <v>1</v>
      </c>
    </row>
    <row r="8315" spans="1:7" x14ac:dyDescent="0.25">
      <c r="A8315">
        <v>29</v>
      </c>
      <c r="B8315" t="s">
        <v>8122</v>
      </c>
      <c r="C8315">
        <v>3673</v>
      </c>
      <c r="D8315" t="str">
        <f>"0004-6264"</f>
        <v>0004-6264</v>
      </c>
      <c r="E8315" t="s">
        <v>8</v>
      </c>
      <c r="F8315" t="s">
        <v>8319</v>
      </c>
      <c r="G8315">
        <v>1</v>
      </c>
    </row>
    <row r="8316" spans="1:7" x14ac:dyDescent="0.25">
      <c r="A8316">
        <v>29</v>
      </c>
      <c r="B8316" t="s">
        <v>8122</v>
      </c>
      <c r="C8316">
        <v>1342</v>
      </c>
      <c r="D8316" t="str">
        <f>"0004-6280"</f>
        <v>0004-6280</v>
      </c>
      <c r="E8316" t="s">
        <v>8</v>
      </c>
      <c r="F8316" t="s">
        <v>8320</v>
      </c>
      <c r="G8316">
        <v>1</v>
      </c>
    </row>
    <row r="8317" spans="1:7" x14ac:dyDescent="0.25">
      <c r="A8317">
        <v>29</v>
      </c>
      <c r="B8317" t="s">
        <v>8122</v>
      </c>
      <c r="C8317">
        <v>6181</v>
      </c>
      <c r="D8317" t="str">
        <f>"1042-0150"</f>
        <v>1042-0150</v>
      </c>
      <c r="E8317" t="s">
        <v>8</v>
      </c>
      <c r="F8317" t="s">
        <v>8321</v>
      </c>
      <c r="G8317">
        <v>1</v>
      </c>
    </row>
    <row r="8318" spans="1:7" x14ac:dyDescent="0.25">
      <c r="A8318">
        <v>29</v>
      </c>
      <c r="B8318" t="s">
        <v>8122</v>
      </c>
      <c r="C8318">
        <v>12573</v>
      </c>
      <c r="D8318" t="str">
        <f>"1350-4487"</f>
        <v>1350-4487</v>
      </c>
      <c r="E8318" t="s">
        <v>8</v>
      </c>
      <c r="F8318" t="s">
        <v>8322</v>
      </c>
      <c r="G8318">
        <v>1</v>
      </c>
    </row>
    <row r="8319" spans="1:7" x14ac:dyDescent="0.25">
      <c r="A8319">
        <v>29</v>
      </c>
      <c r="B8319" t="s">
        <v>8122</v>
      </c>
      <c r="C8319">
        <v>8734</v>
      </c>
      <c r="D8319" t="str">
        <f>"0969-806X"</f>
        <v>0969-806X</v>
      </c>
      <c r="E8319" t="s">
        <v>8</v>
      </c>
      <c r="F8319" t="s">
        <v>8323</v>
      </c>
      <c r="G8319">
        <v>1</v>
      </c>
    </row>
    <row r="8320" spans="1:7" x14ac:dyDescent="0.25">
      <c r="A8320">
        <v>29</v>
      </c>
      <c r="B8320" t="s">
        <v>8122</v>
      </c>
      <c r="C8320">
        <v>7854</v>
      </c>
      <c r="D8320" t="str">
        <f>"0033-8443"</f>
        <v>0033-8443</v>
      </c>
      <c r="E8320" t="s">
        <v>8</v>
      </c>
      <c r="F8320" t="s">
        <v>8324</v>
      </c>
      <c r="G8320">
        <v>1</v>
      </c>
    </row>
    <row r="8321" spans="1:7" x14ac:dyDescent="0.25">
      <c r="A8321">
        <v>29</v>
      </c>
      <c r="B8321" t="s">
        <v>8122</v>
      </c>
      <c r="C8321">
        <v>152834</v>
      </c>
      <c r="D8321" t="str">
        <f>"1674-4527"</f>
        <v>1674-4527</v>
      </c>
      <c r="E8321" t="s">
        <v>8</v>
      </c>
      <c r="F8321" t="s">
        <v>8325</v>
      </c>
      <c r="G8321">
        <v>1</v>
      </c>
    </row>
    <row r="8322" spans="1:7" x14ac:dyDescent="0.25">
      <c r="A8322">
        <v>29</v>
      </c>
      <c r="B8322" t="s">
        <v>8122</v>
      </c>
      <c r="C8322">
        <v>1237</v>
      </c>
      <c r="D8322" t="str">
        <f>"0034-6748"</f>
        <v>0034-6748</v>
      </c>
      <c r="E8322" t="s">
        <v>8</v>
      </c>
      <c r="F8322" t="s">
        <v>8326</v>
      </c>
      <c r="G8322">
        <v>1</v>
      </c>
    </row>
    <row r="8323" spans="1:7" x14ac:dyDescent="0.25">
      <c r="A8323">
        <v>29</v>
      </c>
      <c r="B8323" t="s">
        <v>8122</v>
      </c>
      <c r="C8323">
        <v>2014</v>
      </c>
      <c r="D8323" t="str">
        <f>"0185-1101"</f>
        <v>0185-1101</v>
      </c>
      <c r="E8323" t="s">
        <v>8</v>
      </c>
      <c r="F8323" t="s">
        <v>8327</v>
      </c>
      <c r="G8323">
        <v>1</v>
      </c>
    </row>
    <row r="8324" spans="1:7" x14ac:dyDescent="0.25">
      <c r="A8324">
        <v>29</v>
      </c>
      <c r="B8324" t="s">
        <v>8122</v>
      </c>
      <c r="C8324">
        <v>11937</v>
      </c>
      <c r="D8324" t="str">
        <f>"0035-001X"</f>
        <v>0035-001X</v>
      </c>
      <c r="E8324" t="s">
        <v>8</v>
      </c>
      <c r="F8324" t="s">
        <v>8328</v>
      </c>
      <c r="G8324">
        <v>1</v>
      </c>
    </row>
    <row r="8325" spans="1:7" x14ac:dyDescent="0.25">
      <c r="A8325">
        <v>29</v>
      </c>
      <c r="B8325" t="s">
        <v>8122</v>
      </c>
      <c r="C8325">
        <v>15341</v>
      </c>
      <c r="D8325" t="str">
        <f>"0393-697X"</f>
        <v>0393-697X</v>
      </c>
      <c r="E8325" t="s">
        <v>15</v>
      </c>
      <c r="F8325" t="s">
        <v>8329</v>
      </c>
      <c r="G8325">
        <v>1</v>
      </c>
    </row>
    <row r="8326" spans="1:7" x14ac:dyDescent="0.25">
      <c r="A8326">
        <v>29</v>
      </c>
      <c r="B8326" t="s">
        <v>8122</v>
      </c>
      <c r="C8326">
        <v>11945</v>
      </c>
      <c r="D8326" t="str">
        <f>"1221-146X"</f>
        <v>1221-146X</v>
      </c>
      <c r="E8326" t="s">
        <v>8</v>
      </c>
      <c r="F8326" t="s">
        <v>8330</v>
      </c>
      <c r="G8326">
        <v>1</v>
      </c>
    </row>
    <row r="8327" spans="1:7" x14ac:dyDescent="0.25">
      <c r="A8327">
        <v>29</v>
      </c>
      <c r="B8327" t="s">
        <v>8122</v>
      </c>
      <c r="C8327">
        <v>6696</v>
      </c>
      <c r="D8327" t="str">
        <f>"1061-9208"</f>
        <v>1061-9208</v>
      </c>
      <c r="E8327" t="s">
        <v>8</v>
      </c>
      <c r="F8327" t="s">
        <v>8331</v>
      </c>
      <c r="G8327">
        <v>1</v>
      </c>
    </row>
    <row r="8328" spans="1:7" x14ac:dyDescent="0.25">
      <c r="A8328">
        <v>29</v>
      </c>
      <c r="B8328" t="s">
        <v>8122</v>
      </c>
      <c r="C8328">
        <v>16211</v>
      </c>
      <c r="D8328" t="str">
        <f>"1064-8887"</f>
        <v>1064-8887</v>
      </c>
      <c r="E8328" t="s">
        <v>8</v>
      </c>
      <c r="F8328" t="s">
        <v>8332</v>
      </c>
      <c r="G8328">
        <v>1</v>
      </c>
    </row>
    <row r="8329" spans="1:7" x14ac:dyDescent="0.25">
      <c r="A8329">
        <v>29</v>
      </c>
      <c r="B8329" t="s">
        <v>8122</v>
      </c>
      <c r="C8329">
        <v>14372</v>
      </c>
      <c r="D8329" t="str">
        <f>"1063-7826"</f>
        <v>1063-7826</v>
      </c>
      <c r="E8329" t="s">
        <v>8</v>
      </c>
      <c r="F8329" t="s">
        <v>8333</v>
      </c>
      <c r="G8329">
        <v>1</v>
      </c>
    </row>
    <row r="8330" spans="1:7" x14ac:dyDescent="0.25">
      <c r="A8330">
        <v>29</v>
      </c>
      <c r="B8330" t="s">
        <v>8122</v>
      </c>
      <c r="C8330">
        <v>12279</v>
      </c>
      <c r="D8330" t="str">
        <f>"0038-0938"</f>
        <v>0038-0938</v>
      </c>
      <c r="E8330" t="s">
        <v>8</v>
      </c>
      <c r="F8330" t="s">
        <v>8334</v>
      </c>
      <c r="G8330">
        <v>1</v>
      </c>
    </row>
    <row r="8331" spans="1:7" x14ac:dyDescent="0.25">
      <c r="A8331">
        <v>29</v>
      </c>
      <c r="B8331" t="s">
        <v>8122</v>
      </c>
      <c r="C8331">
        <v>6128</v>
      </c>
      <c r="D8331" t="str">
        <f>"0038-0946"</f>
        <v>0038-0946</v>
      </c>
      <c r="E8331" t="s">
        <v>8</v>
      </c>
      <c r="F8331" t="s">
        <v>8335</v>
      </c>
      <c r="G8331">
        <v>1</v>
      </c>
    </row>
    <row r="8332" spans="1:7" x14ac:dyDescent="0.25">
      <c r="A8332">
        <v>29</v>
      </c>
      <c r="B8332" t="s">
        <v>8122</v>
      </c>
      <c r="C8332">
        <v>14604</v>
      </c>
      <c r="D8332" t="str">
        <f>"0038-1098"</f>
        <v>0038-1098</v>
      </c>
      <c r="E8332" t="s">
        <v>8</v>
      </c>
      <c r="F8332" t="s">
        <v>8336</v>
      </c>
      <c r="G8332">
        <v>1</v>
      </c>
    </row>
    <row r="8333" spans="1:7" x14ac:dyDescent="0.25">
      <c r="A8333">
        <v>29</v>
      </c>
      <c r="B8333" t="s">
        <v>8122</v>
      </c>
      <c r="C8333">
        <v>1968</v>
      </c>
      <c r="D8333" t="str">
        <f>"1012-0394"</f>
        <v>1012-0394</v>
      </c>
      <c r="E8333" t="s">
        <v>8</v>
      </c>
      <c r="F8333" t="s">
        <v>8337</v>
      </c>
      <c r="G8333">
        <v>1</v>
      </c>
    </row>
    <row r="8334" spans="1:7" x14ac:dyDescent="0.25">
      <c r="A8334">
        <v>29</v>
      </c>
      <c r="B8334" t="s">
        <v>8122</v>
      </c>
      <c r="C8334">
        <v>4745</v>
      </c>
      <c r="D8334" t="str">
        <f>"0081-1947"</f>
        <v>0081-1947</v>
      </c>
      <c r="E8334" t="s">
        <v>15</v>
      </c>
      <c r="F8334" t="s">
        <v>8338</v>
      </c>
      <c r="G8334">
        <v>1</v>
      </c>
    </row>
    <row r="8335" spans="1:7" x14ac:dyDescent="0.25">
      <c r="A8335">
        <v>29</v>
      </c>
      <c r="B8335" t="s">
        <v>8122</v>
      </c>
      <c r="C8335">
        <v>3855</v>
      </c>
      <c r="D8335" t="str">
        <f>"0038-6308"</f>
        <v>0038-6308</v>
      </c>
      <c r="E8335" t="s">
        <v>8</v>
      </c>
      <c r="F8335" t="s">
        <v>8339</v>
      </c>
      <c r="G8335">
        <v>1</v>
      </c>
    </row>
    <row r="8336" spans="1:7" x14ac:dyDescent="0.25">
      <c r="A8336">
        <v>29</v>
      </c>
      <c r="B8336" t="s">
        <v>8122</v>
      </c>
      <c r="C8336">
        <v>13687</v>
      </c>
      <c r="D8336" t="str">
        <f>"0081-3869"</f>
        <v>0081-3869</v>
      </c>
      <c r="E8336" t="s">
        <v>15</v>
      </c>
      <c r="F8336" t="s">
        <v>8340</v>
      </c>
      <c r="G8336">
        <v>1</v>
      </c>
    </row>
    <row r="8337" spans="1:7" x14ac:dyDescent="0.25">
      <c r="A8337">
        <v>29</v>
      </c>
      <c r="B8337" t="s">
        <v>8122</v>
      </c>
      <c r="C8337">
        <v>8534</v>
      </c>
      <c r="D8337" t="str">
        <f>"0218-625X"</f>
        <v>0218-625X</v>
      </c>
      <c r="E8337" t="s">
        <v>8</v>
      </c>
      <c r="F8337" t="s">
        <v>8341</v>
      </c>
      <c r="G8337">
        <v>1</v>
      </c>
    </row>
    <row r="8338" spans="1:7" x14ac:dyDescent="0.25">
      <c r="A8338">
        <v>29</v>
      </c>
      <c r="B8338" t="s">
        <v>8122</v>
      </c>
      <c r="C8338">
        <v>10205</v>
      </c>
      <c r="D8338" t="str">
        <f>"0894-0886"</f>
        <v>0894-0886</v>
      </c>
      <c r="E8338" t="s">
        <v>8</v>
      </c>
      <c r="F8338" t="s">
        <v>8342</v>
      </c>
      <c r="G8338">
        <v>1</v>
      </c>
    </row>
    <row r="8339" spans="1:7" x14ac:dyDescent="0.25">
      <c r="A8339">
        <v>29</v>
      </c>
      <c r="B8339" t="s">
        <v>8122</v>
      </c>
      <c r="C8339">
        <v>7870</v>
      </c>
      <c r="D8339" t="str">
        <f>"0004-6256"</f>
        <v>0004-6256</v>
      </c>
      <c r="E8339" t="s">
        <v>8</v>
      </c>
      <c r="F8339" t="s">
        <v>8343</v>
      </c>
      <c r="G8339">
        <v>1</v>
      </c>
    </row>
    <row r="8340" spans="1:7" x14ac:dyDescent="0.25">
      <c r="A8340">
        <v>29</v>
      </c>
      <c r="B8340" t="s">
        <v>8122</v>
      </c>
      <c r="C8340">
        <v>7695756</v>
      </c>
      <c r="D8340" t="str">
        <f>"2041-8205"</f>
        <v>2041-8205</v>
      </c>
      <c r="E8340" t="s">
        <v>8</v>
      </c>
      <c r="F8340" t="s">
        <v>8344</v>
      </c>
      <c r="G8340">
        <v>1</v>
      </c>
    </row>
    <row r="8341" spans="1:7" x14ac:dyDescent="0.25">
      <c r="A8341">
        <v>29</v>
      </c>
      <c r="B8341" t="s">
        <v>8122</v>
      </c>
      <c r="C8341">
        <v>50</v>
      </c>
      <c r="D8341" t="str">
        <f>"1434-6001"</f>
        <v>1434-6001</v>
      </c>
      <c r="E8341" t="s">
        <v>8</v>
      </c>
      <c r="F8341" t="s">
        <v>8345</v>
      </c>
      <c r="G8341">
        <v>1</v>
      </c>
    </row>
    <row r="8342" spans="1:7" x14ac:dyDescent="0.25">
      <c r="A8342">
        <v>29</v>
      </c>
      <c r="B8342" t="s">
        <v>8122</v>
      </c>
      <c r="C8342">
        <v>13128</v>
      </c>
      <c r="D8342" t="str">
        <f>"1286-0042"</f>
        <v>1286-0042</v>
      </c>
      <c r="E8342" t="s">
        <v>8</v>
      </c>
      <c r="F8342" t="s">
        <v>8346</v>
      </c>
      <c r="G8342">
        <v>1</v>
      </c>
    </row>
    <row r="8343" spans="1:7" x14ac:dyDescent="0.25">
      <c r="A8343">
        <v>29</v>
      </c>
      <c r="B8343" t="s">
        <v>8122</v>
      </c>
      <c r="C8343">
        <v>13222</v>
      </c>
      <c r="D8343" t="str">
        <f>"1434-6044"</f>
        <v>1434-6044</v>
      </c>
      <c r="E8343" t="s">
        <v>8</v>
      </c>
      <c r="F8343" t="s">
        <v>8347</v>
      </c>
      <c r="G8343">
        <v>1</v>
      </c>
    </row>
    <row r="8344" spans="1:7" x14ac:dyDescent="0.25">
      <c r="A8344">
        <v>29</v>
      </c>
      <c r="B8344" t="s">
        <v>8122</v>
      </c>
      <c r="C8344">
        <v>11762</v>
      </c>
      <c r="D8344" t="str">
        <f>"1434-6060"</f>
        <v>1434-6060</v>
      </c>
      <c r="E8344" t="s">
        <v>8</v>
      </c>
      <c r="F8344" t="s">
        <v>8348</v>
      </c>
      <c r="G8344">
        <v>1</v>
      </c>
    </row>
    <row r="8345" spans="1:7" x14ac:dyDescent="0.25">
      <c r="A8345">
        <v>29</v>
      </c>
      <c r="B8345" t="s">
        <v>8122</v>
      </c>
      <c r="C8345">
        <v>5724</v>
      </c>
      <c r="D8345" t="str">
        <f>"1292-8941"</f>
        <v>1292-8941</v>
      </c>
      <c r="E8345" t="s">
        <v>8</v>
      </c>
      <c r="F8345" t="s">
        <v>8349</v>
      </c>
      <c r="G8345">
        <v>1</v>
      </c>
    </row>
    <row r="8346" spans="1:7" x14ac:dyDescent="0.25">
      <c r="A8346">
        <v>29</v>
      </c>
      <c r="B8346" t="s">
        <v>8122</v>
      </c>
      <c r="C8346">
        <v>6549</v>
      </c>
      <c r="E8346" t="s">
        <v>8</v>
      </c>
      <c r="F8346" t="s">
        <v>8350</v>
      </c>
      <c r="G8346">
        <v>1</v>
      </c>
    </row>
    <row r="8347" spans="1:7" x14ac:dyDescent="0.25">
      <c r="A8347">
        <v>29</v>
      </c>
      <c r="B8347" t="s">
        <v>8122</v>
      </c>
      <c r="C8347">
        <v>5518</v>
      </c>
      <c r="D8347" t="str">
        <f>"1951-6355"</f>
        <v>1951-6355</v>
      </c>
      <c r="E8347" t="s">
        <v>8</v>
      </c>
      <c r="F8347" t="s">
        <v>8351</v>
      </c>
      <c r="G8347">
        <v>1</v>
      </c>
    </row>
    <row r="8348" spans="1:7" x14ac:dyDescent="0.25">
      <c r="A8348">
        <v>29</v>
      </c>
      <c r="B8348" t="s">
        <v>8122</v>
      </c>
      <c r="C8348">
        <v>8025</v>
      </c>
      <c r="D8348" t="str">
        <f>"0029-7704"</f>
        <v>0029-7704</v>
      </c>
      <c r="E8348" t="s">
        <v>8</v>
      </c>
      <c r="F8348" t="s">
        <v>8352</v>
      </c>
      <c r="G8348">
        <v>1</v>
      </c>
    </row>
    <row r="8349" spans="1:7" x14ac:dyDescent="0.25">
      <c r="A8349">
        <v>29</v>
      </c>
      <c r="B8349" t="s">
        <v>8122</v>
      </c>
      <c r="C8349">
        <v>8338</v>
      </c>
      <c r="D8349" t="str">
        <f>"0040-5779"</f>
        <v>0040-5779</v>
      </c>
      <c r="E8349" t="s">
        <v>8</v>
      </c>
      <c r="F8349" t="s">
        <v>8353</v>
      </c>
      <c r="G8349">
        <v>1</v>
      </c>
    </row>
    <row r="8350" spans="1:7" x14ac:dyDescent="0.25">
      <c r="A8350">
        <v>29</v>
      </c>
      <c r="B8350" t="s">
        <v>8122</v>
      </c>
      <c r="C8350">
        <v>9202</v>
      </c>
      <c r="D8350" t="str">
        <f>"0303-4216"</f>
        <v>0303-4216</v>
      </c>
      <c r="E8350" t="s">
        <v>15</v>
      </c>
      <c r="F8350" t="s">
        <v>8354</v>
      </c>
      <c r="G8350">
        <v>1</v>
      </c>
    </row>
    <row r="8351" spans="1:7" x14ac:dyDescent="0.25">
      <c r="A8351">
        <v>29</v>
      </c>
      <c r="B8351" t="s">
        <v>8122</v>
      </c>
      <c r="C8351">
        <v>12106</v>
      </c>
      <c r="D8351" t="str">
        <f>"1000-3290"</f>
        <v>1000-3290</v>
      </c>
      <c r="E8351" t="s">
        <v>8</v>
      </c>
      <c r="F8351" t="s">
        <v>8355</v>
      </c>
      <c r="G8351">
        <v>1</v>
      </c>
    </row>
    <row r="8352" spans="1:7" x14ac:dyDescent="0.25">
      <c r="A8352">
        <v>29</v>
      </c>
      <c r="B8352" t="s">
        <v>8122</v>
      </c>
      <c r="C8352">
        <v>1427</v>
      </c>
      <c r="D8352" t="str">
        <f>"0942-9352"</f>
        <v>0942-9352</v>
      </c>
      <c r="E8352" t="s">
        <v>8</v>
      </c>
      <c r="F8352" t="s">
        <v>8356</v>
      </c>
      <c r="G8352">
        <v>1</v>
      </c>
    </row>
    <row r="8353" spans="1:7" x14ac:dyDescent="0.25">
      <c r="A8353">
        <v>3</v>
      </c>
      <c r="B8353" t="s">
        <v>8357</v>
      </c>
      <c r="C8353">
        <v>20865</v>
      </c>
      <c r="D8353" t="str">
        <f>"1585-1923"</f>
        <v>1585-1923</v>
      </c>
      <c r="E8353" t="s">
        <v>8</v>
      </c>
      <c r="F8353" t="s">
        <v>8358</v>
      </c>
      <c r="G8353">
        <v>2</v>
      </c>
    </row>
    <row r="8354" spans="1:7" x14ac:dyDescent="0.25">
      <c r="A8354">
        <v>3</v>
      </c>
      <c r="B8354" t="s">
        <v>8357</v>
      </c>
      <c r="C8354">
        <v>9512</v>
      </c>
      <c r="D8354" t="str">
        <f>"0896-7148"</f>
        <v>0896-7148</v>
      </c>
      <c r="E8354" t="s">
        <v>8</v>
      </c>
      <c r="F8354" t="s">
        <v>8359</v>
      </c>
      <c r="G8354">
        <v>2</v>
      </c>
    </row>
    <row r="8355" spans="1:7" x14ac:dyDescent="0.25">
      <c r="A8355">
        <v>3</v>
      </c>
      <c r="B8355" t="s">
        <v>8357</v>
      </c>
      <c r="C8355">
        <v>16671</v>
      </c>
      <c r="D8355" t="str">
        <f>"0002-9831"</f>
        <v>0002-9831</v>
      </c>
      <c r="E8355" t="s">
        <v>8</v>
      </c>
      <c r="F8355" t="s">
        <v>8360</v>
      </c>
      <c r="G8355">
        <v>2</v>
      </c>
    </row>
    <row r="8356" spans="1:7" x14ac:dyDescent="0.25">
      <c r="A8356">
        <v>3</v>
      </c>
      <c r="B8356" t="s">
        <v>8357</v>
      </c>
      <c r="C8356">
        <v>8317</v>
      </c>
      <c r="D8356" t="str">
        <f>"0272-1635"</f>
        <v>0272-1635</v>
      </c>
      <c r="E8356" t="s">
        <v>8</v>
      </c>
      <c r="F8356" t="s">
        <v>8361</v>
      </c>
      <c r="G8356">
        <v>2</v>
      </c>
    </row>
    <row r="8357" spans="1:7" x14ac:dyDescent="0.25">
      <c r="A8357">
        <v>3</v>
      </c>
      <c r="B8357" t="s">
        <v>8357</v>
      </c>
      <c r="C8357">
        <v>14221</v>
      </c>
      <c r="D8357" t="str">
        <f>"0210-4547"</f>
        <v>0210-4547</v>
      </c>
      <c r="E8357" t="s">
        <v>8</v>
      </c>
      <c r="F8357" t="s">
        <v>8362</v>
      </c>
      <c r="G8357">
        <v>2</v>
      </c>
    </row>
    <row r="8358" spans="1:7" x14ac:dyDescent="0.25">
      <c r="A8358">
        <v>3</v>
      </c>
      <c r="B8358" t="s">
        <v>8357</v>
      </c>
      <c r="C8358">
        <v>6663</v>
      </c>
      <c r="D8358" t="str">
        <f>"0340-5222"</f>
        <v>0340-5222</v>
      </c>
      <c r="E8358" t="s">
        <v>8</v>
      </c>
      <c r="F8358" t="s">
        <v>8363</v>
      </c>
      <c r="G8358">
        <v>2</v>
      </c>
    </row>
    <row r="8359" spans="1:7" x14ac:dyDescent="0.25">
      <c r="A8359">
        <v>3</v>
      </c>
      <c r="B8359" t="s">
        <v>8357</v>
      </c>
      <c r="C8359">
        <v>7119</v>
      </c>
      <c r="D8359" t="str">
        <f>"0870-1253"</f>
        <v>0870-1253</v>
      </c>
      <c r="E8359" t="s">
        <v>8</v>
      </c>
      <c r="F8359" t="s">
        <v>8364</v>
      </c>
      <c r="G8359">
        <v>2</v>
      </c>
    </row>
    <row r="8360" spans="1:7" x14ac:dyDescent="0.25">
      <c r="A8360">
        <v>3</v>
      </c>
      <c r="B8360" t="s">
        <v>8357</v>
      </c>
      <c r="C8360">
        <v>15408</v>
      </c>
      <c r="D8360" t="str">
        <f>"0005-8076"</f>
        <v>0005-8076</v>
      </c>
      <c r="E8360" t="s">
        <v>8</v>
      </c>
      <c r="F8360" t="s">
        <v>8365</v>
      </c>
      <c r="G8360">
        <v>2</v>
      </c>
    </row>
    <row r="8361" spans="1:7" x14ac:dyDescent="0.25">
      <c r="A8361">
        <v>3</v>
      </c>
      <c r="B8361" t="s">
        <v>8357</v>
      </c>
      <c r="C8361">
        <v>14503</v>
      </c>
      <c r="D8361" t="str">
        <f>"0929-7316"</f>
        <v>0929-7316</v>
      </c>
      <c r="E8361" t="s">
        <v>15</v>
      </c>
      <c r="F8361" t="s">
        <v>8366</v>
      </c>
      <c r="G8361">
        <v>2</v>
      </c>
    </row>
    <row r="8362" spans="1:7" x14ac:dyDescent="0.25">
      <c r="A8362">
        <v>3</v>
      </c>
      <c r="B8362" t="s">
        <v>8357</v>
      </c>
      <c r="C8362">
        <v>1886</v>
      </c>
      <c r="D8362" t="str">
        <f>"0006-1999"</f>
        <v>0006-1999</v>
      </c>
      <c r="E8362" t="s">
        <v>8</v>
      </c>
      <c r="F8362" t="s">
        <v>8367</v>
      </c>
      <c r="G8362">
        <v>2</v>
      </c>
    </row>
    <row r="8363" spans="1:7" x14ac:dyDescent="0.25">
      <c r="A8363">
        <v>3</v>
      </c>
      <c r="B8363" t="s">
        <v>8357</v>
      </c>
      <c r="C8363">
        <v>3464</v>
      </c>
      <c r="D8363" t="str">
        <f>"0742-4248"</f>
        <v>0742-4248</v>
      </c>
      <c r="E8363" t="s">
        <v>8</v>
      </c>
      <c r="F8363" t="s">
        <v>8368</v>
      </c>
      <c r="G8363">
        <v>2</v>
      </c>
    </row>
    <row r="8364" spans="1:7" x14ac:dyDescent="0.25">
      <c r="A8364">
        <v>3</v>
      </c>
      <c r="B8364" t="s">
        <v>8357</v>
      </c>
      <c r="C8364">
        <v>8600</v>
      </c>
      <c r="D8364" t="str">
        <f>"0010-7484"</f>
        <v>0010-7484</v>
      </c>
      <c r="E8364" t="s">
        <v>8</v>
      </c>
      <c r="F8364" t="s">
        <v>8369</v>
      </c>
      <c r="G8364">
        <v>2</v>
      </c>
    </row>
    <row r="8365" spans="1:7" x14ac:dyDescent="0.25">
      <c r="A8365">
        <v>3</v>
      </c>
      <c r="B8365" t="s">
        <v>8357</v>
      </c>
      <c r="C8365">
        <v>9899</v>
      </c>
      <c r="D8365" t="str">
        <f>"0165-9618"</f>
        <v>0165-9618</v>
      </c>
      <c r="E8365" t="s">
        <v>15</v>
      </c>
      <c r="F8365" t="s">
        <v>8370</v>
      </c>
      <c r="G8365">
        <v>2</v>
      </c>
    </row>
    <row r="8366" spans="1:7" x14ac:dyDescent="0.25">
      <c r="A8366">
        <v>3</v>
      </c>
      <c r="B8366" t="s">
        <v>8357</v>
      </c>
      <c r="C8366">
        <v>16495</v>
      </c>
      <c r="D8366" t="str">
        <f>"0011-1619"</f>
        <v>0011-1619</v>
      </c>
      <c r="E8366" t="s">
        <v>8</v>
      </c>
      <c r="F8366" t="s">
        <v>8371</v>
      </c>
      <c r="G8366">
        <v>2</v>
      </c>
    </row>
    <row r="8367" spans="1:7" x14ac:dyDescent="0.25">
      <c r="A8367">
        <v>3</v>
      </c>
      <c r="B8367" t="s">
        <v>8357</v>
      </c>
      <c r="C8367">
        <v>2980</v>
      </c>
      <c r="D8367" t="str">
        <f>"0011-9741"</f>
        <v>0011-9741</v>
      </c>
      <c r="E8367" t="s">
        <v>8</v>
      </c>
      <c r="F8367" t="s">
        <v>8372</v>
      </c>
      <c r="G8367">
        <v>2</v>
      </c>
    </row>
    <row r="8368" spans="1:7" x14ac:dyDescent="0.25">
      <c r="A8368">
        <v>3</v>
      </c>
      <c r="B8368" t="s">
        <v>8357</v>
      </c>
      <c r="C8368">
        <v>11578</v>
      </c>
      <c r="D8368" t="str">
        <f>"0012-0936"</f>
        <v>0012-0936</v>
      </c>
      <c r="E8368" t="s">
        <v>8</v>
      </c>
      <c r="F8368" t="s">
        <v>8373</v>
      </c>
      <c r="G8368">
        <v>2</v>
      </c>
    </row>
    <row r="8369" spans="1:7" x14ac:dyDescent="0.25">
      <c r="A8369">
        <v>3</v>
      </c>
      <c r="B8369" t="s">
        <v>8357</v>
      </c>
      <c r="C8369">
        <v>2409</v>
      </c>
      <c r="D8369" t="str">
        <f>"0013-8304"</f>
        <v>0013-8304</v>
      </c>
      <c r="E8369" t="s">
        <v>8</v>
      </c>
      <c r="F8369" t="s">
        <v>8374</v>
      </c>
      <c r="G8369">
        <v>2</v>
      </c>
    </row>
    <row r="8370" spans="1:7" x14ac:dyDescent="0.25">
      <c r="A8370">
        <v>3</v>
      </c>
      <c r="B8370" t="s">
        <v>8357</v>
      </c>
      <c r="C8370">
        <v>3927</v>
      </c>
      <c r="D8370" t="str">
        <f>"0889-4906"</f>
        <v>0889-4906</v>
      </c>
      <c r="E8370" t="s">
        <v>8</v>
      </c>
      <c r="F8370" t="s">
        <v>8375</v>
      </c>
      <c r="G8370">
        <v>2</v>
      </c>
    </row>
    <row r="8371" spans="1:7" x14ac:dyDescent="0.25">
      <c r="A8371">
        <v>3</v>
      </c>
      <c r="B8371" t="s">
        <v>8357</v>
      </c>
      <c r="C8371">
        <v>86</v>
      </c>
      <c r="D8371" t="str">
        <f>"1360-6743"</f>
        <v>1360-6743</v>
      </c>
      <c r="E8371" t="s">
        <v>8</v>
      </c>
      <c r="F8371" t="s">
        <v>8376</v>
      </c>
      <c r="G8371">
        <v>2</v>
      </c>
    </row>
    <row r="8372" spans="1:7" x14ac:dyDescent="0.25">
      <c r="A8372">
        <v>3</v>
      </c>
      <c r="B8372" t="s">
        <v>8357</v>
      </c>
      <c r="C8372">
        <v>8037</v>
      </c>
      <c r="D8372" t="str">
        <f>"0013-838X"</f>
        <v>0013-838X</v>
      </c>
      <c r="E8372" t="s">
        <v>8</v>
      </c>
      <c r="F8372" t="s">
        <v>8377</v>
      </c>
      <c r="G8372">
        <v>2</v>
      </c>
    </row>
    <row r="8373" spans="1:7" x14ac:dyDescent="0.25">
      <c r="A8373">
        <v>3</v>
      </c>
      <c r="B8373" t="s">
        <v>8357</v>
      </c>
      <c r="C8373">
        <v>24200</v>
      </c>
      <c r="D8373" t="str">
        <f>"0071-190X"</f>
        <v>0071-190X</v>
      </c>
      <c r="E8373" t="s">
        <v>8</v>
      </c>
      <c r="F8373" t="s">
        <v>8378</v>
      </c>
      <c r="G8373">
        <v>2</v>
      </c>
    </row>
    <row r="8374" spans="1:7" x14ac:dyDescent="0.25">
      <c r="A8374">
        <v>3</v>
      </c>
      <c r="B8374" t="s">
        <v>8357</v>
      </c>
      <c r="C8374">
        <v>3680</v>
      </c>
      <c r="D8374" t="str">
        <f>"0014-2328"</f>
        <v>0014-2328</v>
      </c>
      <c r="E8374" t="s">
        <v>8</v>
      </c>
      <c r="F8374" t="s">
        <v>8379</v>
      </c>
      <c r="G8374">
        <v>2</v>
      </c>
    </row>
    <row r="8375" spans="1:7" x14ac:dyDescent="0.25">
      <c r="A8375">
        <v>3</v>
      </c>
      <c r="B8375" t="s">
        <v>8357</v>
      </c>
      <c r="C8375">
        <v>9537</v>
      </c>
      <c r="D8375" t="str">
        <f>"1382-5577"</f>
        <v>1382-5577</v>
      </c>
      <c r="E8375" t="s">
        <v>8</v>
      </c>
      <c r="F8375" t="s">
        <v>8380</v>
      </c>
      <c r="G8375">
        <v>2</v>
      </c>
    </row>
    <row r="8376" spans="1:7" x14ac:dyDescent="0.25">
      <c r="A8376">
        <v>3</v>
      </c>
      <c r="B8376" t="s">
        <v>8357</v>
      </c>
      <c r="C8376">
        <v>14871</v>
      </c>
      <c r="D8376" t="str">
        <f>"1017-3285"</f>
        <v>1017-3285</v>
      </c>
      <c r="E8376" t="s">
        <v>8</v>
      </c>
      <c r="F8376" t="s">
        <v>8381</v>
      </c>
      <c r="G8376">
        <v>2</v>
      </c>
    </row>
    <row r="8377" spans="1:7" x14ac:dyDescent="0.25">
      <c r="A8377">
        <v>3</v>
      </c>
      <c r="B8377" t="s">
        <v>8357</v>
      </c>
      <c r="C8377">
        <v>15594</v>
      </c>
      <c r="D8377" t="str">
        <f>"0016-8777"</f>
        <v>0016-8777</v>
      </c>
      <c r="E8377" t="s">
        <v>8</v>
      </c>
      <c r="F8377" t="s">
        <v>8382</v>
      </c>
      <c r="G8377">
        <v>2</v>
      </c>
    </row>
    <row r="8378" spans="1:7" x14ac:dyDescent="0.25">
      <c r="A8378">
        <v>3</v>
      </c>
      <c r="B8378" t="s">
        <v>8357</v>
      </c>
      <c r="C8378">
        <v>5522</v>
      </c>
      <c r="D8378" t="str">
        <f>"0016-8904"</f>
        <v>0016-8904</v>
      </c>
      <c r="E8378" t="s">
        <v>8</v>
      </c>
      <c r="F8378" t="s">
        <v>8383</v>
      </c>
      <c r="G8378">
        <v>2</v>
      </c>
    </row>
    <row r="8379" spans="1:7" x14ac:dyDescent="0.25">
      <c r="A8379">
        <v>3</v>
      </c>
      <c r="B8379" t="s">
        <v>8357</v>
      </c>
      <c r="C8379">
        <v>14425</v>
      </c>
      <c r="D8379" t="str">
        <f>"0323-4207"</f>
        <v>0323-4207</v>
      </c>
      <c r="E8379" t="s">
        <v>8</v>
      </c>
      <c r="F8379" t="s">
        <v>8384</v>
      </c>
      <c r="G8379">
        <v>2</v>
      </c>
    </row>
    <row r="8380" spans="1:7" x14ac:dyDescent="0.25">
      <c r="A8380">
        <v>3</v>
      </c>
      <c r="B8380" t="s">
        <v>8357</v>
      </c>
      <c r="C8380">
        <v>76961</v>
      </c>
      <c r="D8380" t="str">
        <f>"1139-7241"</f>
        <v>1139-7241</v>
      </c>
      <c r="E8380" t="s">
        <v>8</v>
      </c>
      <c r="F8380" t="s">
        <v>8385</v>
      </c>
      <c r="G8380">
        <v>2</v>
      </c>
    </row>
    <row r="8381" spans="1:7" x14ac:dyDescent="0.25">
      <c r="A8381">
        <v>3</v>
      </c>
      <c r="B8381" t="s">
        <v>8357</v>
      </c>
      <c r="C8381">
        <v>10274</v>
      </c>
      <c r="D8381" t="str">
        <f>"0340-4528"</f>
        <v>0340-4528</v>
      </c>
      <c r="E8381" t="s">
        <v>8</v>
      </c>
      <c r="F8381" t="s">
        <v>8386</v>
      </c>
      <c r="G8381">
        <v>2</v>
      </c>
    </row>
    <row r="8382" spans="1:7" x14ac:dyDescent="0.25">
      <c r="A8382">
        <v>3</v>
      </c>
      <c r="B8382" t="s">
        <v>8357</v>
      </c>
      <c r="C8382">
        <v>12444</v>
      </c>
      <c r="D8382" t="str">
        <f>"1384-6647"</f>
        <v>1384-6647</v>
      </c>
      <c r="E8382" t="s">
        <v>8</v>
      </c>
      <c r="F8382" t="s">
        <v>8387</v>
      </c>
      <c r="G8382">
        <v>2</v>
      </c>
    </row>
    <row r="8383" spans="1:7" x14ac:dyDescent="0.25">
      <c r="A8383">
        <v>3</v>
      </c>
      <c r="B8383" t="s">
        <v>8357</v>
      </c>
      <c r="C8383">
        <v>13906</v>
      </c>
      <c r="D8383" t="str">
        <f>"0070-4318"</f>
        <v>0070-4318</v>
      </c>
      <c r="E8383" t="s">
        <v>8</v>
      </c>
      <c r="F8383" t="s">
        <v>8388</v>
      </c>
      <c r="G8383">
        <v>2</v>
      </c>
    </row>
    <row r="8384" spans="1:7" x14ac:dyDescent="0.25">
      <c r="A8384">
        <v>3</v>
      </c>
      <c r="B8384" t="s">
        <v>8357</v>
      </c>
      <c r="C8384">
        <v>15994</v>
      </c>
      <c r="D8384" t="str">
        <f>"2165-669X"</f>
        <v>2165-669X</v>
      </c>
      <c r="E8384" t="s">
        <v>8</v>
      </c>
      <c r="F8384" t="s">
        <v>8389</v>
      </c>
      <c r="G8384">
        <v>2</v>
      </c>
    </row>
    <row r="8385" spans="1:7" x14ac:dyDescent="0.25">
      <c r="A8385">
        <v>3</v>
      </c>
      <c r="B8385" t="s">
        <v>8357</v>
      </c>
      <c r="C8385">
        <v>11955</v>
      </c>
      <c r="D8385" t="str">
        <f>"0363-6941"</f>
        <v>0363-6941</v>
      </c>
      <c r="E8385" t="s">
        <v>8</v>
      </c>
      <c r="F8385" t="s">
        <v>8390</v>
      </c>
      <c r="G8385">
        <v>2</v>
      </c>
    </row>
    <row r="8386" spans="1:7" x14ac:dyDescent="0.25">
      <c r="A8386">
        <v>3</v>
      </c>
      <c r="B8386" t="s">
        <v>8357</v>
      </c>
      <c r="C8386">
        <v>7752</v>
      </c>
      <c r="D8386" t="str">
        <f>"0075-4242"</f>
        <v>0075-4242</v>
      </c>
      <c r="E8386" t="s">
        <v>8</v>
      </c>
      <c r="F8386" t="s">
        <v>8391</v>
      </c>
      <c r="G8386">
        <v>2</v>
      </c>
    </row>
    <row r="8387" spans="1:7" x14ac:dyDescent="0.25">
      <c r="A8387">
        <v>3</v>
      </c>
      <c r="B8387" t="s">
        <v>8357</v>
      </c>
      <c r="C8387">
        <v>4162</v>
      </c>
      <c r="D8387" t="str">
        <f>"0959-2695"</f>
        <v>0959-2695</v>
      </c>
      <c r="E8387" t="s">
        <v>8</v>
      </c>
      <c r="F8387" t="s">
        <v>8392</v>
      </c>
      <c r="G8387">
        <v>2</v>
      </c>
    </row>
    <row r="8388" spans="1:7" x14ac:dyDescent="0.25">
      <c r="A8388">
        <v>3</v>
      </c>
      <c r="B8388" t="s">
        <v>8357</v>
      </c>
      <c r="C8388">
        <v>9629</v>
      </c>
      <c r="D8388" t="str">
        <f>"1470-5427"</f>
        <v>1470-5427</v>
      </c>
      <c r="E8388" t="s">
        <v>8</v>
      </c>
      <c r="F8388" t="s">
        <v>8393</v>
      </c>
      <c r="G8388">
        <v>2</v>
      </c>
    </row>
    <row r="8389" spans="1:7" x14ac:dyDescent="0.25">
      <c r="A8389">
        <v>3</v>
      </c>
      <c r="B8389" t="s">
        <v>8357</v>
      </c>
      <c r="C8389">
        <v>160</v>
      </c>
      <c r="D8389" t="str">
        <f>"1463-6204"</f>
        <v>1463-6204</v>
      </c>
      <c r="E8389" t="s">
        <v>8</v>
      </c>
      <c r="F8389" t="s">
        <v>8394</v>
      </c>
      <c r="G8389">
        <v>2</v>
      </c>
    </row>
    <row r="8390" spans="1:7" x14ac:dyDescent="0.25">
      <c r="A8390">
        <v>3</v>
      </c>
      <c r="B8390" t="s">
        <v>8357</v>
      </c>
      <c r="C8390">
        <v>27189</v>
      </c>
      <c r="E8390" t="s">
        <v>8</v>
      </c>
      <c r="F8390" t="s">
        <v>8395</v>
      </c>
      <c r="G8390">
        <v>2</v>
      </c>
    </row>
    <row r="8391" spans="1:7" x14ac:dyDescent="0.25">
      <c r="A8391">
        <v>3</v>
      </c>
      <c r="B8391" t="s">
        <v>8357</v>
      </c>
      <c r="C8391">
        <v>9050</v>
      </c>
      <c r="D8391" t="str">
        <f>"0458-726X"</f>
        <v>0458-726X</v>
      </c>
      <c r="E8391" t="s">
        <v>8</v>
      </c>
      <c r="F8391" t="s">
        <v>8396</v>
      </c>
      <c r="G8391">
        <v>2</v>
      </c>
    </row>
    <row r="8392" spans="1:7" x14ac:dyDescent="0.25">
      <c r="A8392">
        <v>3</v>
      </c>
      <c r="B8392" t="s">
        <v>8357</v>
      </c>
      <c r="C8392">
        <v>13138</v>
      </c>
      <c r="D8392" t="str">
        <f>"0963-9470"</f>
        <v>0963-9470</v>
      </c>
      <c r="E8392" t="s">
        <v>8</v>
      </c>
      <c r="F8392" t="s">
        <v>8397</v>
      </c>
      <c r="G8392">
        <v>2</v>
      </c>
    </row>
    <row r="8393" spans="1:7" x14ac:dyDescent="0.25">
      <c r="A8393">
        <v>3</v>
      </c>
      <c r="B8393" t="s">
        <v>8357</v>
      </c>
      <c r="C8393">
        <v>4750</v>
      </c>
      <c r="D8393" t="str">
        <f>"0023-8368"</f>
        <v>0023-8368</v>
      </c>
      <c r="E8393" t="s">
        <v>8</v>
      </c>
      <c r="F8393" t="s">
        <v>8398</v>
      </c>
      <c r="G8393">
        <v>2</v>
      </c>
    </row>
    <row r="8394" spans="1:7" x14ac:dyDescent="0.25">
      <c r="A8394">
        <v>3</v>
      </c>
      <c r="B8394" t="s">
        <v>8357</v>
      </c>
      <c r="C8394">
        <v>11319</v>
      </c>
      <c r="D8394" t="str">
        <f>"0458-7251"</f>
        <v>0458-7251</v>
      </c>
      <c r="E8394" t="s">
        <v>8</v>
      </c>
      <c r="F8394" t="s">
        <v>8399</v>
      </c>
      <c r="G8394">
        <v>2</v>
      </c>
    </row>
    <row r="8395" spans="1:7" x14ac:dyDescent="0.25">
      <c r="A8395">
        <v>3</v>
      </c>
      <c r="B8395" t="s">
        <v>8357</v>
      </c>
      <c r="C8395">
        <v>5630</v>
      </c>
      <c r="D8395" t="str">
        <f>"0049-8653"</f>
        <v>0049-8653</v>
      </c>
      <c r="E8395" t="s">
        <v>8</v>
      </c>
      <c r="F8395" t="s">
        <v>8400</v>
      </c>
      <c r="G8395">
        <v>2</v>
      </c>
    </row>
    <row r="8396" spans="1:7" x14ac:dyDescent="0.25">
      <c r="A8396">
        <v>3</v>
      </c>
      <c r="B8396" t="s">
        <v>8357</v>
      </c>
      <c r="C8396">
        <v>7940</v>
      </c>
      <c r="D8396" t="str">
        <f>"0026-0452"</f>
        <v>0026-0452</v>
      </c>
      <c r="E8396" t="s">
        <v>8</v>
      </c>
      <c r="F8396" t="s">
        <v>8401</v>
      </c>
      <c r="G8396">
        <v>2</v>
      </c>
    </row>
    <row r="8397" spans="1:7" x14ac:dyDescent="0.25">
      <c r="A8397">
        <v>3</v>
      </c>
      <c r="B8397" t="s">
        <v>8357</v>
      </c>
      <c r="C8397">
        <v>15148</v>
      </c>
      <c r="D8397" t="str">
        <f>"0026-7910"</f>
        <v>0026-7910</v>
      </c>
      <c r="E8397" t="s">
        <v>8</v>
      </c>
      <c r="F8397" t="s">
        <v>8402</v>
      </c>
      <c r="G8397">
        <v>2</v>
      </c>
    </row>
    <row r="8398" spans="1:7" x14ac:dyDescent="0.25">
      <c r="A8398">
        <v>3</v>
      </c>
      <c r="B8398" t="s">
        <v>8357</v>
      </c>
      <c r="C8398">
        <v>9371</v>
      </c>
      <c r="D8398" t="str">
        <f>"0026-7902"</f>
        <v>0026-7902</v>
      </c>
      <c r="E8398" t="s">
        <v>8</v>
      </c>
      <c r="F8398" t="s">
        <v>8403</v>
      </c>
      <c r="G8398">
        <v>2</v>
      </c>
    </row>
    <row r="8399" spans="1:7" x14ac:dyDescent="0.25">
      <c r="A8399">
        <v>3</v>
      </c>
      <c r="B8399" t="s">
        <v>8357</v>
      </c>
      <c r="C8399">
        <v>26507</v>
      </c>
      <c r="D8399" t="str">
        <f>"1384-5829"</f>
        <v>1384-5829</v>
      </c>
      <c r="E8399" t="s">
        <v>8</v>
      </c>
      <c r="F8399" t="s">
        <v>8404</v>
      </c>
      <c r="G8399">
        <v>2</v>
      </c>
    </row>
    <row r="8400" spans="1:7" x14ac:dyDescent="0.25">
      <c r="A8400">
        <v>3</v>
      </c>
      <c r="B8400" t="s">
        <v>8357</v>
      </c>
      <c r="C8400">
        <v>7266</v>
      </c>
      <c r="D8400" t="str">
        <f>"0094-033X"</f>
        <v>0094-033X</v>
      </c>
      <c r="E8400" t="s">
        <v>8</v>
      </c>
      <c r="F8400" t="s">
        <v>8405</v>
      </c>
      <c r="G8400">
        <v>2</v>
      </c>
    </row>
    <row r="8401" spans="1:7" x14ac:dyDescent="0.25">
      <c r="A8401">
        <v>3</v>
      </c>
      <c r="B8401" t="s">
        <v>8357</v>
      </c>
      <c r="C8401">
        <v>1851</v>
      </c>
      <c r="D8401" t="str">
        <f>"0891-9356"</f>
        <v>0891-9356</v>
      </c>
      <c r="E8401" t="s">
        <v>8</v>
      </c>
      <c r="F8401" t="s">
        <v>8406</v>
      </c>
      <c r="G8401">
        <v>2</v>
      </c>
    </row>
    <row r="8402" spans="1:7" x14ac:dyDescent="0.25">
      <c r="A8402">
        <v>3</v>
      </c>
      <c r="B8402" t="s">
        <v>8357</v>
      </c>
      <c r="C8402">
        <v>2848</v>
      </c>
      <c r="D8402" t="str">
        <f>"0078-7191"</f>
        <v>0078-7191</v>
      </c>
      <c r="E8402" t="s">
        <v>8</v>
      </c>
      <c r="F8402" t="s">
        <v>8407</v>
      </c>
      <c r="G8402">
        <v>2</v>
      </c>
    </row>
    <row r="8403" spans="1:7" x14ac:dyDescent="0.25">
      <c r="A8403">
        <v>3</v>
      </c>
      <c r="B8403" t="s">
        <v>8357</v>
      </c>
      <c r="C8403">
        <v>11630</v>
      </c>
      <c r="D8403" t="str">
        <f>"0907-676X"</f>
        <v>0907-676X</v>
      </c>
      <c r="E8403" t="s">
        <v>8</v>
      </c>
      <c r="F8403" t="s">
        <v>8408</v>
      </c>
      <c r="G8403">
        <v>2</v>
      </c>
    </row>
    <row r="8404" spans="1:7" x14ac:dyDescent="0.25">
      <c r="A8404">
        <v>3</v>
      </c>
      <c r="B8404" t="s">
        <v>8357</v>
      </c>
      <c r="C8404">
        <v>9898</v>
      </c>
      <c r="D8404" t="str">
        <f>"0031-7977"</f>
        <v>0031-7977</v>
      </c>
      <c r="E8404" t="s">
        <v>8</v>
      </c>
      <c r="F8404" t="s">
        <v>8409</v>
      </c>
      <c r="G8404">
        <v>2</v>
      </c>
    </row>
    <row r="8405" spans="1:7" x14ac:dyDescent="0.25">
      <c r="A8405">
        <v>3</v>
      </c>
      <c r="B8405" t="s">
        <v>8357</v>
      </c>
      <c r="C8405">
        <v>16616</v>
      </c>
      <c r="D8405" t="str">
        <f>"0030-8129"</f>
        <v>0030-8129</v>
      </c>
      <c r="E8405" t="s">
        <v>8</v>
      </c>
      <c r="F8405" t="s">
        <v>8410</v>
      </c>
      <c r="G8405">
        <v>2</v>
      </c>
    </row>
    <row r="8406" spans="1:7" x14ac:dyDescent="0.25">
      <c r="A8406">
        <v>3</v>
      </c>
      <c r="B8406" t="s">
        <v>8357</v>
      </c>
      <c r="C8406">
        <v>547</v>
      </c>
      <c r="D8406" t="str">
        <f>"0269-1213"</f>
        <v>0269-1213</v>
      </c>
      <c r="E8406" t="s">
        <v>8</v>
      </c>
      <c r="F8406" t="s">
        <v>8411</v>
      </c>
      <c r="G8406">
        <v>2</v>
      </c>
    </row>
    <row r="8407" spans="1:7" x14ac:dyDescent="0.25">
      <c r="A8407">
        <v>3</v>
      </c>
      <c r="B8407" t="s">
        <v>8357</v>
      </c>
      <c r="C8407">
        <v>9280</v>
      </c>
      <c r="D8407" t="str">
        <f>"0210-1874"</f>
        <v>0210-1874</v>
      </c>
      <c r="E8407" t="s">
        <v>8</v>
      </c>
      <c r="F8407" t="s">
        <v>8412</v>
      </c>
      <c r="G8407">
        <v>2</v>
      </c>
    </row>
    <row r="8408" spans="1:7" x14ac:dyDescent="0.25">
      <c r="A8408">
        <v>3</v>
      </c>
      <c r="B8408" t="s">
        <v>8357</v>
      </c>
      <c r="C8408">
        <v>3747</v>
      </c>
      <c r="D8408" t="str">
        <f>"0035-2411"</f>
        <v>0035-2411</v>
      </c>
      <c r="E8408" t="s">
        <v>8</v>
      </c>
      <c r="F8408" t="s">
        <v>8413</v>
      </c>
      <c r="G8408">
        <v>2</v>
      </c>
    </row>
    <row r="8409" spans="1:7" x14ac:dyDescent="0.25">
      <c r="A8409">
        <v>3</v>
      </c>
      <c r="B8409" t="s">
        <v>8357</v>
      </c>
      <c r="C8409">
        <v>2860</v>
      </c>
      <c r="D8409" t="str">
        <f>"0035-3906"</f>
        <v>0035-3906</v>
      </c>
      <c r="E8409" t="s">
        <v>8</v>
      </c>
      <c r="F8409" t="s">
        <v>8414</v>
      </c>
      <c r="G8409">
        <v>2</v>
      </c>
    </row>
    <row r="8410" spans="1:7" x14ac:dyDescent="0.25">
      <c r="A8410">
        <v>3</v>
      </c>
      <c r="B8410" t="s">
        <v>8357</v>
      </c>
      <c r="C8410">
        <v>5339</v>
      </c>
      <c r="D8410" t="str">
        <f>"0035-8002"</f>
        <v>0035-8002</v>
      </c>
      <c r="E8410" t="s">
        <v>8</v>
      </c>
      <c r="F8410" t="s">
        <v>8415</v>
      </c>
      <c r="G8410">
        <v>2</v>
      </c>
    </row>
    <row r="8411" spans="1:7" x14ac:dyDescent="0.25">
      <c r="A8411">
        <v>3</v>
      </c>
      <c r="B8411" t="s">
        <v>8357</v>
      </c>
      <c r="C8411">
        <v>2215</v>
      </c>
      <c r="D8411" t="str">
        <f>"0035-8126"</f>
        <v>0035-8126</v>
      </c>
      <c r="E8411" t="s">
        <v>8</v>
      </c>
      <c r="F8411" t="s">
        <v>8416</v>
      </c>
      <c r="G8411">
        <v>2</v>
      </c>
    </row>
    <row r="8412" spans="1:7" x14ac:dyDescent="0.25">
      <c r="A8412">
        <v>3</v>
      </c>
      <c r="B8412" t="s">
        <v>8357</v>
      </c>
      <c r="C8412">
        <v>2228</v>
      </c>
      <c r="D8412" t="str">
        <f>"0091-7729"</f>
        <v>0091-7729</v>
      </c>
      <c r="E8412" t="s">
        <v>8</v>
      </c>
      <c r="F8412" t="s">
        <v>8417</v>
      </c>
      <c r="G8412">
        <v>2</v>
      </c>
    </row>
    <row r="8413" spans="1:7" x14ac:dyDescent="0.25">
      <c r="A8413">
        <v>3</v>
      </c>
      <c r="B8413" t="s">
        <v>8357</v>
      </c>
      <c r="C8413">
        <v>7621</v>
      </c>
      <c r="D8413" t="str">
        <f>"0037-1939"</f>
        <v>0037-1939</v>
      </c>
      <c r="E8413" t="s">
        <v>8</v>
      </c>
      <c r="F8413" t="s">
        <v>8418</v>
      </c>
      <c r="G8413">
        <v>2</v>
      </c>
    </row>
    <row r="8414" spans="1:7" x14ac:dyDescent="0.25">
      <c r="A8414">
        <v>3</v>
      </c>
      <c r="B8414" t="s">
        <v>8357</v>
      </c>
      <c r="C8414">
        <v>5789</v>
      </c>
      <c r="D8414" t="str">
        <f>"0037-3222"</f>
        <v>0037-3222</v>
      </c>
      <c r="E8414" t="s">
        <v>8</v>
      </c>
      <c r="F8414" t="s">
        <v>8419</v>
      </c>
      <c r="G8414">
        <v>2</v>
      </c>
    </row>
    <row r="8415" spans="1:7" x14ac:dyDescent="0.25">
      <c r="A8415">
        <v>3</v>
      </c>
      <c r="B8415" t="s">
        <v>8357</v>
      </c>
      <c r="C8415">
        <v>16859</v>
      </c>
      <c r="D8415" t="str">
        <f>"0582-9399"</f>
        <v>0582-9399</v>
      </c>
      <c r="E8415" t="s">
        <v>8</v>
      </c>
      <c r="F8415" t="s">
        <v>8420</v>
      </c>
      <c r="G8415">
        <v>2</v>
      </c>
    </row>
    <row r="8416" spans="1:7" x14ac:dyDescent="0.25">
      <c r="A8416">
        <v>3</v>
      </c>
      <c r="B8416" t="s">
        <v>8357</v>
      </c>
      <c r="C8416">
        <v>8818</v>
      </c>
      <c r="D8416" t="str">
        <f>"0038-7134"</f>
        <v>0038-7134</v>
      </c>
      <c r="E8416" t="s">
        <v>8</v>
      </c>
      <c r="F8416" t="s">
        <v>8421</v>
      </c>
      <c r="G8416">
        <v>2</v>
      </c>
    </row>
    <row r="8417" spans="1:7" x14ac:dyDescent="0.25">
      <c r="A8417">
        <v>3</v>
      </c>
      <c r="B8417" t="s">
        <v>8357</v>
      </c>
      <c r="C8417">
        <v>11274</v>
      </c>
      <c r="D8417" t="str">
        <f>"0091-8083"</f>
        <v>0091-8083</v>
      </c>
      <c r="E8417" t="s">
        <v>8</v>
      </c>
      <c r="F8417" t="s">
        <v>8422</v>
      </c>
      <c r="G8417">
        <v>2</v>
      </c>
    </row>
    <row r="8418" spans="1:7" x14ac:dyDescent="0.25">
      <c r="A8418">
        <v>3</v>
      </c>
      <c r="B8418" t="s">
        <v>8357</v>
      </c>
      <c r="C8418">
        <v>9972</v>
      </c>
      <c r="D8418" t="str">
        <f>"0730-3238"</f>
        <v>0730-3238</v>
      </c>
      <c r="E8418" t="s">
        <v>8</v>
      </c>
      <c r="F8418" t="s">
        <v>8423</v>
      </c>
      <c r="G8418">
        <v>2</v>
      </c>
    </row>
    <row r="8419" spans="1:7" x14ac:dyDescent="0.25">
      <c r="A8419">
        <v>3</v>
      </c>
      <c r="B8419" t="s">
        <v>8357</v>
      </c>
      <c r="C8419">
        <v>6728</v>
      </c>
      <c r="D8419" t="str">
        <f>"0039-3738"</f>
        <v>0039-3738</v>
      </c>
      <c r="E8419" t="s">
        <v>8</v>
      </c>
      <c r="F8419" t="s">
        <v>8424</v>
      </c>
      <c r="G8419">
        <v>2</v>
      </c>
    </row>
    <row r="8420" spans="1:7" x14ac:dyDescent="0.25">
      <c r="A8420">
        <v>3</v>
      </c>
      <c r="B8420" t="s">
        <v>8357</v>
      </c>
      <c r="C8420">
        <v>5543</v>
      </c>
      <c r="D8420" t="str">
        <f>"0039-3762"</f>
        <v>0039-3762</v>
      </c>
      <c r="E8420" t="s">
        <v>8</v>
      </c>
      <c r="F8420" t="s">
        <v>8425</v>
      </c>
      <c r="G8420">
        <v>2</v>
      </c>
    </row>
    <row r="8421" spans="1:7" x14ac:dyDescent="0.25">
      <c r="A8421">
        <v>3</v>
      </c>
      <c r="B8421" t="s">
        <v>8357</v>
      </c>
      <c r="C8421">
        <v>12190</v>
      </c>
      <c r="D8421" t="str">
        <f>"0039-3827"</f>
        <v>0039-3827</v>
      </c>
      <c r="E8421" t="s">
        <v>8</v>
      </c>
      <c r="F8421" t="s">
        <v>8426</v>
      </c>
      <c r="G8421">
        <v>2</v>
      </c>
    </row>
    <row r="8422" spans="1:7" x14ac:dyDescent="0.25">
      <c r="A8422">
        <v>3</v>
      </c>
      <c r="B8422" t="s">
        <v>8357</v>
      </c>
      <c r="C8422">
        <v>13443</v>
      </c>
      <c r="D8422" t="str">
        <f>"0924-1884"</f>
        <v>0924-1884</v>
      </c>
      <c r="E8422" t="s">
        <v>8</v>
      </c>
      <c r="F8422" t="s">
        <v>8427</v>
      </c>
      <c r="G8422">
        <v>2</v>
      </c>
    </row>
    <row r="8423" spans="1:7" x14ac:dyDescent="0.25">
      <c r="A8423">
        <v>3</v>
      </c>
      <c r="B8423" t="s">
        <v>8357</v>
      </c>
      <c r="C8423">
        <v>3103</v>
      </c>
      <c r="D8423" t="str">
        <f>"0105-7014"</f>
        <v>0105-7014</v>
      </c>
      <c r="E8423" t="s">
        <v>8</v>
      </c>
      <c r="F8423" t="s">
        <v>8428</v>
      </c>
      <c r="G8423">
        <v>2</v>
      </c>
    </row>
    <row r="8424" spans="1:7" x14ac:dyDescent="0.25">
      <c r="A8424">
        <v>3</v>
      </c>
      <c r="B8424" t="s">
        <v>8357</v>
      </c>
      <c r="C8424">
        <v>16918</v>
      </c>
      <c r="D8424" t="str">
        <f>"0105-7065"</f>
        <v>0105-7065</v>
      </c>
      <c r="E8424" t="s">
        <v>15</v>
      </c>
      <c r="F8424" t="s">
        <v>8429</v>
      </c>
      <c r="G8424">
        <v>2</v>
      </c>
    </row>
    <row r="8425" spans="1:7" x14ac:dyDescent="0.25">
      <c r="A8425">
        <v>3</v>
      </c>
      <c r="B8425" t="s">
        <v>8357</v>
      </c>
      <c r="C8425">
        <v>14575</v>
      </c>
      <c r="D8425" t="str">
        <f>"0950-236X"</f>
        <v>0950-236X</v>
      </c>
      <c r="E8425" t="s">
        <v>8</v>
      </c>
      <c r="F8425" t="s">
        <v>8430</v>
      </c>
      <c r="G8425">
        <v>2</v>
      </c>
    </row>
    <row r="8426" spans="1:7" x14ac:dyDescent="0.25">
      <c r="A8426">
        <v>3</v>
      </c>
      <c r="B8426" t="s">
        <v>8357</v>
      </c>
      <c r="C8426">
        <v>5402</v>
      </c>
      <c r="D8426" t="str">
        <f>"0016-111X"</f>
        <v>0016-111X</v>
      </c>
      <c r="E8426" t="s">
        <v>8</v>
      </c>
      <c r="F8426" t="s">
        <v>8431</v>
      </c>
      <c r="G8426">
        <v>2</v>
      </c>
    </row>
    <row r="8427" spans="1:7" x14ac:dyDescent="0.25">
      <c r="A8427">
        <v>3</v>
      </c>
      <c r="B8427" t="s">
        <v>8357</v>
      </c>
      <c r="C8427">
        <v>14901</v>
      </c>
      <c r="D8427" t="str">
        <f>"0016-8831"</f>
        <v>0016-8831</v>
      </c>
      <c r="E8427" t="s">
        <v>8</v>
      </c>
      <c r="F8427" t="s">
        <v>8432</v>
      </c>
      <c r="G8427">
        <v>2</v>
      </c>
    </row>
    <row r="8428" spans="1:7" x14ac:dyDescent="0.25">
      <c r="A8428">
        <v>3</v>
      </c>
      <c r="B8428" t="s">
        <v>8357</v>
      </c>
      <c r="C8428">
        <v>16381</v>
      </c>
      <c r="D8428" t="str">
        <f>"0016-8890"</f>
        <v>0016-8890</v>
      </c>
      <c r="E8428" t="s">
        <v>8</v>
      </c>
      <c r="F8428" t="s">
        <v>8433</v>
      </c>
      <c r="G8428">
        <v>2</v>
      </c>
    </row>
    <row r="8429" spans="1:7" x14ac:dyDescent="0.25">
      <c r="A8429">
        <v>3</v>
      </c>
      <c r="B8429" t="s">
        <v>8357</v>
      </c>
      <c r="C8429">
        <v>23649</v>
      </c>
      <c r="D8429" t="str">
        <f>"0261-4340"</f>
        <v>0261-4340</v>
      </c>
      <c r="E8429" t="s">
        <v>8</v>
      </c>
      <c r="F8429" t="s">
        <v>8434</v>
      </c>
      <c r="G8429">
        <v>2</v>
      </c>
    </row>
    <row r="8430" spans="1:7" x14ac:dyDescent="0.25">
      <c r="A8430">
        <v>3</v>
      </c>
      <c r="B8430" t="s">
        <v>8357</v>
      </c>
      <c r="C8430">
        <v>12586</v>
      </c>
      <c r="D8430" t="str">
        <f>"1355-6509"</f>
        <v>1355-6509</v>
      </c>
      <c r="E8430" t="s">
        <v>8</v>
      </c>
      <c r="F8430" t="s">
        <v>8435</v>
      </c>
      <c r="G8430">
        <v>2</v>
      </c>
    </row>
    <row r="8431" spans="1:7" x14ac:dyDescent="0.25">
      <c r="A8431">
        <v>3</v>
      </c>
      <c r="B8431" t="s">
        <v>8357</v>
      </c>
      <c r="C8431">
        <v>16729</v>
      </c>
      <c r="D8431" t="str">
        <f>"0952-8822"</f>
        <v>0952-8822</v>
      </c>
      <c r="E8431" t="s">
        <v>8</v>
      </c>
      <c r="F8431" t="s">
        <v>8436</v>
      </c>
      <c r="G8431">
        <v>2</v>
      </c>
    </row>
    <row r="8432" spans="1:7" x14ac:dyDescent="0.25">
      <c r="A8432">
        <v>3</v>
      </c>
      <c r="B8432" t="s">
        <v>8357</v>
      </c>
      <c r="C8432">
        <v>16165</v>
      </c>
      <c r="D8432" t="str">
        <f>"0040-7550"</f>
        <v>0040-7550</v>
      </c>
      <c r="E8432" t="s">
        <v>8</v>
      </c>
      <c r="F8432" t="s">
        <v>8437</v>
      </c>
      <c r="G8432">
        <v>2</v>
      </c>
    </row>
    <row r="8433" spans="1:7" x14ac:dyDescent="0.25">
      <c r="A8433">
        <v>3</v>
      </c>
      <c r="B8433" t="s">
        <v>8357</v>
      </c>
      <c r="C8433">
        <v>14488</v>
      </c>
      <c r="D8433" t="str">
        <f>"0042-5206"</f>
        <v>0042-5206</v>
      </c>
      <c r="E8433" t="s">
        <v>8</v>
      </c>
      <c r="F8433" t="s">
        <v>8438</v>
      </c>
      <c r="G8433">
        <v>2</v>
      </c>
    </row>
    <row r="8434" spans="1:7" x14ac:dyDescent="0.25">
      <c r="A8434">
        <v>3</v>
      </c>
      <c r="B8434" t="s">
        <v>8357</v>
      </c>
      <c r="C8434">
        <v>11840</v>
      </c>
      <c r="D8434" t="str">
        <f>"0043-2199"</f>
        <v>0043-2199</v>
      </c>
      <c r="E8434" t="s">
        <v>8</v>
      </c>
      <c r="F8434" t="s">
        <v>8439</v>
      </c>
      <c r="G8434">
        <v>2</v>
      </c>
    </row>
    <row r="8435" spans="1:7" x14ac:dyDescent="0.25">
      <c r="A8435">
        <v>3</v>
      </c>
      <c r="B8435" t="s">
        <v>8357</v>
      </c>
      <c r="C8435">
        <v>6909</v>
      </c>
      <c r="D8435" t="str">
        <f>"0935-879X"</f>
        <v>0935-879X</v>
      </c>
      <c r="E8435" t="s">
        <v>8</v>
      </c>
      <c r="F8435" t="s">
        <v>8440</v>
      </c>
      <c r="G8435">
        <v>2</v>
      </c>
    </row>
    <row r="8436" spans="1:7" x14ac:dyDescent="0.25">
      <c r="A8436">
        <v>3</v>
      </c>
      <c r="B8436" t="s">
        <v>8357</v>
      </c>
      <c r="C8436">
        <v>3087</v>
      </c>
      <c r="D8436" t="str">
        <f>"0883-2919"</f>
        <v>0883-2919</v>
      </c>
      <c r="E8436" t="s">
        <v>8</v>
      </c>
      <c r="F8436" t="s">
        <v>8441</v>
      </c>
      <c r="G8436">
        <v>2</v>
      </c>
    </row>
    <row r="8437" spans="1:7" x14ac:dyDescent="0.25">
      <c r="A8437">
        <v>3</v>
      </c>
      <c r="B8437" t="s">
        <v>8357</v>
      </c>
      <c r="C8437">
        <v>12430</v>
      </c>
      <c r="D8437" t="str">
        <f>"0196-3570"</f>
        <v>0196-3570</v>
      </c>
      <c r="E8437" t="s">
        <v>8</v>
      </c>
      <c r="F8437" t="s">
        <v>8442</v>
      </c>
      <c r="G8437">
        <v>2</v>
      </c>
    </row>
    <row r="8438" spans="1:7" x14ac:dyDescent="0.25">
      <c r="A8438">
        <v>3</v>
      </c>
      <c r="B8438" t="s">
        <v>8357</v>
      </c>
      <c r="C8438">
        <v>5269</v>
      </c>
      <c r="D8438" t="str">
        <f>"0044-0078"</f>
        <v>0044-0078</v>
      </c>
      <c r="E8438" t="s">
        <v>15</v>
      </c>
      <c r="F8438" t="s">
        <v>8443</v>
      </c>
      <c r="G8438">
        <v>2</v>
      </c>
    </row>
    <row r="8439" spans="1:7" x14ac:dyDescent="0.25">
      <c r="A8439">
        <v>3</v>
      </c>
      <c r="B8439" t="s">
        <v>8357</v>
      </c>
      <c r="C8439">
        <v>6672</v>
      </c>
      <c r="D8439" t="str">
        <f>"0044-2496"</f>
        <v>0044-2496</v>
      </c>
      <c r="E8439" t="s">
        <v>8</v>
      </c>
      <c r="F8439" t="s">
        <v>8444</v>
      </c>
      <c r="G8439">
        <v>2</v>
      </c>
    </row>
    <row r="8440" spans="1:7" x14ac:dyDescent="0.25">
      <c r="A8440">
        <v>3</v>
      </c>
      <c r="B8440" t="s">
        <v>8357</v>
      </c>
      <c r="C8440">
        <v>13903</v>
      </c>
      <c r="D8440" t="str">
        <f>"0044-2518"</f>
        <v>0044-2518</v>
      </c>
      <c r="E8440" t="s">
        <v>8</v>
      </c>
      <c r="F8440" t="s">
        <v>8445</v>
      </c>
      <c r="G8440">
        <v>2</v>
      </c>
    </row>
    <row r="8441" spans="1:7" x14ac:dyDescent="0.25">
      <c r="A8441">
        <v>3</v>
      </c>
      <c r="B8441" t="s">
        <v>8357</v>
      </c>
      <c r="C8441">
        <v>8672</v>
      </c>
      <c r="D8441" t="str">
        <f>"0044-2747"</f>
        <v>0044-2747</v>
      </c>
      <c r="E8441" t="s">
        <v>8</v>
      </c>
      <c r="F8441" t="s">
        <v>8446</v>
      </c>
      <c r="G8441">
        <v>2</v>
      </c>
    </row>
    <row r="8442" spans="1:7" x14ac:dyDescent="0.25">
      <c r="A8442">
        <v>3</v>
      </c>
      <c r="B8442" t="s">
        <v>8357</v>
      </c>
      <c r="C8442">
        <v>11720</v>
      </c>
      <c r="D8442" t="str">
        <f>"0323-7982"</f>
        <v>0323-7982</v>
      </c>
      <c r="E8442" t="s">
        <v>8</v>
      </c>
      <c r="F8442" t="s">
        <v>8447</v>
      </c>
      <c r="G8442">
        <v>2</v>
      </c>
    </row>
    <row r="8443" spans="1:7" x14ac:dyDescent="0.25">
      <c r="A8443">
        <v>3</v>
      </c>
      <c r="B8443" t="s">
        <v>8357</v>
      </c>
      <c r="C8443">
        <v>7732486</v>
      </c>
      <c r="D8443" t="str">
        <f>"2240-8436"</f>
        <v>2240-8436</v>
      </c>
      <c r="E8443" t="s">
        <v>8</v>
      </c>
      <c r="F8443" t="s">
        <v>8448</v>
      </c>
      <c r="G8443">
        <v>1</v>
      </c>
    </row>
    <row r="8444" spans="1:7" x14ac:dyDescent="0.25">
      <c r="A8444">
        <v>3</v>
      </c>
      <c r="B8444" t="s">
        <v>8357</v>
      </c>
      <c r="C8444">
        <v>7735535</v>
      </c>
      <c r="D8444" t="str">
        <f>"2065-5924"</f>
        <v>2065-5924</v>
      </c>
      <c r="E8444" t="s">
        <v>8</v>
      </c>
      <c r="F8444" t="s">
        <v>8449</v>
      </c>
      <c r="G8444">
        <v>1</v>
      </c>
    </row>
    <row r="8445" spans="1:7" x14ac:dyDescent="0.25">
      <c r="A8445">
        <v>3</v>
      </c>
      <c r="B8445" t="s">
        <v>8357</v>
      </c>
      <c r="C8445">
        <v>180089</v>
      </c>
      <c r="D8445" t="str">
        <f>"2375-8856"</f>
        <v>2375-8856</v>
      </c>
      <c r="E8445" t="s">
        <v>8</v>
      </c>
      <c r="F8445" t="s">
        <v>8450</v>
      </c>
      <c r="G8445">
        <v>1</v>
      </c>
    </row>
    <row r="8446" spans="1:7" x14ac:dyDescent="0.25">
      <c r="A8446">
        <v>3</v>
      </c>
      <c r="B8446" t="s">
        <v>8357</v>
      </c>
      <c r="C8446">
        <v>14000</v>
      </c>
      <c r="D8446" t="str">
        <f>"0002-3957"</f>
        <v>0002-3957</v>
      </c>
      <c r="E8446" t="s">
        <v>8</v>
      </c>
      <c r="F8446" t="s">
        <v>8451</v>
      </c>
      <c r="G8446">
        <v>1</v>
      </c>
    </row>
    <row r="8447" spans="1:7" x14ac:dyDescent="0.25">
      <c r="A8447">
        <v>3</v>
      </c>
      <c r="B8447" t="s">
        <v>8357</v>
      </c>
      <c r="C8447">
        <v>5642</v>
      </c>
      <c r="D8447" t="str">
        <f>"1540-3084"</f>
        <v>1540-3084</v>
      </c>
      <c r="E8447" t="s">
        <v>8</v>
      </c>
      <c r="F8447" t="s">
        <v>8452</v>
      </c>
      <c r="G8447">
        <v>1</v>
      </c>
    </row>
    <row r="8448" spans="1:7" x14ac:dyDescent="0.25">
      <c r="A8448">
        <v>3</v>
      </c>
      <c r="B8448" t="s">
        <v>8357</v>
      </c>
      <c r="C8448">
        <v>12819</v>
      </c>
      <c r="D8448" t="str">
        <f>"0360-3709"</f>
        <v>0360-3709</v>
      </c>
      <c r="E8448" t="s">
        <v>8</v>
      </c>
      <c r="F8448" t="s">
        <v>8453</v>
      </c>
      <c r="G8448">
        <v>1</v>
      </c>
    </row>
    <row r="8449" spans="1:7" x14ac:dyDescent="0.25">
      <c r="A8449">
        <v>3</v>
      </c>
      <c r="B8449" t="s">
        <v>8357</v>
      </c>
      <c r="C8449">
        <v>8156</v>
      </c>
      <c r="D8449" t="str">
        <f>"0304-6257"</f>
        <v>0304-6257</v>
      </c>
      <c r="E8449" t="s">
        <v>15</v>
      </c>
      <c r="F8449" t="s">
        <v>8454</v>
      </c>
      <c r="G8449">
        <v>1</v>
      </c>
    </row>
    <row r="8450" spans="1:7" x14ac:dyDescent="0.25">
      <c r="A8450">
        <v>3</v>
      </c>
      <c r="B8450" t="s">
        <v>8357</v>
      </c>
      <c r="C8450">
        <v>2245</v>
      </c>
      <c r="D8450" t="str">
        <f>"0165-7305"</f>
        <v>0165-7305</v>
      </c>
      <c r="E8450" t="s">
        <v>15</v>
      </c>
      <c r="F8450" t="s">
        <v>8455</v>
      </c>
      <c r="G8450">
        <v>1</v>
      </c>
    </row>
    <row r="8451" spans="1:7" x14ac:dyDescent="0.25">
      <c r="A8451">
        <v>3</v>
      </c>
      <c r="B8451" t="s">
        <v>8357</v>
      </c>
      <c r="C8451">
        <v>6016704</v>
      </c>
      <c r="D8451" t="str">
        <f>"1438-2091"</f>
        <v>1438-2091</v>
      </c>
      <c r="E8451" t="s">
        <v>8</v>
      </c>
      <c r="F8451" t="s">
        <v>8456</v>
      </c>
      <c r="G8451">
        <v>1</v>
      </c>
    </row>
    <row r="8452" spans="1:7" x14ac:dyDescent="0.25">
      <c r="A8452">
        <v>3</v>
      </c>
      <c r="B8452" t="s">
        <v>8357</v>
      </c>
      <c r="C8452">
        <v>14815</v>
      </c>
      <c r="D8452" t="str">
        <f>"0947-0034"</f>
        <v>0947-0034</v>
      </c>
      <c r="E8452" t="s">
        <v>8</v>
      </c>
      <c r="F8452" t="s">
        <v>8457</v>
      </c>
      <c r="G8452">
        <v>1</v>
      </c>
    </row>
    <row r="8453" spans="1:7" x14ac:dyDescent="0.25">
      <c r="A8453">
        <v>3</v>
      </c>
      <c r="B8453" t="s">
        <v>8357</v>
      </c>
      <c r="C8453">
        <v>13101</v>
      </c>
      <c r="D8453" t="str">
        <f>"0399-0826"</f>
        <v>0399-0826</v>
      </c>
      <c r="E8453" t="s">
        <v>8</v>
      </c>
      <c r="F8453" t="s">
        <v>8458</v>
      </c>
      <c r="G8453">
        <v>1</v>
      </c>
    </row>
    <row r="8454" spans="1:7" x14ac:dyDescent="0.25">
      <c r="A8454">
        <v>3</v>
      </c>
      <c r="B8454" t="s">
        <v>8357</v>
      </c>
      <c r="C8454">
        <v>3580</v>
      </c>
      <c r="D8454" t="str">
        <f>"0171-5410"</f>
        <v>0171-5410</v>
      </c>
      <c r="E8454" t="s">
        <v>8</v>
      </c>
      <c r="F8454" t="s">
        <v>8459</v>
      </c>
      <c r="G8454">
        <v>1</v>
      </c>
    </row>
    <row r="8455" spans="1:7" x14ac:dyDescent="0.25">
      <c r="A8455">
        <v>3</v>
      </c>
      <c r="B8455" t="s">
        <v>8357</v>
      </c>
      <c r="C8455">
        <v>20686</v>
      </c>
      <c r="D8455" t="str">
        <f>"0723-2977"</f>
        <v>0723-2977</v>
      </c>
      <c r="E8455" t="s">
        <v>8</v>
      </c>
      <c r="F8455" t="s">
        <v>8460</v>
      </c>
      <c r="G8455">
        <v>1</v>
      </c>
    </row>
    <row r="8456" spans="1:7" x14ac:dyDescent="0.25">
      <c r="A8456">
        <v>3</v>
      </c>
      <c r="B8456" t="s">
        <v>8357</v>
      </c>
      <c r="C8456">
        <v>294</v>
      </c>
      <c r="D8456" t="str">
        <f>"0210-1963"</f>
        <v>0210-1963</v>
      </c>
      <c r="E8456" t="s">
        <v>8</v>
      </c>
      <c r="F8456" t="s">
        <v>8461</v>
      </c>
      <c r="G8456">
        <v>1</v>
      </c>
    </row>
    <row r="8457" spans="1:7" x14ac:dyDescent="0.25">
      <c r="A8457">
        <v>3</v>
      </c>
      <c r="B8457" t="s">
        <v>8357</v>
      </c>
      <c r="C8457">
        <v>24193</v>
      </c>
      <c r="D8457" t="str">
        <f>"0003-9233"</f>
        <v>0003-9233</v>
      </c>
      <c r="E8457" t="s">
        <v>8</v>
      </c>
      <c r="F8457" t="s">
        <v>8462</v>
      </c>
      <c r="G8457">
        <v>1</v>
      </c>
    </row>
    <row r="8458" spans="1:7" x14ac:dyDescent="0.25">
      <c r="A8458">
        <v>3</v>
      </c>
      <c r="B8458" t="s">
        <v>8357</v>
      </c>
      <c r="C8458">
        <v>7740067</v>
      </c>
      <c r="E8458" t="s">
        <v>15</v>
      </c>
      <c r="F8458" t="s">
        <v>8463</v>
      </c>
      <c r="G8458">
        <v>1</v>
      </c>
    </row>
    <row r="8459" spans="1:7" x14ac:dyDescent="0.25">
      <c r="A8459">
        <v>3</v>
      </c>
      <c r="B8459" t="s">
        <v>8357</v>
      </c>
      <c r="C8459">
        <v>11124</v>
      </c>
      <c r="D8459" t="str">
        <f>"0004-0207"</f>
        <v>0004-0207</v>
      </c>
      <c r="E8459" t="s">
        <v>8</v>
      </c>
      <c r="F8459" t="s">
        <v>8464</v>
      </c>
      <c r="G8459">
        <v>1</v>
      </c>
    </row>
    <row r="8460" spans="1:7" x14ac:dyDescent="0.25">
      <c r="A8460">
        <v>3</v>
      </c>
      <c r="B8460" t="s">
        <v>8357</v>
      </c>
      <c r="C8460">
        <v>91130</v>
      </c>
      <c r="D8460" t="str">
        <f>"0210-5624"</f>
        <v>0210-5624</v>
      </c>
      <c r="E8460" t="s">
        <v>8</v>
      </c>
      <c r="F8460" t="s">
        <v>8465</v>
      </c>
      <c r="G8460">
        <v>1</v>
      </c>
    </row>
    <row r="8461" spans="1:7" x14ac:dyDescent="0.25">
      <c r="A8461">
        <v>3</v>
      </c>
      <c r="B8461" t="s">
        <v>8357</v>
      </c>
      <c r="C8461">
        <v>10080</v>
      </c>
      <c r="D8461" t="str">
        <f>"0261-9946"</f>
        <v>0261-9946</v>
      </c>
      <c r="E8461" t="s">
        <v>8</v>
      </c>
      <c r="F8461" t="s">
        <v>8466</v>
      </c>
      <c r="G8461">
        <v>1</v>
      </c>
    </row>
    <row r="8462" spans="1:7" x14ac:dyDescent="0.25">
      <c r="A8462">
        <v>3</v>
      </c>
      <c r="B8462" t="s">
        <v>8357</v>
      </c>
      <c r="C8462">
        <v>1853</v>
      </c>
      <c r="D8462" t="str">
        <f>"1078-6279"</f>
        <v>1078-6279</v>
      </c>
      <c r="E8462" t="s">
        <v>8</v>
      </c>
      <c r="F8462" t="s">
        <v>8467</v>
      </c>
      <c r="G8462">
        <v>1</v>
      </c>
    </row>
    <row r="8463" spans="1:7" x14ac:dyDescent="0.25">
      <c r="A8463">
        <v>3</v>
      </c>
      <c r="B8463" t="s">
        <v>8357</v>
      </c>
      <c r="C8463">
        <v>151865</v>
      </c>
      <c r="D8463" t="str">
        <f>"0940-516X"</f>
        <v>0940-516X</v>
      </c>
      <c r="E8463" t="s">
        <v>15</v>
      </c>
      <c r="F8463" t="s">
        <v>8468</v>
      </c>
      <c r="G8463">
        <v>1</v>
      </c>
    </row>
    <row r="8464" spans="1:7" x14ac:dyDescent="0.25">
      <c r="A8464">
        <v>3</v>
      </c>
      <c r="B8464" t="s">
        <v>8357</v>
      </c>
      <c r="C8464">
        <v>12558</v>
      </c>
      <c r="D8464" t="str">
        <f>"0004-9468"</f>
        <v>0004-9468</v>
      </c>
      <c r="E8464" t="s">
        <v>8</v>
      </c>
      <c r="F8464" t="s">
        <v>8469</v>
      </c>
      <c r="G8464">
        <v>1</v>
      </c>
    </row>
    <row r="8465" spans="1:7" x14ac:dyDescent="0.25">
      <c r="A8465">
        <v>3</v>
      </c>
      <c r="B8465" t="s">
        <v>8357</v>
      </c>
      <c r="C8465">
        <v>12422</v>
      </c>
      <c r="D8465" t="str">
        <f>"0521-9744"</f>
        <v>0521-9744</v>
      </c>
      <c r="E8465" t="s">
        <v>8</v>
      </c>
      <c r="F8465" t="s">
        <v>8470</v>
      </c>
      <c r="G8465">
        <v>1</v>
      </c>
    </row>
    <row r="8466" spans="1:7" x14ac:dyDescent="0.25">
      <c r="A8466">
        <v>3</v>
      </c>
      <c r="B8466" t="s">
        <v>8357</v>
      </c>
      <c r="C8466">
        <v>18725</v>
      </c>
      <c r="D8466" t="str">
        <f>"0067-3951"</f>
        <v>0067-3951</v>
      </c>
      <c r="E8466" t="s">
        <v>8</v>
      </c>
      <c r="F8466" t="s">
        <v>8471</v>
      </c>
      <c r="G8466">
        <v>1</v>
      </c>
    </row>
    <row r="8467" spans="1:7" x14ac:dyDescent="0.25">
      <c r="A8467">
        <v>3</v>
      </c>
      <c r="B8467" t="s">
        <v>8357</v>
      </c>
      <c r="C8467">
        <v>7714575</v>
      </c>
      <c r="D8467" t="str">
        <f>"2190-3425"</f>
        <v>2190-3425</v>
      </c>
      <c r="E8467" t="s">
        <v>15</v>
      </c>
      <c r="F8467" t="s">
        <v>8472</v>
      </c>
      <c r="G8467">
        <v>1</v>
      </c>
    </row>
    <row r="8468" spans="1:7" x14ac:dyDescent="0.25">
      <c r="A8468">
        <v>3</v>
      </c>
      <c r="B8468" t="s">
        <v>8357</v>
      </c>
      <c r="C8468">
        <v>2015</v>
      </c>
      <c r="D8468" t="str">
        <f>"0160-628X"</f>
        <v>0160-628X</v>
      </c>
      <c r="E8468" t="s">
        <v>8</v>
      </c>
      <c r="F8468" t="s">
        <v>8473</v>
      </c>
      <c r="G8468">
        <v>1</v>
      </c>
    </row>
    <row r="8469" spans="1:7" x14ac:dyDescent="0.25">
      <c r="A8469">
        <v>3</v>
      </c>
      <c r="B8469" t="s">
        <v>8357</v>
      </c>
      <c r="C8469">
        <v>11422</v>
      </c>
      <c r="D8469" t="str">
        <f>"0210-4822"</f>
        <v>0210-4822</v>
      </c>
      <c r="E8469" t="s">
        <v>8</v>
      </c>
      <c r="F8469" t="s">
        <v>8474</v>
      </c>
      <c r="G8469">
        <v>1</v>
      </c>
    </row>
    <row r="8470" spans="1:7" x14ac:dyDescent="0.25">
      <c r="A8470">
        <v>3</v>
      </c>
      <c r="B8470" t="s">
        <v>8357</v>
      </c>
      <c r="C8470">
        <v>11223</v>
      </c>
      <c r="D8470" t="str">
        <f>"0798-9709"</f>
        <v>0798-9709</v>
      </c>
      <c r="E8470" t="s">
        <v>8</v>
      </c>
      <c r="F8470" t="s">
        <v>8475</v>
      </c>
      <c r="G8470">
        <v>1</v>
      </c>
    </row>
    <row r="8471" spans="1:7" x14ac:dyDescent="0.25">
      <c r="A8471">
        <v>3</v>
      </c>
      <c r="B8471" t="s">
        <v>8357</v>
      </c>
      <c r="C8471">
        <v>27394</v>
      </c>
      <c r="D8471" t="str">
        <f>"1074-2247"</f>
        <v>1074-2247</v>
      </c>
      <c r="E8471" t="s">
        <v>8</v>
      </c>
      <c r="F8471" t="s">
        <v>8476</v>
      </c>
      <c r="G8471">
        <v>1</v>
      </c>
    </row>
    <row r="8472" spans="1:7" x14ac:dyDescent="0.25">
      <c r="A8472">
        <v>3</v>
      </c>
      <c r="B8472" t="s">
        <v>8357</v>
      </c>
      <c r="C8472">
        <v>7720000</v>
      </c>
      <c r="D8472" t="str">
        <f>"2178-3640"</f>
        <v>2178-3640</v>
      </c>
      <c r="E8472" t="s">
        <v>8</v>
      </c>
      <c r="F8472" t="s">
        <v>8477</v>
      </c>
      <c r="G8472">
        <v>1</v>
      </c>
    </row>
    <row r="8473" spans="1:7" x14ac:dyDescent="0.25">
      <c r="A8473">
        <v>3</v>
      </c>
      <c r="B8473" t="s">
        <v>8357</v>
      </c>
      <c r="C8473">
        <v>130861</v>
      </c>
      <c r="D8473" t="str">
        <f>"0734-8665"</f>
        <v>0734-8665</v>
      </c>
      <c r="E8473" t="s">
        <v>8</v>
      </c>
      <c r="F8473" t="s">
        <v>8478</v>
      </c>
      <c r="G8473">
        <v>1</v>
      </c>
    </row>
    <row r="8474" spans="1:7" x14ac:dyDescent="0.25">
      <c r="A8474">
        <v>3</v>
      </c>
      <c r="B8474" t="s">
        <v>8357</v>
      </c>
      <c r="C8474">
        <v>15769</v>
      </c>
      <c r="D8474" t="str">
        <f>"0269-9222"</f>
        <v>0269-9222</v>
      </c>
      <c r="E8474" t="s">
        <v>8</v>
      </c>
      <c r="F8474" t="s">
        <v>8479</v>
      </c>
      <c r="G8474">
        <v>1</v>
      </c>
    </row>
    <row r="8475" spans="1:7" x14ac:dyDescent="0.25">
      <c r="A8475">
        <v>3</v>
      </c>
      <c r="B8475" t="s">
        <v>8357</v>
      </c>
      <c r="C8475">
        <v>27212</v>
      </c>
      <c r="D8475" t="str">
        <f>"0524-6881"</f>
        <v>0524-6881</v>
      </c>
      <c r="E8475" t="s">
        <v>8</v>
      </c>
      <c r="F8475" t="s">
        <v>8480</v>
      </c>
      <c r="G8475">
        <v>1</v>
      </c>
    </row>
    <row r="8476" spans="1:7" x14ac:dyDescent="0.25">
      <c r="A8476">
        <v>3</v>
      </c>
      <c r="B8476" t="s">
        <v>8357</v>
      </c>
      <c r="C8476">
        <v>67154</v>
      </c>
      <c r="D8476" t="str">
        <f>"1803-7380"</f>
        <v>1803-7380</v>
      </c>
      <c r="E8476" t="s">
        <v>8</v>
      </c>
      <c r="F8476" t="s">
        <v>8481</v>
      </c>
      <c r="G8476">
        <v>1</v>
      </c>
    </row>
    <row r="8477" spans="1:7" x14ac:dyDescent="0.25">
      <c r="A8477">
        <v>3</v>
      </c>
      <c r="B8477" t="s">
        <v>8357</v>
      </c>
      <c r="C8477">
        <v>27415</v>
      </c>
      <c r="D8477" t="str">
        <f>"1414-526X"</f>
        <v>1414-526X</v>
      </c>
      <c r="E8477" t="s">
        <v>8</v>
      </c>
      <c r="F8477" t="s">
        <v>8482</v>
      </c>
      <c r="G8477">
        <v>1</v>
      </c>
    </row>
    <row r="8478" spans="1:7" x14ac:dyDescent="0.25">
      <c r="A8478">
        <v>3</v>
      </c>
      <c r="B8478" t="s">
        <v>8357</v>
      </c>
      <c r="C8478">
        <v>27764</v>
      </c>
      <c r="D8478" t="str">
        <f>"1384-5357"</f>
        <v>1384-5357</v>
      </c>
      <c r="E8478" t="s">
        <v>15</v>
      </c>
      <c r="F8478" t="s">
        <v>8483</v>
      </c>
      <c r="G8478">
        <v>1</v>
      </c>
    </row>
    <row r="8479" spans="1:7" x14ac:dyDescent="0.25">
      <c r="A8479">
        <v>3</v>
      </c>
      <c r="B8479" t="s">
        <v>8357</v>
      </c>
      <c r="C8479">
        <v>63344</v>
      </c>
      <c r="D8479" t="str">
        <f>"0765-4944"</f>
        <v>0765-4944</v>
      </c>
      <c r="E8479" t="s">
        <v>8</v>
      </c>
      <c r="F8479" t="s">
        <v>8484</v>
      </c>
      <c r="G8479">
        <v>1</v>
      </c>
    </row>
    <row r="8480" spans="1:7" x14ac:dyDescent="0.25">
      <c r="A8480">
        <v>3</v>
      </c>
      <c r="B8480" t="s">
        <v>8357</v>
      </c>
      <c r="C8480">
        <v>11375</v>
      </c>
      <c r="D8480" t="str">
        <f>"0184-7678"</f>
        <v>0184-7678</v>
      </c>
      <c r="E8480" t="s">
        <v>8</v>
      </c>
      <c r="F8480" t="s">
        <v>8485</v>
      </c>
      <c r="G8480">
        <v>1</v>
      </c>
    </row>
    <row r="8481" spans="1:7" x14ac:dyDescent="0.25">
      <c r="A8481">
        <v>3</v>
      </c>
      <c r="B8481" t="s">
        <v>8357</v>
      </c>
      <c r="C8481">
        <v>4884</v>
      </c>
      <c r="D8481" t="str">
        <f>"1353-0089"</f>
        <v>1353-0089</v>
      </c>
      <c r="E8481" t="s">
        <v>8</v>
      </c>
      <c r="F8481" t="s">
        <v>8486</v>
      </c>
      <c r="G8481">
        <v>1</v>
      </c>
    </row>
    <row r="8482" spans="1:7" x14ac:dyDescent="0.25">
      <c r="A8482">
        <v>3</v>
      </c>
      <c r="B8482" t="s">
        <v>8357</v>
      </c>
      <c r="C8482">
        <v>79222</v>
      </c>
      <c r="D8482" t="str">
        <f>"0225-0500"</f>
        <v>0225-0500</v>
      </c>
      <c r="E8482" t="s">
        <v>8</v>
      </c>
      <c r="F8482" t="s">
        <v>8487</v>
      </c>
      <c r="G8482">
        <v>1</v>
      </c>
    </row>
    <row r="8483" spans="1:7" x14ac:dyDescent="0.25">
      <c r="A8483">
        <v>3</v>
      </c>
      <c r="B8483" t="s">
        <v>8357</v>
      </c>
      <c r="C8483">
        <v>13937</v>
      </c>
      <c r="D8483" t="str">
        <f>"0704-5646"</f>
        <v>0704-5646</v>
      </c>
      <c r="E8483" t="s">
        <v>8</v>
      </c>
      <c r="F8483" t="s">
        <v>8488</v>
      </c>
      <c r="G8483">
        <v>1</v>
      </c>
    </row>
    <row r="8484" spans="1:7" x14ac:dyDescent="0.25">
      <c r="A8484">
        <v>3</v>
      </c>
      <c r="B8484" t="s">
        <v>8357</v>
      </c>
      <c r="C8484">
        <v>9827</v>
      </c>
      <c r="D8484" t="str">
        <f>"1147-6753"</f>
        <v>1147-6753</v>
      </c>
      <c r="E8484" t="s">
        <v>8</v>
      </c>
      <c r="F8484" t="s">
        <v>8489</v>
      </c>
      <c r="G8484">
        <v>1</v>
      </c>
    </row>
    <row r="8485" spans="1:7" x14ac:dyDescent="0.25">
      <c r="A8485">
        <v>3</v>
      </c>
      <c r="B8485" t="s">
        <v>8357</v>
      </c>
      <c r="C8485">
        <v>153926</v>
      </c>
      <c r="D8485" t="str">
        <f>"1292-8968"</f>
        <v>1292-8968</v>
      </c>
      <c r="E8485" t="s">
        <v>8</v>
      </c>
      <c r="F8485" t="s">
        <v>8490</v>
      </c>
      <c r="G8485">
        <v>1</v>
      </c>
    </row>
    <row r="8486" spans="1:7" x14ac:dyDescent="0.25">
      <c r="A8486">
        <v>3</v>
      </c>
      <c r="B8486" t="s">
        <v>8357</v>
      </c>
      <c r="C8486">
        <v>16744</v>
      </c>
      <c r="D8486" t="str">
        <f>"1358-684X"</f>
        <v>1358-684X</v>
      </c>
      <c r="E8486" t="s">
        <v>8</v>
      </c>
      <c r="F8486" t="s">
        <v>8491</v>
      </c>
      <c r="G8486">
        <v>1</v>
      </c>
    </row>
    <row r="8487" spans="1:7" x14ac:dyDescent="0.25">
      <c r="A8487">
        <v>3</v>
      </c>
      <c r="B8487" t="s">
        <v>8357</v>
      </c>
      <c r="C8487">
        <v>8771311</v>
      </c>
      <c r="E8487" t="s">
        <v>8</v>
      </c>
      <c r="F8487" t="s">
        <v>8492</v>
      </c>
      <c r="G8487">
        <v>1</v>
      </c>
    </row>
    <row r="8488" spans="1:7" x14ac:dyDescent="0.25">
      <c r="A8488">
        <v>3</v>
      </c>
      <c r="B8488" t="s">
        <v>8357</v>
      </c>
      <c r="C8488">
        <v>2164</v>
      </c>
      <c r="D8488" t="str">
        <f>"0010-096X"</f>
        <v>0010-096X</v>
      </c>
      <c r="E8488" t="s">
        <v>8</v>
      </c>
      <c r="F8488" t="s">
        <v>8493</v>
      </c>
      <c r="G8488">
        <v>1</v>
      </c>
    </row>
    <row r="8489" spans="1:7" x14ac:dyDescent="0.25">
      <c r="A8489">
        <v>3</v>
      </c>
      <c r="B8489" t="s">
        <v>8357</v>
      </c>
      <c r="C8489">
        <v>12761</v>
      </c>
      <c r="D8489" t="str">
        <f>"0010-0994"</f>
        <v>0010-0994</v>
      </c>
      <c r="E8489" t="s">
        <v>8</v>
      </c>
      <c r="F8489" t="s">
        <v>8494</v>
      </c>
      <c r="G8489">
        <v>1</v>
      </c>
    </row>
    <row r="8490" spans="1:7" x14ac:dyDescent="0.25">
      <c r="A8490">
        <v>3</v>
      </c>
      <c r="B8490" t="s">
        <v>8357</v>
      </c>
      <c r="C8490">
        <v>8359</v>
      </c>
      <c r="D8490" t="str">
        <f>"0010-1338"</f>
        <v>0010-1338</v>
      </c>
      <c r="E8490" t="s">
        <v>8</v>
      </c>
      <c r="F8490" t="s">
        <v>8495</v>
      </c>
      <c r="G8490">
        <v>1</v>
      </c>
    </row>
    <row r="8491" spans="1:7" x14ac:dyDescent="0.25">
      <c r="A8491">
        <v>3</v>
      </c>
      <c r="B8491" t="s">
        <v>8357</v>
      </c>
      <c r="C8491">
        <v>7662518</v>
      </c>
      <c r="D8491" t="str">
        <f>"2245-5744"</f>
        <v>2245-5744</v>
      </c>
      <c r="E8491" t="s">
        <v>8</v>
      </c>
      <c r="F8491" t="s">
        <v>8496</v>
      </c>
      <c r="G8491">
        <v>1</v>
      </c>
    </row>
    <row r="8492" spans="1:7" x14ac:dyDescent="0.25">
      <c r="A8492">
        <v>3</v>
      </c>
      <c r="B8492" t="s">
        <v>8357</v>
      </c>
      <c r="C8492">
        <v>180088</v>
      </c>
      <c r="D8492" t="str">
        <f>"2065-099X"</f>
        <v>2065-099X</v>
      </c>
      <c r="E8492" t="s">
        <v>8</v>
      </c>
      <c r="F8492" t="s">
        <v>8497</v>
      </c>
      <c r="G8492">
        <v>1</v>
      </c>
    </row>
    <row r="8493" spans="1:7" x14ac:dyDescent="0.25">
      <c r="A8493">
        <v>3</v>
      </c>
      <c r="B8493" t="s">
        <v>8357</v>
      </c>
      <c r="C8493">
        <v>15389</v>
      </c>
      <c r="D8493" t="str">
        <f>"0888-6091"</f>
        <v>0888-6091</v>
      </c>
      <c r="E8493" t="s">
        <v>8</v>
      </c>
      <c r="F8493" t="s">
        <v>8498</v>
      </c>
      <c r="G8493">
        <v>1</v>
      </c>
    </row>
    <row r="8494" spans="1:7" x14ac:dyDescent="0.25">
      <c r="A8494">
        <v>3</v>
      </c>
      <c r="B8494" t="s">
        <v>8357</v>
      </c>
      <c r="C8494">
        <v>8872</v>
      </c>
      <c r="D8494" t="str">
        <f>"0010-6356"</f>
        <v>0010-6356</v>
      </c>
      <c r="E8494" t="s">
        <v>8</v>
      </c>
      <c r="F8494" t="s">
        <v>8499</v>
      </c>
      <c r="G8494">
        <v>1</v>
      </c>
    </row>
    <row r="8495" spans="1:7" x14ac:dyDescent="0.25">
      <c r="A8495">
        <v>3</v>
      </c>
      <c r="B8495" t="s">
        <v>8357</v>
      </c>
      <c r="C8495">
        <v>180084</v>
      </c>
      <c r="D8495" t="str">
        <f>"2172-9506"</f>
        <v>2172-9506</v>
      </c>
      <c r="E8495" t="s">
        <v>8</v>
      </c>
      <c r="F8495" t="s">
        <v>8500</v>
      </c>
      <c r="G8495">
        <v>1</v>
      </c>
    </row>
    <row r="8496" spans="1:7" x14ac:dyDescent="0.25">
      <c r="A8496">
        <v>3</v>
      </c>
      <c r="B8496" t="s">
        <v>8357</v>
      </c>
      <c r="C8496">
        <v>27702</v>
      </c>
      <c r="D8496" t="str">
        <f>"1127-3070"</f>
        <v>1127-3070</v>
      </c>
      <c r="E8496" t="s">
        <v>8</v>
      </c>
      <c r="F8496" t="s">
        <v>8501</v>
      </c>
      <c r="G8496">
        <v>1</v>
      </c>
    </row>
    <row r="8497" spans="1:7" x14ac:dyDescent="0.25">
      <c r="A8497">
        <v>3</v>
      </c>
      <c r="B8497" t="s">
        <v>8357</v>
      </c>
      <c r="C8497">
        <v>16040</v>
      </c>
      <c r="D8497" t="str">
        <f>"1532-687X"</f>
        <v>1532-687X</v>
      </c>
      <c r="E8497" t="s">
        <v>8</v>
      </c>
      <c r="F8497" t="s">
        <v>8502</v>
      </c>
      <c r="G8497">
        <v>1</v>
      </c>
    </row>
    <row r="8498" spans="1:7" x14ac:dyDescent="0.25">
      <c r="A8498">
        <v>3</v>
      </c>
      <c r="B8498" t="s">
        <v>8357</v>
      </c>
      <c r="C8498">
        <v>27121</v>
      </c>
      <c r="D8498" t="str">
        <f>"1127-1140"</f>
        <v>1127-1140</v>
      </c>
      <c r="E8498" t="s">
        <v>8</v>
      </c>
      <c r="F8498" t="s">
        <v>8503</v>
      </c>
      <c r="G8498">
        <v>1</v>
      </c>
    </row>
    <row r="8499" spans="1:7" x14ac:dyDescent="0.25">
      <c r="A8499">
        <v>3</v>
      </c>
      <c r="B8499" t="s">
        <v>8357</v>
      </c>
      <c r="C8499">
        <v>1077</v>
      </c>
      <c r="D8499" t="str">
        <f>"0278-7261"</f>
        <v>0278-7261</v>
      </c>
      <c r="E8499" t="s">
        <v>8</v>
      </c>
      <c r="F8499" t="s">
        <v>8504</v>
      </c>
      <c r="G8499">
        <v>1</v>
      </c>
    </row>
    <row r="8500" spans="1:7" x14ac:dyDescent="0.25">
      <c r="A8500">
        <v>3</v>
      </c>
      <c r="B8500" t="s">
        <v>8357</v>
      </c>
      <c r="C8500">
        <v>6599</v>
      </c>
      <c r="D8500" t="str">
        <f>"1697-7750"</f>
        <v>1697-7750</v>
      </c>
      <c r="E8500" t="s">
        <v>8</v>
      </c>
      <c r="F8500" t="s">
        <v>8505</v>
      </c>
      <c r="G8500">
        <v>1</v>
      </c>
    </row>
    <row r="8501" spans="1:7" x14ac:dyDescent="0.25">
      <c r="A8501">
        <v>3</v>
      </c>
      <c r="B8501" t="s">
        <v>8357</v>
      </c>
      <c r="C8501">
        <v>7036</v>
      </c>
      <c r="D8501" t="str">
        <f>"0011-4936"</f>
        <v>0011-4936</v>
      </c>
      <c r="E8501" t="s">
        <v>8</v>
      </c>
      <c r="F8501" t="s">
        <v>8506</v>
      </c>
      <c r="G8501">
        <v>1</v>
      </c>
    </row>
    <row r="8502" spans="1:7" x14ac:dyDescent="0.25">
      <c r="A8502">
        <v>3</v>
      </c>
      <c r="B8502" t="s">
        <v>8357</v>
      </c>
      <c r="C8502">
        <v>27780</v>
      </c>
      <c r="D8502" t="str">
        <f>"0070-2862"</f>
        <v>0070-2862</v>
      </c>
      <c r="E8502" t="s">
        <v>8</v>
      </c>
      <c r="F8502" t="s">
        <v>8507</v>
      </c>
      <c r="G8502">
        <v>1</v>
      </c>
    </row>
    <row r="8503" spans="1:7" x14ac:dyDescent="0.25">
      <c r="A8503">
        <v>3</v>
      </c>
      <c r="B8503" t="s">
        <v>8357</v>
      </c>
      <c r="C8503">
        <v>122894</v>
      </c>
      <c r="D8503" t="str">
        <f>"1617-8440"</f>
        <v>1617-8440</v>
      </c>
      <c r="E8503" t="s">
        <v>15</v>
      </c>
      <c r="F8503" t="s">
        <v>8508</v>
      </c>
      <c r="G8503">
        <v>1</v>
      </c>
    </row>
    <row r="8504" spans="1:7" x14ac:dyDescent="0.25">
      <c r="A8504">
        <v>3</v>
      </c>
      <c r="B8504" t="s">
        <v>8357</v>
      </c>
      <c r="C8504">
        <v>12599</v>
      </c>
      <c r="D8504" t="str">
        <f>"0300-693X"</f>
        <v>0300-693X</v>
      </c>
      <c r="E8504" t="s">
        <v>8</v>
      </c>
      <c r="F8504" t="s">
        <v>8509</v>
      </c>
      <c r="G8504">
        <v>1</v>
      </c>
    </row>
    <row r="8505" spans="1:7" x14ac:dyDescent="0.25">
      <c r="A8505">
        <v>3</v>
      </c>
      <c r="B8505" t="s">
        <v>8357</v>
      </c>
      <c r="C8505">
        <v>26088</v>
      </c>
      <c r="D8505" t="str">
        <f>"0340-2258"</f>
        <v>0340-2258</v>
      </c>
      <c r="E8505" t="s">
        <v>8</v>
      </c>
      <c r="F8505" t="s">
        <v>8510</v>
      </c>
      <c r="G8505">
        <v>1</v>
      </c>
    </row>
    <row r="8506" spans="1:7" x14ac:dyDescent="0.25">
      <c r="A8506">
        <v>3</v>
      </c>
      <c r="B8506" t="s">
        <v>8357</v>
      </c>
      <c r="C8506">
        <v>12021</v>
      </c>
      <c r="D8506" t="str">
        <f>"0340-9341"</f>
        <v>0340-9341</v>
      </c>
      <c r="E8506" t="s">
        <v>8</v>
      </c>
      <c r="F8506" t="s">
        <v>8511</v>
      </c>
      <c r="G8506">
        <v>1</v>
      </c>
    </row>
    <row r="8507" spans="1:7" x14ac:dyDescent="0.25">
      <c r="A8507">
        <v>3</v>
      </c>
      <c r="B8507" t="s">
        <v>8357</v>
      </c>
      <c r="C8507">
        <v>7689442</v>
      </c>
      <c r="D8507" t="str">
        <f>"2198-6304"</f>
        <v>2198-6304</v>
      </c>
      <c r="E8507" t="s">
        <v>15</v>
      </c>
      <c r="F8507" t="s">
        <v>8512</v>
      </c>
      <c r="G8507">
        <v>1</v>
      </c>
    </row>
    <row r="8508" spans="1:7" x14ac:dyDescent="0.25">
      <c r="A8508">
        <v>3</v>
      </c>
      <c r="B8508" t="s">
        <v>8357</v>
      </c>
      <c r="C8508">
        <v>4416</v>
      </c>
      <c r="D8508" t="str">
        <f>"0742-5473"</f>
        <v>0742-5473</v>
      </c>
      <c r="E8508" t="s">
        <v>8</v>
      </c>
      <c r="F8508" t="s">
        <v>8513</v>
      </c>
      <c r="G8508">
        <v>1</v>
      </c>
    </row>
    <row r="8509" spans="1:7" x14ac:dyDescent="0.25">
      <c r="A8509">
        <v>3</v>
      </c>
      <c r="B8509" t="s">
        <v>8357</v>
      </c>
      <c r="C8509">
        <v>4224</v>
      </c>
      <c r="D8509" t="str">
        <f>"0084-9812"</f>
        <v>0084-9812</v>
      </c>
      <c r="E8509" t="s">
        <v>8</v>
      </c>
      <c r="F8509" t="s">
        <v>8514</v>
      </c>
      <c r="G8509">
        <v>1</v>
      </c>
    </row>
    <row r="8510" spans="1:7" x14ac:dyDescent="0.25">
      <c r="A8510">
        <v>3</v>
      </c>
      <c r="B8510" t="s">
        <v>8357</v>
      </c>
      <c r="C8510">
        <v>9548</v>
      </c>
      <c r="D8510" t="str">
        <f>"0012-2440"</f>
        <v>0012-2440</v>
      </c>
      <c r="E8510" t="s">
        <v>8</v>
      </c>
      <c r="F8510" t="s">
        <v>8515</v>
      </c>
      <c r="G8510">
        <v>1</v>
      </c>
    </row>
    <row r="8511" spans="1:7" x14ac:dyDescent="0.25">
      <c r="A8511">
        <v>3</v>
      </c>
      <c r="B8511" t="s">
        <v>8357</v>
      </c>
      <c r="C8511">
        <v>7740618</v>
      </c>
      <c r="D8511" t="str">
        <f>"2194-5497"</f>
        <v>2194-5497</v>
      </c>
      <c r="E8511" t="s">
        <v>15</v>
      </c>
      <c r="F8511" t="s">
        <v>8516</v>
      </c>
      <c r="G8511">
        <v>1</v>
      </c>
    </row>
    <row r="8512" spans="1:7" x14ac:dyDescent="0.25">
      <c r="A8512">
        <v>3</v>
      </c>
      <c r="B8512" t="s">
        <v>8357</v>
      </c>
      <c r="C8512">
        <v>10882</v>
      </c>
      <c r="D8512" t="str">
        <f>"0921-2507"</f>
        <v>0921-2507</v>
      </c>
      <c r="E8512" t="s">
        <v>15</v>
      </c>
      <c r="F8512" t="s">
        <v>8517</v>
      </c>
      <c r="G8512">
        <v>1</v>
      </c>
    </row>
    <row r="8513" spans="1:7" x14ac:dyDescent="0.25">
      <c r="A8513">
        <v>3</v>
      </c>
      <c r="B8513" t="s">
        <v>8357</v>
      </c>
      <c r="C8513">
        <v>21632</v>
      </c>
      <c r="D8513" t="str">
        <f>"0309-6564"</f>
        <v>0309-6564</v>
      </c>
      <c r="E8513" t="s">
        <v>8</v>
      </c>
      <c r="F8513" t="s">
        <v>8518</v>
      </c>
      <c r="G8513">
        <v>1</v>
      </c>
    </row>
    <row r="8514" spans="1:7" x14ac:dyDescent="0.25">
      <c r="A8514">
        <v>3</v>
      </c>
      <c r="B8514" t="s">
        <v>8357</v>
      </c>
      <c r="C8514">
        <v>14412</v>
      </c>
      <c r="D8514" t="str">
        <f>"0012-8163"</f>
        <v>0012-8163</v>
      </c>
      <c r="E8514" t="s">
        <v>8</v>
      </c>
      <c r="F8514" t="s">
        <v>8519</v>
      </c>
      <c r="G8514">
        <v>1</v>
      </c>
    </row>
    <row r="8515" spans="1:7" x14ac:dyDescent="0.25">
      <c r="A8515">
        <v>3</v>
      </c>
      <c r="B8515" t="s">
        <v>8357</v>
      </c>
      <c r="C8515">
        <v>170026</v>
      </c>
      <c r="E8515" t="s">
        <v>8</v>
      </c>
      <c r="F8515" t="s">
        <v>8520</v>
      </c>
      <c r="G8515">
        <v>1</v>
      </c>
    </row>
    <row r="8516" spans="1:7" x14ac:dyDescent="0.25">
      <c r="A8516">
        <v>3</v>
      </c>
      <c r="B8516" t="s">
        <v>8357</v>
      </c>
      <c r="C8516">
        <v>7702714</v>
      </c>
      <c r="E8516" t="s">
        <v>15</v>
      </c>
      <c r="F8516" t="s">
        <v>8521</v>
      </c>
      <c r="G8516">
        <v>1</v>
      </c>
    </row>
    <row r="8517" spans="1:7" x14ac:dyDescent="0.25">
      <c r="A8517">
        <v>3</v>
      </c>
      <c r="B8517" t="s">
        <v>8357</v>
      </c>
      <c r="C8517">
        <v>92354</v>
      </c>
      <c r="E8517" t="s">
        <v>8</v>
      </c>
      <c r="F8517" t="s">
        <v>8522</v>
      </c>
      <c r="G8517">
        <v>1</v>
      </c>
    </row>
    <row r="8518" spans="1:7" x14ac:dyDescent="0.25">
      <c r="A8518">
        <v>3</v>
      </c>
      <c r="B8518" t="s">
        <v>8357</v>
      </c>
      <c r="C8518">
        <v>13786</v>
      </c>
      <c r="D8518" t="str">
        <f>"0098-2601"</f>
        <v>0098-2601</v>
      </c>
      <c r="E8518" t="s">
        <v>8</v>
      </c>
      <c r="F8518" t="s">
        <v>8523</v>
      </c>
      <c r="G8518">
        <v>1</v>
      </c>
    </row>
    <row r="8519" spans="1:7" x14ac:dyDescent="0.25">
      <c r="A8519">
        <v>3</v>
      </c>
      <c r="B8519" t="s">
        <v>8357</v>
      </c>
      <c r="C8519">
        <v>10308</v>
      </c>
      <c r="D8519" t="str">
        <f>"0013-2683"</f>
        <v>0013-2683</v>
      </c>
      <c r="E8519" t="s">
        <v>8</v>
      </c>
      <c r="F8519" t="s">
        <v>8524</v>
      </c>
      <c r="G8519">
        <v>1</v>
      </c>
    </row>
    <row r="8520" spans="1:7" x14ac:dyDescent="0.25">
      <c r="A8520">
        <v>3</v>
      </c>
      <c r="B8520" t="s">
        <v>8357</v>
      </c>
      <c r="C8520">
        <v>4223</v>
      </c>
      <c r="D8520" t="str">
        <f>"0951-0893"</f>
        <v>0951-0893</v>
      </c>
      <c r="E8520" t="s">
        <v>8</v>
      </c>
      <c r="F8520" t="s">
        <v>8525</v>
      </c>
      <c r="G8520">
        <v>1</v>
      </c>
    </row>
    <row r="8521" spans="1:7" x14ac:dyDescent="0.25">
      <c r="A8521">
        <v>3</v>
      </c>
      <c r="B8521" t="s">
        <v>8357</v>
      </c>
      <c r="C8521">
        <v>4948</v>
      </c>
      <c r="D8521" t="str">
        <f>"0212-7636"</f>
        <v>0212-7636</v>
      </c>
      <c r="E8521" t="s">
        <v>8</v>
      </c>
      <c r="F8521" t="s">
        <v>8526</v>
      </c>
      <c r="G8521">
        <v>1</v>
      </c>
    </row>
    <row r="8522" spans="1:7" x14ac:dyDescent="0.25">
      <c r="A8522">
        <v>3</v>
      </c>
      <c r="B8522" t="s">
        <v>8357</v>
      </c>
      <c r="C8522">
        <v>10807</v>
      </c>
      <c r="D8522" t="str">
        <f>"0013-8215"</f>
        <v>0013-8215</v>
      </c>
      <c r="E8522" t="s">
        <v>8</v>
      </c>
      <c r="F8522" t="s">
        <v>8527</v>
      </c>
      <c r="G8522">
        <v>1</v>
      </c>
    </row>
    <row r="8523" spans="1:7" x14ac:dyDescent="0.25">
      <c r="A8523">
        <v>3</v>
      </c>
      <c r="B8523" t="s">
        <v>8357</v>
      </c>
      <c r="C8523">
        <v>10419</v>
      </c>
      <c r="D8523" t="str">
        <f>"1013-1752"</f>
        <v>1013-1752</v>
      </c>
      <c r="E8523" t="s">
        <v>8</v>
      </c>
      <c r="F8523" t="s">
        <v>8528</v>
      </c>
      <c r="G8523">
        <v>1</v>
      </c>
    </row>
    <row r="8524" spans="1:7" x14ac:dyDescent="0.25">
      <c r="A8524">
        <v>3</v>
      </c>
      <c r="B8524" t="s">
        <v>8357</v>
      </c>
      <c r="C8524">
        <v>27881</v>
      </c>
      <c r="D8524" t="str">
        <f>"0425-0494"</f>
        <v>0425-0494</v>
      </c>
      <c r="E8524" t="s">
        <v>8</v>
      </c>
      <c r="F8524" t="s">
        <v>8529</v>
      </c>
      <c r="G8524">
        <v>1</v>
      </c>
    </row>
    <row r="8525" spans="1:7" x14ac:dyDescent="0.25">
      <c r="A8525">
        <v>3</v>
      </c>
      <c r="B8525" t="s">
        <v>8357</v>
      </c>
      <c r="C8525">
        <v>14559</v>
      </c>
      <c r="D8525" t="str">
        <f>"0013-8282"</f>
        <v>0013-8282</v>
      </c>
      <c r="E8525" t="s">
        <v>8</v>
      </c>
      <c r="F8525" t="s">
        <v>8530</v>
      </c>
      <c r="G8525">
        <v>1</v>
      </c>
    </row>
    <row r="8526" spans="1:7" x14ac:dyDescent="0.25">
      <c r="A8526">
        <v>3</v>
      </c>
      <c r="B8526" t="s">
        <v>8357</v>
      </c>
      <c r="C8526">
        <v>2505</v>
      </c>
      <c r="D8526" t="str">
        <f>"0013-8312"</f>
        <v>0013-8312</v>
      </c>
      <c r="E8526" t="s">
        <v>8</v>
      </c>
      <c r="F8526" t="s">
        <v>8531</v>
      </c>
      <c r="G8526">
        <v>1</v>
      </c>
    </row>
    <row r="8527" spans="1:7" x14ac:dyDescent="0.25">
      <c r="A8527">
        <v>3</v>
      </c>
      <c r="B8527" t="s">
        <v>8357</v>
      </c>
      <c r="C8527">
        <v>16692</v>
      </c>
      <c r="D8527" t="str">
        <f>"0013-8339"</f>
        <v>0013-8339</v>
      </c>
      <c r="E8527" t="s">
        <v>8</v>
      </c>
      <c r="F8527" t="s">
        <v>8532</v>
      </c>
      <c r="G8527">
        <v>1</v>
      </c>
    </row>
    <row r="8528" spans="1:7" x14ac:dyDescent="0.25">
      <c r="A8528">
        <v>3</v>
      </c>
      <c r="B8528" t="s">
        <v>8357</v>
      </c>
      <c r="C8528">
        <v>2970</v>
      </c>
      <c r="D8528" t="str">
        <f>"0013-8398"</f>
        <v>0013-8398</v>
      </c>
      <c r="E8528" t="s">
        <v>8</v>
      </c>
      <c r="F8528" t="s">
        <v>8533</v>
      </c>
      <c r="G8528">
        <v>1</v>
      </c>
    </row>
    <row r="8529" spans="1:7" x14ac:dyDescent="0.25">
      <c r="A8529">
        <v>3</v>
      </c>
      <c r="B8529" t="s">
        <v>8357</v>
      </c>
      <c r="C8529">
        <v>13342</v>
      </c>
      <c r="D8529" t="str">
        <f>"0317-0802"</f>
        <v>0317-0802</v>
      </c>
      <c r="E8529" t="s">
        <v>8</v>
      </c>
      <c r="F8529" t="s">
        <v>8534</v>
      </c>
      <c r="G8529">
        <v>1</v>
      </c>
    </row>
    <row r="8530" spans="1:7" x14ac:dyDescent="0.25">
      <c r="A8530">
        <v>3</v>
      </c>
      <c r="B8530" t="s">
        <v>8357</v>
      </c>
      <c r="C8530">
        <v>8013</v>
      </c>
      <c r="D8530" t="str">
        <f>"0266-0784"</f>
        <v>0266-0784</v>
      </c>
      <c r="E8530" t="s">
        <v>8</v>
      </c>
      <c r="F8530" t="s">
        <v>8535</v>
      </c>
      <c r="G8530">
        <v>1</v>
      </c>
    </row>
    <row r="8531" spans="1:7" x14ac:dyDescent="0.25">
      <c r="A8531">
        <v>3</v>
      </c>
      <c r="B8531" t="s">
        <v>8357</v>
      </c>
      <c r="C8531">
        <v>9283</v>
      </c>
      <c r="D8531" t="str">
        <f>"0172-8865"</f>
        <v>0172-8865</v>
      </c>
      <c r="E8531" t="s">
        <v>8</v>
      </c>
      <c r="F8531" t="s">
        <v>8536</v>
      </c>
      <c r="G8531">
        <v>1</v>
      </c>
    </row>
    <row r="8532" spans="1:7" x14ac:dyDescent="0.25">
      <c r="A8532">
        <v>3</v>
      </c>
      <c r="B8532" t="s">
        <v>8357</v>
      </c>
      <c r="C8532">
        <v>7698183</v>
      </c>
      <c r="E8532" t="s">
        <v>8</v>
      </c>
      <c r="F8532" t="s">
        <v>8537</v>
      </c>
      <c r="G8532">
        <v>1</v>
      </c>
    </row>
    <row r="8533" spans="1:7" x14ac:dyDescent="0.25">
      <c r="A8533">
        <v>3</v>
      </c>
      <c r="B8533" t="s">
        <v>8357</v>
      </c>
      <c r="C8533">
        <v>2264</v>
      </c>
      <c r="D8533" t="str">
        <f>"0332-0758"</f>
        <v>0332-0758</v>
      </c>
      <c r="E8533" t="s">
        <v>8</v>
      </c>
      <c r="F8533" t="s">
        <v>8538</v>
      </c>
      <c r="G8533">
        <v>1</v>
      </c>
    </row>
    <row r="8534" spans="1:7" x14ac:dyDescent="0.25">
      <c r="A8534">
        <v>3</v>
      </c>
      <c r="B8534" t="s">
        <v>8357</v>
      </c>
      <c r="C8534">
        <v>180090</v>
      </c>
      <c r="E8534" t="s">
        <v>8</v>
      </c>
      <c r="F8534" t="s">
        <v>8539</v>
      </c>
      <c r="G8534">
        <v>1</v>
      </c>
    </row>
    <row r="8535" spans="1:7" x14ac:dyDescent="0.25">
      <c r="A8535">
        <v>3</v>
      </c>
      <c r="B8535" t="s">
        <v>8357</v>
      </c>
      <c r="C8535">
        <v>7758200</v>
      </c>
      <c r="E8535" t="s">
        <v>8</v>
      </c>
      <c r="F8535" t="s">
        <v>8540</v>
      </c>
      <c r="G8535">
        <v>1</v>
      </c>
    </row>
    <row r="8536" spans="1:7" x14ac:dyDescent="0.25">
      <c r="A8536">
        <v>3</v>
      </c>
      <c r="B8536" t="s">
        <v>8357</v>
      </c>
      <c r="C8536">
        <v>180085</v>
      </c>
      <c r="D8536" t="str">
        <f>"2174-047X"</f>
        <v>2174-047X</v>
      </c>
      <c r="E8536" t="s">
        <v>8</v>
      </c>
      <c r="F8536" t="s">
        <v>8541</v>
      </c>
      <c r="G8536">
        <v>1</v>
      </c>
    </row>
    <row r="8537" spans="1:7" x14ac:dyDescent="0.25">
      <c r="A8537">
        <v>3</v>
      </c>
      <c r="B8537" t="s">
        <v>8357</v>
      </c>
      <c r="C8537">
        <v>7001</v>
      </c>
      <c r="D8537" t="str">
        <f>"0071-1713"</f>
        <v>0071-1713</v>
      </c>
      <c r="E8537" t="s">
        <v>8</v>
      </c>
      <c r="F8537" t="s">
        <v>8542</v>
      </c>
      <c r="G8537">
        <v>1</v>
      </c>
    </row>
    <row r="8538" spans="1:7" x14ac:dyDescent="0.25">
      <c r="A8538">
        <v>3</v>
      </c>
      <c r="B8538" t="s">
        <v>8357</v>
      </c>
      <c r="C8538">
        <v>77127</v>
      </c>
      <c r="D8538" t="str">
        <f>"0210-4911"</f>
        <v>0210-4911</v>
      </c>
      <c r="E8538" t="s">
        <v>8</v>
      </c>
      <c r="F8538" t="s">
        <v>8543</v>
      </c>
      <c r="G8538">
        <v>1</v>
      </c>
    </row>
    <row r="8539" spans="1:7" x14ac:dyDescent="0.25">
      <c r="A8539">
        <v>3</v>
      </c>
      <c r="B8539" t="s">
        <v>8357</v>
      </c>
      <c r="C8539">
        <v>27280</v>
      </c>
      <c r="D8539" t="str">
        <f>"0211-8572"</f>
        <v>0211-8572</v>
      </c>
      <c r="E8539" t="s">
        <v>8</v>
      </c>
      <c r="F8539" t="s">
        <v>8544</v>
      </c>
      <c r="G8539">
        <v>1</v>
      </c>
    </row>
    <row r="8540" spans="1:7" x14ac:dyDescent="0.25">
      <c r="A8540">
        <v>3</v>
      </c>
      <c r="B8540" t="s">
        <v>8357</v>
      </c>
      <c r="C8540">
        <v>15451</v>
      </c>
      <c r="D8540" t="str">
        <f>"0014-195X"</f>
        <v>0014-195X</v>
      </c>
      <c r="E8540" t="s">
        <v>8</v>
      </c>
      <c r="F8540" t="s">
        <v>8545</v>
      </c>
      <c r="G8540">
        <v>1</v>
      </c>
    </row>
    <row r="8541" spans="1:7" x14ac:dyDescent="0.25">
      <c r="A8541">
        <v>3</v>
      </c>
      <c r="B8541" t="s">
        <v>8357</v>
      </c>
      <c r="C8541">
        <v>3419</v>
      </c>
      <c r="D8541" t="str">
        <f>"0014-2115"</f>
        <v>0014-2115</v>
      </c>
      <c r="E8541" t="s">
        <v>8</v>
      </c>
      <c r="F8541" t="s">
        <v>8546</v>
      </c>
      <c r="G8541">
        <v>1</v>
      </c>
    </row>
    <row r="8542" spans="1:7" x14ac:dyDescent="0.25">
      <c r="A8542">
        <v>3</v>
      </c>
      <c r="B8542" t="s">
        <v>8357</v>
      </c>
      <c r="C8542">
        <v>12619</v>
      </c>
      <c r="D8542" t="str">
        <f>"0014-214X"</f>
        <v>0014-214X</v>
      </c>
      <c r="E8542" t="s">
        <v>15</v>
      </c>
      <c r="F8542" t="s">
        <v>8547</v>
      </c>
      <c r="G8542">
        <v>1</v>
      </c>
    </row>
    <row r="8543" spans="1:7" x14ac:dyDescent="0.25">
      <c r="A8543">
        <v>3</v>
      </c>
      <c r="B8543" t="s">
        <v>8357</v>
      </c>
      <c r="C8543">
        <v>5613</v>
      </c>
      <c r="D8543" t="str">
        <f>"1395-9670"</f>
        <v>1395-9670</v>
      </c>
      <c r="E8543" t="s">
        <v>15</v>
      </c>
      <c r="F8543" t="s">
        <v>8548</v>
      </c>
      <c r="G8543">
        <v>1</v>
      </c>
    </row>
    <row r="8544" spans="1:7" x14ac:dyDescent="0.25">
      <c r="A8544">
        <v>3</v>
      </c>
      <c r="B8544" t="s">
        <v>8357</v>
      </c>
      <c r="C8544">
        <v>15929</v>
      </c>
      <c r="D8544" t="str">
        <f>"1223-1193"</f>
        <v>1223-1193</v>
      </c>
      <c r="E8544" t="s">
        <v>8</v>
      </c>
      <c r="F8544" t="s">
        <v>8549</v>
      </c>
      <c r="G8544">
        <v>1</v>
      </c>
    </row>
    <row r="8545" spans="1:7" x14ac:dyDescent="0.25">
      <c r="A8545">
        <v>3</v>
      </c>
      <c r="B8545" t="s">
        <v>8357</v>
      </c>
      <c r="C8545">
        <v>93076</v>
      </c>
      <c r="D8545" t="str">
        <f>"0941-6870"</f>
        <v>0941-6870</v>
      </c>
      <c r="E8545" t="s">
        <v>15</v>
      </c>
      <c r="F8545" t="s">
        <v>8550</v>
      </c>
      <c r="G8545">
        <v>1</v>
      </c>
    </row>
    <row r="8546" spans="1:7" x14ac:dyDescent="0.25">
      <c r="A8546">
        <v>3</v>
      </c>
      <c r="B8546" t="s">
        <v>8357</v>
      </c>
      <c r="C8546">
        <v>140563</v>
      </c>
      <c r="D8546" t="str">
        <f>"0721-3301"</f>
        <v>0721-3301</v>
      </c>
      <c r="E8546" t="s">
        <v>15</v>
      </c>
      <c r="F8546" t="s">
        <v>8551</v>
      </c>
      <c r="G8546">
        <v>1</v>
      </c>
    </row>
    <row r="8547" spans="1:7" x14ac:dyDescent="0.25">
      <c r="A8547">
        <v>3</v>
      </c>
      <c r="B8547" t="s">
        <v>8357</v>
      </c>
      <c r="C8547">
        <v>5010001</v>
      </c>
      <c r="E8547" t="s">
        <v>2100</v>
      </c>
      <c r="F8547" t="s">
        <v>8552</v>
      </c>
      <c r="G8547">
        <v>1</v>
      </c>
    </row>
    <row r="8548" spans="1:7" x14ac:dyDescent="0.25">
      <c r="A8548">
        <v>3</v>
      </c>
      <c r="B8548" t="s">
        <v>8357</v>
      </c>
      <c r="C8548">
        <v>264</v>
      </c>
      <c r="D8548" t="str">
        <f>"1021-5417"</f>
        <v>1021-5417</v>
      </c>
      <c r="E8548" t="s">
        <v>8</v>
      </c>
      <c r="F8548" t="s">
        <v>8553</v>
      </c>
      <c r="G8548">
        <v>1</v>
      </c>
    </row>
    <row r="8549" spans="1:7" x14ac:dyDescent="0.25">
      <c r="A8549">
        <v>3</v>
      </c>
      <c r="B8549" t="s">
        <v>8357</v>
      </c>
      <c r="C8549">
        <v>8767742</v>
      </c>
      <c r="D8549" t="str">
        <f>"2342-2009"</f>
        <v>2342-2009</v>
      </c>
      <c r="E8549" t="s">
        <v>8</v>
      </c>
      <c r="F8549" t="s">
        <v>8554</v>
      </c>
      <c r="G8549">
        <v>1</v>
      </c>
    </row>
    <row r="8550" spans="1:7" x14ac:dyDescent="0.25">
      <c r="A8550">
        <v>3</v>
      </c>
      <c r="B8550" t="s">
        <v>8357</v>
      </c>
      <c r="C8550">
        <v>7692437</v>
      </c>
      <c r="D8550" t="str">
        <f>"1436-6169"</f>
        <v>1436-6169</v>
      </c>
      <c r="E8550" t="s">
        <v>15</v>
      </c>
      <c r="F8550" t="s">
        <v>8555</v>
      </c>
      <c r="G8550">
        <v>1</v>
      </c>
    </row>
    <row r="8551" spans="1:7" x14ac:dyDescent="0.25">
      <c r="A8551">
        <v>3</v>
      </c>
      <c r="B8551" t="s">
        <v>8357</v>
      </c>
      <c r="C8551">
        <v>123227</v>
      </c>
      <c r="D8551" t="str">
        <f>"0015-4113"</f>
        <v>0015-4113</v>
      </c>
      <c r="E8551" t="s">
        <v>8</v>
      </c>
      <c r="F8551" t="s">
        <v>8556</v>
      </c>
      <c r="G8551">
        <v>1</v>
      </c>
    </row>
    <row r="8552" spans="1:7" x14ac:dyDescent="0.25">
      <c r="A8552">
        <v>3</v>
      </c>
      <c r="B8552" t="s">
        <v>8357</v>
      </c>
      <c r="C8552">
        <v>6913</v>
      </c>
      <c r="D8552" t="str">
        <f>"0120-338X"</f>
        <v>0120-338X</v>
      </c>
      <c r="E8552" t="s">
        <v>8</v>
      </c>
      <c r="F8552" t="s">
        <v>8557</v>
      </c>
      <c r="G8552">
        <v>1</v>
      </c>
    </row>
    <row r="8553" spans="1:7" x14ac:dyDescent="0.25">
      <c r="A8553">
        <v>3</v>
      </c>
      <c r="B8553" t="s">
        <v>8357</v>
      </c>
      <c r="C8553">
        <v>6118132</v>
      </c>
      <c r="D8553" t="str">
        <f>"1949-8519"</f>
        <v>1949-8519</v>
      </c>
      <c r="E8553" t="s">
        <v>8</v>
      </c>
      <c r="F8553" t="s">
        <v>8558</v>
      </c>
      <c r="G8553">
        <v>1</v>
      </c>
    </row>
    <row r="8554" spans="1:7" x14ac:dyDescent="0.25">
      <c r="A8554">
        <v>3</v>
      </c>
      <c r="B8554" t="s">
        <v>8357</v>
      </c>
      <c r="C8554">
        <v>198</v>
      </c>
      <c r="D8554" t="str">
        <f>"1598-7647"</f>
        <v>1598-7647</v>
      </c>
      <c r="E8554" t="s">
        <v>8</v>
      </c>
      <c r="F8554" t="s">
        <v>8559</v>
      </c>
      <c r="G8554">
        <v>1</v>
      </c>
    </row>
    <row r="8555" spans="1:7" x14ac:dyDescent="0.25">
      <c r="A8555">
        <v>3</v>
      </c>
      <c r="B8555" t="s">
        <v>8357</v>
      </c>
      <c r="C8555">
        <v>12745</v>
      </c>
      <c r="D8555" t="str">
        <f>"0015-9409"</f>
        <v>0015-9409</v>
      </c>
      <c r="E8555" t="s">
        <v>8</v>
      </c>
      <c r="F8555" t="s">
        <v>8560</v>
      </c>
      <c r="G8555">
        <v>1</v>
      </c>
    </row>
    <row r="8556" spans="1:7" x14ac:dyDescent="0.25">
      <c r="A8556">
        <v>3</v>
      </c>
      <c r="B8556" t="s">
        <v>8357</v>
      </c>
      <c r="C8556">
        <v>35292</v>
      </c>
      <c r="D8556" t="str">
        <f>"0071-9226"</f>
        <v>0071-9226</v>
      </c>
      <c r="E8556" t="s">
        <v>15</v>
      </c>
      <c r="F8556" t="s">
        <v>8561</v>
      </c>
      <c r="G8556">
        <v>1</v>
      </c>
    </row>
    <row r="8557" spans="1:7" x14ac:dyDescent="0.25">
      <c r="A8557">
        <v>3</v>
      </c>
      <c r="B8557" t="s">
        <v>8357</v>
      </c>
      <c r="C8557">
        <v>151951</v>
      </c>
      <c r="D8557" t="str">
        <f>"0903-6547"</f>
        <v>0903-6547</v>
      </c>
      <c r="E8557" t="s">
        <v>8</v>
      </c>
      <c r="F8557" t="s">
        <v>8562</v>
      </c>
      <c r="G8557">
        <v>1</v>
      </c>
    </row>
    <row r="8558" spans="1:7" x14ac:dyDescent="0.25">
      <c r="A8558">
        <v>3</v>
      </c>
      <c r="B8558" t="s">
        <v>8357</v>
      </c>
      <c r="C8558">
        <v>13360</v>
      </c>
      <c r="D8558" t="str">
        <f>"0937-3160"</f>
        <v>0937-3160</v>
      </c>
      <c r="E8558" t="s">
        <v>8</v>
      </c>
      <c r="F8558" t="s">
        <v>8563</v>
      </c>
      <c r="G8558">
        <v>1</v>
      </c>
    </row>
    <row r="8559" spans="1:7" x14ac:dyDescent="0.25">
      <c r="A8559">
        <v>3</v>
      </c>
      <c r="B8559" t="s">
        <v>8357</v>
      </c>
      <c r="C8559">
        <v>26821</v>
      </c>
      <c r="D8559" t="str">
        <f>"1537-6370"</f>
        <v>1537-6370</v>
      </c>
      <c r="E8559" t="s">
        <v>8</v>
      </c>
      <c r="F8559" t="s">
        <v>8564</v>
      </c>
      <c r="G8559">
        <v>1</v>
      </c>
    </row>
    <row r="8560" spans="1:7" x14ac:dyDescent="0.25">
      <c r="A8560">
        <v>3</v>
      </c>
      <c r="B8560" t="s">
        <v>8357</v>
      </c>
      <c r="C8560">
        <v>9653</v>
      </c>
      <c r="D8560" t="str">
        <f>"0016-1128"</f>
        <v>0016-1128</v>
      </c>
      <c r="E8560" t="s">
        <v>8</v>
      </c>
      <c r="F8560" t="s">
        <v>8565</v>
      </c>
      <c r="G8560">
        <v>1</v>
      </c>
    </row>
    <row r="8561" spans="1:7" x14ac:dyDescent="0.25">
      <c r="A8561">
        <v>3</v>
      </c>
      <c r="B8561" t="s">
        <v>8357</v>
      </c>
      <c r="C8561">
        <v>7688504</v>
      </c>
      <c r="D8561" t="str">
        <f>"1617-8491"</f>
        <v>1617-8491</v>
      </c>
      <c r="E8561" t="s">
        <v>8</v>
      </c>
      <c r="F8561" t="s">
        <v>8566</v>
      </c>
      <c r="G8561">
        <v>1</v>
      </c>
    </row>
    <row r="8562" spans="1:7" x14ac:dyDescent="0.25">
      <c r="A8562">
        <v>3</v>
      </c>
      <c r="B8562" t="s">
        <v>8357</v>
      </c>
      <c r="C8562">
        <v>130143</v>
      </c>
      <c r="D8562" t="str">
        <f>"0722-3420"</f>
        <v>0722-3420</v>
      </c>
      <c r="E8562" t="s">
        <v>8</v>
      </c>
      <c r="F8562" t="s">
        <v>8567</v>
      </c>
      <c r="G8562">
        <v>1</v>
      </c>
    </row>
    <row r="8563" spans="1:7" x14ac:dyDescent="0.25">
      <c r="A8563">
        <v>3</v>
      </c>
      <c r="B8563" t="s">
        <v>8357</v>
      </c>
      <c r="C8563">
        <v>531</v>
      </c>
      <c r="D8563" t="str">
        <f>"1401-5366"</f>
        <v>1401-5366</v>
      </c>
      <c r="E8563" t="s">
        <v>8</v>
      </c>
      <c r="F8563" t="s">
        <v>8568</v>
      </c>
      <c r="G8563">
        <v>1</v>
      </c>
    </row>
    <row r="8564" spans="1:7" x14ac:dyDescent="0.25">
      <c r="A8564">
        <v>3</v>
      </c>
      <c r="B8564" t="s">
        <v>8357</v>
      </c>
      <c r="C8564">
        <v>8779</v>
      </c>
      <c r="D8564" t="str">
        <f>"0016-8912"</f>
        <v>0016-8912</v>
      </c>
      <c r="E8564" t="s">
        <v>8</v>
      </c>
      <c r="F8564" t="s">
        <v>8569</v>
      </c>
      <c r="G8564">
        <v>1</v>
      </c>
    </row>
    <row r="8565" spans="1:7" x14ac:dyDescent="0.25">
      <c r="A8565">
        <v>3</v>
      </c>
      <c r="B8565" t="s">
        <v>8357</v>
      </c>
      <c r="C8565">
        <v>8151</v>
      </c>
      <c r="D8565" t="str">
        <f>"0072-1492"</f>
        <v>0072-1492</v>
      </c>
      <c r="E8565" t="s">
        <v>15</v>
      </c>
      <c r="F8565" t="s">
        <v>8570</v>
      </c>
      <c r="G8565">
        <v>1</v>
      </c>
    </row>
    <row r="8566" spans="1:7" x14ac:dyDescent="0.25">
      <c r="A8566">
        <v>3</v>
      </c>
      <c r="B8566" t="s">
        <v>8357</v>
      </c>
      <c r="C8566">
        <v>24585</v>
      </c>
      <c r="D8566" t="str">
        <f>"0771-3703"</f>
        <v>0771-3703</v>
      </c>
      <c r="E8566" t="s">
        <v>8</v>
      </c>
      <c r="F8566" t="s">
        <v>8571</v>
      </c>
      <c r="G8566">
        <v>1</v>
      </c>
    </row>
    <row r="8567" spans="1:7" x14ac:dyDescent="0.25">
      <c r="A8567">
        <v>3</v>
      </c>
      <c r="B8567" t="s">
        <v>8357</v>
      </c>
      <c r="C8567">
        <v>5703</v>
      </c>
      <c r="D8567" t="str">
        <f>"0363-8057"</f>
        <v>0363-8057</v>
      </c>
      <c r="E8567" t="s">
        <v>8</v>
      </c>
      <c r="F8567" t="s">
        <v>8572</v>
      </c>
      <c r="G8567">
        <v>1</v>
      </c>
    </row>
    <row r="8568" spans="1:7" x14ac:dyDescent="0.25">
      <c r="A8568">
        <v>3</v>
      </c>
      <c r="B8568" t="s">
        <v>8357</v>
      </c>
      <c r="C8568">
        <v>138709</v>
      </c>
      <c r="D8568" t="str">
        <f>"0533-3350"</f>
        <v>0533-3350</v>
      </c>
      <c r="E8568" t="s">
        <v>15</v>
      </c>
      <c r="F8568" t="s">
        <v>8573</v>
      </c>
      <c r="G8568">
        <v>1</v>
      </c>
    </row>
    <row r="8569" spans="1:7" x14ac:dyDescent="0.25">
      <c r="A8569">
        <v>3</v>
      </c>
      <c r="B8569" t="s">
        <v>8357</v>
      </c>
      <c r="C8569">
        <v>7692043</v>
      </c>
      <c r="D8569" t="str">
        <f>"0930-0023"</f>
        <v>0930-0023</v>
      </c>
      <c r="E8569" t="s">
        <v>15</v>
      </c>
      <c r="F8569" t="s">
        <v>8574</v>
      </c>
      <c r="G8569">
        <v>1</v>
      </c>
    </row>
    <row r="8570" spans="1:7" x14ac:dyDescent="0.25">
      <c r="A8570">
        <v>3</v>
      </c>
      <c r="B8570" t="s">
        <v>8357</v>
      </c>
      <c r="C8570">
        <v>9357</v>
      </c>
      <c r="D8570" t="str">
        <f>"0073-1692"</f>
        <v>0073-1692</v>
      </c>
      <c r="E8570" t="s">
        <v>8</v>
      </c>
      <c r="F8570" t="s">
        <v>8575</v>
      </c>
      <c r="G8570">
        <v>1</v>
      </c>
    </row>
    <row r="8571" spans="1:7" x14ac:dyDescent="0.25">
      <c r="A8571">
        <v>3</v>
      </c>
      <c r="B8571" t="s">
        <v>8357</v>
      </c>
      <c r="C8571">
        <v>11152</v>
      </c>
      <c r="D8571" t="str">
        <f>"0946-4018"</f>
        <v>0946-4018</v>
      </c>
      <c r="E8571" t="s">
        <v>8</v>
      </c>
      <c r="F8571" t="s">
        <v>8576</v>
      </c>
      <c r="G8571">
        <v>1</v>
      </c>
    </row>
    <row r="8572" spans="1:7" x14ac:dyDescent="0.25">
      <c r="A8572">
        <v>3</v>
      </c>
      <c r="B8572" t="s">
        <v>8357</v>
      </c>
      <c r="C8572">
        <v>769</v>
      </c>
      <c r="D8572" t="str">
        <f>"0019-0993"</f>
        <v>0019-0993</v>
      </c>
      <c r="E8572" t="s">
        <v>8</v>
      </c>
      <c r="F8572" t="s">
        <v>8577</v>
      </c>
      <c r="G8572">
        <v>1</v>
      </c>
    </row>
    <row r="8573" spans="1:7" x14ac:dyDescent="0.25">
      <c r="A8573">
        <v>3</v>
      </c>
      <c r="B8573" t="s">
        <v>8357</v>
      </c>
      <c r="C8573">
        <v>7708514</v>
      </c>
      <c r="D8573" t="str">
        <f>"2039-2362"</f>
        <v>2039-2362</v>
      </c>
      <c r="E8573" t="s">
        <v>8</v>
      </c>
      <c r="F8573" t="s">
        <v>8578</v>
      </c>
      <c r="G8573">
        <v>1</v>
      </c>
    </row>
    <row r="8574" spans="1:7" x14ac:dyDescent="0.25">
      <c r="A8574">
        <v>3</v>
      </c>
      <c r="B8574" t="s">
        <v>8357</v>
      </c>
      <c r="C8574">
        <v>67881</v>
      </c>
      <c r="D8574" t="str">
        <f>"1270-931X"</f>
        <v>1270-931X</v>
      </c>
      <c r="E8574" t="s">
        <v>8</v>
      </c>
      <c r="F8574" t="s">
        <v>8579</v>
      </c>
      <c r="G8574">
        <v>1</v>
      </c>
    </row>
    <row r="8575" spans="1:7" x14ac:dyDescent="0.25">
      <c r="A8575">
        <v>3</v>
      </c>
      <c r="B8575" t="s">
        <v>8357</v>
      </c>
      <c r="C8575">
        <v>20904</v>
      </c>
      <c r="D8575" t="str">
        <f>"1180-3991"</f>
        <v>1180-3991</v>
      </c>
      <c r="E8575" t="s">
        <v>8</v>
      </c>
      <c r="F8575" t="s">
        <v>8580</v>
      </c>
      <c r="G8575">
        <v>1</v>
      </c>
    </row>
    <row r="8576" spans="1:7" x14ac:dyDescent="0.25">
      <c r="A8576">
        <v>3</v>
      </c>
      <c r="B8576" t="s">
        <v>8357</v>
      </c>
      <c r="C8576">
        <v>35214</v>
      </c>
      <c r="D8576" t="str">
        <f>"1578-7044"</f>
        <v>1578-7044</v>
      </c>
      <c r="E8576" t="s">
        <v>8</v>
      </c>
      <c r="F8576" t="s">
        <v>8581</v>
      </c>
      <c r="G8576">
        <v>1</v>
      </c>
    </row>
    <row r="8577" spans="1:7" x14ac:dyDescent="0.25">
      <c r="A8577">
        <v>3</v>
      </c>
      <c r="B8577" t="s">
        <v>8357</v>
      </c>
      <c r="C8577">
        <v>23518</v>
      </c>
      <c r="D8577" t="str">
        <f>"1368-2679"</f>
        <v>1368-2679</v>
      </c>
      <c r="E8577" t="s">
        <v>8</v>
      </c>
      <c r="F8577" t="s">
        <v>8582</v>
      </c>
      <c r="G8577">
        <v>1</v>
      </c>
    </row>
    <row r="8578" spans="1:7" x14ac:dyDescent="0.25">
      <c r="A8578">
        <v>3</v>
      </c>
      <c r="B8578" t="s">
        <v>8357</v>
      </c>
      <c r="C8578">
        <v>26700</v>
      </c>
      <c r="D8578" t="str">
        <f>"1364-971X"</f>
        <v>1364-971X</v>
      </c>
      <c r="E8578" t="s">
        <v>8</v>
      </c>
      <c r="F8578" t="s">
        <v>8583</v>
      </c>
      <c r="G8578">
        <v>1</v>
      </c>
    </row>
    <row r="8579" spans="1:7" x14ac:dyDescent="0.25">
      <c r="A8579">
        <v>3</v>
      </c>
      <c r="B8579" t="s">
        <v>8357</v>
      </c>
      <c r="C8579">
        <v>7730511</v>
      </c>
      <c r="D8579" t="str">
        <f>"1839-8308"</f>
        <v>1839-8308</v>
      </c>
      <c r="E8579" t="s">
        <v>8</v>
      </c>
      <c r="F8579" t="s">
        <v>8584</v>
      </c>
      <c r="G8579">
        <v>1</v>
      </c>
    </row>
    <row r="8580" spans="1:7" x14ac:dyDescent="0.25">
      <c r="A8580">
        <v>3</v>
      </c>
      <c r="B8580" t="s">
        <v>8357</v>
      </c>
      <c r="C8580">
        <v>25424</v>
      </c>
      <c r="D8580" t="str">
        <f>"1090-4018"</f>
        <v>1090-4018</v>
      </c>
      <c r="E8580" t="s">
        <v>8</v>
      </c>
      <c r="F8580" t="s">
        <v>8585</v>
      </c>
      <c r="G8580">
        <v>1</v>
      </c>
    </row>
    <row r="8581" spans="1:7" x14ac:dyDescent="0.25">
      <c r="A8581">
        <v>3</v>
      </c>
      <c r="B8581" t="s">
        <v>8357</v>
      </c>
      <c r="C8581">
        <v>7721950</v>
      </c>
      <c r="D8581" t="str">
        <f>"2190-7218"</f>
        <v>2190-7218</v>
      </c>
      <c r="E8581" t="s">
        <v>8</v>
      </c>
      <c r="F8581" t="s">
        <v>8586</v>
      </c>
      <c r="G8581">
        <v>1</v>
      </c>
    </row>
    <row r="8582" spans="1:7" x14ac:dyDescent="0.25">
      <c r="A8582">
        <v>3</v>
      </c>
      <c r="B8582" t="s">
        <v>8357</v>
      </c>
      <c r="C8582">
        <v>7659702</v>
      </c>
      <c r="D8582" t="str">
        <f>"1941-6253"</f>
        <v>1941-6253</v>
      </c>
      <c r="E8582" t="s">
        <v>8</v>
      </c>
      <c r="F8582" t="s">
        <v>8587</v>
      </c>
      <c r="G8582">
        <v>1</v>
      </c>
    </row>
    <row r="8583" spans="1:7" x14ac:dyDescent="0.25">
      <c r="A8583">
        <v>3</v>
      </c>
      <c r="B8583" t="s">
        <v>8357</v>
      </c>
      <c r="C8583">
        <v>13209</v>
      </c>
      <c r="D8583" t="str">
        <f>"0967-0882"</f>
        <v>0967-0882</v>
      </c>
      <c r="E8583" t="s">
        <v>8</v>
      </c>
      <c r="F8583" t="s">
        <v>8588</v>
      </c>
      <c r="G8583">
        <v>1</v>
      </c>
    </row>
    <row r="8584" spans="1:7" x14ac:dyDescent="0.25">
      <c r="A8584">
        <v>3</v>
      </c>
      <c r="B8584" t="s">
        <v>8357</v>
      </c>
      <c r="C8584">
        <v>7758199</v>
      </c>
      <c r="E8584" t="s">
        <v>15</v>
      </c>
      <c r="F8584" t="s">
        <v>8589</v>
      </c>
      <c r="G8584">
        <v>1</v>
      </c>
    </row>
    <row r="8585" spans="1:7" x14ac:dyDescent="0.25">
      <c r="A8585">
        <v>3</v>
      </c>
      <c r="B8585" t="s">
        <v>8357</v>
      </c>
      <c r="C8585">
        <v>20118</v>
      </c>
      <c r="D8585" t="str">
        <f>"0161-4622"</f>
        <v>0161-4622</v>
      </c>
      <c r="E8585" t="s">
        <v>8</v>
      </c>
      <c r="F8585" t="s">
        <v>8590</v>
      </c>
      <c r="G8585">
        <v>1</v>
      </c>
    </row>
    <row r="8586" spans="1:7" x14ac:dyDescent="0.25">
      <c r="A8586">
        <v>3</v>
      </c>
      <c r="B8586" t="s">
        <v>8357</v>
      </c>
      <c r="C8586">
        <v>4834</v>
      </c>
      <c r="D8586" t="str">
        <f>"1120-2726"</f>
        <v>1120-2726</v>
      </c>
      <c r="E8586" t="s">
        <v>8</v>
      </c>
      <c r="F8586" t="s">
        <v>8591</v>
      </c>
      <c r="G8586">
        <v>1</v>
      </c>
    </row>
    <row r="8587" spans="1:7" x14ac:dyDescent="0.25">
      <c r="A8587">
        <v>3</v>
      </c>
      <c r="B8587" t="s">
        <v>8357</v>
      </c>
      <c r="C8587">
        <v>471</v>
      </c>
      <c r="D8587" t="str">
        <f>"0391-3368"</f>
        <v>0391-3368</v>
      </c>
      <c r="E8587" t="s">
        <v>8</v>
      </c>
      <c r="F8587" t="s">
        <v>8592</v>
      </c>
      <c r="G8587">
        <v>1</v>
      </c>
    </row>
    <row r="8588" spans="1:7" x14ac:dyDescent="0.25">
      <c r="A8588">
        <v>3</v>
      </c>
      <c r="B8588" t="s">
        <v>8357</v>
      </c>
      <c r="C8588">
        <v>118152</v>
      </c>
      <c r="D8588" t="str">
        <f>"0171-4996"</f>
        <v>0171-4996</v>
      </c>
      <c r="E8588" t="s">
        <v>8</v>
      </c>
      <c r="F8588" t="s">
        <v>8593</v>
      </c>
      <c r="G8588">
        <v>1</v>
      </c>
    </row>
    <row r="8589" spans="1:7" x14ac:dyDescent="0.25">
      <c r="A8589">
        <v>3</v>
      </c>
      <c r="B8589" t="s">
        <v>8357</v>
      </c>
      <c r="C8589">
        <v>70693</v>
      </c>
      <c r="D8589" t="str">
        <f>"1022-744X"</f>
        <v>1022-744X</v>
      </c>
      <c r="E8589" t="s">
        <v>8</v>
      </c>
      <c r="F8589" t="s">
        <v>8594</v>
      </c>
      <c r="G8589">
        <v>1</v>
      </c>
    </row>
    <row r="8590" spans="1:7" x14ac:dyDescent="0.25">
      <c r="A8590">
        <v>3</v>
      </c>
      <c r="B8590" t="s">
        <v>8357</v>
      </c>
      <c r="C8590">
        <v>95117</v>
      </c>
      <c r="D8590" t="str">
        <f>"0075-3580"</f>
        <v>0075-3580</v>
      </c>
      <c r="E8590" t="s">
        <v>8</v>
      </c>
      <c r="F8590" t="s">
        <v>8595</v>
      </c>
      <c r="G8590">
        <v>1</v>
      </c>
    </row>
    <row r="8591" spans="1:7" x14ac:dyDescent="0.25">
      <c r="A8591">
        <v>3</v>
      </c>
      <c r="B8591" t="s">
        <v>8357</v>
      </c>
      <c r="C8591">
        <v>36116</v>
      </c>
      <c r="D8591" t="str">
        <f>"1812-836X"</f>
        <v>1812-836X</v>
      </c>
      <c r="E8591" t="s">
        <v>8</v>
      </c>
      <c r="F8591" t="s">
        <v>8596</v>
      </c>
      <c r="G8591">
        <v>1</v>
      </c>
    </row>
    <row r="8592" spans="1:7" x14ac:dyDescent="0.25">
      <c r="A8592">
        <v>3</v>
      </c>
      <c r="B8592" t="s">
        <v>8357</v>
      </c>
      <c r="C8592">
        <v>128472</v>
      </c>
      <c r="D8592" t="str">
        <f>"1561-817X"</f>
        <v>1561-817X</v>
      </c>
      <c r="E8592" t="s">
        <v>8</v>
      </c>
      <c r="F8592" t="s">
        <v>8597</v>
      </c>
      <c r="G8592">
        <v>1</v>
      </c>
    </row>
    <row r="8593" spans="1:7" x14ac:dyDescent="0.25">
      <c r="A8593">
        <v>3</v>
      </c>
      <c r="B8593" t="s">
        <v>8357</v>
      </c>
      <c r="C8593">
        <v>139293</v>
      </c>
      <c r="D8593" t="str">
        <f>"0083-5617"</f>
        <v>0083-5617</v>
      </c>
      <c r="E8593" t="s">
        <v>8</v>
      </c>
      <c r="F8593" t="s">
        <v>8598</v>
      </c>
      <c r="G8593">
        <v>1</v>
      </c>
    </row>
    <row r="8594" spans="1:7" x14ac:dyDescent="0.25">
      <c r="A8594">
        <v>3</v>
      </c>
      <c r="B8594" t="s">
        <v>8357</v>
      </c>
      <c r="C8594">
        <v>3128</v>
      </c>
      <c r="D8594" t="str">
        <f>"0342-6300"</f>
        <v>0342-6300</v>
      </c>
      <c r="E8594" t="s">
        <v>8</v>
      </c>
      <c r="F8594" t="s">
        <v>8599</v>
      </c>
      <c r="G8594">
        <v>1</v>
      </c>
    </row>
    <row r="8595" spans="1:7" x14ac:dyDescent="0.25">
      <c r="A8595">
        <v>3</v>
      </c>
      <c r="B8595" t="s">
        <v>8357</v>
      </c>
      <c r="C8595">
        <v>16912</v>
      </c>
      <c r="D8595" t="str">
        <f>"0449-5233"</f>
        <v>0449-5233</v>
      </c>
      <c r="E8595" t="s">
        <v>8</v>
      </c>
      <c r="F8595" t="s">
        <v>8600</v>
      </c>
      <c r="G8595">
        <v>1</v>
      </c>
    </row>
    <row r="8596" spans="1:7" x14ac:dyDescent="0.25">
      <c r="A8596">
        <v>3</v>
      </c>
      <c r="B8596" t="s">
        <v>8357</v>
      </c>
      <c r="C8596">
        <v>100070</v>
      </c>
      <c r="D8596" t="str">
        <f>"0171-8320"</f>
        <v>0171-8320</v>
      </c>
      <c r="E8596" t="s">
        <v>15</v>
      </c>
      <c r="F8596" t="s">
        <v>8601</v>
      </c>
      <c r="G8596">
        <v>1</v>
      </c>
    </row>
    <row r="8597" spans="1:7" x14ac:dyDescent="0.25">
      <c r="A8597">
        <v>3</v>
      </c>
      <c r="B8597" t="s">
        <v>8357</v>
      </c>
      <c r="C8597">
        <v>3006</v>
      </c>
      <c r="D8597" t="str">
        <f>"0721-3905"</f>
        <v>0721-3905</v>
      </c>
      <c r="E8597" t="s">
        <v>15</v>
      </c>
      <c r="F8597" t="s">
        <v>8602</v>
      </c>
      <c r="G8597">
        <v>1</v>
      </c>
    </row>
    <row r="8598" spans="1:7" x14ac:dyDescent="0.25">
      <c r="A8598">
        <v>3</v>
      </c>
      <c r="B8598" t="s">
        <v>8357</v>
      </c>
      <c r="C8598">
        <v>3628</v>
      </c>
      <c r="D8598" t="str">
        <f>"0021-4183"</f>
        <v>0021-4183</v>
      </c>
      <c r="E8598" t="s">
        <v>8</v>
      </c>
      <c r="F8598" t="s">
        <v>8603</v>
      </c>
      <c r="G8598">
        <v>1</v>
      </c>
    </row>
    <row r="8599" spans="1:7" x14ac:dyDescent="0.25">
      <c r="A8599">
        <v>3</v>
      </c>
      <c r="B8599" t="s">
        <v>8357</v>
      </c>
      <c r="C8599">
        <v>8783126</v>
      </c>
      <c r="D8599" t="str">
        <f>"2380-7679"</f>
        <v>2380-7679</v>
      </c>
      <c r="E8599" t="s">
        <v>8</v>
      </c>
      <c r="F8599" t="s">
        <v>8604</v>
      </c>
      <c r="G8599">
        <v>1</v>
      </c>
    </row>
    <row r="8600" spans="1:7" x14ac:dyDescent="0.25">
      <c r="A8600">
        <v>3</v>
      </c>
      <c r="B8600" t="s">
        <v>8357</v>
      </c>
      <c r="C8600">
        <v>3681</v>
      </c>
      <c r="D8600" t="str">
        <f>"0274-838X"</f>
        <v>0274-838X</v>
      </c>
      <c r="E8600" t="s">
        <v>8</v>
      </c>
      <c r="F8600" t="s">
        <v>8605</v>
      </c>
      <c r="G8600">
        <v>1</v>
      </c>
    </row>
    <row r="8601" spans="1:7" x14ac:dyDescent="0.25">
      <c r="A8601">
        <v>3</v>
      </c>
      <c r="B8601" t="s">
        <v>8357</v>
      </c>
      <c r="C8601">
        <v>7718270</v>
      </c>
      <c r="D8601" t="str">
        <f>"2191-9216"</f>
        <v>2191-9216</v>
      </c>
      <c r="E8601" t="s">
        <v>8</v>
      </c>
      <c r="F8601" t="s">
        <v>8606</v>
      </c>
      <c r="G8601">
        <v>1</v>
      </c>
    </row>
    <row r="8602" spans="1:7" x14ac:dyDescent="0.25">
      <c r="A8602">
        <v>3</v>
      </c>
      <c r="B8602" t="s">
        <v>8357</v>
      </c>
      <c r="C8602">
        <v>12656</v>
      </c>
      <c r="D8602" t="str">
        <f>"1475-1585"</f>
        <v>1475-1585</v>
      </c>
      <c r="E8602" t="s">
        <v>8</v>
      </c>
      <c r="F8602" t="s">
        <v>8607</v>
      </c>
      <c r="G8602">
        <v>1</v>
      </c>
    </row>
    <row r="8603" spans="1:7" x14ac:dyDescent="0.25">
      <c r="A8603">
        <v>3</v>
      </c>
      <c r="B8603" t="s">
        <v>8357</v>
      </c>
      <c r="C8603">
        <v>27757</v>
      </c>
      <c r="D8603" t="str">
        <f>"1092-5872"</f>
        <v>1092-5872</v>
      </c>
      <c r="E8603" t="s">
        <v>8</v>
      </c>
      <c r="F8603" t="s">
        <v>8608</v>
      </c>
      <c r="G8603">
        <v>1</v>
      </c>
    </row>
    <row r="8604" spans="1:7" x14ac:dyDescent="0.25">
      <c r="A8604">
        <v>3</v>
      </c>
      <c r="B8604" t="s">
        <v>8357</v>
      </c>
      <c r="C8604">
        <v>7739026</v>
      </c>
      <c r="D8604" t="str">
        <f>"2047-7368"</f>
        <v>2047-7368</v>
      </c>
      <c r="E8604" t="s">
        <v>8</v>
      </c>
      <c r="F8604" t="s">
        <v>8609</v>
      </c>
      <c r="G8604">
        <v>1</v>
      </c>
    </row>
    <row r="8605" spans="1:7" x14ac:dyDescent="0.25">
      <c r="A8605">
        <v>3</v>
      </c>
      <c r="B8605" t="s">
        <v>8357</v>
      </c>
      <c r="C8605">
        <v>8781989</v>
      </c>
      <c r="D8605" t="str">
        <f>"2469-4800"</f>
        <v>2469-4800</v>
      </c>
      <c r="E8605" t="s">
        <v>8</v>
      </c>
      <c r="F8605" t="s">
        <v>8610</v>
      </c>
      <c r="G8605">
        <v>1</v>
      </c>
    </row>
    <row r="8606" spans="1:7" x14ac:dyDescent="0.25">
      <c r="A8606">
        <v>3</v>
      </c>
      <c r="B8606" t="s">
        <v>8357</v>
      </c>
      <c r="C8606">
        <v>7707535</v>
      </c>
      <c r="D8606" t="str">
        <f>"2159-4473"</f>
        <v>2159-4473</v>
      </c>
      <c r="E8606" t="s">
        <v>8</v>
      </c>
      <c r="F8606" t="s">
        <v>8611</v>
      </c>
      <c r="G8606">
        <v>1</v>
      </c>
    </row>
    <row r="8607" spans="1:7" x14ac:dyDescent="0.25">
      <c r="A8607">
        <v>3</v>
      </c>
      <c r="B8607" t="s">
        <v>8357</v>
      </c>
      <c r="C8607">
        <v>8212</v>
      </c>
      <c r="D8607" t="str">
        <f>"1473-3536"</f>
        <v>1473-3536</v>
      </c>
      <c r="E8607" t="s">
        <v>8</v>
      </c>
      <c r="F8607" t="s">
        <v>8612</v>
      </c>
      <c r="G8607">
        <v>1</v>
      </c>
    </row>
    <row r="8608" spans="1:7" x14ac:dyDescent="0.25">
      <c r="A8608">
        <v>3</v>
      </c>
      <c r="B8608" t="s">
        <v>8357</v>
      </c>
      <c r="C8608">
        <v>4772</v>
      </c>
      <c r="D8608" t="str">
        <f>"0047-2816"</f>
        <v>0047-2816</v>
      </c>
      <c r="E8608" t="s">
        <v>8</v>
      </c>
      <c r="F8608" t="s">
        <v>8613</v>
      </c>
      <c r="G8608">
        <v>1</v>
      </c>
    </row>
    <row r="8609" spans="1:7" x14ac:dyDescent="0.25">
      <c r="A8609">
        <v>3</v>
      </c>
      <c r="B8609" t="s">
        <v>8357</v>
      </c>
      <c r="C8609">
        <v>7901</v>
      </c>
      <c r="D8609" t="str">
        <f>"0897-0521"</f>
        <v>0897-0521</v>
      </c>
      <c r="E8609" t="s">
        <v>8</v>
      </c>
      <c r="F8609" t="s">
        <v>8614</v>
      </c>
      <c r="G8609">
        <v>1</v>
      </c>
    </row>
    <row r="8610" spans="1:7" x14ac:dyDescent="0.25">
      <c r="A8610">
        <v>3</v>
      </c>
      <c r="B8610" t="s">
        <v>8357</v>
      </c>
      <c r="C8610">
        <v>83745</v>
      </c>
      <c r="D8610" t="str">
        <f>"0894-6388"</f>
        <v>0894-6388</v>
      </c>
      <c r="E8610" t="s">
        <v>8</v>
      </c>
      <c r="F8610" t="s">
        <v>8615</v>
      </c>
      <c r="G8610">
        <v>1</v>
      </c>
    </row>
    <row r="8611" spans="1:7" x14ac:dyDescent="0.25">
      <c r="A8611">
        <v>3</v>
      </c>
      <c r="B8611" t="s">
        <v>8357</v>
      </c>
      <c r="C8611">
        <v>13701</v>
      </c>
      <c r="D8611" t="str">
        <f>"0742-5562"</f>
        <v>0742-5562</v>
      </c>
      <c r="E8611" t="s">
        <v>8</v>
      </c>
      <c r="F8611" t="s">
        <v>8616</v>
      </c>
      <c r="G8611">
        <v>1</v>
      </c>
    </row>
    <row r="8612" spans="1:7" x14ac:dyDescent="0.25">
      <c r="A8612">
        <v>3</v>
      </c>
      <c r="B8612" t="s">
        <v>8357</v>
      </c>
      <c r="C8612">
        <v>13680</v>
      </c>
      <c r="D8612" t="str">
        <f>"0047-2875"</f>
        <v>0047-2875</v>
      </c>
      <c r="E8612" t="s">
        <v>8</v>
      </c>
      <c r="F8612" t="s">
        <v>8617</v>
      </c>
      <c r="G8612">
        <v>1</v>
      </c>
    </row>
    <row r="8613" spans="1:7" x14ac:dyDescent="0.25">
      <c r="A8613">
        <v>3</v>
      </c>
      <c r="B8613" t="s">
        <v>8357</v>
      </c>
      <c r="C8613">
        <v>117962</v>
      </c>
      <c r="D8613" t="str">
        <f>"1392-1517"</f>
        <v>1392-1517</v>
      </c>
      <c r="E8613" t="s">
        <v>8</v>
      </c>
      <c r="F8613" t="s">
        <v>8618</v>
      </c>
      <c r="G8613">
        <v>1</v>
      </c>
    </row>
    <row r="8614" spans="1:7" x14ac:dyDescent="0.25">
      <c r="A8614">
        <v>3</v>
      </c>
      <c r="B8614" t="s">
        <v>8357</v>
      </c>
      <c r="C8614">
        <v>2141</v>
      </c>
      <c r="D8614" t="str">
        <f>"0163-075X"</f>
        <v>0163-075X</v>
      </c>
      <c r="E8614" t="s">
        <v>8</v>
      </c>
      <c r="F8614" t="s">
        <v>8619</v>
      </c>
      <c r="G8614">
        <v>1</v>
      </c>
    </row>
    <row r="8615" spans="1:7" x14ac:dyDescent="0.25">
      <c r="A8615">
        <v>3</v>
      </c>
      <c r="B8615" t="s">
        <v>8357</v>
      </c>
      <c r="C8615">
        <v>67615</v>
      </c>
      <c r="D8615" t="str">
        <f>"1724-9074"</f>
        <v>1724-9074</v>
      </c>
      <c r="E8615" t="s">
        <v>8</v>
      </c>
      <c r="F8615" t="s">
        <v>8620</v>
      </c>
      <c r="G8615">
        <v>1</v>
      </c>
    </row>
    <row r="8616" spans="1:7" x14ac:dyDescent="0.25">
      <c r="A8616">
        <v>3</v>
      </c>
      <c r="B8616" t="s">
        <v>8357</v>
      </c>
      <c r="C8616">
        <v>2233</v>
      </c>
      <c r="D8616" t="str">
        <f>"0033-9423"</f>
        <v>0033-9423</v>
      </c>
      <c r="E8616" t="s">
        <v>8</v>
      </c>
      <c r="F8616" t="s">
        <v>8621</v>
      </c>
      <c r="G8616">
        <v>1</v>
      </c>
    </row>
    <row r="8617" spans="1:7" x14ac:dyDescent="0.25">
      <c r="A8617">
        <v>3</v>
      </c>
      <c r="B8617" t="s">
        <v>8357</v>
      </c>
      <c r="C8617">
        <v>25927</v>
      </c>
      <c r="D8617" t="str">
        <f>"1543-4303"</f>
        <v>1543-4303</v>
      </c>
      <c r="E8617" t="s">
        <v>8</v>
      </c>
      <c r="F8617" t="s">
        <v>8622</v>
      </c>
      <c r="G8617">
        <v>1</v>
      </c>
    </row>
    <row r="8618" spans="1:7" x14ac:dyDescent="0.25">
      <c r="A8618">
        <v>3</v>
      </c>
      <c r="B8618" t="s">
        <v>8357</v>
      </c>
      <c r="C8618">
        <v>13090</v>
      </c>
      <c r="D8618" t="str">
        <f>"0084-6473"</f>
        <v>0084-6473</v>
      </c>
      <c r="E8618" t="s">
        <v>8</v>
      </c>
      <c r="F8618" t="s">
        <v>8623</v>
      </c>
      <c r="G8618">
        <v>1</v>
      </c>
    </row>
    <row r="8619" spans="1:7" x14ac:dyDescent="0.25">
      <c r="A8619">
        <v>3</v>
      </c>
      <c r="B8619" t="s">
        <v>8357</v>
      </c>
      <c r="C8619">
        <v>3807</v>
      </c>
      <c r="D8619" t="str">
        <f>"1476-3435"</f>
        <v>1476-3435</v>
      </c>
      <c r="E8619" t="s">
        <v>8</v>
      </c>
      <c r="F8619" t="s">
        <v>8624</v>
      </c>
      <c r="G8619">
        <v>1</v>
      </c>
    </row>
    <row r="8620" spans="1:7" x14ac:dyDescent="0.25">
      <c r="A8620">
        <v>3</v>
      </c>
      <c r="B8620" t="s">
        <v>8357</v>
      </c>
      <c r="C8620">
        <v>7181</v>
      </c>
      <c r="D8620" t="str">
        <f>"1535-685X"</f>
        <v>1535-685X</v>
      </c>
      <c r="E8620" t="s">
        <v>8</v>
      </c>
      <c r="F8620" t="s">
        <v>8625</v>
      </c>
      <c r="G8620">
        <v>1</v>
      </c>
    </row>
    <row r="8621" spans="1:7" x14ac:dyDescent="0.25">
      <c r="A8621">
        <v>3</v>
      </c>
      <c r="B8621" t="s">
        <v>8357</v>
      </c>
      <c r="C8621">
        <v>20012</v>
      </c>
      <c r="D8621" t="str">
        <f>"0015-9395"</f>
        <v>0015-9395</v>
      </c>
      <c r="E8621" t="s">
        <v>8</v>
      </c>
      <c r="F8621" t="s">
        <v>8626</v>
      </c>
      <c r="G8621">
        <v>1</v>
      </c>
    </row>
    <row r="8622" spans="1:7" x14ac:dyDescent="0.25">
      <c r="A8622">
        <v>3</v>
      </c>
      <c r="B8622" t="s">
        <v>8357</v>
      </c>
      <c r="C8622">
        <v>26646</v>
      </c>
      <c r="D8622" t="str">
        <f>"0023-9909"</f>
        <v>0023-9909</v>
      </c>
      <c r="E8622" t="s">
        <v>8</v>
      </c>
      <c r="F8622" t="s">
        <v>8627</v>
      </c>
      <c r="G8622">
        <v>1</v>
      </c>
    </row>
    <row r="8623" spans="1:7" x14ac:dyDescent="0.25">
      <c r="A8623">
        <v>3</v>
      </c>
      <c r="B8623" t="s">
        <v>8357</v>
      </c>
      <c r="C8623">
        <v>11073</v>
      </c>
      <c r="D8623" t="str">
        <f>"0748-4321"</f>
        <v>0748-4321</v>
      </c>
      <c r="E8623" t="s">
        <v>8</v>
      </c>
      <c r="F8623" t="s">
        <v>8628</v>
      </c>
      <c r="G8623">
        <v>1</v>
      </c>
    </row>
    <row r="8624" spans="1:7" x14ac:dyDescent="0.25">
      <c r="A8624">
        <v>3</v>
      </c>
      <c r="B8624" t="s">
        <v>8357</v>
      </c>
      <c r="C8624">
        <v>6680</v>
      </c>
      <c r="D8624" t="str">
        <f>"1409-424X"</f>
        <v>1409-424X</v>
      </c>
      <c r="E8624" t="s">
        <v>8</v>
      </c>
      <c r="F8624" t="s">
        <v>8629</v>
      </c>
      <c r="G8624">
        <v>1</v>
      </c>
    </row>
    <row r="8625" spans="1:7" x14ac:dyDescent="0.25">
      <c r="A8625">
        <v>3</v>
      </c>
      <c r="B8625" t="s">
        <v>8357</v>
      </c>
      <c r="C8625">
        <v>22090</v>
      </c>
      <c r="D8625" t="str">
        <f>"1448-4528"</f>
        <v>1448-4528</v>
      </c>
      <c r="E8625" t="s">
        <v>8</v>
      </c>
      <c r="F8625" t="s">
        <v>8630</v>
      </c>
      <c r="G8625">
        <v>1</v>
      </c>
    </row>
    <row r="8626" spans="1:7" x14ac:dyDescent="0.25">
      <c r="A8626">
        <v>3</v>
      </c>
      <c r="B8626" t="s">
        <v>8357</v>
      </c>
      <c r="C8626">
        <v>27216</v>
      </c>
      <c r="D8626" t="str">
        <f>"1594-6517"</f>
        <v>1594-6517</v>
      </c>
      <c r="E8626" t="s">
        <v>8</v>
      </c>
      <c r="F8626" t="s">
        <v>8631</v>
      </c>
      <c r="G8626">
        <v>1</v>
      </c>
    </row>
    <row r="8627" spans="1:7" x14ac:dyDescent="0.25">
      <c r="A8627">
        <v>3</v>
      </c>
      <c r="B8627" t="s">
        <v>8357</v>
      </c>
      <c r="C8627">
        <v>13494</v>
      </c>
      <c r="D8627" t="str">
        <f>"0210-6345"</f>
        <v>0210-6345</v>
      </c>
      <c r="E8627" t="s">
        <v>8</v>
      </c>
      <c r="F8627" t="s">
        <v>8632</v>
      </c>
      <c r="G8627">
        <v>1</v>
      </c>
    </row>
    <row r="8628" spans="1:7" x14ac:dyDescent="0.25">
      <c r="A8628">
        <v>3</v>
      </c>
      <c r="B8628" t="s">
        <v>8357</v>
      </c>
      <c r="C8628">
        <v>180086</v>
      </c>
      <c r="D8628" t="str">
        <f>"2236-4242"</f>
        <v>2236-4242</v>
      </c>
      <c r="E8628" t="s">
        <v>8</v>
      </c>
      <c r="F8628" t="s">
        <v>8633</v>
      </c>
      <c r="G8628">
        <v>1</v>
      </c>
    </row>
    <row r="8629" spans="1:7" x14ac:dyDescent="0.25">
      <c r="A8629">
        <v>3</v>
      </c>
      <c r="B8629" t="s">
        <v>8357</v>
      </c>
      <c r="C8629">
        <v>6004</v>
      </c>
      <c r="D8629" t="str">
        <f>"1043-6928"</f>
        <v>1043-6928</v>
      </c>
      <c r="E8629" t="s">
        <v>8</v>
      </c>
      <c r="F8629" t="s">
        <v>8634</v>
      </c>
      <c r="G8629">
        <v>1</v>
      </c>
    </row>
    <row r="8630" spans="1:7" x14ac:dyDescent="0.25">
      <c r="A8630">
        <v>3</v>
      </c>
      <c r="B8630" t="s">
        <v>8357</v>
      </c>
      <c r="C8630">
        <v>145868</v>
      </c>
      <c r="D8630" t="str">
        <f>"0085-2295"</f>
        <v>0085-2295</v>
      </c>
      <c r="E8630" t="s">
        <v>8</v>
      </c>
      <c r="F8630" t="s">
        <v>8635</v>
      </c>
      <c r="G8630">
        <v>1</v>
      </c>
    </row>
    <row r="8631" spans="1:7" x14ac:dyDescent="0.25">
      <c r="A8631">
        <v>3</v>
      </c>
      <c r="B8631" t="s">
        <v>8357</v>
      </c>
      <c r="C8631">
        <v>8223</v>
      </c>
      <c r="D8631" t="str">
        <f>"0716-5811"</f>
        <v>0716-5811</v>
      </c>
      <c r="E8631" t="s">
        <v>8</v>
      </c>
      <c r="F8631" t="s">
        <v>8636</v>
      </c>
      <c r="G8631">
        <v>1</v>
      </c>
    </row>
    <row r="8632" spans="1:7" x14ac:dyDescent="0.25">
      <c r="A8632">
        <v>3</v>
      </c>
      <c r="B8632" t="s">
        <v>8357</v>
      </c>
      <c r="C8632">
        <v>6187997</v>
      </c>
      <c r="E8632" t="s">
        <v>15</v>
      </c>
      <c r="F8632" t="s">
        <v>8637</v>
      </c>
      <c r="G8632">
        <v>1</v>
      </c>
    </row>
    <row r="8633" spans="1:7" x14ac:dyDescent="0.25">
      <c r="A8633">
        <v>3</v>
      </c>
      <c r="B8633" t="s">
        <v>8357</v>
      </c>
      <c r="C8633">
        <v>27151</v>
      </c>
      <c r="D8633" t="str">
        <f>"1649-2358"</f>
        <v>1649-2358</v>
      </c>
      <c r="E8633" t="s">
        <v>8</v>
      </c>
      <c r="F8633" t="s">
        <v>8638</v>
      </c>
      <c r="G8633">
        <v>1</v>
      </c>
    </row>
    <row r="8634" spans="1:7" x14ac:dyDescent="0.25">
      <c r="A8634">
        <v>3</v>
      </c>
      <c r="B8634" t="s">
        <v>8357</v>
      </c>
      <c r="C8634">
        <v>102734</v>
      </c>
      <c r="D8634" t="str">
        <f>"0263-3140"</f>
        <v>0263-3140</v>
      </c>
      <c r="E8634" t="s">
        <v>8</v>
      </c>
      <c r="F8634" t="s">
        <v>8639</v>
      </c>
      <c r="G8634">
        <v>1</v>
      </c>
    </row>
    <row r="8635" spans="1:7" x14ac:dyDescent="0.25">
      <c r="A8635">
        <v>3</v>
      </c>
      <c r="B8635" t="s">
        <v>8357</v>
      </c>
      <c r="C8635">
        <v>599</v>
      </c>
      <c r="E8635" t="s">
        <v>8</v>
      </c>
      <c r="F8635" t="s">
        <v>8640</v>
      </c>
      <c r="G8635">
        <v>1</v>
      </c>
    </row>
    <row r="8636" spans="1:7" x14ac:dyDescent="0.25">
      <c r="A8636">
        <v>3</v>
      </c>
      <c r="B8636" t="s">
        <v>8357</v>
      </c>
      <c r="C8636">
        <v>17867</v>
      </c>
      <c r="D8636" t="str">
        <f>"0390-0711"</f>
        <v>0390-0711</v>
      </c>
      <c r="E8636" t="s">
        <v>8</v>
      </c>
      <c r="F8636" t="s">
        <v>8641</v>
      </c>
      <c r="G8636">
        <v>1</v>
      </c>
    </row>
    <row r="8637" spans="1:7" x14ac:dyDescent="0.25">
      <c r="A8637">
        <v>3</v>
      </c>
      <c r="B8637" t="s">
        <v>8357</v>
      </c>
      <c r="C8637">
        <v>86932</v>
      </c>
      <c r="D8637" t="str">
        <f>"1004-8855"</f>
        <v>1004-8855</v>
      </c>
      <c r="E8637" t="s">
        <v>8</v>
      </c>
      <c r="F8637" t="s">
        <v>8642</v>
      </c>
      <c r="G8637">
        <v>1</v>
      </c>
    </row>
    <row r="8638" spans="1:7" x14ac:dyDescent="0.25">
      <c r="A8638">
        <v>3</v>
      </c>
      <c r="B8638" t="s">
        <v>8357</v>
      </c>
      <c r="C8638">
        <v>8758217</v>
      </c>
      <c r="D8638" t="str">
        <f>"0719-3734"</f>
        <v>0719-3734</v>
      </c>
      <c r="E8638" t="s">
        <v>15</v>
      </c>
      <c r="F8638" t="s">
        <v>8643</v>
      </c>
      <c r="G8638">
        <v>1</v>
      </c>
    </row>
    <row r="8639" spans="1:7" x14ac:dyDescent="0.25">
      <c r="A8639">
        <v>3</v>
      </c>
      <c r="B8639" t="s">
        <v>8357</v>
      </c>
      <c r="C8639">
        <v>11381</v>
      </c>
      <c r="D8639" t="str">
        <f>"0026-4326"</f>
        <v>0026-4326</v>
      </c>
      <c r="E8639" t="s">
        <v>8</v>
      </c>
      <c r="F8639" t="s">
        <v>8644</v>
      </c>
      <c r="G8639">
        <v>1</v>
      </c>
    </row>
    <row r="8640" spans="1:7" x14ac:dyDescent="0.25">
      <c r="A8640">
        <v>3</v>
      </c>
      <c r="B8640" t="s">
        <v>8357</v>
      </c>
      <c r="C8640">
        <v>7890</v>
      </c>
      <c r="D8640" t="str">
        <f>"0076-8820"</f>
        <v>0076-8820</v>
      </c>
      <c r="E8640" t="s">
        <v>8</v>
      </c>
      <c r="F8640" t="s">
        <v>8645</v>
      </c>
      <c r="G8640">
        <v>1</v>
      </c>
    </row>
    <row r="8641" spans="1:7" x14ac:dyDescent="0.25">
      <c r="A8641">
        <v>3</v>
      </c>
      <c r="B8641" t="s">
        <v>8357</v>
      </c>
      <c r="C8641">
        <v>27138</v>
      </c>
      <c r="D8641" t="str">
        <f>"1137-6368"</f>
        <v>1137-6368</v>
      </c>
      <c r="E8641" t="s">
        <v>8</v>
      </c>
      <c r="F8641" t="s">
        <v>8646</v>
      </c>
      <c r="G8641">
        <v>1</v>
      </c>
    </row>
    <row r="8642" spans="1:7" x14ac:dyDescent="0.25">
      <c r="A8642">
        <v>3</v>
      </c>
      <c r="B8642" t="s">
        <v>8357</v>
      </c>
      <c r="C8642">
        <v>16497</v>
      </c>
      <c r="D8642" t="str">
        <f>"0026-7937"</f>
        <v>0026-7937</v>
      </c>
      <c r="E8642" t="s">
        <v>8</v>
      </c>
      <c r="F8642" t="s">
        <v>8647</v>
      </c>
      <c r="G8642">
        <v>1</v>
      </c>
    </row>
    <row r="8643" spans="1:7" x14ac:dyDescent="0.25">
      <c r="A8643">
        <v>3</v>
      </c>
      <c r="B8643" t="s">
        <v>8357</v>
      </c>
      <c r="C8643">
        <v>8995</v>
      </c>
      <c r="D8643" t="str">
        <f>"0026-8232"</f>
        <v>0026-8232</v>
      </c>
      <c r="E8643" t="s">
        <v>8</v>
      </c>
      <c r="F8643" t="s">
        <v>8648</v>
      </c>
      <c r="G8643">
        <v>1</v>
      </c>
    </row>
    <row r="8644" spans="1:7" x14ac:dyDescent="0.25">
      <c r="A8644">
        <v>3</v>
      </c>
      <c r="B8644" t="s">
        <v>8357</v>
      </c>
      <c r="C8644">
        <v>9913</v>
      </c>
      <c r="D8644" t="str">
        <f>"0026-9271"</f>
        <v>0026-9271</v>
      </c>
      <c r="E8644" t="s">
        <v>8</v>
      </c>
      <c r="F8644" t="s">
        <v>8649</v>
      </c>
      <c r="G8644">
        <v>1</v>
      </c>
    </row>
    <row r="8645" spans="1:7" x14ac:dyDescent="0.25">
      <c r="A8645">
        <v>3</v>
      </c>
      <c r="B8645" t="s">
        <v>8357</v>
      </c>
      <c r="C8645">
        <v>22427</v>
      </c>
      <c r="D8645" t="str">
        <f>"0243-6450"</f>
        <v>0243-6450</v>
      </c>
      <c r="E8645" t="s">
        <v>8</v>
      </c>
      <c r="F8645" t="s">
        <v>8650</v>
      </c>
      <c r="G8645">
        <v>1</v>
      </c>
    </row>
    <row r="8646" spans="1:7" x14ac:dyDescent="0.25">
      <c r="A8646">
        <v>3</v>
      </c>
      <c r="B8646" t="s">
        <v>8357</v>
      </c>
      <c r="C8646">
        <v>30557</v>
      </c>
      <c r="D8646" t="str">
        <f>"1016-1333"</f>
        <v>1016-1333</v>
      </c>
      <c r="E8646" t="s">
        <v>8</v>
      </c>
      <c r="F8646" t="s">
        <v>8651</v>
      </c>
      <c r="G8646">
        <v>1</v>
      </c>
    </row>
    <row r="8647" spans="1:7" x14ac:dyDescent="0.25">
      <c r="A8647">
        <v>3</v>
      </c>
      <c r="B8647" t="s">
        <v>8357</v>
      </c>
      <c r="C8647">
        <v>113374</v>
      </c>
      <c r="D8647" t="str">
        <f>"1424-7658"</f>
        <v>1424-7658</v>
      </c>
      <c r="E8647" t="s">
        <v>15</v>
      </c>
      <c r="F8647" t="s">
        <v>8652</v>
      </c>
      <c r="G8647">
        <v>1</v>
      </c>
    </row>
    <row r="8648" spans="1:7" x14ac:dyDescent="0.25">
      <c r="A8648">
        <v>3</v>
      </c>
      <c r="B8648" t="s">
        <v>8357</v>
      </c>
      <c r="C8648">
        <v>133791</v>
      </c>
      <c r="D8648" t="str">
        <f>"0178-1278"</f>
        <v>0178-1278</v>
      </c>
      <c r="E8648" t="s">
        <v>15</v>
      </c>
      <c r="F8648" t="s">
        <v>8653</v>
      </c>
      <c r="G8648">
        <v>1</v>
      </c>
    </row>
    <row r="8649" spans="1:7" x14ac:dyDescent="0.25">
      <c r="A8649">
        <v>3</v>
      </c>
      <c r="B8649" t="s">
        <v>8357</v>
      </c>
      <c r="C8649">
        <v>2644</v>
      </c>
      <c r="D8649" t="str">
        <f>"0028-2677"</f>
        <v>0028-2677</v>
      </c>
      <c r="E8649" t="s">
        <v>8</v>
      </c>
      <c r="F8649" t="s">
        <v>8654</v>
      </c>
      <c r="G8649">
        <v>1</v>
      </c>
    </row>
    <row r="8650" spans="1:7" x14ac:dyDescent="0.25">
      <c r="A8650">
        <v>3</v>
      </c>
      <c r="B8650" t="s">
        <v>8357</v>
      </c>
      <c r="C8650">
        <v>28227</v>
      </c>
      <c r="D8650" t="str">
        <f>"1043-5808"</f>
        <v>1043-5808</v>
      </c>
      <c r="E8650" t="s">
        <v>15</v>
      </c>
      <c r="F8650" t="s">
        <v>8655</v>
      </c>
      <c r="G8650">
        <v>1</v>
      </c>
    </row>
    <row r="8651" spans="1:7" x14ac:dyDescent="0.25">
      <c r="A8651">
        <v>3</v>
      </c>
      <c r="B8651" t="s">
        <v>8357</v>
      </c>
      <c r="C8651">
        <v>8783028</v>
      </c>
      <c r="D8651" t="str">
        <f>"2197-8689"</f>
        <v>2197-8689</v>
      </c>
      <c r="E8651" t="s">
        <v>15</v>
      </c>
      <c r="F8651" t="s">
        <v>8656</v>
      </c>
      <c r="G8651">
        <v>1</v>
      </c>
    </row>
    <row r="8652" spans="1:7" x14ac:dyDescent="0.25">
      <c r="A8652">
        <v>3</v>
      </c>
      <c r="B8652" t="s">
        <v>8357</v>
      </c>
      <c r="C8652">
        <v>15398</v>
      </c>
      <c r="D8652" t="str">
        <f>"0889-0145"</f>
        <v>0889-0145</v>
      </c>
      <c r="E8652" t="s">
        <v>8</v>
      </c>
      <c r="F8652" t="s">
        <v>8657</v>
      </c>
      <c r="G8652">
        <v>1</v>
      </c>
    </row>
    <row r="8653" spans="1:7" x14ac:dyDescent="0.25">
      <c r="A8653">
        <v>3</v>
      </c>
      <c r="B8653" t="s">
        <v>8357</v>
      </c>
      <c r="C8653">
        <v>27531</v>
      </c>
      <c r="E8653" t="s">
        <v>8</v>
      </c>
      <c r="F8653" t="s">
        <v>8658</v>
      </c>
      <c r="G8653">
        <v>1</v>
      </c>
    </row>
    <row r="8654" spans="1:7" x14ac:dyDescent="0.25">
      <c r="A8654">
        <v>3</v>
      </c>
      <c r="B8654" t="s">
        <v>8357</v>
      </c>
      <c r="C8654">
        <v>6220787</v>
      </c>
      <c r="D8654" t="str">
        <f>"1869-5604"</f>
        <v>1869-5604</v>
      </c>
      <c r="E8654" t="s">
        <v>8</v>
      </c>
      <c r="F8654" t="s">
        <v>8659</v>
      </c>
      <c r="G8654">
        <v>1</v>
      </c>
    </row>
    <row r="8655" spans="1:7" x14ac:dyDescent="0.25">
      <c r="A8655">
        <v>3</v>
      </c>
      <c r="B8655" t="s">
        <v>8357</v>
      </c>
      <c r="C8655">
        <v>8759478</v>
      </c>
      <c r="D8655" t="str">
        <f>"2196-9760"</f>
        <v>2196-9760</v>
      </c>
      <c r="E8655" t="s">
        <v>15</v>
      </c>
      <c r="F8655" t="s">
        <v>8660</v>
      </c>
      <c r="G8655">
        <v>1</v>
      </c>
    </row>
    <row r="8656" spans="1:7" x14ac:dyDescent="0.25">
      <c r="A8656">
        <v>3</v>
      </c>
      <c r="B8656" t="s">
        <v>8357</v>
      </c>
      <c r="C8656">
        <v>8783397</v>
      </c>
      <c r="E8656" t="s">
        <v>15</v>
      </c>
      <c r="F8656" t="s">
        <v>8661</v>
      </c>
      <c r="G8656">
        <v>1</v>
      </c>
    </row>
    <row r="8657" spans="1:7" x14ac:dyDescent="0.25">
      <c r="A8657">
        <v>3</v>
      </c>
      <c r="B8657" t="s">
        <v>8357</v>
      </c>
      <c r="C8657">
        <v>10846</v>
      </c>
      <c r="D8657" t="str">
        <f>"1602-124X"</f>
        <v>1602-124X</v>
      </c>
      <c r="E8657" t="s">
        <v>8</v>
      </c>
      <c r="F8657" t="s">
        <v>8662</v>
      </c>
      <c r="G8657">
        <v>1</v>
      </c>
    </row>
    <row r="8658" spans="1:7" x14ac:dyDescent="0.25">
      <c r="A8658">
        <v>3</v>
      </c>
      <c r="B8658" t="s">
        <v>8357</v>
      </c>
      <c r="C8658">
        <v>133902</v>
      </c>
      <c r="E8658" t="s">
        <v>8</v>
      </c>
      <c r="F8658" t="s">
        <v>8663</v>
      </c>
      <c r="G8658">
        <v>1</v>
      </c>
    </row>
    <row r="8659" spans="1:7" x14ac:dyDescent="0.25">
      <c r="A8659">
        <v>3</v>
      </c>
      <c r="B8659" t="s">
        <v>8357</v>
      </c>
      <c r="C8659">
        <v>15029</v>
      </c>
      <c r="D8659" t="str">
        <f>"0029-3970"</f>
        <v>0029-3970</v>
      </c>
      <c r="E8659" t="s">
        <v>8</v>
      </c>
      <c r="F8659" t="s">
        <v>8664</v>
      </c>
      <c r="G8659">
        <v>1</v>
      </c>
    </row>
    <row r="8660" spans="1:7" x14ac:dyDescent="0.25">
      <c r="A8660">
        <v>3</v>
      </c>
      <c r="B8660" t="s">
        <v>8357</v>
      </c>
      <c r="C8660">
        <v>11</v>
      </c>
      <c r="D8660" t="str">
        <f>"1552-3152"</f>
        <v>1552-3152</v>
      </c>
      <c r="E8660" t="s">
        <v>8</v>
      </c>
      <c r="F8660" t="s">
        <v>8665</v>
      </c>
      <c r="G8660">
        <v>1</v>
      </c>
    </row>
    <row r="8661" spans="1:7" x14ac:dyDescent="0.25">
      <c r="A8661">
        <v>3</v>
      </c>
      <c r="B8661" t="s">
        <v>8357</v>
      </c>
      <c r="C8661">
        <v>7707574</v>
      </c>
      <c r="E8661" t="s">
        <v>15</v>
      </c>
      <c r="F8661" t="s">
        <v>8666</v>
      </c>
      <c r="G8661">
        <v>1</v>
      </c>
    </row>
    <row r="8662" spans="1:7" x14ac:dyDescent="0.25">
      <c r="A8662">
        <v>3</v>
      </c>
      <c r="B8662" t="s">
        <v>8357</v>
      </c>
      <c r="C8662">
        <v>12767</v>
      </c>
      <c r="D8662" t="str">
        <f>"1575-1430"</f>
        <v>1575-1430</v>
      </c>
      <c r="E8662" t="s">
        <v>8</v>
      </c>
      <c r="F8662" t="s">
        <v>8667</v>
      </c>
      <c r="G8662">
        <v>1</v>
      </c>
    </row>
    <row r="8663" spans="1:7" x14ac:dyDescent="0.25">
      <c r="A8663">
        <v>3</v>
      </c>
      <c r="B8663" t="s">
        <v>8357</v>
      </c>
      <c r="C8663">
        <v>170025</v>
      </c>
      <c r="D8663" t="str">
        <f>"2047-2870"</f>
        <v>2047-2870</v>
      </c>
      <c r="E8663" t="s">
        <v>8</v>
      </c>
      <c r="F8663" t="s">
        <v>8668</v>
      </c>
      <c r="G8663">
        <v>1</v>
      </c>
    </row>
    <row r="8664" spans="1:7" x14ac:dyDescent="0.25">
      <c r="A8664">
        <v>3</v>
      </c>
      <c r="B8664" t="s">
        <v>8357</v>
      </c>
      <c r="C8664">
        <v>2359</v>
      </c>
      <c r="D8664" t="str">
        <f>"0801-0781"</f>
        <v>0801-0781</v>
      </c>
      <c r="E8664" t="s">
        <v>15</v>
      </c>
      <c r="F8664" t="s">
        <v>8669</v>
      </c>
      <c r="G8664">
        <v>1</v>
      </c>
    </row>
    <row r="8665" spans="1:7" x14ac:dyDescent="0.25">
      <c r="A8665">
        <v>3</v>
      </c>
      <c r="B8665" t="s">
        <v>8357</v>
      </c>
      <c r="C8665">
        <v>8781956</v>
      </c>
      <c r="D8665" t="str">
        <f>"1904-6022"</f>
        <v>1904-6022</v>
      </c>
      <c r="E8665" t="s">
        <v>8</v>
      </c>
      <c r="F8665" t="s">
        <v>8670</v>
      </c>
      <c r="G8665">
        <v>1</v>
      </c>
    </row>
    <row r="8666" spans="1:7" x14ac:dyDescent="0.25">
      <c r="A8666">
        <v>3</v>
      </c>
      <c r="B8666" t="s">
        <v>8357</v>
      </c>
      <c r="C8666">
        <v>610</v>
      </c>
      <c r="D8666" t="str">
        <f>"0078-7469"</f>
        <v>0078-7469</v>
      </c>
      <c r="E8666" t="s">
        <v>8</v>
      </c>
      <c r="F8666" t="s">
        <v>8671</v>
      </c>
      <c r="G8666">
        <v>1</v>
      </c>
    </row>
    <row r="8667" spans="1:7" x14ac:dyDescent="0.25">
      <c r="A8667">
        <v>3</v>
      </c>
      <c r="B8667" t="s">
        <v>8357</v>
      </c>
      <c r="C8667">
        <v>180087</v>
      </c>
      <c r="D8667" t="str">
        <f>"2296-6684"</f>
        <v>2296-6684</v>
      </c>
      <c r="E8667" t="s">
        <v>8</v>
      </c>
      <c r="F8667" t="s">
        <v>8672</v>
      </c>
      <c r="G8667">
        <v>1</v>
      </c>
    </row>
    <row r="8668" spans="1:7" x14ac:dyDescent="0.25">
      <c r="A8668">
        <v>3</v>
      </c>
      <c r="B8668" t="s">
        <v>8357</v>
      </c>
      <c r="C8668">
        <v>27123</v>
      </c>
      <c r="D8668" t="str">
        <f>"0188-7653"</f>
        <v>0188-7653</v>
      </c>
      <c r="E8668" t="s">
        <v>8</v>
      </c>
      <c r="F8668" t="s">
        <v>8673</v>
      </c>
      <c r="G8668">
        <v>1</v>
      </c>
    </row>
    <row r="8669" spans="1:7" x14ac:dyDescent="0.25">
      <c r="A8669">
        <v>3</v>
      </c>
      <c r="B8669" t="s">
        <v>8357</v>
      </c>
      <c r="C8669">
        <v>7695978</v>
      </c>
      <c r="E8669" t="s">
        <v>15</v>
      </c>
      <c r="F8669" t="s">
        <v>8674</v>
      </c>
      <c r="G8669">
        <v>1</v>
      </c>
    </row>
    <row r="8670" spans="1:7" x14ac:dyDescent="0.25">
      <c r="A8670">
        <v>3</v>
      </c>
      <c r="B8670" t="s">
        <v>8357</v>
      </c>
      <c r="C8670">
        <v>7741575</v>
      </c>
      <c r="D8670" t="str">
        <f>"2193-4142"</f>
        <v>2193-4142</v>
      </c>
      <c r="E8670" t="s">
        <v>15</v>
      </c>
      <c r="F8670" t="s">
        <v>8675</v>
      </c>
      <c r="G8670">
        <v>1</v>
      </c>
    </row>
    <row r="8671" spans="1:7" x14ac:dyDescent="0.25">
      <c r="A8671">
        <v>3</v>
      </c>
      <c r="B8671" t="s">
        <v>8357</v>
      </c>
      <c r="C8671">
        <v>6245052</v>
      </c>
      <c r="D8671" t="str">
        <f>"1533-9793"</f>
        <v>1533-9793</v>
      </c>
      <c r="E8671" t="s">
        <v>8</v>
      </c>
      <c r="F8671" t="s">
        <v>8676</v>
      </c>
      <c r="G8671">
        <v>1</v>
      </c>
    </row>
    <row r="8672" spans="1:7" x14ac:dyDescent="0.25">
      <c r="A8672">
        <v>3</v>
      </c>
      <c r="B8672" t="s">
        <v>8357</v>
      </c>
      <c r="C8672">
        <v>6245375</v>
      </c>
      <c r="E8672" t="s">
        <v>8</v>
      </c>
      <c r="F8672" t="s">
        <v>8677</v>
      </c>
      <c r="G8672">
        <v>1</v>
      </c>
    </row>
    <row r="8673" spans="1:7" x14ac:dyDescent="0.25">
      <c r="A8673">
        <v>3</v>
      </c>
      <c r="B8673" t="s">
        <v>8357</v>
      </c>
      <c r="C8673">
        <v>6245377</v>
      </c>
      <c r="E8673" t="s">
        <v>15</v>
      </c>
      <c r="F8673" t="s">
        <v>8678</v>
      </c>
      <c r="G8673">
        <v>1</v>
      </c>
    </row>
    <row r="8674" spans="1:7" x14ac:dyDescent="0.25">
      <c r="A8674">
        <v>3</v>
      </c>
      <c r="B8674" t="s">
        <v>8357</v>
      </c>
      <c r="C8674">
        <v>15490</v>
      </c>
      <c r="D8674" t="str">
        <f>"1697-7467"</f>
        <v>1697-7467</v>
      </c>
      <c r="E8674" t="s">
        <v>8</v>
      </c>
      <c r="F8674" t="s">
        <v>8679</v>
      </c>
      <c r="G8674">
        <v>1</v>
      </c>
    </row>
    <row r="8675" spans="1:7" x14ac:dyDescent="0.25">
      <c r="A8675">
        <v>3</v>
      </c>
      <c r="B8675" t="s">
        <v>8357</v>
      </c>
      <c r="C8675">
        <v>92700</v>
      </c>
      <c r="D8675" t="str">
        <f>"1610-207X"</f>
        <v>1610-207X</v>
      </c>
      <c r="E8675" t="s">
        <v>15</v>
      </c>
      <c r="F8675" t="s">
        <v>8680</v>
      </c>
      <c r="G8675">
        <v>1</v>
      </c>
    </row>
    <row r="8676" spans="1:7" x14ac:dyDescent="0.25">
      <c r="A8676">
        <v>3</v>
      </c>
      <c r="B8676" t="s">
        <v>8357</v>
      </c>
      <c r="C8676">
        <v>7735434</v>
      </c>
      <c r="E8676" t="s">
        <v>15</v>
      </c>
      <c r="F8676" t="s">
        <v>8681</v>
      </c>
      <c r="G8676">
        <v>1</v>
      </c>
    </row>
    <row r="8677" spans="1:7" x14ac:dyDescent="0.25">
      <c r="A8677">
        <v>3</v>
      </c>
      <c r="B8677" t="s">
        <v>8357</v>
      </c>
      <c r="C8677">
        <v>92503</v>
      </c>
      <c r="D8677" t="str">
        <f>"0962-7057"</f>
        <v>0962-7057</v>
      </c>
      <c r="E8677" t="s">
        <v>8</v>
      </c>
      <c r="F8677" t="s">
        <v>8682</v>
      </c>
      <c r="G8677">
        <v>1</v>
      </c>
    </row>
    <row r="8678" spans="1:7" x14ac:dyDescent="0.25">
      <c r="A8678">
        <v>3</v>
      </c>
      <c r="B8678" t="s">
        <v>8357</v>
      </c>
      <c r="C8678">
        <v>26059</v>
      </c>
      <c r="D8678" t="str">
        <f>"0301-7036"</f>
        <v>0301-7036</v>
      </c>
      <c r="E8678" t="s">
        <v>8</v>
      </c>
      <c r="F8678" t="s">
        <v>8683</v>
      </c>
      <c r="G8678">
        <v>1</v>
      </c>
    </row>
    <row r="8679" spans="1:7" x14ac:dyDescent="0.25">
      <c r="A8679">
        <v>3</v>
      </c>
      <c r="B8679" t="s">
        <v>8357</v>
      </c>
      <c r="C8679">
        <v>9701</v>
      </c>
      <c r="D8679" t="str">
        <f>"0921-4771"</f>
        <v>0921-4771</v>
      </c>
      <c r="E8679" t="s">
        <v>8</v>
      </c>
      <c r="F8679" t="s">
        <v>8684</v>
      </c>
      <c r="G8679">
        <v>1</v>
      </c>
    </row>
    <row r="8680" spans="1:7" x14ac:dyDescent="0.25">
      <c r="A8680">
        <v>3</v>
      </c>
      <c r="B8680" t="s">
        <v>8357</v>
      </c>
      <c r="C8680">
        <v>136512</v>
      </c>
      <c r="D8680" t="str">
        <f>"1123-2684"</f>
        <v>1123-2684</v>
      </c>
      <c r="E8680" t="s">
        <v>15</v>
      </c>
      <c r="F8680" t="s">
        <v>8685</v>
      </c>
      <c r="G8680">
        <v>1</v>
      </c>
    </row>
    <row r="8681" spans="1:7" x14ac:dyDescent="0.25">
      <c r="A8681">
        <v>3</v>
      </c>
      <c r="B8681" t="s">
        <v>8357</v>
      </c>
      <c r="C8681">
        <v>7747576</v>
      </c>
      <c r="D8681" t="str">
        <f>"2193-3952"</f>
        <v>2193-3952</v>
      </c>
      <c r="E8681" t="s">
        <v>15</v>
      </c>
      <c r="F8681" t="s">
        <v>8686</v>
      </c>
      <c r="G8681">
        <v>1</v>
      </c>
    </row>
    <row r="8682" spans="1:7" x14ac:dyDescent="0.25">
      <c r="A8682">
        <v>3</v>
      </c>
      <c r="B8682" t="s">
        <v>8357</v>
      </c>
      <c r="C8682">
        <v>144167</v>
      </c>
      <c r="D8682" t="str">
        <f>"1660-0088"</f>
        <v>1660-0088</v>
      </c>
      <c r="E8682" t="s">
        <v>15</v>
      </c>
      <c r="F8682" t="s">
        <v>8687</v>
      </c>
      <c r="G8682">
        <v>1</v>
      </c>
    </row>
    <row r="8683" spans="1:7" x14ac:dyDescent="0.25">
      <c r="A8683">
        <v>3</v>
      </c>
      <c r="B8683" t="s">
        <v>8357</v>
      </c>
      <c r="C8683">
        <v>11601</v>
      </c>
      <c r="D8683" t="str">
        <f>"0399-1989"</f>
        <v>0399-1989</v>
      </c>
      <c r="E8683" t="s">
        <v>8</v>
      </c>
      <c r="F8683" t="s">
        <v>8688</v>
      </c>
      <c r="G8683">
        <v>1</v>
      </c>
    </row>
    <row r="8684" spans="1:7" x14ac:dyDescent="0.25">
      <c r="A8684">
        <v>3</v>
      </c>
      <c r="B8684" t="s">
        <v>8357</v>
      </c>
      <c r="C8684">
        <v>27498</v>
      </c>
      <c r="D8684" t="str">
        <f>"0339-8749"</f>
        <v>0339-8749</v>
      </c>
      <c r="E8684" t="s">
        <v>8</v>
      </c>
      <c r="F8684" t="s">
        <v>8689</v>
      </c>
      <c r="G8684">
        <v>1</v>
      </c>
    </row>
    <row r="8685" spans="1:7" x14ac:dyDescent="0.25">
      <c r="A8685">
        <v>3</v>
      </c>
      <c r="B8685" t="s">
        <v>8357</v>
      </c>
      <c r="C8685">
        <v>1927</v>
      </c>
      <c r="D8685" t="str">
        <f>"0769-0886"</f>
        <v>0769-0886</v>
      </c>
      <c r="E8685" t="s">
        <v>8</v>
      </c>
      <c r="F8685" t="s">
        <v>8690</v>
      </c>
      <c r="G8685">
        <v>1</v>
      </c>
    </row>
    <row r="8686" spans="1:7" x14ac:dyDescent="0.25">
      <c r="A8686">
        <v>3</v>
      </c>
      <c r="B8686" t="s">
        <v>8357</v>
      </c>
      <c r="C8686">
        <v>1692</v>
      </c>
      <c r="E8686" t="s">
        <v>15</v>
      </c>
      <c r="F8686" t="s">
        <v>8691</v>
      </c>
      <c r="G8686">
        <v>1</v>
      </c>
    </row>
    <row r="8687" spans="1:7" x14ac:dyDescent="0.25">
      <c r="A8687">
        <v>3</v>
      </c>
      <c r="B8687" t="s">
        <v>8357</v>
      </c>
      <c r="C8687">
        <v>7590</v>
      </c>
      <c r="D8687" t="str">
        <f>"0890-5762"</f>
        <v>0890-5762</v>
      </c>
      <c r="E8687" t="s">
        <v>8</v>
      </c>
      <c r="F8687" t="s">
        <v>8692</v>
      </c>
      <c r="G8687">
        <v>1</v>
      </c>
    </row>
    <row r="8688" spans="1:7" x14ac:dyDescent="0.25">
      <c r="A8688">
        <v>3</v>
      </c>
      <c r="B8688" t="s">
        <v>8357</v>
      </c>
      <c r="C8688">
        <v>95988</v>
      </c>
      <c r="D8688" t="str">
        <f>"0214-4808"</f>
        <v>0214-4808</v>
      </c>
      <c r="E8688" t="s">
        <v>8</v>
      </c>
      <c r="F8688" t="s">
        <v>8693</v>
      </c>
      <c r="G8688">
        <v>1</v>
      </c>
    </row>
    <row r="8689" spans="1:7" x14ac:dyDescent="0.25">
      <c r="A8689">
        <v>3</v>
      </c>
      <c r="B8689" t="s">
        <v>8357</v>
      </c>
      <c r="C8689">
        <v>9359</v>
      </c>
      <c r="D8689" t="str">
        <f>"0048-7651"</f>
        <v>0048-7651</v>
      </c>
      <c r="E8689" t="s">
        <v>8</v>
      </c>
      <c r="F8689" t="s">
        <v>8694</v>
      </c>
      <c r="G8689">
        <v>1</v>
      </c>
    </row>
    <row r="8690" spans="1:7" x14ac:dyDescent="0.25">
      <c r="A8690">
        <v>3</v>
      </c>
      <c r="B8690" t="s">
        <v>8357</v>
      </c>
      <c r="C8690">
        <v>13290</v>
      </c>
      <c r="D8690" t="str">
        <f>"0252-8843"</f>
        <v>0252-8843</v>
      </c>
      <c r="E8690" t="s">
        <v>8</v>
      </c>
      <c r="F8690" t="s">
        <v>8695</v>
      </c>
      <c r="G8690">
        <v>1</v>
      </c>
    </row>
    <row r="8691" spans="1:7" x14ac:dyDescent="0.25">
      <c r="A8691">
        <v>3</v>
      </c>
      <c r="B8691" t="s">
        <v>8357</v>
      </c>
      <c r="C8691">
        <v>685</v>
      </c>
      <c r="D8691" t="str">
        <f>"0212-999X"</f>
        <v>0212-999X</v>
      </c>
      <c r="E8691" t="s">
        <v>8</v>
      </c>
      <c r="F8691" t="s">
        <v>8696</v>
      </c>
      <c r="G8691">
        <v>1</v>
      </c>
    </row>
    <row r="8692" spans="1:7" x14ac:dyDescent="0.25">
      <c r="A8692">
        <v>3</v>
      </c>
      <c r="B8692" t="s">
        <v>8357</v>
      </c>
      <c r="C8692">
        <v>9906</v>
      </c>
      <c r="D8692" t="str">
        <f>"1579-9425"</f>
        <v>1579-9425</v>
      </c>
      <c r="E8692" t="s">
        <v>8</v>
      </c>
      <c r="F8692" t="s">
        <v>8697</v>
      </c>
      <c r="G8692">
        <v>1</v>
      </c>
    </row>
    <row r="8693" spans="1:7" x14ac:dyDescent="0.25">
      <c r="A8693">
        <v>3</v>
      </c>
      <c r="B8693" t="s">
        <v>8357</v>
      </c>
      <c r="C8693">
        <v>2229</v>
      </c>
      <c r="E8693" t="s">
        <v>8</v>
      </c>
      <c r="F8693" t="s">
        <v>8698</v>
      </c>
      <c r="G8693">
        <v>1</v>
      </c>
    </row>
    <row r="8694" spans="1:7" x14ac:dyDescent="0.25">
      <c r="A8694">
        <v>3</v>
      </c>
      <c r="B8694" t="s">
        <v>8357</v>
      </c>
      <c r="C8694">
        <v>14744</v>
      </c>
      <c r="D8694" t="str">
        <f>"0035-1458"</f>
        <v>0035-1458</v>
      </c>
      <c r="E8694" t="s">
        <v>8</v>
      </c>
      <c r="F8694" t="s">
        <v>8699</v>
      </c>
      <c r="G8694">
        <v>1</v>
      </c>
    </row>
    <row r="8695" spans="1:7" x14ac:dyDescent="0.25">
      <c r="A8695">
        <v>3</v>
      </c>
      <c r="B8695" t="s">
        <v>8357</v>
      </c>
      <c r="C8695">
        <v>27520</v>
      </c>
      <c r="D8695" t="str">
        <f>"1285-4093"</f>
        <v>1285-4093</v>
      </c>
      <c r="E8695" t="s">
        <v>8</v>
      </c>
      <c r="F8695" t="s">
        <v>8700</v>
      </c>
      <c r="G8695">
        <v>1</v>
      </c>
    </row>
    <row r="8696" spans="1:7" x14ac:dyDescent="0.25">
      <c r="A8696">
        <v>3</v>
      </c>
      <c r="B8696" t="s">
        <v>8357</v>
      </c>
      <c r="C8696">
        <v>7707</v>
      </c>
      <c r="D8696" t="str">
        <f>"0223-3711"</f>
        <v>0223-3711</v>
      </c>
      <c r="E8696" t="s">
        <v>8</v>
      </c>
      <c r="F8696" t="s">
        <v>8701</v>
      </c>
      <c r="G8696">
        <v>1</v>
      </c>
    </row>
    <row r="8697" spans="1:7" x14ac:dyDescent="0.25">
      <c r="A8697">
        <v>3</v>
      </c>
      <c r="B8697" t="s">
        <v>8357</v>
      </c>
      <c r="C8697">
        <v>50874</v>
      </c>
      <c r="D8697" t="str">
        <f>"0035-3957"</f>
        <v>0035-3957</v>
      </c>
      <c r="E8697" t="s">
        <v>8</v>
      </c>
      <c r="F8697" t="s">
        <v>8702</v>
      </c>
      <c r="G8697">
        <v>1</v>
      </c>
    </row>
    <row r="8698" spans="1:7" x14ac:dyDescent="0.25">
      <c r="A8698">
        <v>3</v>
      </c>
      <c r="B8698" t="s">
        <v>8357</v>
      </c>
      <c r="C8698">
        <v>24168</v>
      </c>
      <c r="D8698" t="str">
        <f>"1965-0906"</f>
        <v>1965-0906</v>
      </c>
      <c r="E8698" t="s">
        <v>8</v>
      </c>
      <c r="F8698" t="s">
        <v>8703</v>
      </c>
      <c r="G8698">
        <v>1</v>
      </c>
    </row>
    <row r="8699" spans="1:7" x14ac:dyDescent="0.25">
      <c r="A8699">
        <v>3</v>
      </c>
      <c r="B8699" t="s">
        <v>8357</v>
      </c>
      <c r="C8699">
        <v>10036</v>
      </c>
      <c r="D8699" t="str">
        <f>"0213-2370"</f>
        <v>0213-2370</v>
      </c>
      <c r="E8699" t="s">
        <v>8</v>
      </c>
      <c r="F8699" t="s">
        <v>8704</v>
      </c>
      <c r="G8699">
        <v>1</v>
      </c>
    </row>
    <row r="8700" spans="1:7" x14ac:dyDescent="0.25">
      <c r="A8700">
        <v>3</v>
      </c>
      <c r="B8700" t="s">
        <v>8357</v>
      </c>
      <c r="C8700">
        <v>89078</v>
      </c>
      <c r="D8700" t="str">
        <f>"1827-7365"</f>
        <v>1827-7365</v>
      </c>
      <c r="E8700" t="s">
        <v>8</v>
      </c>
      <c r="F8700" t="s">
        <v>8705</v>
      </c>
      <c r="G8700">
        <v>1</v>
      </c>
    </row>
    <row r="8701" spans="1:7" x14ac:dyDescent="0.25">
      <c r="A8701">
        <v>3</v>
      </c>
      <c r="B8701" t="s">
        <v>8357</v>
      </c>
      <c r="C8701">
        <v>30240</v>
      </c>
      <c r="D8701" t="str">
        <f>"1122-6331"</f>
        <v>1122-6331</v>
      </c>
      <c r="E8701" t="s">
        <v>8</v>
      </c>
      <c r="F8701" t="s">
        <v>8706</v>
      </c>
      <c r="G8701">
        <v>1</v>
      </c>
    </row>
    <row r="8702" spans="1:7" x14ac:dyDescent="0.25">
      <c r="A8702">
        <v>3</v>
      </c>
      <c r="B8702" t="s">
        <v>8357</v>
      </c>
      <c r="C8702">
        <v>16422</v>
      </c>
      <c r="D8702" t="str">
        <f>"0361-1299"</f>
        <v>0361-1299</v>
      </c>
      <c r="E8702" t="s">
        <v>8</v>
      </c>
      <c r="F8702" t="s">
        <v>8707</v>
      </c>
      <c r="G8702">
        <v>1</v>
      </c>
    </row>
    <row r="8703" spans="1:7" x14ac:dyDescent="0.25">
      <c r="A8703">
        <v>3</v>
      </c>
      <c r="B8703" t="s">
        <v>8357</v>
      </c>
      <c r="C8703">
        <v>1195</v>
      </c>
      <c r="D8703" t="str">
        <f>"0035-7995"</f>
        <v>0035-7995</v>
      </c>
      <c r="E8703" t="s">
        <v>8</v>
      </c>
      <c r="F8703" t="s">
        <v>8708</v>
      </c>
      <c r="G8703">
        <v>1</v>
      </c>
    </row>
    <row r="8704" spans="1:7" x14ac:dyDescent="0.25">
      <c r="A8704">
        <v>3</v>
      </c>
      <c r="B8704" t="s">
        <v>8357</v>
      </c>
      <c r="C8704">
        <v>9605</v>
      </c>
      <c r="D8704" t="str">
        <f>"0883-1157"</f>
        <v>0883-1157</v>
      </c>
      <c r="E8704" t="s">
        <v>8</v>
      </c>
      <c r="F8704" t="s">
        <v>8709</v>
      </c>
      <c r="G8704">
        <v>1</v>
      </c>
    </row>
    <row r="8705" spans="1:7" x14ac:dyDescent="0.25">
      <c r="A8705">
        <v>3</v>
      </c>
      <c r="B8705" t="s">
        <v>8357</v>
      </c>
      <c r="C8705">
        <v>12538</v>
      </c>
      <c r="D8705" t="str">
        <f>"0263-9904"</f>
        <v>0263-9904</v>
      </c>
      <c r="E8705" t="s">
        <v>8</v>
      </c>
      <c r="F8705" t="s">
        <v>8710</v>
      </c>
      <c r="G8705">
        <v>1</v>
      </c>
    </row>
    <row r="8706" spans="1:7" x14ac:dyDescent="0.25">
      <c r="A8706">
        <v>3</v>
      </c>
      <c r="B8706" t="s">
        <v>8357</v>
      </c>
      <c r="C8706">
        <v>14839</v>
      </c>
      <c r="D8706" t="str">
        <f>"0343-379X"</f>
        <v>0343-379X</v>
      </c>
      <c r="E8706" t="s">
        <v>8</v>
      </c>
      <c r="F8706" t="s">
        <v>8711</v>
      </c>
      <c r="G8706">
        <v>1</v>
      </c>
    </row>
    <row r="8707" spans="1:7" x14ac:dyDescent="0.25">
      <c r="A8707">
        <v>3</v>
      </c>
      <c r="B8707" t="s">
        <v>8357</v>
      </c>
      <c r="C8707">
        <v>76088</v>
      </c>
      <c r="D8707" t="str">
        <f>"1748-0116"</f>
        <v>1748-0116</v>
      </c>
      <c r="E8707" t="s">
        <v>8</v>
      </c>
      <c r="F8707" t="s">
        <v>8712</v>
      </c>
      <c r="G8707">
        <v>1</v>
      </c>
    </row>
    <row r="8708" spans="1:7" x14ac:dyDescent="0.25">
      <c r="A8708">
        <v>3</v>
      </c>
      <c r="B8708" t="s">
        <v>8357</v>
      </c>
      <c r="C8708">
        <v>8783396</v>
      </c>
      <c r="E8708" t="s">
        <v>15</v>
      </c>
      <c r="F8708" t="s">
        <v>8713</v>
      </c>
      <c r="G8708">
        <v>1</v>
      </c>
    </row>
    <row r="8709" spans="1:7" x14ac:dyDescent="0.25">
      <c r="A8709">
        <v>3</v>
      </c>
      <c r="B8709" t="s">
        <v>8357</v>
      </c>
      <c r="C8709">
        <v>77040</v>
      </c>
      <c r="D8709" t="str">
        <f>"0075-2371"</f>
        <v>0075-2371</v>
      </c>
      <c r="E8709" t="s">
        <v>8</v>
      </c>
      <c r="F8709" t="s">
        <v>8714</v>
      </c>
      <c r="G8709">
        <v>1</v>
      </c>
    </row>
    <row r="8710" spans="1:7" x14ac:dyDescent="0.25">
      <c r="A8710">
        <v>3</v>
      </c>
      <c r="B8710" t="s">
        <v>8357</v>
      </c>
      <c r="C8710">
        <v>27676</v>
      </c>
      <c r="D8710" t="str">
        <f>"0080-6935"</f>
        <v>0080-6935</v>
      </c>
      <c r="E8710" t="s">
        <v>8</v>
      </c>
      <c r="F8710" t="s">
        <v>8715</v>
      </c>
      <c r="G8710">
        <v>1</v>
      </c>
    </row>
    <row r="8711" spans="1:7" x14ac:dyDescent="0.25">
      <c r="A8711">
        <v>3</v>
      </c>
      <c r="B8711" t="s">
        <v>8357</v>
      </c>
      <c r="C8711">
        <v>123471</v>
      </c>
      <c r="D8711" t="str">
        <f>"1439-7889"</f>
        <v>1439-7889</v>
      </c>
      <c r="E8711" t="s">
        <v>15</v>
      </c>
      <c r="F8711" t="s">
        <v>8716</v>
      </c>
      <c r="G8711">
        <v>1</v>
      </c>
    </row>
    <row r="8712" spans="1:7" x14ac:dyDescent="0.25">
      <c r="A8712">
        <v>3</v>
      </c>
      <c r="B8712" t="s">
        <v>8357</v>
      </c>
      <c r="C8712">
        <v>44994</v>
      </c>
      <c r="D8712" t="str">
        <f>"1861-4396"</f>
        <v>1861-4396</v>
      </c>
      <c r="E8712" t="s">
        <v>15</v>
      </c>
      <c r="F8712" t="s">
        <v>8717</v>
      </c>
      <c r="G8712">
        <v>1</v>
      </c>
    </row>
    <row r="8713" spans="1:7" x14ac:dyDescent="0.25">
      <c r="A8713">
        <v>3</v>
      </c>
      <c r="B8713" t="s">
        <v>8357</v>
      </c>
      <c r="C8713">
        <v>7758201</v>
      </c>
      <c r="D8713" t="str">
        <f>"1754-3770"</f>
        <v>1754-3770</v>
      </c>
      <c r="E8713" t="s">
        <v>8</v>
      </c>
      <c r="F8713" t="s">
        <v>8718</v>
      </c>
      <c r="G8713">
        <v>1</v>
      </c>
    </row>
    <row r="8714" spans="1:7" x14ac:dyDescent="0.25">
      <c r="A8714">
        <v>3</v>
      </c>
      <c r="B8714" t="s">
        <v>8357</v>
      </c>
      <c r="C8714">
        <v>83960</v>
      </c>
      <c r="D8714" t="str">
        <f>"1431-5041"</f>
        <v>1431-5041</v>
      </c>
      <c r="E8714" t="s">
        <v>8</v>
      </c>
      <c r="F8714" t="s">
        <v>8719</v>
      </c>
      <c r="G8714">
        <v>1</v>
      </c>
    </row>
    <row r="8715" spans="1:7" x14ac:dyDescent="0.25">
      <c r="A8715">
        <v>3</v>
      </c>
      <c r="B8715" t="s">
        <v>8357</v>
      </c>
      <c r="C8715">
        <v>74802</v>
      </c>
      <c r="D8715" t="str">
        <f>"1368-5023"</f>
        <v>1368-5023</v>
      </c>
      <c r="E8715" t="s">
        <v>8</v>
      </c>
      <c r="F8715" t="s">
        <v>8720</v>
      </c>
      <c r="G8715">
        <v>1</v>
      </c>
    </row>
    <row r="8716" spans="1:7" x14ac:dyDescent="0.25">
      <c r="A8716">
        <v>3</v>
      </c>
      <c r="B8716" t="s">
        <v>8357</v>
      </c>
      <c r="C8716">
        <v>13714</v>
      </c>
      <c r="D8716" t="str">
        <f>"1135-7789"</f>
        <v>1135-7789</v>
      </c>
      <c r="E8716" t="s">
        <v>8</v>
      </c>
      <c r="F8716" t="s">
        <v>8721</v>
      </c>
      <c r="G8716">
        <v>1</v>
      </c>
    </row>
    <row r="8717" spans="1:7" x14ac:dyDescent="0.25">
      <c r="A8717">
        <v>3</v>
      </c>
      <c r="B8717" t="s">
        <v>8357</v>
      </c>
      <c r="C8717">
        <v>112305</v>
      </c>
      <c r="D8717" t="str">
        <f>"1745-0918"</f>
        <v>1745-0918</v>
      </c>
      <c r="E8717" t="s">
        <v>8</v>
      </c>
      <c r="F8717" t="s">
        <v>8722</v>
      </c>
      <c r="G8717">
        <v>1</v>
      </c>
    </row>
    <row r="8718" spans="1:7" x14ac:dyDescent="0.25">
      <c r="A8718">
        <v>3</v>
      </c>
      <c r="B8718" t="s">
        <v>8357</v>
      </c>
      <c r="C8718">
        <v>26648</v>
      </c>
      <c r="D8718" t="str">
        <f>"0748-2558"</f>
        <v>0748-2558</v>
      </c>
      <c r="E8718" t="s">
        <v>8</v>
      </c>
      <c r="F8718" t="s">
        <v>8723</v>
      </c>
      <c r="G8718">
        <v>1</v>
      </c>
    </row>
    <row r="8719" spans="1:7" x14ac:dyDescent="0.25">
      <c r="A8719">
        <v>3</v>
      </c>
      <c r="B8719" t="s">
        <v>8357</v>
      </c>
      <c r="C8719">
        <v>11713</v>
      </c>
      <c r="D8719" t="str">
        <f>"0080-9152"</f>
        <v>0080-9152</v>
      </c>
      <c r="E8719" t="s">
        <v>8</v>
      </c>
      <c r="F8719" t="s">
        <v>8724</v>
      </c>
      <c r="G8719">
        <v>1</v>
      </c>
    </row>
    <row r="8720" spans="1:7" x14ac:dyDescent="0.25">
      <c r="A8720">
        <v>3</v>
      </c>
      <c r="B8720" t="s">
        <v>8357</v>
      </c>
      <c r="C8720">
        <v>3741</v>
      </c>
      <c r="D8720" t="str">
        <f>"0741-5842"</f>
        <v>0741-5842</v>
      </c>
      <c r="E8720" t="s">
        <v>8</v>
      </c>
      <c r="F8720" t="s">
        <v>8725</v>
      </c>
      <c r="G8720">
        <v>1</v>
      </c>
    </row>
    <row r="8721" spans="1:7" x14ac:dyDescent="0.25">
      <c r="A8721">
        <v>3</v>
      </c>
      <c r="B8721" t="s">
        <v>8357</v>
      </c>
      <c r="C8721">
        <v>16141</v>
      </c>
      <c r="D8721" t="str">
        <f>"0037-5756"</f>
        <v>0037-5756</v>
      </c>
      <c r="E8721" t="s">
        <v>8</v>
      </c>
      <c r="F8721" t="s">
        <v>8726</v>
      </c>
      <c r="G8721">
        <v>1</v>
      </c>
    </row>
    <row r="8722" spans="1:7" x14ac:dyDescent="0.25">
      <c r="A8722">
        <v>3</v>
      </c>
      <c r="B8722" t="s">
        <v>8357</v>
      </c>
      <c r="C8722">
        <v>11470</v>
      </c>
      <c r="D8722" t="str">
        <f>"0214-9141"</f>
        <v>0214-9141</v>
      </c>
      <c r="E8722" t="s">
        <v>8</v>
      </c>
      <c r="F8722" t="s">
        <v>8727</v>
      </c>
      <c r="G8722">
        <v>1</v>
      </c>
    </row>
    <row r="8723" spans="1:7" x14ac:dyDescent="0.25">
      <c r="A8723">
        <v>3</v>
      </c>
      <c r="B8723" t="s">
        <v>8357</v>
      </c>
      <c r="C8723">
        <v>27209</v>
      </c>
      <c r="E8723" t="s">
        <v>8</v>
      </c>
      <c r="F8723" t="s">
        <v>8728</v>
      </c>
      <c r="G8723">
        <v>1</v>
      </c>
    </row>
    <row r="8724" spans="1:7" x14ac:dyDescent="0.25">
      <c r="A8724">
        <v>3</v>
      </c>
      <c r="B8724" t="s">
        <v>8357</v>
      </c>
      <c r="C8724">
        <v>8783398</v>
      </c>
      <c r="E8724" t="s">
        <v>15</v>
      </c>
      <c r="F8724" t="s">
        <v>8729</v>
      </c>
      <c r="G8724">
        <v>1</v>
      </c>
    </row>
    <row r="8725" spans="1:7" x14ac:dyDescent="0.25">
      <c r="A8725">
        <v>3</v>
      </c>
      <c r="B8725" t="s">
        <v>8357</v>
      </c>
      <c r="C8725">
        <v>24841</v>
      </c>
      <c r="D8725" t="str">
        <f>"0743-6831"</f>
        <v>0743-6831</v>
      </c>
      <c r="E8725" t="s">
        <v>8</v>
      </c>
      <c r="F8725" t="s">
        <v>8730</v>
      </c>
      <c r="G8725">
        <v>1</v>
      </c>
    </row>
    <row r="8726" spans="1:7" x14ac:dyDescent="0.25">
      <c r="A8726">
        <v>3</v>
      </c>
      <c r="B8726" t="s">
        <v>8357</v>
      </c>
      <c r="C8726">
        <v>4744</v>
      </c>
      <c r="D8726" t="str">
        <f>"0038-4291"</f>
        <v>0038-4291</v>
      </c>
      <c r="E8726" t="s">
        <v>8</v>
      </c>
      <c r="F8726" t="s">
        <v>8731</v>
      </c>
      <c r="G8726">
        <v>1</v>
      </c>
    </row>
    <row r="8727" spans="1:7" x14ac:dyDescent="0.25">
      <c r="A8727">
        <v>3</v>
      </c>
      <c r="B8727" t="s">
        <v>8357</v>
      </c>
      <c r="C8727">
        <v>10901</v>
      </c>
      <c r="D8727" t="str">
        <f>"0038-4496"</f>
        <v>0038-4496</v>
      </c>
      <c r="E8727" t="s">
        <v>8</v>
      </c>
      <c r="F8727" t="s">
        <v>8732</v>
      </c>
      <c r="G8727">
        <v>1</v>
      </c>
    </row>
    <row r="8728" spans="1:7" x14ac:dyDescent="0.25">
      <c r="A8728">
        <v>3</v>
      </c>
      <c r="B8728" t="s">
        <v>8357</v>
      </c>
      <c r="C8728">
        <v>11338</v>
      </c>
      <c r="D8728" t="str">
        <f>"1571-0718"</f>
        <v>1571-0718</v>
      </c>
      <c r="E8728" t="s">
        <v>8</v>
      </c>
      <c r="F8728" t="s">
        <v>8733</v>
      </c>
      <c r="G8728">
        <v>1</v>
      </c>
    </row>
    <row r="8729" spans="1:7" x14ac:dyDescent="0.25">
      <c r="A8729">
        <v>3</v>
      </c>
      <c r="B8729" t="s">
        <v>8357</v>
      </c>
      <c r="C8729">
        <v>15361</v>
      </c>
      <c r="D8729" t="str">
        <f>"0195-9468"</f>
        <v>0195-9468</v>
      </c>
      <c r="E8729" t="s">
        <v>8</v>
      </c>
      <c r="F8729" t="s">
        <v>8734</v>
      </c>
      <c r="G8729">
        <v>1</v>
      </c>
    </row>
    <row r="8730" spans="1:7" x14ac:dyDescent="0.25">
      <c r="A8730">
        <v>3</v>
      </c>
      <c r="B8730" t="s">
        <v>8357</v>
      </c>
      <c r="C8730">
        <v>13238</v>
      </c>
      <c r="D8730" t="str">
        <f>"0038-7479"</f>
        <v>0038-7479</v>
      </c>
      <c r="E8730" t="s">
        <v>8</v>
      </c>
      <c r="F8730" t="s">
        <v>8735</v>
      </c>
      <c r="G8730">
        <v>1</v>
      </c>
    </row>
    <row r="8731" spans="1:7" x14ac:dyDescent="0.25">
      <c r="A8731">
        <v>3</v>
      </c>
      <c r="B8731" t="s">
        <v>8357</v>
      </c>
      <c r="C8731">
        <v>121520</v>
      </c>
      <c r="D8731" t="str">
        <f>"0722-7833"</f>
        <v>0722-7833</v>
      </c>
      <c r="E8731" t="s">
        <v>8</v>
      </c>
      <c r="F8731" t="s">
        <v>8736</v>
      </c>
      <c r="G8731">
        <v>1</v>
      </c>
    </row>
    <row r="8732" spans="1:7" x14ac:dyDescent="0.25">
      <c r="A8732">
        <v>3</v>
      </c>
      <c r="B8732" t="s">
        <v>8357</v>
      </c>
      <c r="C8732">
        <v>74902</v>
      </c>
      <c r="D8732" t="str">
        <f>"1438-1680"</f>
        <v>1438-1680</v>
      </c>
      <c r="E8732" t="s">
        <v>8</v>
      </c>
      <c r="F8732" t="s">
        <v>8737</v>
      </c>
      <c r="G8732">
        <v>1</v>
      </c>
    </row>
    <row r="8733" spans="1:7" x14ac:dyDescent="0.25">
      <c r="A8733">
        <v>3</v>
      </c>
      <c r="B8733" t="s">
        <v>8357</v>
      </c>
      <c r="C8733">
        <v>37856</v>
      </c>
      <c r="D8733" t="str">
        <f>"1430-4139"</f>
        <v>1430-4139</v>
      </c>
      <c r="E8733" t="s">
        <v>15</v>
      </c>
      <c r="F8733" t="s">
        <v>8738</v>
      </c>
      <c r="G8733">
        <v>1</v>
      </c>
    </row>
    <row r="8734" spans="1:7" x14ac:dyDescent="0.25">
      <c r="A8734">
        <v>3</v>
      </c>
      <c r="B8734" t="s">
        <v>8357</v>
      </c>
      <c r="C8734">
        <v>8641</v>
      </c>
      <c r="D8734" t="str">
        <f>"0039-2618"</f>
        <v>0039-2618</v>
      </c>
      <c r="E8734" t="s">
        <v>8</v>
      </c>
      <c r="F8734" t="s">
        <v>8739</v>
      </c>
      <c r="G8734">
        <v>1</v>
      </c>
    </row>
    <row r="8735" spans="1:7" x14ac:dyDescent="0.25">
      <c r="A8735">
        <v>3</v>
      </c>
      <c r="B8735" t="s">
        <v>8357</v>
      </c>
      <c r="C8735">
        <v>67439</v>
      </c>
      <c r="D8735" t="str">
        <f>"0391-7835"</f>
        <v>0391-7835</v>
      </c>
      <c r="E8735" t="s">
        <v>8</v>
      </c>
      <c r="F8735" t="s">
        <v>8740</v>
      </c>
      <c r="G8735">
        <v>1</v>
      </c>
    </row>
    <row r="8736" spans="1:7" x14ac:dyDescent="0.25">
      <c r="A8736">
        <v>3</v>
      </c>
      <c r="B8736" t="s">
        <v>8357</v>
      </c>
      <c r="C8736">
        <v>15121</v>
      </c>
      <c r="D8736" t="str">
        <f>"0391-4151"</f>
        <v>0391-4151</v>
      </c>
      <c r="E8736" t="s">
        <v>8</v>
      </c>
      <c r="F8736" t="s">
        <v>8741</v>
      </c>
      <c r="G8736">
        <v>1</v>
      </c>
    </row>
    <row r="8737" spans="1:7" x14ac:dyDescent="0.25">
      <c r="A8737">
        <v>3</v>
      </c>
      <c r="B8737" t="s">
        <v>8357</v>
      </c>
      <c r="C8737">
        <v>18404</v>
      </c>
      <c r="D8737" t="str">
        <f>"0392-5218"</f>
        <v>0392-5218</v>
      </c>
      <c r="E8737" t="s">
        <v>8</v>
      </c>
      <c r="F8737" t="s">
        <v>8742</v>
      </c>
      <c r="G8737">
        <v>1</v>
      </c>
    </row>
    <row r="8738" spans="1:7" x14ac:dyDescent="0.25">
      <c r="A8738">
        <v>3</v>
      </c>
      <c r="B8738" t="s">
        <v>8357</v>
      </c>
      <c r="C8738">
        <v>19680</v>
      </c>
      <c r="D8738" t="str">
        <f>"0390-6809"</f>
        <v>0390-6809</v>
      </c>
      <c r="E8738" t="s">
        <v>8</v>
      </c>
      <c r="F8738" t="s">
        <v>8743</v>
      </c>
      <c r="G8738">
        <v>1</v>
      </c>
    </row>
    <row r="8739" spans="1:7" x14ac:dyDescent="0.25">
      <c r="A8739">
        <v>3</v>
      </c>
      <c r="B8739" t="s">
        <v>8357</v>
      </c>
      <c r="C8739">
        <v>51543</v>
      </c>
      <c r="D8739" t="str">
        <f>"0394-3569"</f>
        <v>0394-3569</v>
      </c>
      <c r="E8739" t="s">
        <v>8</v>
      </c>
      <c r="F8739" t="s">
        <v>8744</v>
      </c>
      <c r="G8739">
        <v>1</v>
      </c>
    </row>
    <row r="8740" spans="1:7" x14ac:dyDescent="0.25">
      <c r="A8740">
        <v>3</v>
      </c>
      <c r="B8740" t="s">
        <v>8357</v>
      </c>
      <c r="C8740">
        <v>116900</v>
      </c>
      <c r="D8740" t="str">
        <f>"1128-2045"</f>
        <v>1128-2045</v>
      </c>
      <c r="E8740" t="s">
        <v>8</v>
      </c>
      <c r="F8740" t="s">
        <v>8745</v>
      </c>
      <c r="G8740">
        <v>1</v>
      </c>
    </row>
    <row r="8741" spans="1:7" x14ac:dyDescent="0.25">
      <c r="A8741">
        <v>3</v>
      </c>
      <c r="B8741" t="s">
        <v>8357</v>
      </c>
      <c r="C8741">
        <v>13491</v>
      </c>
      <c r="D8741" t="str">
        <f>"0392-7261"</f>
        <v>0392-7261</v>
      </c>
      <c r="E8741" t="s">
        <v>8</v>
      </c>
      <c r="F8741" t="s">
        <v>8746</v>
      </c>
      <c r="G8741">
        <v>1</v>
      </c>
    </row>
    <row r="8742" spans="1:7" x14ac:dyDescent="0.25">
      <c r="A8742">
        <v>3</v>
      </c>
      <c r="B8742" t="s">
        <v>8357</v>
      </c>
      <c r="C8742">
        <v>16160</v>
      </c>
      <c r="D8742" t="str">
        <f>"0039-2995"</f>
        <v>0039-2995</v>
      </c>
      <c r="E8742" t="s">
        <v>8</v>
      </c>
      <c r="F8742" t="s">
        <v>8747</v>
      </c>
      <c r="G8742">
        <v>1</v>
      </c>
    </row>
    <row r="8743" spans="1:7" x14ac:dyDescent="0.25">
      <c r="A8743">
        <v>3</v>
      </c>
      <c r="B8743" t="s">
        <v>8357</v>
      </c>
      <c r="C8743">
        <v>5103</v>
      </c>
      <c r="D8743" t="str">
        <f>"0081-6248"</f>
        <v>0081-6248</v>
      </c>
      <c r="E8743" t="s">
        <v>8</v>
      </c>
      <c r="F8743" t="s">
        <v>8748</v>
      </c>
      <c r="G8743">
        <v>1</v>
      </c>
    </row>
    <row r="8744" spans="1:7" x14ac:dyDescent="0.25">
      <c r="A8744">
        <v>3</v>
      </c>
      <c r="B8744" t="s">
        <v>8357</v>
      </c>
      <c r="C8744">
        <v>27709</v>
      </c>
      <c r="D8744" t="str">
        <f>"0081-6272"</f>
        <v>0081-6272</v>
      </c>
      <c r="E8744" t="s">
        <v>8</v>
      </c>
      <c r="F8744" t="s">
        <v>8749</v>
      </c>
      <c r="G8744">
        <v>1</v>
      </c>
    </row>
    <row r="8745" spans="1:7" x14ac:dyDescent="0.25">
      <c r="A8745">
        <v>3</v>
      </c>
      <c r="B8745" t="s">
        <v>8357</v>
      </c>
      <c r="C8745">
        <v>138512</v>
      </c>
      <c r="D8745" t="str">
        <f>"1593-2508"</f>
        <v>1593-2508</v>
      </c>
      <c r="E8745" t="s">
        <v>8</v>
      </c>
      <c r="F8745" t="s">
        <v>8750</v>
      </c>
      <c r="G8745">
        <v>1</v>
      </c>
    </row>
    <row r="8746" spans="1:7" x14ac:dyDescent="0.25">
      <c r="A8746">
        <v>3</v>
      </c>
      <c r="B8746" t="s">
        <v>8357</v>
      </c>
      <c r="C8746">
        <v>12101</v>
      </c>
      <c r="D8746" t="str">
        <f>"0039-3274"</f>
        <v>0039-3274</v>
      </c>
      <c r="E8746" t="s">
        <v>8</v>
      </c>
      <c r="F8746" t="s">
        <v>8751</v>
      </c>
      <c r="G8746">
        <v>1</v>
      </c>
    </row>
    <row r="8747" spans="1:7" x14ac:dyDescent="0.25">
      <c r="A8747">
        <v>3</v>
      </c>
      <c r="B8747" t="s">
        <v>8357</v>
      </c>
      <c r="C8747">
        <v>139007</v>
      </c>
      <c r="D8747" t="str">
        <f>"0137-2475"</f>
        <v>0137-2475</v>
      </c>
      <c r="E8747" t="s">
        <v>15</v>
      </c>
      <c r="F8747" t="s">
        <v>8752</v>
      </c>
      <c r="G8747">
        <v>1</v>
      </c>
    </row>
    <row r="8748" spans="1:7" x14ac:dyDescent="0.25">
      <c r="A8748">
        <v>3</v>
      </c>
      <c r="B8748" t="s">
        <v>8357</v>
      </c>
      <c r="C8748">
        <v>4518</v>
      </c>
      <c r="D8748" t="str">
        <f>"0271-9274"</f>
        <v>0271-9274</v>
      </c>
      <c r="E8748" t="s">
        <v>8</v>
      </c>
      <c r="F8748" t="s">
        <v>8753</v>
      </c>
      <c r="G8748">
        <v>1</v>
      </c>
    </row>
    <row r="8749" spans="1:7" x14ac:dyDescent="0.25">
      <c r="A8749">
        <v>3</v>
      </c>
      <c r="B8749" t="s">
        <v>8357</v>
      </c>
      <c r="C8749">
        <v>7928</v>
      </c>
      <c r="D8749" t="str">
        <f>"0039-3657"</f>
        <v>0039-3657</v>
      </c>
      <c r="E8749" t="s">
        <v>8</v>
      </c>
      <c r="F8749" t="s">
        <v>8754</v>
      </c>
      <c r="G8749">
        <v>1</v>
      </c>
    </row>
    <row r="8750" spans="1:7" x14ac:dyDescent="0.25">
      <c r="A8750">
        <v>3</v>
      </c>
      <c r="B8750" t="s">
        <v>8357</v>
      </c>
      <c r="C8750">
        <v>8783400</v>
      </c>
      <c r="E8750" t="s">
        <v>15</v>
      </c>
      <c r="F8750" t="s">
        <v>8755</v>
      </c>
      <c r="G8750">
        <v>1</v>
      </c>
    </row>
    <row r="8751" spans="1:7" x14ac:dyDescent="0.25">
      <c r="A8751">
        <v>3</v>
      </c>
      <c r="B8751" t="s">
        <v>8357</v>
      </c>
      <c r="C8751">
        <v>14036</v>
      </c>
      <c r="D8751" t="str">
        <f>"0190-2407"</f>
        <v>0190-2407</v>
      </c>
      <c r="E8751" t="s">
        <v>8</v>
      </c>
      <c r="F8751" t="s">
        <v>8756</v>
      </c>
      <c r="G8751">
        <v>1</v>
      </c>
    </row>
    <row r="8752" spans="1:7" x14ac:dyDescent="0.25">
      <c r="A8752">
        <v>3</v>
      </c>
      <c r="B8752" t="s">
        <v>8357</v>
      </c>
      <c r="C8752">
        <v>6293357</v>
      </c>
      <c r="D8752" t="str">
        <f>"1942-7190"</f>
        <v>1942-7190</v>
      </c>
      <c r="E8752" t="s">
        <v>8</v>
      </c>
      <c r="F8752" t="s">
        <v>8757</v>
      </c>
      <c r="G8752">
        <v>1</v>
      </c>
    </row>
    <row r="8753" spans="1:7" x14ac:dyDescent="0.25">
      <c r="A8753">
        <v>3</v>
      </c>
      <c r="B8753" t="s">
        <v>8357</v>
      </c>
      <c r="C8753">
        <v>5171</v>
      </c>
      <c r="D8753" t="str">
        <f>"0435-2866"</f>
        <v>0435-2866</v>
      </c>
      <c r="E8753" t="s">
        <v>8</v>
      </c>
      <c r="F8753" t="s">
        <v>8758</v>
      </c>
      <c r="G8753">
        <v>1</v>
      </c>
    </row>
    <row r="8754" spans="1:7" x14ac:dyDescent="0.25">
      <c r="A8754">
        <v>3</v>
      </c>
      <c r="B8754" t="s">
        <v>8357</v>
      </c>
      <c r="C8754">
        <v>7719923</v>
      </c>
      <c r="D8754" t="str">
        <f>"1901-3809"</f>
        <v>1901-3809</v>
      </c>
      <c r="E8754" t="s">
        <v>8</v>
      </c>
      <c r="F8754" t="s">
        <v>8759</v>
      </c>
      <c r="G8754">
        <v>1</v>
      </c>
    </row>
    <row r="8755" spans="1:7" x14ac:dyDescent="0.25">
      <c r="A8755">
        <v>3</v>
      </c>
      <c r="B8755" t="s">
        <v>8357</v>
      </c>
      <c r="C8755">
        <v>379</v>
      </c>
      <c r="D8755" t="str">
        <f>"1630-7364"</f>
        <v>1630-7364</v>
      </c>
      <c r="E8755" t="s">
        <v>8</v>
      </c>
      <c r="F8755" t="s">
        <v>8760</v>
      </c>
      <c r="G8755">
        <v>1</v>
      </c>
    </row>
    <row r="8756" spans="1:7" x14ac:dyDescent="0.25">
      <c r="A8756">
        <v>3</v>
      </c>
      <c r="B8756" t="s">
        <v>8357</v>
      </c>
      <c r="C8756">
        <v>7219</v>
      </c>
      <c r="D8756" t="str">
        <f>"0049-3155"</f>
        <v>0049-3155</v>
      </c>
      <c r="E8756" t="s">
        <v>8</v>
      </c>
      <c r="F8756" t="s">
        <v>8761</v>
      </c>
      <c r="G8756">
        <v>1</v>
      </c>
    </row>
    <row r="8757" spans="1:7" x14ac:dyDescent="0.25">
      <c r="A8757">
        <v>3</v>
      </c>
      <c r="B8757" t="s">
        <v>8357</v>
      </c>
      <c r="C8757">
        <v>138</v>
      </c>
      <c r="D8757" t="str">
        <f>"1388-8455"</f>
        <v>1388-8455</v>
      </c>
      <c r="E8757" t="s">
        <v>15</v>
      </c>
      <c r="F8757" t="s">
        <v>8762</v>
      </c>
      <c r="G8757">
        <v>1</v>
      </c>
    </row>
    <row r="8758" spans="1:7" x14ac:dyDescent="0.25">
      <c r="A8758">
        <v>3</v>
      </c>
      <c r="B8758" t="s">
        <v>8357</v>
      </c>
      <c r="C8758">
        <v>7825</v>
      </c>
      <c r="D8758" t="str">
        <f>"1017-382X"</f>
        <v>1017-382X</v>
      </c>
      <c r="E8758" t="s">
        <v>8</v>
      </c>
      <c r="F8758" t="s">
        <v>8763</v>
      </c>
      <c r="G8758">
        <v>1</v>
      </c>
    </row>
    <row r="8759" spans="1:7" x14ac:dyDescent="0.25">
      <c r="A8759">
        <v>3</v>
      </c>
      <c r="B8759" t="s">
        <v>8357</v>
      </c>
      <c r="C8759">
        <v>1040</v>
      </c>
      <c r="E8759" t="s">
        <v>8</v>
      </c>
      <c r="F8759" t="s">
        <v>8764</v>
      </c>
      <c r="G8759">
        <v>1</v>
      </c>
    </row>
    <row r="8760" spans="1:7" x14ac:dyDescent="0.25">
      <c r="A8760">
        <v>3</v>
      </c>
      <c r="B8760" t="s">
        <v>8357</v>
      </c>
      <c r="C8760">
        <v>13555</v>
      </c>
      <c r="D8760" t="str">
        <f>"1123-4660"</f>
        <v>1123-4660</v>
      </c>
      <c r="E8760" t="s">
        <v>8</v>
      </c>
      <c r="F8760" t="s">
        <v>8765</v>
      </c>
      <c r="G8760">
        <v>1</v>
      </c>
    </row>
    <row r="8761" spans="1:7" x14ac:dyDescent="0.25">
      <c r="A8761">
        <v>3</v>
      </c>
      <c r="B8761" t="s">
        <v>8357</v>
      </c>
      <c r="C8761">
        <v>16645</v>
      </c>
      <c r="D8761" t="str">
        <f>"1079-3453"</f>
        <v>1079-3453</v>
      </c>
      <c r="E8761" t="s">
        <v>8</v>
      </c>
      <c r="F8761" t="s">
        <v>8766</v>
      </c>
      <c r="G8761">
        <v>1</v>
      </c>
    </row>
    <row r="8762" spans="1:7" x14ac:dyDescent="0.25">
      <c r="A8762">
        <v>3</v>
      </c>
      <c r="B8762" t="s">
        <v>8357</v>
      </c>
      <c r="C8762">
        <v>5197</v>
      </c>
      <c r="D8762" t="str">
        <f>"0009-2002"</f>
        <v>0009-2002</v>
      </c>
      <c r="E8762" t="s">
        <v>8</v>
      </c>
      <c r="F8762" t="s">
        <v>8767</v>
      </c>
      <c r="G8762">
        <v>1</v>
      </c>
    </row>
    <row r="8763" spans="1:7" x14ac:dyDescent="0.25">
      <c r="A8763">
        <v>3</v>
      </c>
      <c r="B8763" t="s">
        <v>8357</v>
      </c>
      <c r="C8763">
        <v>6074707</v>
      </c>
      <c r="D8763" t="str">
        <f>"2333-3073"</f>
        <v>2333-3073</v>
      </c>
      <c r="E8763" t="s">
        <v>8</v>
      </c>
      <c r="F8763" t="s">
        <v>8768</v>
      </c>
      <c r="G8763">
        <v>1</v>
      </c>
    </row>
    <row r="8764" spans="1:7" x14ac:dyDescent="0.25">
      <c r="A8764">
        <v>3</v>
      </c>
      <c r="B8764" t="s">
        <v>8357</v>
      </c>
      <c r="C8764">
        <v>13536</v>
      </c>
      <c r="D8764" t="str">
        <f>"1059-6879"</f>
        <v>1059-6879</v>
      </c>
      <c r="E8764" t="s">
        <v>8</v>
      </c>
      <c r="F8764" t="s">
        <v>8769</v>
      </c>
      <c r="G8764">
        <v>1</v>
      </c>
    </row>
    <row r="8765" spans="1:7" x14ac:dyDescent="0.25">
      <c r="A8765">
        <v>3</v>
      </c>
      <c r="B8765" t="s">
        <v>8357</v>
      </c>
      <c r="C8765">
        <v>5432</v>
      </c>
      <c r="D8765" t="str">
        <f>"0273-0340"</f>
        <v>0273-0340</v>
      </c>
      <c r="E8765" t="s">
        <v>8</v>
      </c>
      <c r="F8765" t="s">
        <v>8770</v>
      </c>
      <c r="G8765">
        <v>1</v>
      </c>
    </row>
    <row r="8766" spans="1:7" x14ac:dyDescent="0.25">
      <c r="A8766">
        <v>3</v>
      </c>
      <c r="B8766" t="s">
        <v>8357</v>
      </c>
      <c r="C8766">
        <v>27751</v>
      </c>
      <c r="D8766" t="str">
        <f>"1750-399X"</f>
        <v>1750-399X</v>
      </c>
      <c r="E8766" t="s">
        <v>8</v>
      </c>
      <c r="F8766" t="s">
        <v>8771</v>
      </c>
      <c r="G8766">
        <v>1</v>
      </c>
    </row>
    <row r="8767" spans="1:7" x14ac:dyDescent="0.25">
      <c r="A8767">
        <v>3</v>
      </c>
      <c r="B8767" t="s">
        <v>8357</v>
      </c>
      <c r="C8767">
        <v>151870</v>
      </c>
      <c r="D8767" t="str">
        <f>"1591-4127"</f>
        <v>1591-4127</v>
      </c>
      <c r="E8767" t="s">
        <v>8</v>
      </c>
      <c r="F8767" t="s">
        <v>8772</v>
      </c>
      <c r="G8767">
        <v>1</v>
      </c>
    </row>
    <row r="8768" spans="1:7" x14ac:dyDescent="0.25">
      <c r="A8768">
        <v>3</v>
      </c>
      <c r="B8768" t="s">
        <v>8357</v>
      </c>
      <c r="C8768">
        <v>50770</v>
      </c>
      <c r="D8768" t="str">
        <f>"2009-0374"</f>
        <v>2009-0374</v>
      </c>
      <c r="E8768" t="s">
        <v>8</v>
      </c>
      <c r="F8768" t="s">
        <v>8773</v>
      </c>
      <c r="G8768">
        <v>1</v>
      </c>
    </row>
    <row r="8769" spans="1:7" x14ac:dyDescent="0.25">
      <c r="A8769">
        <v>3</v>
      </c>
      <c r="B8769" t="s">
        <v>8357</v>
      </c>
      <c r="C8769">
        <v>16742</v>
      </c>
      <c r="D8769" t="str">
        <f>"0021-9894"</f>
        <v>0021-9894</v>
      </c>
      <c r="E8769" t="s">
        <v>8</v>
      </c>
      <c r="F8769" t="s">
        <v>8774</v>
      </c>
      <c r="G8769">
        <v>1</v>
      </c>
    </row>
    <row r="8770" spans="1:7" x14ac:dyDescent="0.25">
      <c r="A8770">
        <v>3</v>
      </c>
      <c r="B8770" t="s">
        <v>8357</v>
      </c>
      <c r="C8770">
        <v>6080</v>
      </c>
      <c r="D8770" t="str">
        <f>"1383-4924"</f>
        <v>1383-4924</v>
      </c>
      <c r="E8770" t="s">
        <v>8</v>
      </c>
      <c r="F8770" t="s">
        <v>8775</v>
      </c>
      <c r="G8770">
        <v>1</v>
      </c>
    </row>
    <row r="8771" spans="1:7" x14ac:dyDescent="0.25">
      <c r="A8771">
        <v>3</v>
      </c>
      <c r="B8771" t="s">
        <v>8357</v>
      </c>
      <c r="C8771">
        <v>156506</v>
      </c>
      <c r="D8771" t="str">
        <f>"2032-6904"</f>
        <v>2032-6904</v>
      </c>
      <c r="E8771" t="s">
        <v>8</v>
      </c>
      <c r="F8771" t="s">
        <v>8776</v>
      </c>
      <c r="G8771">
        <v>1</v>
      </c>
    </row>
    <row r="8772" spans="1:7" x14ac:dyDescent="0.25">
      <c r="A8772">
        <v>3</v>
      </c>
      <c r="B8772" t="s">
        <v>8357</v>
      </c>
      <c r="C8772">
        <v>14059</v>
      </c>
      <c r="D8772" t="str">
        <f>"0952-4142"</f>
        <v>0952-4142</v>
      </c>
      <c r="E8772" t="s">
        <v>8</v>
      </c>
      <c r="F8772" t="s">
        <v>8777</v>
      </c>
      <c r="G8772">
        <v>1</v>
      </c>
    </row>
    <row r="8773" spans="1:7" x14ac:dyDescent="0.25">
      <c r="A8773">
        <v>3</v>
      </c>
      <c r="B8773" t="s">
        <v>8357</v>
      </c>
      <c r="C8773">
        <v>83380</v>
      </c>
      <c r="D8773" t="str">
        <f>"0264-8342"</f>
        <v>0264-8342</v>
      </c>
      <c r="E8773" t="s">
        <v>8</v>
      </c>
      <c r="F8773" t="s">
        <v>8778</v>
      </c>
      <c r="G8773">
        <v>1</v>
      </c>
    </row>
    <row r="8774" spans="1:7" x14ac:dyDescent="0.25">
      <c r="A8774">
        <v>3</v>
      </c>
      <c r="B8774" t="s">
        <v>8357</v>
      </c>
      <c r="C8774">
        <v>111454</v>
      </c>
      <c r="D8774" t="str">
        <f>"1834-3147"</f>
        <v>1834-3147</v>
      </c>
      <c r="E8774" t="s">
        <v>8</v>
      </c>
      <c r="F8774" t="s">
        <v>8779</v>
      </c>
      <c r="G8774">
        <v>1</v>
      </c>
    </row>
    <row r="8775" spans="1:7" x14ac:dyDescent="0.25">
      <c r="A8775">
        <v>3</v>
      </c>
      <c r="B8775" t="s">
        <v>8357</v>
      </c>
      <c r="C8775">
        <v>5105</v>
      </c>
      <c r="D8775" t="str">
        <f>"0034-6551"</f>
        <v>0034-6551</v>
      </c>
      <c r="E8775" t="s">
        <v>8</v>
      </c>
      <c r="F8775" t="s">
        <v>8780</v>
      </c>
      <c r="G8775">
        <v>1</v>
      </c>
    </row>
    <row r="8776" spans="1:7" x14ac:dyDescent="0.25">
      <c r="A8776">
        <v>3</v>
      </c>
      <c r="B8776" t="s">
        <v>8357</v>
      </c>
      <c r="C8776">
        <v>12158</v>
      </c>
      <c r="D8776" t="str">
        <f>"0037-3052"</f>
        <v>0037-3052</v>
      </c>
      <c r="E8776" t="s">
        <v>8</v>
      </c>
      <c r="F8776" t="s">
        <v>8781</v>
      </c>
      <c r="G8776">
        <v>1</v>
      </c>
    </row>
    <row r="8777" spans="1:7" x14ac:dyDescent="0.25">
      <c r="A8777">
        <v>3</v>
      </c>
      <c r="B8777" t="s">
        <v>8357</v>
      </c>
      <c r="C8777">
        <v>8247</v>
      </c>
      <c r="D8777" t="str">
        <f>"0084-4144"</f>
        <v>0084-4144</v>
      </c>
      <c r="E8777" t="s">
        <v>8</v>
      </c>
      <c r="F8777" t="s">
        <v>8782</v>
      </c>
      <c r="G8777">
        <v>1</v>
      </c>
    </row>
    <row r="8778" spans="1:7" x14ac:dyDescent="0.25">
      <c r="A8778">
        <v>3</v>
      </c>
      <c r="B8778" t="s">
        <v>8357</v>
      </c>
      <c r="C8778">
        <v>27278</v>
      </c>
      <c r="D8778" t="str">
        <f>"0082-3880"</f>
        <v>0082-3880</v>
      </c>
      <c r="E8778" t="s">
        <v>8</v>
      </c>
      <c r="F8778" t="s">
        <v>8783</v>
      </c>
      <c r="G8778">
        <v>1</v>
      </c>
    </row>
    <row r="8779" spans="1:7" x14ac:dyDescent="0.25">
      <c r="A8779">
        <v>3</v>
      </c>
      <c r="B8779" t="s">
        <v>8357</v>
      </c>
      <c r="C8779">
        <v>8783411</v>
      </c>
      <c r="E8779" t="s">
        <v>15</v>
      </c>
      <c r="F8779" t="s">
        <v>8784</v>
      </c>
      <c r="G8779">
        <v>1</v>
      </c>
    </row>
    <row r="8780" spans="1:7" x14ac:dyDescent="0.25">
      <c r="A8780">
        <v>3</v>
      </c>
      <c r="B8780" t="s">
        <v>8357</v>
      </c>
      <c r="C8780">
        <v>13412</v>
      </c>
      <c r="D8780" t="str">
        <f>"0935-6983"</f>
        <v>0935-6983</v>
      </c>
      <c r="E8780" t="s">
        <v>8</v>
      </c>
      <c r="F8780" t="s">
        <v>8785</v>
      </c>
      <c r="G8780">
        <v>1</v>
      </c>
    </row>
    <row r="8781" spans="1:7" x14ac:dyDescent="0.25">
      <c r="A8781">
        <v>3</v>
      </c>
      <c r="B8781" t="s">
        <v>8357</v>
      </c>
      <c r="C8781">
        <v>5868</v>
      </c>
      <c r="D8781" t="str">
        <f>"0276-5683"</f>
        <v>0276-5683</v>
      </c>
      <c r="E8781" t="s">
        <v>8</v>
      </c>
      <c r="F8781" t="s">
        <v>8786</v>
      </c>
      <c r="G8781">
        <v>1</v>
      </c>
    </row>
    <row r="8782" spans="1:7" x14ac:dyDescent="0.25">
      <c r="A8782">
        <v>3</v>
      </c>
      <c r="B8782" t="s">
        <v>8357</v>
      </c>
      <c r="C8782">
        <v>8138</v>
      </c>
      <c r="D8782" t="str">
        <f>"0307-661X"</f>
        <v>0307-661X</v>
      </c>
      <c r="E8782" t="s">
        <v>8</v>
      </c>
      <c r="F8782" t="s">
        <v>8787</v>
      </c>
      <c r="G8782">
        <v>1</v>
      </c>
    </row>
    <row r="8783" spans="1:7" x14ac:dyDescent="0.25">
      <c r="A8783">
        <v>3</v>
      </c>
      <c r="B8783" t="s">
        <v>8357</v>
      </c>
      <c r="C8783">
        <v>12952</v>
      </c>
      <c r="D8783" t="str">
        <f>"1098-304X"</f>
        <v>1098-304X</v>
      </c>
      <c r="E8783" t="s">
        <v>8</v>
      </c>
      <c r="F8783" t="s">
        <v>8788</v>
      </c>
      <c r="G8783">
        <v>1</v>
      </c>
    </row>
    <row r="8784" spans="1:7" x14ac:dyDescent="0.25">
      <c r="A8784">
        <v>3</v>
      </c>
      <c r="B8784" t="s">
        <v>8357</v>
      </c>
      <c r="C8784">
        <v>170027</v>
      </c>
      <c r="D8784" t="str">
        <f>"1867-4844"</f>
        <v>1867-4844</v>
      </c>
      <c r="E8784" t="s">
        <v>8</v>
      </c>
      <c r="F8784" t="s">
        <v>8789</v>
      </c>
      <c r="G8784">
        <v>1</v>
      </c>
    </row>
    <row r="8785" spans="1:7" x14ac:dyDescent="0.25">
      <c r="A8785">
        <v>3</v>
      </c>
      <c r="B8785" t="s">
        <v>8357</v>
      </c>
      <c r="C8785">
        <v>6307279</v>
      </c>
      <c r="E8785" t="s">
        <v>8</v>
      </c>
      <c r="F8785" t="s">
        <v>8790</v>
      </c>
      <c r="G8785">
        <v>1</v>
      </c>
    </row>
    <row r="8786" spans="1:7" x14ac:dyDescent="0.25">
      <c r="A8786">
        <v>3</v>
      </c>
      <c r="B8786" t="s">
        <v>8357</v>
      </c>
      <c r="C8786">
        <v>75974</v>
      </c>
      <c r="D8786" t="str">
        <f>"1932-2798"</f>
        <v>1932-2798</v>
      </c>
      <c r="E8786" t="s">
        <v>8</v>
      </c>
      <c r="F8786" t="s">
        <v>8791</v>
      </c>
      <c r="G8786">
        <v>1</v>
      </c>
    </row>
    <row r="8787" spans="1:7" x14ac:dyDescent="0.25">
      <c r="A8787">
        <v>3</v>
      </c>
      <c r="B8787" t="s">
        <v>8357</v>
      </c>
      <c r="C8787">
        <v>8495</v>
      </c>
      <c r="D8787" t="str">
        <f>"0968-1361"</f>
        <v>0968-1361</v>
      </c>
      <c r="E8787" t="s">
        <v>8</v>
      </c>
      <c r="F8787" t="s">
        <v>8792</v>
      </c>
      <c r="G8787">
        <v>1</v>
      </c>
    </row>
    <row r="8788" spans="1:7" x14ac:dyDescent="0.25">
      <c r="A8788">
        <v>3</v>
      </c>
      <c r="B8788" t="s">
        <v>8357</v>
      </c>
      <c r="C8788">
        <v>22442</v>
      </c>
      <c r="D8788" t="str">
        <f>"1478-1700"</f>
        <v>1478-1700</v>
      </c>
      <c r="E8788" t="s">
        <v>8</v>
      </c>
      <c r="F8788" t="s">
        <v>8793</v>
      </c>
      <c r="G8788">
        <v>1</v>
      </c>
    </row>
    <row r="8789" spans="1:7" x14ac:dyDescent="0.25">
      <c r="A8789">
        <v>3</v>
      </c>
      <c r="B8789" t="s">
        <v>8357</v>
      </c>
      <c r="C8789">
        <v>8782759</v>
      </c>
      <c r="D8789" t="str">
        <f>"2542-5277"</f>
        <v>2542-5277</v>
      </c>
      <c r="E8789" t="s">
        <v>8</v>
      </c>
      <c r="F8789" t="s">
        <v>8794</v>
      </c>
      <c r="G8789">
        <v>1</v>
      </c>
    </row>
    <row r="8790" spans="1:7" x14ac:dyDescent="0.25">
      <c r="A8790">
        <v>3</v>
      </c>
      <c r="B8790" t="s">
        <v>8357</v>
      </c>
      <c r="C8790">
        <v>27373</v>
      </c>
      <c r="D8790" t="str">
        <f>"0835-8443"</f>
        <v>0835-8443</v>
      </c>
      <c r="E8790" t="s">
        <v>8</v>
      </c>
      <c r="F8790" t="s">
        <v>8795</v>
      </c>
      <c r="G8790">
        <v>1</v>
      </c>
    </row>
    <row r="8791" spans="1:7" x14ac:dyDescent="0.25">
      <c r="A8791">
        <v>3</v>
      </c>
      <c r="B8791" t="s">
        <v>8357</v>
      </c>
      <c r="C8791">
        <v>156406</v>
      </c>
      <c r="D8791" t="str">
        <f>"0393-8255"</f>
        <v>0393-8255</v>
      </c>
      <c r="E8791" t="s">
        <v>8</v>
      </c>
      <c r="F8791" t="s">
        <v>8796</v>
      </c>
      <c r="G8791">
        <v>1</v>
      </c>
    </row>
    <row r="8792" spans="1:7" x14ac:dyDescent="0.25">
      <c r="A8792">
        <v>3</v>
      </c>
      <c r="B8792" t="s">
        <v>8357</v>
      </c>
      <c r="C8792">
        <v>4199</v>
      </c>
      <c r="D8792" t="str">
        <f>"0848-1512"</f>
        <v>0848-1512</v>
      </c>
      <c r="E8792" t="s">
        <v>8</v>
      </c>
      <c r="F8792" t="s">
        <v>8797</v>
      </c>
      <c r="G8792">
        <v>1</v>
      </c>
    </row>
    <row r="8793" spans="1:7" x14ac:dyDescent="0.25">
      <c r="A8793">
        <v>3</v>
      </c>
      <c r="B8793" t="s">
        <v>8357</v>
      </c>
      <c r="C8793">
        <v>3531</v>
      </c>
      <c r="D8793" t="str">
        <f>"0042-5222"</f>
        <v>0042-5222</v>
      </c>
      <c r="E8793" t="s">
        <v>8</v>
      </c>
      <c r="F8793" t="s">
        <v>8798</v>
      </c>
      <c r="G8793">
        <v>1</v>
      </c>
    </row>
    <row r="8794" spans="1:7" x14ac:dyDescent="0.25">
      <c r="A8794">
        <v>3</v>
      </c>
      <c r="B8794" t="s">
        <v>8357</v>
      </c>
      <c r="C8794">
        <v>15639</v>
      </c>
      <c r="D8794" t="str">
        <f>"2166-0107"</f>
        <v>2166-0107</v>
      </c>
      <c r="E8794" t="s">
        <v>8</v>
      </c>
      <c r="F8794" t="s">
        <v>8799</v>
      </c>
      <c r="G8794">
        <v>1</v>
      </c>
    </row>
    <row r="8795" spans="1:7" x14ac:dyDescent="0.25">
      <c r="A8795">
        <v>3</v>
      </c>
      <c r="B8795" t="s">
        <v>8357</v>
      </c>
      <c r="C8795">
        <v>12275</v>
      </c>
      <c r="D8795" t="str">
        <f>"0042-899X"</f>
        <v>0042-899X</v>
      </c>
      <c r="E8795" t="s">
        <v>8</v>
      </c>
      <c r="F8795" t="s">
        <v>8800</v>
      </c>
      <c r="G8795">
        <v>1</v>
      </c>
    </row>
    <row r="8796" spans="1:7" x14ac:dyDescent="0.25">
      <c r="A8796">
        <v>3</v>
      </c>
      <c r="B8796" t="s">
        <v>8357</v>
      </c>
      <c r="C8796">
        <v>3965</v>
      </c>
      <c r="D8796" t="str">
        <f>"0737-0679"</f>
        <v>0737-0679</v>
      </c>
      <c r="E8796" t="s">
        <v>8</v>
      </c>
      <c r="F8796" t="s">
        <v>8801</v>
      </c>
      <c r="G8796">
        <v>1</v>
      </c>
    </row>
    <row r="8797" spans="1:7" x14ac:dyDescent="0.25">
      <c r="A8797">
        <v>3</v>
      </c>
      <c r="B8797" t="s">
        <v>8357</v>
      </c>
      <c r="C8797">
        <v>15179</v>
      </c>
      <c r="D8797" t="str">
        <f>"0043-3462"</f>
        <v>0043-3462</v>
      </c>
      <c r="E8797" t="s">
        <v>8</v>
      </c>
      <c r="F8797" t="s">
        <v>8802</v>
      </c>
      <c r="G8797">
        <v>1</v>
      </c>
    </row>
    <row r="8798" spans="1:7" x14ac:dyDescent="0.25">
      <c r="A8798">
        <v>3</v>
      </c>
      <c r="B8798" t="s">
        <v>8357</v>
      </c>
      <c r="C8798">
        <v>14985</v>
      </c>
      <c r="D8798" t="str">
        <f>"0043-8006"</f>
        <v>0043-8006</v>
      </c>
      <c r="E8798" t="s">
        <v>8</v>
      </c>
      <c r="F8798" t="s">
        <v>8803</v>
      </c>
      <c r="G8798">
        <v>1</v>
      </c>
    </row>
    <row r="8799" spans="1:7" x14ac:dyDescent="0.25">
      <c r="A8799">
        <v>3</v>
      </c>
      <c r="B8799" t="s">
        <v>8357</v>
      </c>
      <c r="C8799">
        <v>8783401</v>
      </c>
      <c r="E8799" t="s">
        <v>15</v>
      </c>
      <c r="F8799" t="s">
        <v>8804</v>
      </c>
      <c r="G8799">
        <v>1</v>
      </c>
    </row>
    <row r="8800" spans="1:7" x14ac:dyDescent="0.25">
      <c r="A8800">
        <v>3</v>
      </c>
      <c r="B8800" t="s">
        <v>8357</v>
      </c>
      <c r="C8800">
        <v>11932</v>
      </c>
      <c r="D8800" t="str">
        <f>"0049-8661"</f>
        <v>0049-8661</v>
      </c>
      <c r="E8800" t="s">
        <v>8</v>
      </c>
      <c r="F8800" t="s">
        <v>8805</v>
      </c>
      <c r="G8800">
        <v>1</v>
      </c>
    </row>
    <row r="8801" spans="1:7" x14ac:dyDescent="0.25">
      <c r="A8801">
        <v>3</v>
      </c>
      <c r="B8801" t="s">
        <v>8357</v>
      </c>
      <c r="C8801">
        <v>7715568</v>
      </c>
      <c r="D8801" t="str">
        <f>"2192-3043"</f>
        <v>2192-3043</v>
      </c>
      <c r="E8801" t="s">
        <v>8</v>
      </c>
      <c r="F8801" t="s">
        <v>8806</v>
      </c>
      <c r="G8801">
        <v>1</v>
      </c>
    </row>
    <row r="8802" spans="1:7" x14ac:dyDescent="0.25">
      <c r="A8802">
        <v>30</v>
      </c>
      <c r="B8802" t="s">
        <v>8807</v>
      </c>
      <c r="C8802">
        <v>16548</v>
      </c>
      <c r="D8802" t="str">
        <f>"0001-5962"</f>
        <v>0001-5962</v>
      </c>
      <c r="E8802" t="s">
        <v>8</v>
      </c>
      <c r="F8802" t="s">
        <v>8808</v>
      </c>
      <c r="G8802">
        <v>2</v>
      </c>
    </row>
    <row r="8803" spans="1:7" x14ac:dyDescent="0.25">
      <c r="A8803">
        <v>30</v>
      </c>
      <c r="B8803" t="s">
        <v>8807</v>
      </c>
      <c r="C8803">
        <v>14701</v>
      </c>
      <c r="D8803" t="str">
        <f>"0196-8858"</f>
        <v>0196-8858</v>
      </c>
      <c r="E8803" t="s">
        <v>8</v>
      </c>
      <c r="F8803" t="s">
        <v>8809</v>
      </c>
      <c r="G8803">
        <v>2</v>
      </c>
    </row>
    <row r="8804" spans="1:7" x14ac:dyDescent="0.25">
      <c r="A8804">
        <v>30</v>
      </c>
      <c r="B8804" t="s">
        <v>8807</v>
      </c>
      <c r="C8804">
        <v>13935</v>
      </c>
      <c r="D8804" t="str">
        <f>"0065-2156"</f>
        <v>0065-2156</v>
      </c>
      <c r="E8804" t="s">
        <v>8</v>
      </c>
      <c r="F8804" t="s">
        <v>8810</v>
      </c>
      <c r="G8804">
        <v>2</v>
      </c>
    </row>
    <row r="8805" spans="1:7" x14ac:dyDescent="0.25">
      <c r="A8805">
        <v>30</v>
      </c>
      <c r="B8805" t="s">
        <v>8807</v>
      </c>
      <c r="C8805">
        <v>1487</v>
      </c>
      <c r="D8805" t="str">
        <f>"0001-8678"</f>
        <v>0001-8678</v>
      </c>
      <c r="E8805" t="s">
        <v>8</v>
      </c>
      <c r="F8805" t="s">
        <v>8811</v>
      </c>
      <c r="G8805">
        <v>2</v>
      </c>
    </row>
    <row r="8806" spans="1:7" x14ac:dyDescent="0.25">
      <c r="A8806">
        <v>30</v>
      </c>
      <c r="B8806" t="s">
        <v>8807</v>
      </c>
      <c r="C8806">
        <v>22643</v>
      </c>
      <c r="D8806" t="str">
        <f>"1079-9389"</f>
        <v>1079-9389</v>
      </c>
      <c r="E8806" t="s">
        <v>8</v>
      </c>
      <c r="F8806" t="s">
        <v>8812</v>
      </c>
      <c r="G8806">
        <v>2</v>
      </c>
    </row>
    <row r="8807" spans="1:7" x14ac:dyDescent="0.25">
      <c r="A8807">
        <v>30</v>
      </c>
      <c r="B8807" t="s">
        <v>8807</v>
      </c>
      <c r="C8807">
        <v>14745</v>
      </c>
      <c r="D8807" t="str">
        <f>"0001-8708"</f>
        <v>0001-8708</v>
      </c>
      <c r="E8807" t="s">
        <v>8</v>
      </c>
      <c r="F8807" t="s">
        <v>8813</v>
      </c>
      <c r="G8807">
        <v>2</v>
      </c>
    </row>
    <row r="8808" spans="1:7" x14ac:dyDescent="0.25">
      <c r="A8808">
        <v>30</v>
      </c>
      <c r="B8808" t="s">
        <v>8807</v>
      </c>
      <c r="C8808">
        <v>12036</v>
      </c>
      <c r="D8808" t="str">
        <f>"1937-0652"</f>
        <v>1937-0652</v>
      </c>
      <c r="E8808" t="s">
        <v>8</v>
      </c>
      <c r="F8808" t="s">
        <v>8814</v>
      </c>
      <c r="G8808">
        <v>2</v>
      </c>
    </row>
    <row r="8809" spans="1:7" x14ac:dyDescent="0.25">
      <c r="A8809">
        <v>30</v>
      </c>
      <c r="B8809" t="s">
        <v>8807</v>
      </c>
      <c r="C8809">
        <v>1940</v>
      </c>
      <c r="D8809" t="str">
        <f>"1472-2747"</f>
        <v>1472-2747</v>
      </c>
      <c r="E8809" t="s">
        <v>8</v>
      </c>
      <c r="F8809" t="s">
        <v>8815</v>
      </c>
      <c r="G8809">
        <v>2</v>
      </c>
    </row>
    <row r="8810" spans="1:7" x14ac:dyDescent="0.25">
      <c r="A8810">
        <v>30</v>
      </c>
      <c r="B8810" t="s">
        <v>8807</v>
      </c>
      <c r="C8810">
        <v>14155</v>
      </c>
      <c r="D8810" t="str">
        <f>"0002-9327"</f>
        <v>0002-9327</v>
      </c>
      <c r="E8810" t="s">
        <v>8</v>
      </c>
      <c r="F8810" t="s">
        <v>8816</v>
      </c>
      <c r="G8810">
        <v>2</v>
      </c>
    </row>
    <row r="8811" spans="1:7" x14ac:dyDescent="0.25">
      <c r="A8811">
        <v>30</v>
      </c>
      <c r="B8811" t="s">
        <v>8807</v>
      </c>
      <c r="C8811">
        <v>6016211</v>
      </c>
      <c r="D8811" t="str">
        <f>"2157-5045"</f>
        <v>2157-5045</v>
      </c>
      <c r="E8811" t="s">
        <v>8</v>
      </c>
      <c r="F8811" t="s">
        <v>8817</v>
      </c>
      <c r="G8811">
        <v>2</v>
      </c>
    </row>
    <row r="8812" spans="1:7" x14ac:dyDescent="0.25">
      <c r="A8812">
        <v>30</v>
      </c>
      <c r="B8812" t="s">
        <v>8807</v>
      </c>
      <c r="C8812">
        <v>13349</v>
      </c>
      <c r="D8812" t="str">
        <f>"0373-0956"</f>
        <v>0373-0956</v>
      </c>
      <c r="E8812" t="s">
        <v>8</v>
      </c>
      <c r="F8812" t="s">
        <v>8818</v>
      </c>
      <c r="G8812">
        <v>2</v>
      </c>
    </row>
    <row r="8813" spans="1:7" x14ac:dyDescent="0.25">
      <c r="A8813">
        <v>30</v>
      </c>
      <c r="B8813" t="s">
        <v>8807</v>
      </c>
      <c r="C8813">
        <v>29</v>
      </c>
      <c r="D8813" t="str">
        <f>"0294-1449"</f>
        <v>0294-1449</v>
      </c>
      <c r="E8813" t="s">
        <v>8</v>
      </c>
      <c r="F8813" t="s">
        <v>8819</v>
      </c>
      <c r="G8813">
        <v>2</v>
      </c>
    </row>
    <row r="8814" spans="1:7" x14ac:dyDescent="0.25">
      <c r="A8814">
        <v>30</v>
      </c>
      <c r="B8814" t="s">
        <v>8807</v>
      </c>
      <c r="C8814">
        <v>3361</v>
      </c>
      <c r="D8814" t="str">
        <f>"1424-0637"</f>
        <v>1424-0637</v>
      </c>
      <c r="E8814" t="s">
        <v>8</v>
      </c>
      <c r="F8814" t="s">
        <v>8820</v>
      </c>
      <c r="G8814">
        <v>2</v>
      </c>
    </row>
    <row r="8815" spans="1:7" x14ac:dyDescent="0.25">
      <c r="A8815">
        <v>30</v>
      </c>
      <c r="B8815" t="s">
        <v>8807</v>
      </c>
      <c r="C8815">
        <v>9435</v>
      </c>
      <c r="D8815" t="str">
        <f>"0012-9593"</f>
        <v>0012-9593</v>
      </c>
      <c r="E8815" t="s">
        <v>8</v>
      </c>
      <c r="F8815" t="s">
        <v>8821</v>
      </c>
      <c r="G8815">
        <v>2</v>
      </c>
    </row>
    <row r="8816" spans="1:7" x14ac:dyDescent="0.25">
      <c r="A8816">
        <v>30</v>
      </c>
      <c r="B8816" t="s">
        <v>8807</v>
      </c>
      <c r="C8816">
        <v>14441</v>
      </c>
      <c r="D8816" t="str">
        <f>"1050-5164"</f>
        <v>1050-5164</v>
      </c>
      <c r="E8816" t="s">
        <v>8</v>
      </c>
      <c r="F8816" t="s">
        <v>8822</v>
      </c>
      <c r="G8816">
        <v>2</v>
      </c>
    </row>
    <row r="8817" spans="1:7" x14ac:dyDescent="0.25">
      <c r="A8817">
        <v>30</v>
      </c>
      <c r="B8817" t="s">
        <v>8807</v>
      </c>
      <c r="C8817">
        <v>8376</v>
      </c>
      <c r="D8817" t="str">
        <f>"0003-486X"</f>
        <v>0003-486X</v>
      </c>
      <c r="E8817" t="s">
        <v>8</v>
      </c>
      <c r="F8817" t="s">
        <v>8823</v>
      </c>
      <c r="G8817">
        <v>2</v>
      </c>
    </row>
    <row r="8818" spans="1:7" x14ac:dyDescent="0.25">
      <c r="A8818">
        <v>30</v>
      </c>
      <c r="B8818" t="s">
        <v>8807</v>
      </c>
      <c r="C8818">
        <v>11341</v>
      </c>
      <c r="D8818" t="str">
        <f>"0091-1798"</f>
        <v>0091-1798</v>
      </c>
      <c r="E8818" t="s">
        <v>8</v>
      </c>
      <c r="F8818" t="s">
        <v>8824</v>
      </c>
      <c r="G8818">
        <v>2</v>
      </c>
    </row>
    <row r="8819" spans="1:7" x14ac:dyDescent="0.25">
      <c r="A8819">
        <v>30</v>
      </c>
      <c r="B8819" t="s">
        <v>8807</v>
      </c>
      <c r="C8819">
        <v>10715</v>
      </c>
      <c r="D8819" t="str">
        <f>"0090-5364"</f>
        <v>0090-5364</v>
      </c>
      <c r="E8819" t="s">
        <v>8</v>
      </c>
      <c r="F8819" t="s">
        <v>8825</v>
      </c>
      <c r="G8819">
        <v>2</v>
      </c>
    </row>
    <row r="8820" spans="1:7" x14ac:dyDescent="0.25">
      <c r="A8820">
        <v>30</v>
      </c>
      <c r="B8820" t="s">
        <v>8807</v>
      </c>
      <c r="C8820">
        <v>2483</v>
      </c>
      <c r="D8820" t="str">
        <f>"0020-3157"</f>
        <v>0020-3157</v>
      </c>
      <c r="E8820" t="s">
        <v>8</v>
      </c>
      <c r="F8820" t="s">
        <v>8826</v>
      </c>
      <c r="G8820">
        <v>2</v>
      </c>
    </row>
    <row r="8821" spans="1:7" x14ac:dyDescent="0.25">
      <c r="A8821">
        <v>30</v>
      </c>
      <c r="B8821" t="s">
        <v>8807</v>
      </c>
      <c r="C8821">
        <v>812</v>
      </c>
      <c r="D8821" t="str">
        <f>"1063-5203"</f>
        <v>1063-5203</v>
      </c>
      <c r="E8821" t="s">
        <v>8</v>
      </c>
      <c r="F8821" t="s">
        <v>8827</v>
      </c>
      <c r="G8821">
        <v>2</v>
      </c>
    </row>
    <row r="8822" spans="1:7" x14ac:dyDescent="0.25">
      <c r="A8822">
        <v>30</v>
      </c>
      <c r="B8822" t="s">
        <v>8807</v>
      </c>
      <c r="C8822">
        <v>13181</v>
      </c>
      <c r="D8822" t="str">
        <f>"0003-9527"</f>
        <v>0003-9527</v>
      </c>
      <c r="E8822" t="s">
        <v>8</v>
      </c>
      <c r="F8822" t="s">
        <v>8828</v>
      </c>
      <c r="G8822">
        <v>2</v>
      </c>
    </row>
    <row r="8823" spans="1:7" x14ac:dyDescent="0.25">
      <c r="A8823">
        <v>30</v>
      </c>
      <c r="B8823" t="s">
        <v>8807</v>
      </c>
      <c r="C8823">
        <v>15409</v>
      </c>
      <c r="D8823" t="str">
        <f>"0933-3657"</f>
        <v>0933-3657</v>
      </c>
      <c r="E8823" t="s">
        <v>8</v>
      </c>
      <c r="F8823" t="s">
        <v>8829</v>
      </c>
      <c r="G8823">
        <v>2</v>
      </c>
    </row>
    <row r="8824" spans="1:7" x14ac:dyDescent="0.25">
      <c r="A8824">
        <v>30</v>
      </c>
      <c r="B8824" t="s">
        <v>8807</v>
      </c>
      <c r="C8824">
        <v>5844</v>
      </c>
      <c r="D8824" t="str">
        <f>"0303-1179"</f>
        <v>0303-1179</v>
      </c>
      <c r="E8824" t="s">
        <v>8</v>
      </c>
      <c r="F8824" t="s">
        <v>8830</v>
      </c>
      <c r="G8824">
        <v>2</v>
      </c>
    </row>
    <row r="8825" spans="1:7" x14ac:dyDescent="0.25">
      <c r="A8825">
        <v>30</v>
      </c>
      <c r="B8825" t="s">
        <v>8807</v>
      </c>
      <c r="C8825">
        <v>9802</v>
      </c>
      <c r="D8825" t="str">
        <f>"0515-0361"</f>
        <v>0515-0361</v>
      </c>
      <c r="E8825" t="s">
        <v>8</v>
      </c>
      <c r="F8825" t="s">
        <v>8831</v>
      </c>
      <c r="G8825">
        <v>2</v>
      </c>
    </row>
    <row r="8826" spans="1:7" x14ac:dyDescent="0.25">
      <c r="A8826">
        <v>30</v>
      </c>
      <c r="B8826" t="s">
        <v>8807</v>
      </c>
      <c r="C8826">
        <v>7714442</v>
      </c>
      <c r="D8826" t="str">
        <f>"2075-1680"</f>
        <v>2075-1680</v>
      </c>
      <c r="E8826" t="s">
        <v>8</v>
      </c>
      <c r="F8826" t="s">
        <v>8832</v>
      </c>
      <c r="G8826">
        <v>2</v>
      </c>
    </row>
    <row r="8827" spans="1:7" x14ac:dyDescent="0.25">
      <c r="A8827">
        <v>30</v>
      </c>
      <c r="B8827" t="s">
        <v>8807</v>
      </c>
      <c r="C8827">
        <v>15124</v>
      </c>
      <c r="D8827" t="str">
        <f>"1350-7265"</f>
        <v>1350-7265</v>
      </c>
      <c r="E8827" t="s">
        <v>8</v>
      </c>
      <c r="F8827" t="s">
        <v>8833</v>
      </c>
      <c r="G8827">
        <v>2</v>
      </c>
    </row>
    <row r="8828" spans="1:7" x14ac:dyDescent="0.25">
      <c r="A8828">
        <v>30</v>
      </c>
      <c r="B8828" t="s">
        <v>8807</v>
      </c>
      <c r="C8828">
        <v>6498</v>
      </c>
      <c r="D8828" t="str">
        <f>"0006-341X"</f>
        <v>0006-341X</v>
      </c>
      <c r="E8828" t="s">
        <v>8</v>
      </c>
      <c r="F8828" t="s">
        <v>8834</v>
      </c>
      <c r="G8828">
        <v>2</v>
      </c>
    </row>
    <row r="8829" spans="1:7" x14ac:dyDescent="0.25">
      <c r="A8829">
        <v>30</v>
      </c>
      <c r="B8829" t="s">
        <v>8807</v>
      </c>
      <c r="C8829">
        <v>5818</v>
      </c>
      <c r="D8829" t="str">
        <f>"0006-3444"</f>
        <v>0006-3444</v>
      </c>
      <c r="E8829" t="s">
        <v>8</v>
      </c>
      <c r="F8829" t="s">
        <v>8835</v>
      </c>
      <c r="G8829">
        <v>2</v>
      </c>
    </row>
    <row r="8830" spans="1:7" x14ac:dyDescent="0.25">
      <c r="A8830">
        <v>30</v>
      </c>
      <c r="B8830" t="s">
        <v>8807</v>
      </c>
      <c r="C8830">
        <v>12173</v>
      </c>
      <c r="D8830" t="str">
        <f>"1465-4644"</f>
        <v>1465-4644</v>
      </c>
      <c r="E8830" t="s">
        <v>8</v>
      </c>
      <c r="F8830" t="s">
        <v>8836</v>
      </c>
      <c r="G8830">
        <v>2</v>
      </c>
    </row>
    <row r="8831" spans="1:7" x14ac:dyDescent="0.25">
      <c r="A8831">
        <v>30</v>
      </c>
      <c r="B8831" t="s">
        <v>8807</v>
      </c>
      <c r="C8831">
        <v>15544</v>
      </c>
      <c r="D8831" t="str">
        <f>"0037-9484"</f>
        <v>0037-9484</v>
      </c>
      <c r="E8831" t="s">
        <v>8</v>
      </c>
      <c r="F8831" t="s">
        <v>8837</v>
      </c>
      <c r="G8831">
        <v>2</v>
      </c>
    </row>
    <row r="8832" spans="1:7" x14ac:dyDescent="0.25">
      <c r="A8832">
        <v>30</v>
      </c>
      <c r="B8832" t="s">
        <v>8807</v>
      </c>
      <c r="C8832">
        <v>10469</v>
      </c>
      <c r="D8832" t="str">
        <f>"0092-8240"</f>
        <v>0092-8240</v>
      </c>
      <c r="E8832" t="s">
        <v>8</v>
      </c>
      <c r="F8832" t="s">
        <v>8838</v>
      </c>
      <c r="G8832">
        <v>2</v>
      </c>
    </row>
    <row r="8833" spans="1:7" x14ac:dyDescent="0.25">
      <c r="A8833">
        <v>30</v>
      </c>
      <c r="B8833" t="s">
        <v>8807</v>
      </c>
      <c r="C8833">
        <v>5242</v>
      </c>
      <c r="D8833" t="str">
        <f>"0944-2669"</f>
        <v>0944-2669</v>
      </c>
      <c r="E8833" t="s">
        <v>8</v>
      </c>
      <c r="F8833" t="s">
        <v>8839</v>
      </c>
      <c r="G8833">
        <v>2</v>
      </c>
    </row>
    <row r="8834" spans="1:7" x14ac:dyDescent="0.25">
      <c r="A8834">
        <v>30</v>
      </c>
      <c r="B8834" t="s">
        <v>8807</v>
      </c>
      <c r="C8834">
        <v>5728</v>
      </c>
      <c r="D8834" t="str">
        <f>"1054-1500"</f>
        <v>1054-1500</v>
      </c>
      <c r="E8834" t="s">
        <v>8</v>
      </c>
      <c r="F8834" t="s">
        <v>8840</v>
      </c>
      <c r="G8834">
        <v>2</v>
      </c>
    </row>
    <row r="8835" spans="1:7" x14ac:dyDescent="0.25">
      <c r="A8835">
        <v>30</v>
      </c>
      <c r="B8835" t="s">
        <v>8807</v>
      </c>
      <c r="C8835">
        <v>7818</v>
      </c>
      <c r="D8835" t="str">
        <f>"0209-9683"</f>
        <v>0209-9683</v>
      </c>
      <c r="E8835" t="s">
        <v>8</v>
      </c>
      <c r="F8835" t="s">
        <v>8841</v>
      </c>
      <c r="G8835">
        <v>2</v>
      </c>
    </row>
    <row r="8836" spans="1:7" x14ac:dyDescent="0.25">
      <c r="A8836">
        <v>30</v>
      </c>
      <c r="B8836" t="s">
        <v>8807</v>
      </c>
      <c r="C8836">
        <v>8538</v>
      </c>
      <c r="D8836" t="str">
        <f>"0010-2571"</f>
        <v>0010-2571</v>
      </c>
      <c r="E8836" t="s">
        <v>8</v>
      </c>
      <c r="F8836" t="s">
        <v>8842</v>
      </c>
      <c r="G8836">
        <v>2</v>
      </c>
    </row>
    <row r="8837" spans="1:7" x14ac:dyDescent="0.25">
      <c r="A8837">
        <v>30</v>
      </c>
      <c r="B8837" t="s">
        <v>8807</v>
      </c>
      <c r="C8837">
        <v>2274</v>
      </c>
      <c r="D8837" t="str">
        <f>"1019-8385"</f>
        <v>1019-8385</v>
      </c>
      <c r="E8837" t="s">
        <v>8</v>
      </c>
      <c r="F8837" t="s">
        <v>8843</v>
      </c>
      <c r="G8837">
        <v>2</v>
      </c>
    </row>
    <row r="8838" spans="1:7" x14ac:dyDescent="0.25">
      <c r="A8838">
        <v>30</v>
      </c>
      <c r="B8838" t="s">
        <v>8807</v>
      </c>
      <c r="C8838">
        <v>15128</v>
      </c>
      <c r="D8838" t="str">
        <f>"0219-1997"</f>
        <v>0219-1997</v>
      </c>
      <c r="E8838" t="s">
        <v>8</v>
      </c>
      <c r="F8838" t="s">
        <v>8844</v>
      </c>
      <c r="G8838">
        <v>2</v>
      </c>
    </row>
    <row r="8839" spans="1:7" x14ac:dyDescent="0.25">
      <c r="A8839">
        <v>30</v>
      </c>
      <c r="B8839" t="s">
        <v>8807</v>
      </c>
      <c r="C8839">
        <v>5571</v>
      </c>
      <c r="D8839" t="str">
        <f>"0010-3616"</f>
        <v>0010-3616</v>
      </c>
      <c r="E8839" t="s">
        <v>8</v>
      </c>
      <c r="F8839" t="s">
        <v>8845</v>
      </c>
      <c r="G8839">
        <v>2</v>
      </c>
    </row>
    <row r="8840" spans="1:7" x14ac:dyDescent="0.25">
      <c r="A8840">
        <v>30</v>
      </c>
      <c r="B8840" t="s">
        <v>8807</v>
      </c>
      <c r="C8840">
        <v>11179</v>
      </c>
      <c r="D8840" t="str">
        <f>"0360-5302"</f>
        <v>0360-5302</v>
      </c>
      <c r="E8840" t="s">
        <v>8</v>
      </c>
      <c r="F8840" t="s">
        <v>8846</v>
      </c>
      <c r="G8840">
        <v>2</v>
      </c>
    </row>
    <row r="8841" spans="1:7" x14ac:dyDescent="0.25">
      <c r="A8841">
        <v>30</v>
      </c>
      <c r="B8841" t="s">
        <v>8807</v>
      </c>
      <c r="C8841">
        <v>15281</v>
      </c>
      <c r="D8841" t="str">
        <f>"0010-3640"</f>
        <v>0010-3640</v>
      </c>
      <c r="E8841" t="s">
        <v>8</v>
      </c>
      <c r="F8841" t="s">
        <v>8847</v>
      </c>
      <c r="G8841">
        <v>2</v>
      </c>
    </row>
    <row r="8842" spans="1:7" x14ac:dyDescent="0.25">
      <c r="A8842">
        <v>30</v>
      </c>
      <c r="B8842" t="s">
        <v>8807</v>
      </c>
      <c r="C8842">
        <v>1624</v>
      </c>
      <c r="D8842" t="str">
        <f>"1747-6933"</f>
        <v>1747-6933</v>
      </c>
      <c r="E8842" t="s">
        <v>8</v>
      </c>
      <c r="F8842" t="s">
        <v>8848</v>
      </c>
      <c r="G8842">
        <v>2</v>
      </c>
    </row>
    <row r="8843" spans="1:7" x14ac:dyDescent="0.25">
      <c r="A8843">
        <v>30</v>
      </c>
      <c r="B8843" t="s">
        <v>8807</v>
      </c>
      <c r="C8843">
        <v>6169</v>
      </c>
      <c r="D8843" t="str">
        <f>"0010-437X"</f>
        <v>0010-437X</v>
      </c>
      <c r="E8843" t="s">
        <v>8</v>
      </c>
      <c r="F8843" t="s">
        <v>8849</v>
      </c>
      <c r="G8843">
        <v>2</v>
      </c>
    </row>
    <row r="8844" spans="1:7" x14ac:dyDescent="0.25">
      <c r="A8844">
        <v>30</v>
      </c>
      <c r="B8844" t="s">
        <v>8807</v>
      </c>
      <c r="C8844">
        <v>11142</v>
      </c>
      <c r="D8844" t="str">
        <f>"0943-4062"</f>
        <v>0943-4062</v>
      </c>
      <c r="E8844" t="s">
        <v>8</v>
      </c>
      <c r="F8844" t="s">
        <v>8850</v>
      </c>
      <c r="G8844">
        <v>2</v>
      </c>
    </row>
    <row r="8845" spans="1:7" x14ac:dyDescent="0.25">
      <c r="A8845">
        <v>30</v>
      </c>
      <c r="B8845" t="s">
        <v>8807</v>
      </c>
      <c r="C8845">
        <v>6695</v>
      </c>
      <c r="D8845" t="str">
        <f>"0167-8396"</f>
        <v>0167-8396</v>
      </c>
      <c r="E8845" t="s">
        <v>8</v>
      </c>
      <c r="F8845" t="s">
        <v>8851</v>
      </c>
      <c r="G8845">
        <v>2</v>
      </c>
    </row>
    <row r="8846" spans="1:7" x14ac:dyDescent="0.25">
      <c r="A8846">
        <v>30</v>
      </c>
      <c r="B8846" t="s">
        <v>8807</v>
      </c>
      <c r="C8846">
        <v>8122</v>
      </c>
      <c r="D8846" t="str">
        <f>"0176-4276"</f>
        <v>0176-4276</v>
      </c>
      <c r="E8846" t="s">
        <v>8</v>
      </c>
      <c r="F8846" t="s">
        <v>8852</v>
      </c>
      <c r="G8846">
        <v>2</v>
      </c>
    </row>
    <row r="8847" spans="1:7" x14ac:dyDescent="0.25">
      <c r="A8847">
        <v>30</v>
      </c>
      <c r="B8847" t="s">
        <v>8807</v>
      </c>
      <c r="C8847">
        <v>445</v>
      </c>
      <c r="D8847" t="str">
        <f>"0925-1022"</f>
        <v>0925-1022</v>
      </c>
      <c r="E8847" t="s">
        <v>8</v>
      </c>
      <c r="F8847" t="s">
        <v>8853</v>
      </c>
      <c r="G8847">
        <v>2</v>
      </c>
    </row>
    <row r="8848" spans="1:7" x14ac:dyDescent="0.25">
      <c r="A8848">
        <v>30</v>
      </c>
      <c r="B8848" t="s">
        <v>8807</v>
      </c>
      <c r="C8848">
        <v>14565</v>
      </c>
      <c r="D8848" t="str">
        <f>"0893-4983"</f>
        <v>0893-4983</v>
      </c>
      <c r="E8848" t="s">
        <v>8</v>
      </c>
      <c r="F8848" t="s">
        <v>8854</v>
      </c>
      <c r="G8848">
        <v>2</v>
      </c>
    </row>
    <row r="8849" spans="1:7" x14ac:dyDescent="0.25">
      <c r="A8849">
        <v>30</v>
      </c>
      <c r="B8849" t="s">
        <v>8807</v>
      </c>
      <c r="C8849">
        <v>7563</v>
      </c>
      <c r="D8849" t="str">
        <f>"0179-5376"</f>
        <v>0179-5376</v>
      </c>
      <c r="E8849" t="s">
        <v>8</v>
      </c>
      <c r="F8849" t="s">
        <v>8855</v>
      </c>
      <c r="G8849">
        <v>2</v>
      </c>
    </row>
    <row r="8850" spans="1:7" x14ac:dyDescent="0.25">
      <c r="A8850">
        <v>30</v>
      </c>
      <c r="B8850" t="s">
        <v>8807</v>
      </c>
      <c r="C8850">
        <v>2170</v>
      </c>
      <c r="D8850" t="str">
        <f>"1431-0635"</f>
        <v>1431-0635</v>
      </c>
      <c r="E8850" t="s">
        <v>8</v>
      </c>
      <c r="F8850" t="s">
        <v>8856</v>
      </c>
      <c r="G8850">
        <v>2</v>
      </c>
    </row>
    <row r="8851" spans="1:7" x14ac:dyDescent="0.25">
      <c r="A8851">
        <v>30</v>
      </c>
      <c r="B8851" t="s">
        <v>8807</v>
      </c>
      <c r="C8851">
        <v>3880</v>
      </c>
      <c r="D8851" t="str">
        <f>"0012-7094"</f>
        <v>0012-7094</v>
      </c>
      <c r="E8851" t="s">
        <v>8</v>
      </c>
      <c r="F8851" t="s">
        <v>8857</v>
      </c>
      <c r="G8851">
        <v>2</v>
      </c>
    </row>
    <row r="8852" spans="1:7" x14ac:dyDescent="0.25">
      <c r="A8852">
        <v>30</v>
      </c>
      <c r="B8852" t="s">
        <v>8807</v>
      </c>
      <c r="C8852">
        <v>13502</v>
      </c>
      <c r="D8852" t="str">
        <f>"0013-1954"</f>
        <v>0013-1954</v>
      </c>
      <c r="E8852" t="s">
        <v>8</v>
      </c>
      <c r="F8852" t="s">
        <v>8858</v>
      </c>
      <c r="G8852">
        <v>2</v>
      </c>
    </row>
    <row r="8853" spans="1:7" x14ac:dyDescent="0.25">
      <c r="A8853">
        <v>30</v>
      </c>
      <c r="B8853" t="s">
        <v>8807</v>
      </c>
      <c r="C8853">
        <v>12119</v>
      </c>
      <c r="E8853" t="s">
        <v>8</v>
      </c>
      <c r="F8853" t="s">
        <v>8859</v>
      </c>
      <c r="G8853">
        <v>2</v>
      </c>
    </row>
    <row r="8854" spans="1:7" x14ac:dyDescent="0.25">
      <c r="A8854">
        <v>30</v>
      </c>
      <c r="B8854" t="s">
        <v>8807</v>
      </c>
      <c r="C8854">
        <v>14338</v>
      </c>
      <c r="E8854" t="s">
        <v>8</v>
      </c>
      <c r="F8854" t="s">
        <v>8860</v>
      </c>
      <c r="G8854">
        <v>2</v>
      </c>
    </row>
    <row r="8855" spans="1:7" x14ac:dyDescent="0.25">
      <c r="A8855">
        <v>30</v>
      </c>
      <c r="B8855" t="s">
        <v>8807</v>
      </c>
      <c r="C8855">
        <v>4406</v>
      </c>
      <c r="D8855" t="str">
        <f>"0143-3857"</f>
        <v>0143-3857</v>
      </c>
      <c r="E8855" t="s">
        <v>8</v>
      </c>
      <c r="F8855" t="s">
        <v>8861</v>
      </c>
      <c r="G8855">
        <v>2</v>
      </c>
    </row>
    <row r="8856" spans="1:7" x14ac:dyDescent="0.25">
      <c r="A8856">
        <v>30</v>
      </c>
      <c r="B8856" t="s">
        <v>8807</v>
      </c>
      <c r="C8856">
        <v>11359</v>
      </c>
      <c r="D8856" t="str">
        <f>"0949-2984"</f>
        <v>0949-2984</v>
      </c>
      <c r="E8856" t="s">
        <v>8</v>
      </c>
      <c r="F8856" t="s">
        <v>8862</v>
      </c>
      <c r="G8856">
        <v>2</v>
      </c>
    </row>
    <row r="8857" spans="1:7" x14ac:dyDescent="0.25">
      <c r="A8857">
        <v>30</v>
      </c>
      <c r="B8857" t="s">
        <v>8807</v>
      </c>
      <c r="C8857">
        <v>9455</v>
      </c>
      <c r="D8857" t="str">
        <f>"1071-5797"</f>
        <v>1071-5797</v>
      </c>
      <c r="E8857" t="s">
        <v>8</v>
      </c>
      <c r="F8857" t="s">
        <v>8863</v>
      </c>
      <c r="G8857">
        <v>2</v>
      </c>
    </row>
    <row r="8858" spans="1:7" x14ac:dyDescent="0.25">
      <c r="A8858">
        <v>30</v>
      </c>
      <c r="B8858" t="s">
        <v>8807</v>
      </c>
      <c r="C8858">
        <v>1171</v>
      </c>
      <c r="D8858" t="str">
        <f>"1615-3375"</f>
        <v>1615-3375</v>
      </c>
      <c r="E8858" t="s">
        <v>8</v>
      </c>
      <c r="F8858" t="s">
        <v>8864</v>
      </c>
      <c r="G8858">
        <v>2</v>
      </c>
    </row>
    <row r="8859" spans="1:7" x14ac:dyDescent="0.25">
      <c r="A8859">
        <v>30</v>
      </c>
      <c r="B8859" t="s">
        <v>8807</v>
      </c>
      <c r="C8859">
        <v>11258</v>
      </c>
      <c r="D8859" t="str">
        <f>"1016-443X"</f>
        <v>1016-443X</v>
      </c>
      <c r="E8859" t="s">
        <v>8</v>
      </c>
      <c r="F8859" t="s">
        <v>8865</v>
      </c>
      <c r="G8859">
        <v>2</v>
      </c>
    </row>
    <row r="8860" spans="1:7" x14ac:dyDescent="0.25">
      <c r="A8860">
        <v>30</v>
      </c>
      <c r="B8860" t="s">
        <v>8807</v>
      </c>
      <c r="C8860">
        <v>889</v>
      </c>
      <c r="D8860" t="str">
        <f>"1465-3060"</f>
        <v>1465-3060</v>
      </c>
      <c r="E8860" t="s">
        <v>8</v>
      </c>
      <c r="F8860" t="s">
        <v>8866</v>
      </c>
      <c r="G8860">
        <v>2</v>
      </c>
    </row>
    <row r="8861" spans="1:7" x14ac:dyDescent="0.25">
      <c r="A8861">
        <v>30</v>
      </c>
      <c r="B8861" t="s">
        <v>8807</v>
      </c>
      <c r="C8861">
        <v>13692</v>
      </c>
      <c r="D8861" t="str">
        <f>"0911-0119"</f>
        <v>0911-0119</v>
      </c>
      <c r="E8861" t="s">
        <v>8</v>
      </c>
      <c r="F8861" t="s">
        <v>8867</v>
      </c>
      <c r="G8861">
        <v>2</v>
      </c>
    </row>
    <row r="8862" spans="1:7" x14ac:dyDescent="0.25">
      <c r="A8862">
        <v>30</v>
      </c>
      <c r="B8862" t="s">
        <v>8807</v>
      </c>
      <c r="C8862">
        <v>2573</v>
      </c>
      <c r="D8862" t="str">
        <f>"0315-0860"</f>
        <v>0315-0860</v>
      </c>
      <c r="E8862" t="s">
        <v>8</v>
      </c>
      <c r="F8862" t="s">
        <v>8868</v>
      </c>
      <c r="G8862">
        <v>2</v>
      </c>
    </row>
    <row r="8863" spans="1:7" x14ac:dyDescent="0.25">
      <c r="A8863">
        <v>30</v>
      </c>
      <c r="B8863" t="s">
        <v>8807</v>
      </c>
      <c r="C8863">
        <v>9107</v>
      </c>
      <c r="D8863" t="str">
        <f>"0018-9448"</f>
        <v>0018-9448</v>
      </c>
      <c r="E8863" t="s">
        <v>8</v>
      </c>
      <c r="F8863" t="s">
        <v>8869</v>
      </c>
      <c r="G8863">
        <v>2</v>
      </c>
    </row>
    <row r="8864" spans="1:7" x14ac:dyDescent="0.25">
      <c r="A8864">
        <v>30</v>
      </c>
      <c r="B8864" t="s">
        <v>8807</v>
      </c>
      <c r="C8864">
        <v>10520</v>
      </c>
      <c r="D8864" t="str">
        <f>"2162-237X"</f>
        <v>2162-237X</v>
      </c>
      <c r="E8864" t="s">
        <v>8</v>
      </c>
      <c r="F8864" t="s">
        <v>8870</v>
      </c>
      <c r="G8864">
        <v>2</v>
      </c>
    </row>
    <row r="8865" spans="1:7" x14ac:dyDescent="0.25">
      <c r="A8865">
        <v>30</v>
      </c>
      <c r="B8865" t="s">
        <v>8807</v>
      </c>
      <c r="C8865">
        <v>2106</v>
      </c>
      <c r="D8865" t="str">
        <f>"0162-8828"</f>
        <v>0162-8828</v>
      </c>
      <c r="E8865" t="s">
        <v>8</v>
      </c>
      <c r="F8865" t="s">
        <v>8871</v>
      </c>
      <c r="G8865">
        <v>2</v>
      </c>
    </row>
    <row r="8866" spans="1:7" x14ac:dyDescent="0.25">
      <c r="A8866">
        <v>30</v>
      </c>
      <c r="B8866" t="s">
        <v>8807</v>
      </c>
      <c r="C8866">
        <v>16772</v>
      </c>
      <c r="D8866" t="str">
        <f>"0272-4979"</f>
        <v>0272-4979</v>
      </c>
      <c r="E8866" t="s">
        <v>8</v>
      </c>
      <c r="F8866" t="s">
        <v>8872</v>
      </c>
      <c r="G8866">
        <v>2</v>
      </c>
    </row>
    <row r="8867" spans="1:7" x14ac:dyDescent="0.25">
      <c r="A8867">
        <v>30</v>
      </c>
      <c r="B8867" t="s">
        <v>8807</v>
      </c>
      <c r="C8867">
        <v>3661</v>
      </c>
      <c r="D8867" t="str">
        <f>"0022-2518"</f>
        <v>0022-2518</v>
      </c>
      <c r="E8867" t="s">
        <v>8</v>
      </c>
      <c r="F8867" t="s">
        <v>8873</v>
      </c>
      <c r="G8867">
        <v>2</v>
      </c>
    </row>
    <row r="8868" spans="1:7" x14ac:dyDescent="0.25">
      <c r="A8868">
        <v>30</v>
      </c>
      <c r="B8868" t="s">
        <v>8807</v>
      </c>
      <c r="C8868">
        <v>10743</v>
      </c>
      <c r="D8868" t="str">
        <f>"0167-6687"</f>
        <v>0167-6687</v>
      </c>
      <c r="E8868" t="s">
        <v>8</v>
      </c>
      <c r="F8868" t="s">
        <v>8874</v>
      </c>
      <c r="G8868">
        <v>2</v>
      </c>
    </row>
    <row r="8869" spans="1:7" x14ac:dyDescent="0.25">
      <c r="A8869">
        <v>30</v>
      </c>
      <c r="B8869" t="s">
        <v>8807</v>
      </c>
      <c r="C8869">
        <v>5984</v>
      </c>
      <c r="D8869" t="str">
        <f>"0378-620X"</f>
        <v>0378-620X</v>
      </c>
      <c r="E8869" t="s">
        <v>8</v>
      </c>
      <c r="F8869" t="s">
        <v>8875</v>
      </c>
      <c r="G8869">
        <v>2</v>
      </c>
    </row>
    <row r="8870" spans="1:7" x14ac:dyDescent="0.25">
      <c r="A8870">
        <v>30</v>
      </c>
      <c r="B8870" t="s">
        <v>8807</v>
      </c>
      <c r="C8870">
        <v>15165</v>
      </c>
      <c r="D8870" t="str">
        <f>"1073-7928"</f>
        <v>1073-7928</v>
      </c>
      <c r="E8870" t="s">
        <v>8</v>
      </c>
      <c r="F8870" t="s">
        <v>8876</v>
      </c>
      <c r="G8870">
        <v>2</v>
      </c>
    </row>
    <row r="8871" spans="1:7" x14ac:dyDescent="0.25">
      <c r="A8871">
        <v>30</v>
      </c>
      <c r="B8871" t="s">
        <v>8807</v>
      </c>
      <c r="C8871">
        <v>8552</v>
      </c>
      <c r="D8871" t="str">
        <f>"0306-7734"</f>
        <v>0306-7734</v>
      </c>
      <c r="E8871" t="s">
        <v>8</v>
      </c>
      <c r="F8871" t="s">
        <v>8877</v>
      </c>
      <c r="G8871">
        <v>2</v>
      </c>
    </row>
    <row r="8872" spans="1:7" x14ac:dyDescent="0.25">
      <c r="A8872">
        <v>30</v>
      </c>
      <c r="B8872" t="s">
        <v>8807</v>
      </c>
      <c r="C8872">
        <v>14314</v>
      </c>
      <c r="D8872" t="str">
        <f>"0020-9910"</f>
        <v>0020-9910</v>
      </c>
      <c r="E8872" t="s">
        <v>8</v>
      </c>
      <c r="F8872" t="s">
        <v>8878</v>
      </c>
      <c r="G8872">
        <v>2</v>
      </c>
    </row>
    <row r="8873" spans="1:7" x14ac:dyDescent="0.25">
      <c r="A8873">
        <v>30</v>
      </c>
      <c r="B8873" t="s">
        <v>8807</v>
      </c>
      <c r="C8873">
        <v>2972</v>
      </c>
      <c r="D8873" t="str">
        <f>"0266-5611"</f>
        <v>0266-5611</v>
      </c>
      <c r="E8873" t="s">
        <v>8</v>
      </c>
      <c r="F8873" t="s">
        <v>8879</v>
      </c>
      <c r="G8873">
        <v>2</v>
      </c>
    </row>
    <row r="8874" spans="1:7" x14ac:dyDescent="0.25">
      <c r="A8874">
        <v>30</v>
      </c>
      <c r="B8874" t="s">
        <v>8807</v>
      </c>
      <c r="C8874">
        <v>119858</v>
      </c>
      <c r="D8874" t="str">
        <f>"1930-8337"</f>
        <v>1930-8337</v>
      </c>
      <c r="E8874" t="s">
        <v>8</v>
      </c>
      <c r="F8874" t="s">
        <v>8880</v>
      </c>
      <c r="G8874">
        <v>2</v>
      </c>
    </row>
    <row r="8875" spans="1:7" x14ac:dyDescent="0.25">
      <c r="A8875">
        <v>30</v>
      </c>
      <c r="B8875" t="s">
        <v>8807</v>
      </c>
      <c r="C8875">
        <v>6065</v>
      </c>
      <c r="D8875" t="str">
        <f>"1047-398X"</f>
        <v>1047-398X</v>
      </c>
      <c r="E8875" t="s">
        <v>15</v>
      </c>
      <c r="F8875" t="s">
        <v>8881</v>
      </c>
      <c r="G8875">
        <v>2</v>
      </c>
    </row>
    <row r="8876" spans="1:7" x14ac:dyDescent="0.25">
      <c r="A8876">
        <v>30</v>
      </c>
      <c r="B8876" t="s">
        <v>8807</v>
      </c>
      <c r="C8876">
        <v>222</v>
      </c>
      <c r="D8876" t="str">
        <f>"0021-7670"</f>
        <v>0021-7670</v>
      </c>
      <c r="E8876" t="s">
        <v>8</v>
      </c>
      <c r="F8876" t="s">
        <v>8882</v>
      </c>
      <c r="G8876">
        <v>2</v>
      </c>
    </row>
    <row r="8877" spans="1:7" x14ac:dyDescent="0.25">
      <c r="A8877">
        <v>30</v>
      </c>
      <c r="B8877" t="s">
        <v>8807</v>
      </c>
      <c r="C8877">
        <v>14706</v>
      </c>
      <c r="D8877" t="str">
        <f>"0021-7824"</f>
        <v>0021-7824</v>
      </c>
      <c r="E8877" t="s">
        <v>8</v>
      </c>
      <c r="F8877" t="s">
        <v>8883</v>
      </c>
      <c r="G8877">
        <v>2</v>
      </c>
    </row>
    <row r="8878" spans="1:7" x14ac:dyDescent="0.25">
      <c r="A8878">
        <v>30</v>
      </c>
      <c r="B8878" t="s">
        <v>8807</v>
      </c>
      <c r="C8878">
        <v>2545</v>
      </c>
      <c r="E8878" t="s">
        <v>8</v>
      </c>
      <c r="F8878" t="s">
        <v>8884</v>
      </c>
      <c r="G8878">
        <v>2</v>
      </c>
    </row>
    <row r="8879" spans="1:7" x14ac:dyDescent="0.25">
      <c r="A8879">
        <v>30</v>
      </c>
      <c r="B8879" t="s">
        <v>8807</v>
      </c>
      <c r="C8879">
        <v>16012</v>
      </c>
      <c r="D8879" t="str">
        <f>"0021-8251"</f>
        <v>0021-8251</v>
      </c>
      <c r="E8879" t="s">
        <v>8</v>
      </c>
      <c r="F8879" t="s">
        <v>8885</v>
      </c>
      <c r="G8879">
        <v>2</v>
      </c>
    </row>
    <row r="8880" spans="1:7" x14ac:dyDescent="0.25">
      <c r="A8880">
        <v>30</v>
      </c>
      <c r="B8880" t="s">
        <v>8807</v>
      </c>
      <c r="C8880">
        <v>9581</v>
      </c>
      <c r="D8880" t="str">
        <f>"0075-4102"</f>
        <v>0075-4102</v>
      </c>
      <c r="E8880" t="s">
        <v>8</v>
      </c>
      <c r="F8880" t="s">
        <v>8886</v>
      </c>
      <c r="G8880">
        <v>2</v>
      </c>
    </row>
    <row r="8881" spans="1:7" x14ac:dyDescent="0.25">
      <c r="A8881">
        <v>30</v>
      </c>
      <c r="B8881" t="s">
        <v>8807</v>
      </c>
      <c r="C8881">
        <v>9380</v>
      </c>
      <c r="D8881" t="str">
        <f>"1056-3911"</f>
        <v>1056-3911</v>
      </c>
      <c r="E8881" t="s">
        <v>8</v>
      </c>
      <c r="F8881" t="s">
        <v>8887</v>
      </c>
      <c r="G8881">
        <v>2</v>
      </c>
    </row>
    <row r="8882" spans="1:7" x14ac:dyDescent="0.25">
      <c r="A8882">
        <v>30</v>
      </c>
      <c r="B8882" t="s">
        <v>8807</v>
      </c>
      <c r="C8882">
        <v>15729</v>
      </c>
      <c r="D8882" t="str">
        <f>"0021-9002"</f>
        <v>0021-9002</v>
      </c>
      <c r="E8882" t="s">
        <v>8</v>
      </c>
      <c r="F8882" t="s">
        <v>8888</v>
      </c>
      <c r="G8882">
        <v>2</v>
      </c>
    </row>
    <row r="8883" spans="1:7" x14ac:dyDescent="0.25">
      <c r="A8883">
        <v>30</v>
      </c>
      <c r="B8883" t="s">
        <v>8807</v>
      </c>
      <c r="C8883">
        <v>9845</v>
      </c>
      <c r="D8883" t="str">
        <f>"0021-9045"</f>
        <v>0021-9045</v>
      </c>
      <c r="E8883" t="s">
        <v>8</v>
      </c>
      <c r="F8883" t="s">
        <v>8889</v>
      </c>
      <c r="G8883">
        <v>2</v>
      </c>
    </row>
    <row r="8884" spans="1:7" x14ac:dyDescent="0.25">
      <c r="A8884">
        <v>30</v>
      </c>
      <c r="B8884" t="s">
        <v>8807</v>
      </c>
      <c r="C8884">
        <v>6863</v>
      </c>
      <c r="D8884" t="str">
        <f>"1063-8539"</f>
        <v>1063-8539</v>
      </c>
      <c r="E8884" t="s">
        <v>8</v>
      </c>
      <c r="F8884" t="s">
        <v>8890</v>
      </c>
      <c r="G8884">
        <v>2</v>
      </c>
    </row>
    <row r="8885" spans="1:7" x14ac:dyDescent="0.25">
      <c r="A8885">
        <v>30</v>
      </c>
      <c r="B8885" t="s">
        <v>8807</v>
      </c>
      <c r="C8885">
        <v>14979</v>
      </c>
      <c r="D8885" t="str">
        <f>"0097-3165"</f>
        <v>0097-3165</v>
      </c>
      <c r="E8885" t="s">
        <v>8</v>
      </c>
      <c r="F8885" t="s">
        <v>8891</v>
      </c>
      <c r="G8885">
        <v>2</v>
      </c>
    </row>
    <row r="8886" spans="1:7" x14ac:dyDescent="0.25">
      <c r="A8886">
        <v>30</v>
      </c>
      <c r="B8886" t="s">
        <v>8807</v>
      </c>
      <c r="C8886">
        <v>1953</v>
      </c>
      <c r="D8886" t="str">
        <f>"0095-8956"</f>
        <v>0095-8956</v>
      </c>
      <c r="E8886" t="s">
        <v>8</v>
      </c>
      <c r="F8886" t="s">
        <v>8892</v>
      </c>
      <c r="G8886">
        <v>2</v>
      </c>
    </row>
    <row r="8887" spans="1:7" x14ac:dyDescent="0.25">
      <c r="A8887">
        <v>30</v>
      </c>
      <c r="B8887" t="s">
        <v>8807</v>
      </c>
      <c r="C8887">
        <v>4845</v>
      </c>
      <c r="D8887" t="str">
        <f>"0885-064X"</f>
        <v>0885-064X</v>
      </c>
      <c r="E8887" t="s">
        <v>8</v>
      </c>
      <c r="F8887" t="s">
        <v>8893</v>
      </c>
      <c r="G8887">
        <v>2</v>
      </c>
    </row>
    <row r="8888" spans="1:7" x14ac:dyDescent="0.25">
      <c r="A8888">
        <v>30</v>
      </c>
      <c r="B8888" t="s">
        <v>8807</v>
      </c>
      <c r="C8888">
        <v>10300</v>
      </c>
      <c r="D8888" t="str">
        <f>"1061-8600"</f>
        <v>1061-8600</v>
      </c>
      <c r="E8888" t="s">
        <v>8</v>
      </c>
      <c r="F8888" t="s">
        <v>8894</v>
      </c>
      <c r="G8888">
        <v>2</v>
      </c>
    </row>
    <row r="8889" spans="1:7" x14ac:dyDescent="0.25">
      <c r="A8889">
        <v>30</v>
      </c>
      <c r="B8889" t="s">
        <v>8807</v>
      </c>
      <c r="C8889">
        <v>9609</v>
      </c>
      <c r="D8889" t="str">
        <f>"0933-2790"</f>
        <v>0933-2790</v>
      </c>
      <c r="E8889" t="s">
        <v>8</v>
      </c>
      <c r="F8889" t="s">
        <v>8895</v>
      </c>
      <c r="G8889">
        <v>2</v>
      </c>
    </row>
    <row r="8890" spans="1:7" x14ac:dyDescent="0.25">
      <c r="A8890">
        <v>30</v>
      </c>
      <c r="B8890" t="s">
        <v>8807</v>
      </c>
      <c r="C8890">
        <v>12792</v>
      </c>
      <c r="D8890" t="str">
        <f>"0022-0396"</f>
        <v>0022-0396</v>
      </c>
      <c r="E8890" t="s">
        <v>8</v>
      </c>
      <c r="F8890" t="s">
        <v>8896</v>
      </c>
      <c r="G8890">
        <v>2</v>
      </c>
    </row>
    <row r="8891" spans="1:7" x14ac:dyDescent="0.25">
      <c r="A8891">
        <v>30</v>
      </c>
      <c r="B8891" t="s">
        <v>8807</v>
      </c>
      <c r="C8891">
        <v>75</v>
      </c>
      <c r="D8891" t="str">
        <f>"0022-040X"</f>
        <v>0022-040X</v>
      </c>
      <c r="E8891" t="s">
        <v>8</v>
      </c>
      <c r="F8891" t="s">
        <v>8897</v>
      </c>
      <c r="G8891">
        <v>2</v>
      </c>
    </row>
    <row r="8892" spans="1:7" x14ac:dyDescent="0.25">
      <c r="A8892">
        <v>30</v>
      </c>
      <c r="B8892" t="s">
        <v>8807</v>
      </c>
      <c r="C8892">
        <v>15565</v>
      </c>
      <c r="D8892" t="str">
        <f>"1040-7294"</f>
        <v>1040-7294</v>
      </c>
      <c r="E8892" t="s">
        <v>8</v>
      </c>
      <c r="F8892" t="s">
        <v>8898</v>
      </c>
      <c r="G8892">
        <v>2</v>
      </c>
    </row>
    <row r="8893" spans="1:7" x14ac:dyDescent="0.25">
      <c r="A8893">
        <v>30</v>
      </c>
      <c r="B8893" t="s">
        <v>8807</v>
      </c>
      <c r="C8893">
        <v>4557</v>
      </c>
      <c r="D8893" t="str">
        <f>"1424-3199"</f>
        <v>1424-3199</v>
      </c>
      <c r="E8893" t="s">
        <v>8</v>
      </c>
      <c r="F8893" t="s">
        <v>8899</v>
      </c>
      <c r="G8893">
        <v>2</v>
      </c>
    </row>
    <row r="8894" spans="1:7" x14ac:dyDescent="0.25">
      <c r="A8894">
        <v>30</v>
      </c>
      <c r="B8894" t="s">
        <v>8807</v>
      </c>
      <c r="C8894">
        <v>4387</v>
      </c>
      <c r="D8894" t="str">
        <f>"1069-5869"</f>
        <v>1069-5869</v>
      </c>
      <c r="E8894" t="s">
        <v>8</v>
      </c>
      <c r="F8894" t="s">
        <v>8900</v>
      </c>
      <c r="G8894">
        <v>2</v>
      </c>
    </row>
    <row r="8895" spans="1:7" x14ac:dyDescent="0.25">
      <c r="A8895">
        <v>30</v>
      </c>
      <c r="B8895" t="s">
        <v>8807</v>
      </c>
      <c r="C8895">
        <v>6433</v>
      </c>
      <c r="D8895" t="str">
        <f>"0022-1236"</f>
        <v>0022-1236</v>
      </c>
      <c r="E8895" t="s">
        <v>8</v>
      </c>
      <c r="F8895" t="s">
        <v>8901</v>
      </c>
      <c r="G8895">
        <v>2</v>
      </c>
    </row>
    <row r="8896" spans="1:7" x14ac:dyDescent="0.25">
      <c r="A8896">
        <v>30</v>
      </c>
      <c r="B8896" t="s">
        <v>8807</v>
      </c>
      <c r="C8896">
        <v>8972</v>
      </c>
      <c r="D8896" t="str">
        <f>"1050-6926"</f>
        <v>1050-6926</v>
      </c>
      <c r="E8896" t="s">
        <v>8</v>
      </c>
      <c r="F8896" t="s">
        <v>8902</v>
      </c>
      <c r="G8896">
        <v>2</v>
      </c>
    </row>
    <row r="8897" spans="1:7" x14ac:dyDescent="0.25">
      <c r="A8897">
        <v>30</v>
      </c>
      <c r="B8897" t="s">
        <v>8807</v>
      </c>
      <c r="C8897">
        <v>11033</v>
      </c>
      <c r="D8897" t="str">
        <f>"0364-9024"</f>
        <v>0364-9024</v>
      </c>
      <c r="E8897" t="s">
        <v>8</v>
      </c>
      <c r="F8897" t="s">
        <v>8903</v>
      </c>
      <c r="G8897">
        <v>2</v>
      </c>
    </row>
    <row r="8898" spans="1:7" x14ac:dyDescent="0.25">
      <c r="A8898">
        <v>30</v>
      </c>
      <c r="B8898" t="s">
        <v>8807</v>
      </c>
      <c r="C8898">
        <v>13391</v>
      </c>
      <c r="D8898" t="str">
        <f>"0219-8916"</f>
        <v>0219-8916</v>
      </c>
      <c r="E8898" t="s">
        <v>8</v>
      </c>
      <c r="F8898" t="s">
        <v>8904</v>
      </c>
      <c r="G8898">
        <v>2</v>
      </c>
    </row>
    <row r="8899" spans="1:7" x14ac:dyDescent="0.25">
      <c r="A8899">
        <v>30</v>
      </c>
      <c r="B8899" t="s">
        <v>8807</v>
      </c>
      <c r="C8899">
        <v>1739</v>
      </c>
      <c r="E8899" t="s">
        <v>8</v>
      </c>
      <c r="F8899" t="s">
        <v>8905</v>
      </c>
      <c r="G8899">
        <v>2</v>
      </c>
    </row>
    <row r="8900" spans="1:7" x14ac:dyDescent="0.25">
      <c r="A8900">
        <v>30</v>
      </c>
      <c r="B8900" t="s">
        <v>8807</v>
      </c>
      <c r="C8900">
        <v>1190</v>
      </c>
      <c r="D8900" t="str">
        <f>"0303-6812"</f>
        <v>0303-6812</v>
      </c>
      <c r="E8900" t="s">
        <v>8</v>
      </c>
      <c r="F8900" t="s">
        <v>8906</v>
      </c>
      <c r="G8900">
        <v>2</v>
      </c>
    </row>
    <row r="8901" spans="1:7" x14ac:dyDescent="0.25">
      <c r="A8901">
        <v>30</v>
      </c>
      <c r="B8901" t="s">
        <v>8807</v>
      </c>
      <c r="C8901">
        <v>3088</v>
      </c>
      <c r="D8901" t="str">
        <f>"0924-9907"</f>
        <v>0924-9907</v>
      </c>
      <c r="E8901" t="s">
        <v>8</v>
      </c>
      <c r="F8901" t="s">
        <v>8907</v>
      </c>
      <c r="G8901">
        <v>2</v>
      </c>
    </row>
    <row r="8902" spans="1:7" x14ac:dyDescent="0.25">
      <c r="A8902">
        <v>30</v>
      </c>
      <c r="B8902" t="s">
        <v>8807</v>
      </c>
      <c r="C8902">
        <v>12526</v>
      </c>
      <c r="D8902" t="str">
        <f>"0047-259X"</f>
        <v>0047-259X</v>
      </c>
      <c r="E8902" t="s">
        <v>8</v>
      </c>
      <c r="F8902" t="s">
        <v>8908</v>
      </c>
      <c r="G8902">
        <v>2</v>
      </c>
    </row>
    <row r="8903" spans="1:7" x14ac:dyDescent="0.25">
      <c r="A8903">
        <v>30</v>
      </c>
      <c r="B8903" t="s">
        <v>8807</v>
      </c>
      <c r="C8903">
        <v>4129</v>
      </c>
      <c r="D8903" t="str">
        <f>"1661-6952"</f>
        <v>1661-6952</v>
      </c>
      <c r="E8903" t="s">
        <v>8</v>
      </c>
      <c r="F8903" t="s">
        <v>8909</v>
      </c>
      <c r="G8903">
        <v>2</v>
      </c>
    </row>
    <row r="8904" spans="1:7" x14ac:dyDescent="0.25">
      <c r="A8904">
        <v>30</v>
      </c>
      <c r="B8904" t="s">
        <v>8807</v>
      </c>
      <c r="C8904">
        <v>8199</v>
      </c>
      <c r="D8904" t="str">
        <f>"0938-8974"</f>
        <v>0938-8974</v>
      </c>
      <c r="E8904" t="s">
        <v>8</v>
      </c>
      <c r="F8904" t="s">
        <v>8910</v>
      </c>
      <c r="G8904">
        <v>2</v>
      </c>
    </row>
    <row r="8905" spans="1:7" x14ac:dyDescent="0.25">
      <c r="A8905">
        <v>30</v>
      </c>
      <c r="B8905" t="s">
        <v>8807</v>
      </c>
      <c r="C8905">
        <v>6171765</v>
      </c>
      <c r="D8905" t="str">
        <f>"1662-9981"</f>
        <v>1662-9981</v>
      </c>
      <c r="E8905" t="s">
        <v>8</v>
      </c>
      <c r="F8905" t="s">
        <v>8911</v>
      </c>
      <c r="G8905">
        <v>2</v>
      </c>
    </row>
    <row r="8906" spans="1:7" x14ac:dyDescent="0.25">
      <c r="A8906">
        <v>30</v>
      </c>
      <c r="B8906" t="s">
        <v>8807</v>
      </c>
      <c r="C8906">
        <v>7698429</v>
      </c>
      <c r="D8906" t="str">
        <f>"1664-039X"</f>
        <v>1664-039X</v>
      </c>
      <c r="E8906" t="s">
        <v>8</v>
      </c>
      <c r="F8906" t="s">
        <v>8912</v>
      </c>
      <c r="G8906">
        <v>2</v>
      </c>
    </row>
    <row r="8907" spans="1:7" x14ac:dyDescent="0.25">
      <c r="A8907">
        <v>30</v>
      </c>
      <c r="B8907" t="s">
        <v>8807</v>
      </c>
      <c r="C8907">
        <v>10546</v>
      </c>
      <c r="E8907" t="s">
        <v>8</v>
      </c>
      <c r="F8907" t="s">
        <v>8913</v>
      </c>
      <c r="G8907">
        <v>2</v>
      </c>
    </row>
    <row r="8908" spans="1:7" x14ac:dyDescent="0.25">
      <c r="A8908">
        <v>30</v>
      </c>
      <c r="B8908" t="s">
        <v>8807</v>
      </c>
      <c r="C8908">
        <v>148</v>
      </c>
      <c r="D8908" t="str">
        <f>"0894-0347"</f>
        <v>0894-0347</v>
      </c>
      <c r="E8908" t="s">
        <v>8</v>
      </c>
      <c r="F8908" t="s">
        <v>8914</v>
      </c>
      <c r="G8908">
        <v>2</v>
      </c>
    </row>
    <row r="8909" spans="1:7" x14ac:dyDescent="0.25">
      <c r="A8909">
        <v>30</v>
      </c>
      <c r="B8909" t="s">
        <v>8807</v>
      </c>
      <c r="C8909">
        <v>11639</v>
      </c>
      <c r="D8909" t="str">
        <f>"0162-1459"</f>
        <v>0162-1459</v>
      </c>
      <c r="E8909" t="s">
        <v>8</v>
      </c>
      <c r="F8909" t="s">
        <v>8915</v>
      </c>
      <c r="G8909">
        <v>2</v>
      </c>
    </row>
    <row r="8910" spans="1:7" x14ac:dyDescent="0.25">
      <c r="A8910">
        <v>30</v>
      </c>
      <c r="B8910" t="s">
        <v>8807</v>
      </c>
      <c r="C8910">
        <v>15133</v>
      </c>
      <c r="D8910" t="str">
        <f>"1435-9855"</f>
        <v>1435-9855</v>
      </c>
      <c r="E8910" t="s">
        <v>8</v>
      </c>
      <c r="F8910" t="s">
        <v>8916</v>
      </c>
      <c r="G8910">
        <v>2</v>
      </c>
    </row>
    <row r="8911" spans="1:7" x14ac:dyDescent="0.25">
      <c r="A8911">
        <v>30</v>
      </c>
      <c r="B8911" t="s">
        <v>8807</v>
      </c>
      <c r="C8911">
        <v>6760</v>
      </c>
      <c r="D8911" t="str">
        <f>"1474-7480"</f>
        <v>1474-7480</v>
      </c>
      <c r="E8911" t="s">
        <v>8</v>
      </c>
      <c r="F8911" t="s">
        <v>8917</v>
      </c>
      <c r="G8911">
        <v>2</v>
      </c>
    </row>
    <row r="8912" spans="1:7" x14ac:dyDescent="0.25">
      <c r="A8912">
        <v>30</v>
      </c>
      <c r="B8912" t="s">
        <v>8807</v>
      </c>
      <c r="C8912">
        <v>5081</v>
      </c>
      <c r="D8912" t="str">
        <f>"0024-6107"</f>
        <v>0024-6107</v>
      </c>
      <c r="E8912" t="s">
        <v>8</v>
      </c>
      <c r="F8912" t="s">
        <v>8918</v>
      </c>
      <c r="G8912">
        <v>2</v>
      </c>
    </row>
    <row r="8913" spans="1:7" x14ac:dyDescent="0.25">
      <c r="A8913">
        <v>30</v>
      </c>
      <c r="B8913" t="s">
        <v>8807</v>
      </c>
      <c r="C8913">
        <v>6412</v>
      </c>
      <c r="D8913" t="str">
        <f>"1369-7412"</f>
        <v>1369-7412</v>
      </c>
      <c r="E8913" t="s">
        <v>8</v>
      </c>
      <c r="F8913" t="s">
        <v>8919</v>
      </c>
      <c r="G8913">
        <v>2</v>
      </c>
    </row>
    <row r="8914" spans="1:7" x14ac:dyDescent="0.25">
      <c r="A8914">
        <v>30</v>
      </c>
      <c r="B8914" t="s">
        <v>8807</v>
      </c>
      <c r="C8914">
        <v>13834</v>
      </c>
      <c r="D8914" t="str">
        <f>"0035-9254"</f>
        <v>0035-9254</v>
      </c>
      <c r="E8914" t="s">
        <v>8</v>
      </c>
      <c r="F8914" t="s">
        <v>8920</v>
      </c>
      <c r="G8914">
        <v>2</v>
      </c>
    </row>
    <row r="8915" spans="1:7" x14ac:dyDescent="0.25">
      <c r="A8915">
        <v>30</v>
      </c>
      <c r="B8915" t="s">
        <v>8807</v>
      </c>
      <c r="C8915">
        <v>4421</v>
      </c>
      <c r="D8915" t="str">
        <f>"0894-9840"</f>
        <v>0894-9840</v>
      </c>
      <c r="E8915" t="s">
        <v>8</v>
      </c>
      <c r="F8915" t="s">
        <v>8921</v>
      </c>
      <c r="G8915">
        <v>2</v>
      </c>
    </row>
    <row r="8916" spans="1:7" x14ac:dyDescent="0.25">
      <c r="A8916">
        <v>30</v>
      </c>
      <c r="B8916" t="s">
        <v>8807</v>
      </c>
      <c r="C8916">
        <v>4157</v>
      </c>
      <c r="D8916" t="str">
        <f>"0143-9782"</f>
        <v>0143-9782</v>
      </c>
      <c r="E8916" t="s">
        <v>8</v>
      </c>
      <c r="F8916" t="s">
        <v>8922</v>
      </c>
      <c r="G8916">
        <v>2</v>
      </c>
    </row>
    <row r="8917" spans="1:7" x14ac:dyDescent="0.25">
      <c r="A8917">
        <v>30</v>
      </c>
      <c r="B8917" t="s">
        <v>8807</v>
      </c>
      <c r="C8917">
        <v>151776</v>
      </c>
      <c r="D8917" t="str">
        <f>"2194-6507"</f>
        <v>2194-6507</v>
      </c>
      <c r="E8917" t="s">
        <v>8</v>
      </c>
      <c r="F8917" t="s">
        <v>8923</v>
      </c>
      <c r="G8917">
        <v>2</v>
      </c>
    </row>
    <row r="8918" spans="1:7" x14ac:dyDescent="0.25">
      <c r="A8918">
        <v>30</v>
      </c>
      <c r="B8918" t="s">
        <v>8807</v>
      </c>
      <c r="C8918">
        <v>9733</v>
      </c>
      <c r="D8918" t="str">
        <f>"1753-8416"</f>
        <v>1753-8416</v>
      </c>
      <c r="E8918" t="s">
        <v>8</v>
      </c>
      <c r="F8918" t="s">
        <v>8924</v>
      </c>
      <c r="G8918">
        <v>2</v>
      </c>
    </row>
    <row r="8919" spans="1:7" x14ac:dyDescent="0.25">
      <c r="A8919">
        <v>30</v>
      </c>
      <c r="B8919" t="s">
        <v>8807</v>
      </c>
      <c r="C8919">
        <v>5999</v>
      </c>
      <c r="D8919" t="str">
        <f>"0377-9017"</f>
        <v>0377-9017</v>
      </c>
      <c r="E8919" t="s">
        <v>8</v>
      </c>
      <c r="F8919" t="s">
        <v>8925</v>
      </c>
      <c r="G8919">
        <v>2</v>
      </c>
    </row>
    <row r="8920" spans="1:7" x14ac:dyDescent="0.25">
      <c r="A8920">
        <v>30</v>
      </c>
      <c r="B8920" t="s">
        <v>8807</v>
      </c>
      <c r="C8920">
        <v>5578</v>
      </c>
      <c r="D8920" t="str">
        <f>"1380-7870"</f>
        <v>1380-7870</v>
      </c>
      <c r="E8920" t="s">
        <v>8</v>
      </c>
      <c r="F8920" t="s">
        <v>8926</v>
      </c>
      <c r="G8920">
        <v>2</v>
      </c>
    </row>
    <row r="8921" spans="1:7" x14ac:dyDescent="0.25">
      <c r="A8921">
        <v>30</v>
      </c>
      <c r="B8921" t="s">
        <v>8807</v>
      </c>
      <c r="C8921">
        <v>5629</v>
      </c>
      <c r="D8921" t="str">
        <f>"0025-5564"</f>
        <v>0025-5564</v>
      </c>
      <c r="E8921" t="s">
        <v>8</v>
      </c>
      <c r="F8921" t="s">
        <v>8927</v>
      </c>
      <c r="G8921">
        <v>2</v>
      </c>
    </row>
    <row r="8922" spans="1:7" x14ac:dyDescent="0.25">
      <c r="A8922">
        <v>30</v>
      </c>
      <c r="B8922" t="s">
        <v>8807</v>
      </c>
      <c r="C8922">
        <v>17942</v>
      </c>
      <c r="D8922" t="str">
        <f>"1547-1063"</f>
        <v>1547-1063</v>
      </c>
      <c r="E8922" t="s">
        <v>8</v>
      </c>
      <c r="F8922" t="s">
        <v>8928</v>
      </c>
      <c r="G8922">
        <v>2</v>
      </c>
    </row>
    <row r="8923" spans="1:7" x14ac:dyDescent="0.25">
      <c r="A8923">
        <v>30</v>
      </c>
      <c r="B8923" t="s">
        <v>8807</v>
      </c>
      <c r="C8923">
        <v>7690</v>
      </c>
      <c r="D8923" t="str">
        <f>"0960-1627"</f>
        <v>0960-1627</v>
      </c>
      <c r="E8923" t="s">
        <v>8</v>
      </c>
      <c r="F8923" t="s">
        <v>8929</v>
      </c>
      <c r="G8923">
        <v>2</v>
      </c>
    </row>
    <row r="8924" spans="1:7" x14ac:dyDescent="0.25">
      <c r="A8924">
        <v>30</v>
      </c>
      <c r="B8924" t="s">
        <v>8807</v>
      </c>
      <c r="C8924">
        <v>2593</v>
      </c>
      <c r="D8924" t="str">
        <f>"1477-8599"</f>
        <v>1477-8599</v>
      </c>
      <c r="E8924" t="s">
        <v>8</v>
      </c>
      <c r="F8924" t="s">
        <v>8930</v>
      </c>
      <c r="G8924">
        <v>2</v>
      </c>
    </row>
    <row r="8925" spans="1:7" x14ac:dyDescent="0.25">
      <c r="A8925">
        <v>30</v>
      </c>
      <c r="B8925" t="s">
        <v>8807</v>
      </c>
      <c r="C8925">
        <v>6179</v>
      </c>
      <c r="D8925" t="str">
        <f>"1432-2994"</f>
        <v>1432-2994</v>
      </c>
      <c r="E8925" t="s">
        <v>8</v>
      </c>
      <c r="F8925" t="s">
        <v>8931</v>
      </c>
      <c r="G8925">
        <v>2</v>
      </c>
    </row>
    <row r="8926" spans="1:7" x14ac:dyDescent="0.25">
      <c r="A8926">
        <v>30</v>
      </c>
      <c r="B8926" t="s">
        <v>8807</v>
      </c>
      <c r="C8926">
        <v>3588</v>
      </c>
      <c r="D8926" t="str">
        <f>"0025-5610"</f>
        <v>0025-5610</v>
      </c>
      <c r="E8926" t="s">
        <v>8</v>
      </c>
      <c r="F8926" t="s">
        <v>8932</v>
      </c>
      <c r="G8926">
        <v>2</v>
      </c>
    </row>
    <row r="8927" spans="1:7" x14ac:dyDescent="0.25">
      <c r="A8927">
        <v>30</v>
      </c>
      <c r="B8927" t="s">
        <v>8807</v>
      </c>
      <c r="C8927">
        <v>10830</v>
      </c>
      <c r="D8927" t="str">
        <f>"1073-2780"</f>
        <v>1073-2780</v>
      </c>
      <c r="E8927" t="s">
        <v>8</v>
      </c>
      <c r="F8927" t="s">
        <v>8933</v>
      </c>
      <c r="G8927">
        <v>2</v>
      </c>
    </row>
    <row r="8928" spans="1:7" x14ac:dyDescent="0.25">
      <c r="A8928">
        <v>30</v>
      </c>
      <c r="B8928" t="s">
        <v>8807</v>
      </c>
      <c r="C8928">
        <v>1905</v>
      </c>
      <c r="D8928" t="str">
        <f>"1098-6065"</f>
        <v>1098-6065</v>
      </c>
      <c r="E8928" t="s">
        <v>8</v>
      </c>
      <c r="F8928" t="s">
        <v>8934</v>
      </c>
      <c r="G8928">
        <v>2</v>
      </c>
    </row>
    <row r="8929" spans="1:7" x14ac:dyDescent="0.25">
      <c r="A8929">
        <v>30</v>
      </c>
      <c r="B8929" t="s">
        <v>8807</v>
      </c>
      <c r="C8929">
        <v>13625</v>
      </c>
      <c r="D8929" t="str">
        <f>"0364-765X"</f>
        <v>0364-765X</v>
      </c>
      <c r="E8929" t="s">
        <v>8</v>
      </c>
      <c r="F8929" t="s">
        <v>8935</v>
      </c>
      <c r="G8929">
        <v>2</v>
      </c>
    </row>
    <row r="8930" spans="1:7" x14ac:dyDescent="0.25">
      <c r="A8930">
        <v>30</v>
      </c>
      <c r="B8930" t="s">
        <v>8807</v>
      </c>
      <c r="C8930">
        <v>12171</v>
      </c>
      <c r="D8930" t="str">
        <f>"0025-5831"</f>
        <v>0025-5831</v>
      </c>
      <c r="E8930" t="s">
        <v>8</v>
      </c>
      <c r="F8930" t="s">
        <v>8936</v>
      </c>
      <c r="G8930">
        <v>2</v>
      </c>
    </row>
    <row r="8931" spans="1:7" x14ac:dyDescent="0.25">
      <c r="A8931">
        <v>30</v>
      </c>
      <c r="B8931" t="s">
        <v>8807</v>
      </c>
      <c r="C8931">
        <v>14934</v>
      </c>
      <c r="D8931" t="str">
        <f>"0025-5874"</f>
        <v>0025-5874</v>
      </c>
      <c r="E8931" t="s">
        <v>8</v>
      </c>
      <c r="F8931" t="s">
        <v>8937</v>
      </c>
      <c r="G8931">
        <v>2</v>
      </c>
    </row>
    <row r="8932" spans="1:7" x14ac:dyDescent="0.25">
      <c r="A8932">
        <v>30</v>
      </c>
      <c r="B8932" t="s">
        <v>8807</v>
      </c>
      <c r="C8932">
        <v>7772</v>
      </c>
      <c r="D8932" t="str">
        <f>"0065-9266"</f>
        <v>0065-9266</v>
      </c>
      <c r="E8932" t="s">
        <v>15</v>
      </c>
      <c r="F8932" t="s">
        <v>8938</v>
      </c>
      <c r="G8932">
        <v>2</v>
      </c>
    </row>
    <row r="8933" spans="1:7" x14ac:dyDescent="0.25">
      <c r="A8933">
        <v>30</v>
      </c>
      <c r="B8933" t="s">
        <v>8807</v>
      </c>
      <c r="C8933">
        <v>2905</v>
      </c>
      <c r="D8933" t="str">
        <f>"1540-3459"</f>
        <v>1540-3459</v>
      </c>
      <c r="E8933" t="s">
        <v>8</v>
      </c>
      <c r="F8933" t="s">
        <v>8939</v>
      </c>
      <c r="G8933">
        <v>2</v>
      </c>
    </row>
    <row r="8934" spans="1:7" x14ac:dyDescent="0.25">
      <c r="A8934">
        <v>30</v>
      </c>
      <c r="B8934" t="s">
        <v>8807</v>
      </c>
      <c r="C8934">
        <v>14168</v>
      </c>
      <c r="D8934" t="str">
        <f>"0899-7667"</f>
        <v>0899-7667</v>
      </c>
      <c r="E8934" t="s">
        <v>8</v>
      </c>
      <c r="F8934" t="s">
        <v>8940</v>
      </c>
      <c r="G8934">
        <v>2</v>
      </c>
    </row>
    <row r="8935" spans="1:7" x14ac:dyDescent="0.25">
      <c r="A8935">
        <v>30</v>
      </c>
      <c r="B8935" t="s">
        <v>8807</v>
      </c>
      <c r="C8935">
        <v>11201</v>
      </c>
      <c r="D8935" t="str">
        <f>"0893-6080"</f>
        <v>0893-6080</v>
      </c>
      <c r="E8935" t="s">
        <v>8</v>
      </c>
      <c r="F8935" t="s">
        <v>8941</v>
      </c>
      <c r="G8935">
        <v>2</v>
      </c>
    </row>
    <row r="8936" spans="1:7" x14ac:dyDescent="0.25">
      <c r="A8936">
        <v>30</v>
      </c>
      <c r="B8936" t="s">
        <v>8807</v>
      </c>
      <c r="C8936">
        <v>2074</v>
      </c>
      <c r="D8936" t="str">
        <f>"0029-599X"</f>
        <v>0029-599X</v>
      </c>
      <c r="E8936" t="s">
        <v>8</v>
      </c>
      <c r="F8936" t="s">
        <v>8942</v>
      </c>
      <c r="G8936">
        <v>2</v>
      </c>
    </row>
    <row r="8937" spans="1:7" x14ac:dyDescent="0.25">
      <c r="A8937">
        <v>30</v>
      </c>
      <c r="B8937" t="s">
        <v>8807</v>
      </c>
      <c r="C8937">
        <v>10686</v>
      </c>
      <c r="D8937" t="str">
        <f>"0031-3203"</f>
        <v>0031-3203</v>
      </c>
      <c r="E8937" t="s">
        <v>8</v>
      </c>
      <c r="F8937" t="s">
        <v>8943</v>
      </c>
      <c r="G8937">
        <v>2</v>
      </c>
    </row>
    <row r="8938" spans="1:7" x14ac:dyDescent="0.25">
      <c r="A8938">
        <v>30</v>
      </c>
      <c r="B8938" t="s">
        <v>8807</v>
      </c>
      <c r="C8938">
        <v>2531</v>
      </c>
      <c r="D8938" t="str">
        <f>"0178-8051"</f>
        <v>0178-8051</v>
      </c>
      <c r="E8938" t="s">
        <v>8</v>
      </c>
      <c r="F8938" t="s">
        <v>8944</v>
      </c>
      <c r="G8938">
        <v>2</v>
      </c>
    </row>
    <row r="8939" spans="1:7" x14ac:dyDescent="0.25">
      <c r="A8939">
        <v>30</v>
      </c>
      <c r="B8939" t="s">
        <v>8807</v>
      </c>
      <c r="C8939">
        <v>6698</v>
      </c>
      <c r="D8939" t="str">
        <f>"0024-6115"</f>
        <v>0024-6115</v>
      </c>
      <c r="E8939" t="s">
        <v>8</v>
      </c>
      <c r="F8939" t="s">
        <v>8945</v>
      </c>
      <c r="G8939">
        <v>2</v>
      </c>
    </row>
    <row r="8940" spans="1:7" x14ac:dyDescent="0.25">
      <c r="A8940">
        <v>30</v>
      </c>
      <c r="B8940" t="s">
        <v>8807</v>
      </c>
      <c r="C8940">
        <v>12534</v>
      </c>
      <c r="D8940" t="str">
        <f>"0073-8301"</f>
        <v>0073-8301</v>
      </c>
      <c r="E8940" t="s">
        <v>8</v>
      </c>
      <c r="F8940" t="s">
        <v>8946</v>
      </c>
      <c r="G8940">
        <v>2</v>
      </c>
    </row>
    <row r="8941" spans="1:7" x14ac:dyDescent="0.25">
      <c r="A8941">
        <v>30</v>
      </c>
      <c r="B8941" t="s">
        <v>8807</v>
      </c>
      <c r="C8941">
        <v>6253447</v>
      </c>
      <c r="D8941" t="str">
        <f>"1663-487X"</f>
        <v>1663-487X</v>
      </c>
      <c r="E8941" t="s">
        <v>8</v>
      </c>
      <c r="F8941" t="s">
        <v>8947</v>
      </c>
      <c r="G8941">
        <v>2</v>
      </c>
    </row>
    <row r="8942" spans="1:7" x14ac:dyDescent="0.25">
      <c r="A8942">
        <v>30</v>
      </c>
      <c r="B8942" t="s">
        <v>8807</v>
      </c>
      <c r="C8942">
        <v>16491</v>
      </c>
      <c r="D8942" t="str">
        <f>"1042-9832"</f>
        <v>1042-9832</v>
      </c>
      <c r="E8942" t="s">
        <v>8</v>
      </c>
      <c r="F8942" t="s">
        <v>8948</v>
      </c>
      <c r="G8942">
        <v>2</v>
      </c>
    </row>
    <row r="8943" spans="1:7" x14ac:dyDescent="0.25">
      <c r="A8943">
        <v>30</v>
      </c>
      <c r="B8943" t="s">
        <v>8807</v>
      </c>
      <c r="C8943">
        <v>4186</v>
      </c>
      <c r="D8943" t="str">
        <f>"0246-9367"</f>
        <v>0246-9367</v>
      </c>
      <c r="E8943" t="s">
        <v>8</v>
      </c>
      <c r="F8943" t="s">
        <v>8949</v>
      </c>
      <c r="G8943">
        <v>2</v>
      </c>
    </row>
    <row r="8944" spans="1:7" x14ac:dyDescent="0.25">
      <c r="A8944">
        <v>30</v>
      </c>
      <c r="B8944" t="s">
        <v>8807</v>
      </c>
      <c r="C8944">
        <v>12854</v>
      </c>
      <c r="D8944" t="str">
        <f>"0129-055X"</f>
        <v>0129-055X</v>
      </c>
      <c r="E8944" t="s">
        <v>8</v>
      </c>
      <c r="F8944" t="s">
        <v>8950</v>
      </c>
      <c r="G8944">
        <v>2</v>
      </c>
    </row>
    <row r="8945" spans="1:7" x14ac:dyDescent="0.25">
      <c r="A8945">
        <v>30</v>
      </c>
      <c r="B8945" t="s">
        <v>8807</v>
      </c>
      <c r="C8945">
        <v>13062</v>
      </c>
      <c r="D8945" t="str">
        <f>"0213-2230"</f>
        <v>0213-2230</v>
      </c>
      <c r="E8945" t="s">
        <v>8</v>
      </c>
      <c r="F8945" t="s">
        <v>8951</v>
      </c>
      <c r="G8945">
        <v>2</v>
      </c>
    </row>
    <row r="8946" spans="1:7" x14ac:dyDescent="0.25">
      <c r="A8946">
        <v>30</v>
      </c>
      <c r="B8946" t="s">
        <v>8807</v>
      </c>
      <c r="C8946">
        <v>10321</v>
      </c>
      <c r="D8946" t="str">
        <f>"0346-1238"</f>
        <v>0346-1238</v>
      </c>
      <c r="E8946" t="s">
        <v>8</v>
      </c>
      <c r="F8946" t="s">
        <v>8952</v>
      </c>
      <c r="G8946">
        <v>2</v>
      </c>
    </row>
    <row r="8947" spans="1:7" x14ac:dyDescent="0.25">
      <c r="A8947">
        <v>30</v>
      </c>
      <c r="B8947" t="s">
        <v>8807</v>
      </c>
      <c r="C8947">
        <v>10001</v>
      </c>
      <c r="D8947" t="str">
        <f>"0303-6898"</f>
        <v>0303-6898</v>
      </c>
      <c r="E8947" t="s">
        <v>8</v>
      </c>
      <c r="F8947" t="s">
        <v>8953</v>
      </c>
      <c r="G8947">
        <v>2</v>
      </c>
    </row>
    <row r="8948" spans="1:7" x14ac:dyDescent="0.25">
      <c r="A8948">
        <v>30</v>
      </c>
      <c r="B8948" t="s">
        <v>8807</v>
      </c>
      <c r="C8948">
        <v>8966</v>
      </c>
      <c r="D8948" t="str">
        <f>"1022-1824"</f>
        <v>1022-1824</v>
      </c>
      <c r="E8948" t="s">
        <v>8</v>
      </c>
      <c r="F8948" t="s">
        <v>8954</v>
      </c>
      <c r="G8948">
        <v>2</v>
      </c>
    </row>
    <row r="8949" spans="1:7" x14ac:dyDescent="0.25">
      <c r="A8949">
        <v>30</v>
      </c>
      <c r="B8949" t="s">
        <v>8807</v>
      </c>
      <c r="C8949">
        <v>14648</v>
      </c>
      <c r="E8949" t="s">
        <v>8</v>
      </c>
      <c r="F8949" t="s">
        <v>8955</v>
      </c>
      <c r="G8949">
        <v>2</v>
      </c>
    </row>
    <row r="8950" spans="1:7" x14ac:dyDescent="0.25">
      <c r="A8950">
        <v>30</v>
      </c>
      <c r="B8950" t="s">
        <v>8807</v>
      </c>
      <c r="C8950">
        <v>2557</v>
      </c>
      <c r="D8950" t="str">
        <f>"0036-1399"</f>
        <v>0036-1399</v>
      </c>
      <c r="E8950" t="s">
        <v>8</v>
      </c>
      <c r="F8950" t="s">
        <v>8956</v>
      </c>
      <c r="G8950">
        <v>2</v>
      </c>
    </row>
    <row r="8951" spans="1:7" x14ac:dyDescent="0.25">
      <c r="A8951">
        <v>30</v>
      </c>
      <c r="B8951" t="s">
        <v>8807</v>
      </c>
      <c r="C8951">
        <v>2956</v>
      </c>
      <c r="D8951" t="str">
        <f>"0363-0129"</f>
        <v>0363-0129</v>
      </c>
      <c r="E8951" t="s">
        <v>8</v>
      </c>
      <c r="F8951" t="s">
        <v>8957</v>
      </c>
      <c r="G8951">
        <v>2</v>
      </c>
    </row>
    <row r="8952" spans="1:7" x14ac:dyDescent="0.25">
      <c r="A8952">
        <v>30</v>
      </c>
      <c r="B8952" t="s">
        <v>8807</v>
      </c>
      <c r="C8952">
        <v>7389</v>
      </c>
      <c r="D8952" t="str">
        <f>"0895-4801"</f>
        <v>0895-4801</v>
      </c>
      <c r="E8952" t="s">
        <v>8</v>
      </c>
      <c r="F8952" t="s">
        <v>8958</v>
      </c>
      <c r="G8952">
        <v>2</v>
      </c>
    </row>
    <row r="8953" spans="1:7" x14ac:dyDescent="0.25">
      <c r="A8953">
        <v>30</v>
      </c>
      <c r="B8953" t="s">
        <v>8807</v>
      </c>
      <c r="C8953">
        <v>13420</v>
      </c>
      <c r="D8953" t="str">
        <f>"0036-1410"</f>
        <v>0036-1410</v>
      </c>
      <c r="E8953" t="s">
        <v>8</v>
      </c>
      <c r="F8953" t="s">
        <v>8959</v>
      </c>
      <c r="G8953">
        <v>2</v>
      </c>
    </row>
    <row r="8954" spans="1:7" x14ac:dyDescent="0.25">
      <c r="A8954">
        <v>30</v>
      </c>
      <c r="B8954" t="s">
        <v>8807</v>
      </c>
      <c r="C8954">
        <v>4336</v>
      </c>
      <c r="D8954" t="str">
        <f>"0895-4798"</f>
        <v>0895-4798</v>
      </c>
      <c r="E8954" t="s">
        <v>8</v>
      </c>
      <c r="F8954" t="s">
        <v>8960</v>
      </c>
      <c r="G8954">
        <v>2</v>
      </c>
    </row>
    <row r="8955" spans="1:7" x14ac:dyDescent="0.25">
      <c r="A8955">
        <v>30</v>
      </c>
      <c r="B8955" t="s">
        <v>8807</v>
      </c>
      <c r="C8955">
        <v>512</v>
      </c>
      <c r="D8955" t="str">
        <f>"1052-6234"</f>
        <v>1052-6234</v>
      </c>
      <c r="E8955" t="s">
        <v>8</v>
      </c>
      <c r="F8955" t="s">
        <v>8961</v>
      </c>
      <c r="G8955">
        <v>2</v>
      </c>
    </row>
    <row r="8956" spans="1:7" x14ac:dyDescent="0.25">
      <c r="A8956">
        <v>30</v>
      </c>
      <c r="B8956" t="s">
        <v>8807</v>
      </c>
      <c r="C8956">
        <v>4657</v>
      </c>
      <c r="D8956" t="str">
        <f>"1064-8275"</f>
        <v>1064-8275</v>
      </c>
      <c r="E8956" t="s">
        <v>8</v>
      </c>
      <c r="F8956" t="s">
        <v>8962</v>
      </c>
      <c r="G8956">
        <v>2</v>
      </c>
    </row>
    <row r="8957" spans="1:7" x14ac:dyDescent="0.25">
      <c r="A8957">
        <v>30</v>
      </c>
      <c r="B8957" t="s">
        <v>8807</v>
      </c>
      <c r="C8957">
        <v>1743</v>
      </c>
      <c r="D8957" t="str">
        <f>"0036-1445"</f>
        <v>0036-1445</v>
      </c>
      <c r="E8957" t="s">
        <v>8</v>
      </c>
      <c r="F8957" t="s">
        <v>8963</v>
      </c>
      <c r="G8957">
        <v>2</v>
      </c>
    </row>
    <row r="8958" spans="1:7" x14ac:dyDescent="0.25">
      <c r="A8958">
        <v>30</v>
      </c>
      <c r="B8958" t="s">
        <v>8807</v>
      </c>
      <c r="C8958">
        <v>7753832</v>
      </c>
      <c r="D8958" t="str">
        <f>"2211-6753"</f>
        <v>2211-6753</v>
      </c>
      <c r="E8958" t="s">
        <v>8</v>
      </c>
      <c r="F8958" t="s">
        <v>8964</v>
      </c>
      <c r="G8958">
        <v>2</v>
      </c>
    </row>
    <row r="8959" spans="1:7" x14ac:dyDescent="0.25">
      <c r="A8959">
        <v>30</v>
      </c>
      <c r="B8959" t="s">
        <v>8807</v>
      </c>
      <c r="C8959">
        <v>1949</v>
      </c>
      <c r="D8959" t="str">
        <f>"1017-0405"</f>
        <v>1017-0405</v>
      </c>
      <c r="E8959" t="s">
        <v>8</v>
      </c>
      <c r="F8959" t="s">
        <v>8965</v>
      </c>
      <c r="G8959">
        <v>2</v>
      </c>
    </row>
    <row r="8960" spans="1:7" x14ac:dyDescent="0.25">
      <c r="A8960">
        <v>30</v>
      </c>
      <c r="B8960" t="s">
        <v>8807</v>
      </c>
      <c r="C8960">
        <v>16856</v>
      </c>
      <c r="D8960" t="str">
        <f>"1544-6115"</f>
        <v>1544-6115</v>
      </c>
      <c r="E8960" t="s">
        <v>8</v>
      </c>
      <c r="F8960" t="s">
        <v>8966</v>
      </c>
      <c r="G8960">
        <v>2</v>
      </c>
    </row>
    <row r="8961" spans="1:7" x14ac:dyDescent="0.25">
      <c r="A8961">
        <v>30</v>
      </c>
      <c r="B8961" t="s">
        <v>8807</v>
      </c>
      <c r="C8961">
        <v>5761</v>
      </c>
      <c r="D8961" t="str">
        <f>"0962-2802"</f>
        <v>0962-2802</v>
      </c>
      <c r="E8961" t="s">
        <v>8</v>
      </c>
      <c r="F8961" t="s">
        <v>8967</v>
      </c>
      <c r="G8961">
        <v>2</v>
      </c>
    </row>
    <row r="8962" spans="1:7" x14ac:dyDescent="0.25">
      <c r="A8962">
        <v>30</v>
      </c>
      <c r="B8962" t="s">
        <v>8807</v>
      </c>
      <c r="C8962">
        <v>3767</v>
      </c>
      <c r="D8962" t="str">
        <f>"0883-4237"</f>
        <v>0883-4237</v>
      </c>
      <c r="E8962" t="s">
        <v>8</v>
      </c>
      <c r="F8962" t="s">
        <v>8968</v>
      </c>
      <c r="G8962">
        <v>2</v>
      </c>
    </row>
    <row r="8963" spans="1:7" x14ac:dyDescent="0.25">
      <c r="A8963">
        <v>30</v>
      </c>
      <c r="B8963" t="s">
        <v>8807</v>
      </c>
      <c r="C8963">
        <v>9293</v>
      </c>
      <c r="D8963" t="str">
        <f>"0960-3174"</f>
        <v>0960-3174</v>
      </c>
      <c r="E8963" t="s">
        <v>8</v>
      </c>
      <c r="F8963" t="s">
        <v>8969</v>
      </c>
      <c r="G8963">
        <v>2</v>
      </c>
    </row>
    <row r="8964" spans="1:7" x14ac:dyDescent="0.25">
      <c r="A8964">
        <v>30</v>
      </c>
      <c r="B8964" t="s">
        <v>8807</v>
      </c>
      <c r="C8964">
        <v>9081</v>
      </c>
      <c r="D8964" t="str">
        <f>"0277-6715"</f>
        <v>0277-6715</v>
      </c>
      <c r="E8964" t="s">
        <v>8</v>
      </c>
      <c r="F8964" t="s">
        <v>8970</v>
      </c>
      <c r="G8964">
        <v>2</v>
      </c>
    </row>
    <row r="8965" spans="1:7" x14ac:dyDescent="0.25">
      <c r="A8965">
        <v>30</v>
      </c>
      <c r="B8965" t="s">
        <v>8807</v>
      </c>
      <c r="C8965">
        <v>9585</v>
      </c>
      <c r="D8965" t="str">
        <f>"0304-4149"</f>
        <v>0304-4149</v>
      </c>
      <c r="E8965" t="s">
        <v>8</v>
      </c>
      <c r="F8965" t="s">
        <v>8971</v>
      </c>
      <c r="G8965">
        <v>2</v>
      </c>
    </row>
    <row r="8966" spans="1:7" x14ac:dyDescent="0.25">
      <c r="A8966">
        <v>30</v>
      </c>
      <c r="B8966" t="s">
        <v>8807</v>
      </c>
      <c r="C8966">
        <v>11541</v>
      </c>
      <c r="D8966" t="str">
        <f>"0040-1706"</f>
        <v>0040-1706</v>
      </c>
      <c r="E8966" t="s">
        <v>8</v>
      </c>
      <c r="F8966" t="s">
        <v>8972</v>
      </c>
      <c r="G8966">
        <v>2</v>
      </c>
    </row>
    <row r="8967" spans="1:7" x14ac:dyDescent="0.25">
      <c r="A8967">
        <v>30</v>
      </c>
      <c r="B8967" t="s">
        <v>8807</v>
      </c>
      <c r="C8967">
        <v>16811</v>
      </c>
      <c r="D8967" t="str">
        <f>"1932-6157"</f>
        <v>1932-6157</v>
      </c>
      <c r="E8967" t="s">
        <v>8</v>
      </c>
      <c r="F8967" t="s">
        <v>8973</v>
      </c>
      <c r="G8967">
        <v>2</v>
      </c>
    </row>
    <row r="8968" spans="1:7" x14ac:dyDescent="0.25">
      <c r="A8968">
        <v>30</v>
      </c>
      <c r="B8968" t="s">
        <v>8807</v>
      </c>
      <c r="C8968">
        <v>937</v>
      </c>
      <c r="D8968" t="str">
        <f>"1097-1440"</f>
        <v>1097-1440</v>
      </c>
      <c r="E8968" t="s">
        <v>8</v>
      </c>
      <c r="F8968" t="s">
        <v>8974</v>
      </c>
      <c r="G8968">
        <v>2</v>
      </c>
    </row>
    <row r="8969" spans="1:7" x14ac:dyDescent="0.25">
      <c r="A8969">
        <v>30</v>
      </c>
      <c r="B8969" t="s">
        <v>8807</v>
      </c>
      <c r="C8969">
        <v>1925</v>
      </c>
      <c r="D8969" t="str">
        <f>"0732-3123"</f>
        <v>0732-3123</v>
      </c>
      <c r="E8969" t="s">
        <v>8</v>
      </c>
      <c r="F8969" t="s">
        <v>8975</v>
      </c>
      <c r="G8969">
        <v>2</v>
      </c>
    </row>
    <row r="8970" spans="1:7" x14ac:dyDescent="0.25">
      <c r="A8970">
        <v>30</v>
      </c>
      <c r="B8970" t="s">
        <v>8807</v>
      </c>
      <c r="C8970">
        <v>6563</v>
      </c>
      <c r="D8970" t="str">
        <f>"0002-9947"</f>
        <v>0002-9947</v>
      </c>
      <c r="E8970" t="s">
        <v>8</v>
      </c>
      <c r="F8970" t="s">
        <v>8976</v>
      </c>
      <c r="G8970">
        <v>2</v>
      </c>
    </row>
    <row r="8971" spans="1:7" x14ac:dyDescent="0.25">
      <c r="A8971">
        <v>30</v>
      </c>
      <c r="B8971" t="s">
        <v>8807</v>
      </c>
      <c r="C8971">
        <v>3346</v>
      </c>
      <c r="D8971" t="str">
        <f>"1083-4362"</f>
        <v>1083-4362</v>
      </c>
      <c r="E8971" t="s">
        <v>8</v>
      </c>
      <c r="F8971" t="s">
        <v>8977</v>
      </c>
      <c r="G8971">
        <v>2</v>
      </c>
    </row>
    <row r="8972" spans="1:7" x14ac:dyDescent="0.25">
      <c r="A8972">
        <v>30</v>
      </c>
      <c r="B8972" t="s">
        <v>8807</v>
      </c>
      <c r="C8972">
        <v>23330</v>
      </c>
      <c r="D8972" t="str">
        <f>"1863-9690"</f>
        <v>1863-9690</v>
      </c>
      <c r="E8972" t="s">
        <v>8</v>
      </c>
      <c r="F8972" t="s">
        <v>8978</v>
      </c>
      <c r="G8972">
        <v>2</v>
      </c>
    </row>
    <row r="8973" spans="1:7" x14ac:dyDescent="0.25">
      <c r="A8973">
        <v>30</v>
      </c>
      <c r="B8973" t="s">
        <v>8807</v>
      </c>
      <c r="C8973">
        <v>26633</v>
      </c>
      <c r="D8973" t="str">
        <f>"1619-4500"</f>
        <v>1619-4500</v>
      </c>
      <c r="E8973" t="s">
        <v>8</v>
      </c>
      <c r="F8973" t="s">
        <v>8979</v>
      </c>
      <c r="G8973">
        <v>1</v>
      </c>
    </row>
    <row r="8974" spans="1:7" x14ac:dyDescent="0.25">
      <c r="A8974">
        <v>30</v>
      </c>
      <c r="B8974" t="s">
        <v>8807</v>
      </c>
      <c r="C8974">
        <v>8782800</v>
      </c>
      <c r="D8974" t="str">
        <f>"2193-2808"</f>
        <v>2193-2808</v>
      </c>
      <c r="E8974" t="s">
        <v>15</v>
      </c>
      <c r="F8974" t="s">
        <v>8980</v>
      </c>
      <c r="G8974">
        <v>1</v>
      </c>
    </row>
    <row r="8975" spans="1:7" x14ac:dyDescent="0.25">
      <c r="A8975">
        <v>30</v>
      </c>
      <c r="B8975" t="s">
        <v>8807</v>
      </c>
      <c r="C8975">
        <v>15879</v>
      </c>
      <c r="D8975" t="str">
        <f>"0025-5858"</f>
        <v>0025-5858</v>
      </c>
      <c r="E8975" t="s">
        <v>8</v>
      </c>
      <c r="F8975" t="s">
        <v>8981</v>
      </c>
      <c r="G8975">
        <v>1</v>
      </c>
    </row>
    <row r="8976" spans="1:7" x14ac:dyDescent="0.25">
      <c r="A8976">
        <v>30</v>
      </c>
      <c r="B8976" t="s">
        <v>8807</v>
      </c>
      <c r="C8976">
        <v>3430</v>
      </c>
      <c r="D8976" t="str">
        <f>"1085-3375"</f>
        <v>1085-3375</v>
      </c>
      <c r="E8976" t="s">
        <v>8</v>
      </c>
      <c r="F8976" t="s">
        <v>8982</v>
      </c>
      <c r="G8976">
        <v>1</v>
      </c>
    </row>
    <row r="8977" spans="1:7" x14ac:dyDescent="0.25">
      <c r="A8977">
        <v>30</v>
      </c>
      <c r="B8977" t="s">
        <v>8807</v>
      </c>
      <c r="C8977">
        <v>140435</v>
      </c>
      <c r="D8977" t="str">
        <f>"0192-5857"</f>
        <v>0192-5857</v>
      </c>
      <c r="E8977" t="s">
        <v>8</v>
      </c>
      <c r="F8977" t="s">
        <v>8983</v>
      </c>
      <c r="G8977">
        <v>1</v>
      </c>
    </row>
    <row r="8978" spans="1:7" x14ac:dyDescent="0.25">
      <c r="A8978">
        <v>30</v>
      </c>
      <c r="B8978" t="s">
        <v>8807</v>
      </c>
      <c r="C8978">
        <v>42624</v>
      </c>
      <c r="D8978" t="str">
        <f>"0866-0182"</f>
        <v>0866-0182</v>
      </c>
      <c r="E8978" t="s">
        <v>8</v>
      </c>
      <c r="F8978" t="s">
        <v>8984</v>
      </c>
      <c r="G8978">
        <v>1</v>
      </c>
    </row>
    <row r="8979" spans="1:7" x14ac:dyDescent="0.25">
      <c r="A8979">
        <v>30</v>
      </c>
      <c r="B8979" t="s">
        <v>8807</v>
      </c>
      <c r="C8979">
        <v>12294</v>
      </c>
      <c r="D8979" t="str">
        <f>"0167-8019"</f>
        <v>0167-8019</v>
      </c>
      <c r="E8979" t="s">
        <v>8</v>
      </c>
      <c r="F8979" t="s">
        <v>8985</v>
      </c>
      <c r="G8979">
        <v>1</v>
      </c>
    </row>
    <row r="8980" spans="1:7" x14ac:dyDescent="0.25">
      <c r="A8980">
        <v>30</v>
      </c>
      <c r="B8980" t="s">
        <v>8807</v>
      </c>
      <c r="C8980">
        <v>342</v>
      </c>
      <c r="D8980" t="str">
        <f>"0065-1036"</f>
        <v>0065-1036</v>
      </c>
      <c r="E8980" t="s">
        <v>8</v>
      </c>
      <c r="F8980" t="s">
        <v>8986</v>
      </c>
      <c r="G8980">
        <v>1</v>
      </c>
    </row>
    <row r="8981" spans="1:7" x14ac:dyDescent="0.25">
      <c r="A8981">
        <v>30</v>
      </c>
      <c r="B8981" t="s">
        <v>8807</v>
      </c>
      <c r="C8981">
        <v>7367</v>
      </c>
      <c r="D8981" t="str">
        <f>"1406-2283"</f>
        <v>1406-2283</v>
      </c>
      <c r="E8981" t="s">
        <v>8</v>
      </c>
      <c r="F8981" t="s">
        <v>8987</v>
      </c>
      <c r="G8981">
        <v>1</v>
      </c>
    </row>
    <row r="8982" spans="1:7" x14ac:dyDescent="0.25">
      <c r="A8982">
        <v>30</v>
      </c>
      <c r="B8982" t="s">
        <v>8807</v>
      </c>
      <c r="C8982">
        <v>15832</v>
      </c>
      <c r="D8982" t="str">
        <f>"0236-5294"</f>
        <v>0236-5294</v>
      </c>
      <c r="E8982" t="s">
        <v>8</v>
      </c>
      <c r="F8982" t="s">
        <v>8988</v>
      </c>
      <c r="G8982">
        <v>1</v>
      </c>
    </row>
    <row r="8983" spans="1:7" x14ac:dyDescent="0.25">
      <c r="A8983">
        <v>30</v>
      </c>
      <c r="B8983" t="s">
        <v>8807</v>
      </c>
      <c r="C8983">
        <v>13526</v>
      </c>
      <c r="D8983" t="str">
        <f>"0252-9602"</f>
        <v>0252-9602</v>
      </c>
      <c r="E8983" t="s">
        <v>8</v>
      </c>
      <c r="F8983" t="s">
        <v>8989</v>
      </c>
      <c r="G8983">
        <v>1</v>
      </c>
    </row>
    <row r="8984" spans="1:7" x14ac:dyDescent="0.25">
      <c r="A8984">
        <v>30</v>
      </c>
      <c r="B8984" t="s">
        <v>8807</v>
      </c>
      <c r="C8984">
        <v>14082</v>
      </c>
      <c r="D8984" t="str">
        <f>"1439-8516"</f>
        <v>1439-8516</v>
      </c>
      <c r="E8984" t="s">
        <v>8</v>
      </c>
      <c r="F8984" t="s">
        <v>8990</v>
      </c>
      <c r="G8984">
        <v>1</v>
      </c>
    </row>
    <row r="8985" spans="1:7" x14ac:dyDescent="0.25">
      <c r="A8985">
        <v>30</v>
      </c>
      <c r="B8985" t="s">
        <v>8807</v>
      </c>
      <c r="C8985">
        <v>41302</v>
      </c>
      <c r="D8985" t="str">
        <f>"0231-6986"</f>
        <v>0231-6986</v>
      </c>
      <c r="E8985" t="s">
        <v>8</v>
      </c>
      <c r="F8985" t="s">
        <v>8991</v>
      </c>
      <c r="G8985">
        <v>1</v>
      </c>
    </row>
    <row r="8986" spans="1:7" x14ac:dyDescent="0.25">
      <c r="A8986">
        <v>30</v>
      </c>
      <c r="B8986" t="s">
        <v>8807</v>
      </c>
      <c r="C8986">
        <v>14219</v>
      </c>
      <c r="D8986" t="str">
        <f>"0168-9673"</f>
        <v>0168-9673</v>
      </c>
      <c r="E8986" t="s">
        <v>8</v>
      </c>
      <c r="F8986" t="s">
        <v>8992</v>
      </c>
      <c r="G8986">
        <v>1</v>
      </c>
    </row>
    <row r="8987" spans="1:7" x14ac:dyDescent="0.25">
      <c r="A8987">
        <v>30</v>
      </c>
      <c r="B8987" t="s">
        <v>8807</v>
      </c>
      <c r="C8987">
        <v>8773686</v>
      </c>
      <c r="D8987" t="str">
        <f>"1898-4088"</f>
        <v>1898-4088</v>
      </c>
      <c r="E8987" t="s">
        <v>8</v>
      </c>
      <c r="F8987" t="s">
        <v>8993</v>
      </c>
      <c r="G8987">
        <v>1</v>
      </c>
    </row>
    <row r="8988" spans="1:7" x14ac:dyDescent="0.25">
      <c r="A8988">
        <v>30</v>
      </c>
      <c r="B8988" t="s">
        <v>8807</v>
      </c>
      <c r="C8988">
        <v>12002</v>
      </c>
      <c r="D8988" t="str">
        <f>"0962-4929"</f>
        <v>0962-4929</v>
      </c>
      <c r="E8988" t="s">
        <v>8</v>
      </c>
      <c r="F8988" t="s">
        <v>8994</v>
      </c>
      <c r="G8988">
        <v>1</v>
      </c>
    </row>
    <row r="8989" spans="1:7" x14ac:dyDescent="0.25">
      <c r="A8989">
        <v>30</v>
      </c>
      <c r="B8989" t="s">
        <v>8807</v>
      </c>
      <c r="C8989">
        <v>9209</v>
      </c>
      <c r="D8989" t="str">
        <f>"0001-6969"</f>
        <v>0001-6969</v>
      </c>
      <c r="E8989" t="s">
        <v>8</v>
      </c>
      <c r="F8989" t="s">
        <v>8995</v>
      </c>
      <c r="G8989">
        <v>1</v>
      </c>
    </row>
    <row r="8990" spans="1:7" x14ac:dyDescent="0.25">
      <c r="A8990">
        <v>30</v>
      </c>
      <c r="B8990" t="s">
        <v>8807</v>
      </c>
      <c r="C8990">
        <v>10146</v>
      </c>
      <c r="E8990" t="s">
        <v>8</v>
      </c>
      <c r="F8990" t="s">
        <v>8996</v>
      </c>
      <c r="G8990">
        <v>1</v>
      </c>
    </row>
    <row r="8991" spans="1:7" x14ac:dyDescent="0.25">
      <c r="A8991">
        <v>30</v>
      </c>
      <c r="B8991" t="s">
        <v>8807</v>
      </c>
      <c r="C8991">
        <v>15938</v>
      </c>
      <c r="D8991" t="str">
        <f>"1536-1365"</f>
        <v>1536-1365</v>
      </c>
      <c r="E8991" t="s">
        <v>8</v>
      </c>
      <c r="F8991" t="s">
        <v>8997</v>
      </c>
      <c r="G8991">
        <v>1</v>
      </c>
    </row>
    <row r="8992" spans="1:7" x14ac:dyDescent="0.25">
      <c r="A8992">
        <v>30</v>
      </c>
      <c r="B8992" t="s">
        <v>8807</v>
      </c>
      <c r="C8992">
        <v>94489</v>
      </c>
      <c r="D8992" t="str">
        <f>"1793-091X"</f>
        <v>1793-091X</v>
      </c>
      <c r="E8992" t="s">
        <v>15</v>
      </c>
      <c r="F8992" t="s">
        <v>8998</v>
      </c>
      <c r="G8992">
        <v>1</v>
      </c>
    </row>
    <row r="8993" spans="1:7" x14ac:dyDescent="0.25">
      <c r="A8993">
        <v>30</v>
      </c>
      <c r="B8993" t="s">
        <v>8807</v>
      </c>
      <c r="C8993">
        <v>41889</v>
      </c>
      <c r="D8993" t="str">
        <f>"0974-1658"</f>
        <v>0974-1658</v>
      </c>
      <c r="E8993" t="s">
        <v>8</v>
      </c>
      <c r="F8993" t="s">
        <v>8999</v>
      </c>
      <c r="G8993">
        <v>1</v>
      </c>
    </row>
    <row r="8994" spans="1:7" x14ac:dyDescent="0.25">
      <c r="A8994">
        <v>30</v>
      </c>
      <c r="B8994" t="s">
        <v>8807</v>
      </c>
      <c r="C8994">
        <v>138783</v>
      </c>
      <c r="D8994" t="str">
        <f>"0972-3617"</f>
        <v>0972-3617</v>
      </c>
      <c r="E8994" t="s">
        <v>8</v>
      </c>
      <c r="F8994" t="s">
        <v>9000</v>
      </c>
      <c r="G8994">
        <v>1</v>
      </c>
    </row>
    <row r="8995" spans="1:7" x14ac:dyDescent="0.25">
      <c r="A8995">
        <v>30</v>
      </c>
      <c r="B8995" t="s">
        <v>8807</v>
      </c>
      <c r="C8995">
        <v>8782813</v>
      </c>
      <c r="E8995" t="s">
        <v>2100</v>
      </c>
      <c r="F8995" t="s">
        <v>9001</v>
      </c>
      <c r="G8995">
        <v>1</v>
      </c>
    </row>
    <row r="8996" spans="1:7" x14ac:dyDescent="0.25">
      <c r="A8996">
        <v>30</v>
      </c>
      <c r="B8996" t="s">
        <v>8807</v>
      </c>
      <c r="C8996">
        <v>15513</v>
      </c>
      <c r="D8996" t="str">
        <f>"1019-7168"</f>
        <v>1019-7168</v>
      </c>
      <c r="E8996" t="s">
        <v>8</v>
      </c>
      <c r="F8996" t="s">
        <v>9002</v>
      </c>
      <c r="G8996">
        <v>1</v>
      </c>
    </row>
    <row r="8997" spans="1:7" x14ac:dyDescent="0.25">
      <c r="A8997">
        <v>30</v>
      </c>
      <c r="B8997" t="s">
        <v>8807</v>
      </c>
      <c r="C8997">
        <v>11979</v>
      </c>
      <c r="D8997" t="str">
        <f>"1862-5347"</f>
        <v>1862-5347</v>
      </c>
      <c r="E8997" t="s">
        <v>8</v>
      </c>
      <c r="F8997" t="s">
        <v>9003</v>
      </c>
      <c r="G8997">
        <v>1</v>
      </c>
    </row>
    <row r="8998" spans="1:7" x14ac:dyDescent="0.25">
      <c r="A8998">
        <v>30</v>
      </c>
      <c r="B8998" t="s">
        <v>8807</v>
      </c>
      <c r="C8998">
        <v>8456</v>
      </c>
      <c r="D8998" t="str">
        <f>"2090-3359"</f>
        <v>2090-3359</v>
      </c>
      <c r="E8998" t="s">
        <v>8</v>
      </c>
      <c r="F8998" t="s">
        <v>9004</v>
      </c>
      <c r="G8998">
        <v>1</v>
      </c>
    </row>
    <row r="8999" spans="1:7" x14ac:dyDescent="0.25">
      <c r="A8999">
        <v>30</v>
      </c>
      <c r="B8999" t="s">
        <v>8807</v>
      </c>
      <c r="C8999">
        <v>4666</v>
      </c>
      <c r="D8999" t="str">
        <f>"1615-715X"</f>
        <v>1615-715X</v>
      </c>
      <c r="E8999" t="s">
        <v>8</v>
      </c>
      <c r="F8999" t="s">
        <v>9005</v>
      </c>
      <c r="G8999">
        <v>1</v>
      </c>
    </row>
    <row r="9000" spans="1:7" x14ac:dyDescent="0.25">
      <c r="A9000">
        <v>30</v>
      </c>
      <c r="B9000" t="s">
        <v>8807</v>
      </c>
      <c r="C9000">
        <v>66199</v>
      </c>
      <c r="D9000" t="str">
        <f>"1930-5346"</f>
        <v>1930-5346</v>
      </c>
      <c r="E9000" t="s">
        <v>8</v>
      </c>
      <c r="F9000" t="s">
        <v>9006</v>
      </c>
      <c r="G9000">
        <v>1</v>
      </c>
    </row>
    <row r="9001" spans="1:7" x14ac:dyDescent="0.25">
      <c r="A9001">
        <v>30</v>
      </c>
      <c r="B9001" t="s">
        <v>8807</v>
      </c>
      <c r="C9001">
        <v>7700937</v>
      </c>
      <c r="D9001" t="str">
        <f>"2010-1317"</f>
        <v>2010-1317</v>
      </c>
      <c r="E9001" t="s">
        <v>15</v>
      </c>
      <c r="F9001" t="s">
        <v>9007</v>
      </c>
      <c r="G9001">
        <v>1</v>
      </c>
    </row>
    <row r="9002" spans="1:7" x14ac:dyDescent="0.25">
      <c r="A9002">
        <v>30</v>
      </c>
      <c r="B9002" t="s">
        <v>8807</v>
      </c>
      <c r="C9002">
        <v>7387</v>
      </c>
      <c r="D9002" t="str">
        <f>"1095-0761"</f>
        <v>1095-0761</v>
      </c>
      <c r="E9002" t="s">
        <v>8</v>
      </c>
      <c r="F9002" t="s">
        <v>9008</v>
      </c>
      <c r="G9002">
        <v>1</v>
      </c>
    </row>
    <row r="9003" spans="1:7" x14ac:dyDescent="0.25">
      <c r="A9003">
        <v>30</v>
      </c>
      <c r="B9003" t="s">
        <v>8807</v>
      </c>
      <c r="C9003">
        <v>3570</v>
      </c>
      <c r="D9003" t="str">
        <f>"0001-9054"</f>
        <v>0001-9054</v>
      </c>
      <c r="E9003" t="s">
        <v>8</v>
      </c>
      <c r="F9003" t="s">
        <v>9009</v>
      </c>
      <c r="G9003">
        <v>1</v>
      </c>
    </row>
    <row r="9004" spans="1:7" x14ac:dyDescent="0.25">
      <c r="A9004">
        <v>30</v>
      </c>
      <c r="B9004" t="s">
        <v>8807</v>
      </c>
      <c r="C9004">
        <v>1857</v>
      </c>
      <c r="D9004" t="str">
        <f>"1539-851X"</f>
        <v>1539-851X</v>
      </c>
      <c r="E9004" t="s">
        <v>8</v>
      </c>
      <c r="F9004" t="s">
        <v>9010</v>
      </c>
      <c r="G9004">
        <v>1</v>
      </c>
    </row>
    <row r="9005" spans="1:7" x14ac:dyDescent="0.25">
      <c r="A9005">
        <v>30</v>
      </c>
      <c r="B9005" t="s">
        <v>8807</v>
      </c>
      <c r="C9005">
        <v>8783556</v>
      </c>
      <c r="E9005" t="s">
        <v>8</v>
      </c>
      <c r="F9005" t="s">
        <v>9011</v>
      </c>
      <c r="G9005">
        <v>1</v>
      </c>
    </row>
    <row r="9006" spans="1:7" x14ac:dyDescent="0.25">
      <c r="A9006">
        <v>30</v>
      </c>
      <c r="B9006" t="s">
        <v>8807</v>
      </c>
      <c r="C9006">
        <v>6390</v>
      </c>
      <c r="E9006" t="s">
        <v>8</v>
      </c>
      <c r="F9006" t="s">
        <v>9012</v>
      </c>
      <c r="G9006">
        <v>1</v>
      </c>
    </row>
    <row r="9007" spans="1:7" x14ac:dyDescent="0.25">
      <c r="A9007">
        <v>30</v>
      </c>
      <c r="B9007" t="s">
        <v>8807</v>
      </c>
      <c r="C9007">
        <v>151778</v>
      </c>
      <c r="D9007" t="str">
        <f>"1980-0436"</f>
        <v>1980-0436</v>
      </c>
      <c r="E9007" t="s">
        <v>8</v>
      </c>
      <c r="F9007" t="s">
        <v>9013</v>
      </c>
      <c r="G9007">
        <v>1</v>
      </c>
    </row>
    <row r="9008" spans="1:7" x14ac:dyDescent="0.25">
      <c r="A9008">
        <v>30</v>
      </c>
      <c r="B9008" t="s">
        <v>8807</v>
      </c>
      <c r="C9008">
        <v>10181</v>
      </c>
      <c r="D9008" t="str">
        <f>"0002-5232"</f>
        <v>0002-5232</v>
      </c>
      <c r="E9008" t="s">
        <v>8</v>
      </c>
      <c r="F9008" t="s">
        <v>9014</v>
      </c>
      <c r="G9008">
        <v>1</v>
      </c>
    </row>
    <row r="9009" spans="1:7" x14ac:dyDescent="0.25">
      <c r="A9009">
        <v>30</v>
      </c>
      <c r="B9009" t="s">
        <v>8807</v>
      </c>
      <c r="C9009">
        <v>15997</v>
      </c>
      <c r="D9009" t="str">
        <f>"1005-3867"</f>
        <v>1005-3867</v>
      </c>
      <c r="E9009" t="s">
        <v>8</v>
      </c>
      <c r="F9009" t="s">
        <v>9015</v>
      </c>
      <c r="G9009">
        <v>1</v>
      </c>
    </row>
    <row r="9010" spans="1:7" x14ac:dyDescent="0.25">
      <c r="A9010">
        <v>30</v>
      </c>
      <c r="B9010" t="s">
        <v>8807</v>
      </c>
      <c r="C9010">
        <v>8736</v>
      </c>
      <c r="D9010" t="str">
        <f>"0002-5240"</f>
        <v>0002-5240</v>
      </c>
      <c r="E9010" t="s">
        <v>8</v>
      </c>
      <c r="F9010" t="s">
        <v>9016</v>
      </c>
      <c r="G9010">
        <v>1</v>
      </c>
    </row>
    <row r="9011" spans="1:7" x14ac:dyDescent="0.25">
      <c r="A9011">
        <v>30</v>
      </c>
      <c r="B9011" t="s">
        <v>8807</v>
      </c>
      <c r="C9011">
        <v>8766949</v>
      </c>
      <c r="D9011" t="str">
        <f>"2313-1691"</f>
        <v>2313-1691</v>
      </c>
      <c r="E9011" t="s">
        <v>8</v>
      </c>
      <c r="F9011" t="s">
        <v>9017</v>
      </c>
      <c r="G9011">
        <v>1</v>
      </c>
    </row>
    <row r="9012" spans="1:7" x14ac:dyDescent="0.25">
      <c r="A9012">
        <v>30</v>
      </c>
      <c r="B9012" t="s">
        <v>8807</v>
      </c>
      <c r="C9012">
        <v>1133</v>
      </c>
      <c r="D9012" t="str">
        <f>"1386-923X"</f>
        <v>1386-923X</v>
      </c>
      <c r="E9012" t="s">
        <v>8</v>
      </c>
      <c r="F9012" t="s">
        <v>9018</v>
      </c>
      <c r="G9012">
        <v>1</v>
      </c>
    </row>
    <row r="9013" spans="1:7" x14ac:dyDescent="0.25">
      <c r="A9013">
        <v>30</v>
      </c>
      <c r="B9013" t="s">
        <v>8807</v>
      </c>
      <c r="C9013">
        <v>25503</v>
      </c>
      <c r="D9013" t="str">
        <f>"0196-6324"</f>
        <v>0196-6324</v>
      </c>
      <c r="E9013" t="s">
        <v>8</v>
      </c>
      <c r="F9013" t="s">
        <v>9019</v>
      </c>
      <c r="G9013">
        <v>1</v>
      </c>
    </row>
    <row r="9014" spans="1:7" x14ac:dyDescent="0.25">
      <c r="A9014">
        <v>30</v>
      </c>
      <c r="B9014" t="s">
        <v>8807</v>
      </c>
      <c r="C9014">
        <v>7518</v>
      </c>
      <c r="D9014" t="str">
        <f>"0133-3852"</f>
        <v>0133-3852</v>
      </c>
      <c r="E9014" t="s">
        <v>8</v>
      </c>
      <c r="F9014" t="s">
        <v>9020</v>
      </c>
      <c r="G9014">
        <v>1</v>
      </c>
    </row>
    <row r="9015" spans="1:7" x14ac:dyDescent="0.25">
      <c r="A9015">
        <v>30</v>
      </c>
      <c r="B9015" t="s">
        <v>8807</v>
      </c>
      <c r="C9015">
        <v>334</v>
      </c>
      <c r="D9015" t="str">
        <f>"0174-4747"</f>
        <v>0174-4747</v>
      </c>
      <c r="E9015" t="s">
        <v>8</v>
      </c>
      <c r="F9015" t="s">
        <v>9021</v>
      </c>
      <c r="G9015">
        <v>1</v>
      </c>
    </row>
    <row r="9016" spans="1:7" x14ac:dyDescent="0.25">
      <c r="A9016">
        <v>30</v>
      </c>
      <c r="B9016" t="s">
        <v>8807</v>
      </c>
      <c r="C9016">
        <v>7364</v>
      </c>
      <c r="D9016" t="str">
        <f>"1239-629X"</f>
        <v>1239-629X</v>
      </c>
      <c r="E9016" t="s">
        <v>8</v>
      </c>
      <c r="F9016" t="s">
        <v>9022</v>
      </c>
      <c r="G9016">
        <v>1</v>
      </c>
    </row>
    <row r="9017" spans="1:7" x14ac:dyDescent="0.25">
      <c r="A9017">
        <v>30</v>
      </c>
      <c r="B9017" t="s">
        <v>8807</v>
      </c>
      <c r="C9017">
        <v>7754329</v>
      </c>
      <c r="D9017" t="str">
        <f>"2308-5827"</f>
        <v>2308-5827</v>
      </c>
      <c r="E9017" t="s">
        <v>8</v>
      </c>
      <c r="F9017" t="s">
        <v>9023</v>
      </c>
      <c r="G9017">
        <v>1</v>
      </c>
    </row>
    <row r="9018" spans="1:7" x14ac:dyDescent="0.25">
      <c r="A9018">
        <v>30</v>
      </c>
      <c r="B9018" t="s">
        <v>8807</v>
      </c>
      <c r="C9018">
        <v>63304</v>
      </c>
      <c r="D9018" t="str">
        <f>"0240-2963"</f>
        <v>0240-2963</v>
      </c>
      <c r="E9018" t="s">
        <v>8</v>
      </c>
      <c r="F9018" t="s">
        <v>9024</v>
      </c>
      <c r="G9018">
        <v>1</v>
      </c>
    </row>
    <row r="9019" spans="1:7" x14ac:dyDescent="0.25">
      <c r="A9019">
        <v>30</v>
      </c>
      <c r="B9019" t="s">
        <v>8807</v>
      </c>
      <c r="C9019">
        <v>3304</v>
      </c>
      <c r="D9019" t="str">
        <f>"0246-0203"</f>
        <v>0246-0203</v>
      </c>
      <c r="E9019" t="s">
        <v>8</v>
      </c>
      <c r="F9019" t="s">
        <v>9025</v>
      </c>
      <c r="G9019">
        <v>1</v>
      </c>
    </row>
    <row r="9020" spans="1:7" x14ac:dyDescent="0.25">
      <c r="A9020">
        <v>30</v>
      </c>
      <c r="B9020" t="s">
        <v>8807</v>
      </c>
      <c r="C9020">
        <v>149672</v>
      </c>
      <c r="D9020" t="str">
        <f>"1259-1734"</f>
        <v>1259-1734</v>
      </c>
      <c r="E9020" t="s">
        <v>8</v>
      </c>
      <c r="F9020" t="s">
        <v>9026</v>
      </c>
      <c r="G9020">
        <v>1</v>
      </c>
    </row>
    <row r="9021" spans="1:7" x14ac:dyDescent="0.25">
      <c r="A9021">
        <v>30</v>
      </c>
      <c r="B9021" t="s">
        <v>8807</v>
      </c>
      <c r="C9021">
        <v>6398</v>
      </c>
      <c r="D9021" t="str">
        <f>"2195-4755"</f>
        <v>2195-4755</v>
      </c>
      <c r="E9021" t="s">
        <v>8</v>
      </c>
      <c r="F9021" t="s">
        <v>9027</v>
      </c>
      <c r="G9021">
        <v>1</v>
      </c>
    </row>
    <row r="9022" spans="1:7" x14ac:dyDescent="0.25">
      <c r="A9022">
        <v>30</v>
      </c>
      <c r="B9022" t="s">
        <v>8807</v>
      </c>
      <c r="C9022">
        <v>7999</v>
      </c>
      <c r="D9022" t="str">
        <f>"0066-2216"</f>
        <v>0066-2216</v>
      </c>
      <c r="E9022" t="s">
        <v>8</v>
      </c>
      <c r="F9022" t="s">
        <v>9028</v>
      </c>
      <c r="G9022">
        <v>1</v>
      </c>
    </row>
    <row r="9023" spans="1:7" x14ac:dyDescent="0.25">
      <c r="A9023">
        <v>30</v>
      </c>
      <c r="B9023" t="s">
        <v>8807</v>
      </c>
      <c r="C9023">
        <v>9191</v>
      </c>
      <c r="D9023" t="str">
        <f>"0391-173X"</f>
        <v>0391-173X</v>
      </c>
      <c r="E9023" t="s">
        <v>8</v>
      </c>
      <c r="F9023" t="s">
        <v>9029</v>
      </c>
      <c r="G9023">
        <v>1</v>
      </c>
    </row>
    <row r="9024" spans="1:7" x14ac:dyDescent="0.25">
      <c r="A9024">
        <v>30</v>
      </c>
      <c r="B9024" t="s">
        <v>8807</v>
      </c>
      <c r="C9024">
        <v>4567</v>
      </c>
      <c r="D9024" t="str">
        <f>"0373-3114"</f>
        <v>0373-3114</v>
      </c>
      <c r="E9024" t="s">
        <v>8</v>
      </c>
      <c r="F9024" t="s">
        <v>9030</v>
      </c>
      <c r="G9024">
        <v>1</v>
      </c>
    </row>
    <row r="9025" spans="1:7" x14ac:dyDescent="0.25">
      <c r="A9025">
        <v>30</v>
      </c>
      <c r="B9025" t="s">
        <v>8807</v>
      </c>
      <c r="C9025">
        <v>9729</v>
      </c>
      <c r="D9025" t="str">
        <f>"0218-0006"</f>
        <v>0218-0006</v>
      </c>
      <c r="E9025" t="s">
        <v>8</v>
      </c>
      <c r="F9025" t="s">
        <v>9031</v>
      </c>
      <c r="G9025">
        <v>1</v>
      </c>
    </row>
    <row r="9026" spans="1:7" x14ac:dyDescent="0.25">
      <c r="A9026">
        <v>30</v>
      </c>
      <c r="B9026" t="s">
        <v>8807</v>
      </c>
      <c r="C9026">
        <v>13404</v>
      </c>
      <c r="D9026" t="str">
        <f>"0232-704X"</f>
        <v>0232-704X</v>
      </c>
      <c r="E9026" t="s">
        <v>8</v>
      </c>
      <c r="F9026" t="s">
        <v>9032</v>
      </c>
      <c r="G9026">
        <v>1</v>
      </c>
    </row>
    <row r="9027" spans="1:7" x14ac:dyDescent="0.25">
      <c r="A9027">
        <v>30</v>
      </c>
      <c r="B9027" t="s">
        <v>8807</v>
      </c>
      <c r="C9027">
        <v>8782580</v>
      </c>
      <c r="D9027" t="str">
        <f>"2379-1683"</f>
        <v>2379-1683</v>
      </c>
      <c r="E9027" t="s">
        <v>8</v>
      </c>
      <c r="F9027" t="s">
        <v>9033</v>
      </c>
      <c r="G9027">
        <v>1</v>
      </c>
    </row>
    <row r="9028" spans="1:7" x14ac:dyDescent="0.25">
      <c r="A9028">
        <v>30</v>
      </c>
      <c r="B9028" t="s">
        <v>8807</v>
      </c>
      <c r="C9028">
        <v>5082</v>
      </c>
      <c r="D9028" t="str">
        <f>"1012-2443"</f>
        <v>1012-2443</v>
      </c>
      <c r="E9028" t="s">
        <v>8</v>
      </c>
      <c r="F9028" t="s">
        <v>9034</v>
      </c>
      <c r="G9028">
        <v>1</v>
      </c>
    </row>
    <row r="9029" spans="1:7" x14ac:dyDescent="0.25">
      <c r="A9029">
        <v>30</v>
      </c>
      <c r="B9029" t="s">
        <v>8807</v>
      </c>
      <c r="C9029">
        <v>5784</v>
      </c>
      <c r="D9029" t="str">
        <f>"0066-2313"</f>
        <v>0066-2313</v>
      </c>
      <c r="E9029" t="s">
        <v>15</v>
      </c>
      <c r="F9029" t="s">
        <v>9035</v>
      </c>
      <c r="G9029">
        <v>1</v>
      </c>
    </row>
    <row r="9030" spans="1:7" x14ac:dyDescent="0.25">
      <c r="A9030">
        <v>30</v>
      </c>
      <c r="B9030" t="s">
        <v>8807</v>
      </c>
      <c r="C9030">
        <v>8774019</v>
      </c>
      <c r="E9030" t="s">
        <v>8</v>
      </c>
      <c r="F9030" t="s">
        <v>9036</v>
      </c>
      <c r="G9030">
        <v>1</v>
      </c>
    </row>
    <row r="9031" spans="1:7" x14ac:dyDescent="0.25">
      <c r="A9031">
        <v>30</v>
      </c>
      <c r="B9031" t="s">
        <v>8807</v>
      </c>
      <c r="C9031">
        <v>7752902</v>
      </c>
      <c r="D9031" t="str">
        <f>"2326-8298"</f>
        <v>2326-8298</v>
      </c>
      <c r="E9031" t="s">
        <v>8</v>
      </c>
      <c r="F9031" t="s">
        <v>9037</v>
      </c>
      <c r="G9031">
        <v>1</v>
      </c>
    </row>
    <row r="9032" spans="1:7" x14ac:dyDescent="0.25">
      <c r="A9032">
        <v>30</v>
      </c>
      <c r="B9032" t="s">
        <v>8807</v>
      </c>
      <c r="C9032">
        <v>16407</v>
      </c>
      <c r="D9032" t="str">
        <f>"0003-6811"</f>
        <v>0003-6811</v>
      </c>
      <c r="E9032" t="s">
        <v>8</v>
      </c>
      <c r="F9032" t="s">
        <v>9038</v>
      </c>
      <c r="G9032">
        <v>1</v>
      </c>
    </row>
    <row r="9033" spans="1:7" x14ac:dyDescent="0.25">
      <c r="A9033">
        <v>30</v>
      </c>
      <c r="B9033" t="s">
        <v>8807</v>
      </c>
      <c r="C9033">
        <v>12325</v>
      </c>
      <c r="D9033" t="str">
        <f>"1452-8630"</f>
        <v>1452-8630</v>
      </c>
      <c r="E9033" t="s">
        <v>8</v>
      </c>
      <c r="F9033" t="s">
        <v>9039</v>
      </c>
      <c r="G9033">
        <v>1</v>
      </c>
    </row>
    <row r="9034" spans="1:7" x14ac:dyDescent="0.25">
      <c r="A9034">
        <v>30</v>
      </c>
      <c r="B9034" t="s">
        <v>8807</v>
      </c>
      <c r="C9034">
        <v>10443</v>
      </c>
      <c r="D9034" t="str">
        <f>"0862-7940"</f>
        <v>0862-7940</v>
      </c>
      <c r="E9034" t="s">
        <v>8</v>
      </c>
      <c r="F9034" t="s">
        <v>9040</v>
      </c>
      <c r="G9034">
        <v>1</v>
      </c>
    </row>
    <row r="9035" spans="1:7" x14ac:dyDescent="0.25">
      <c r="A9035">
        <v>30</v>
      </c>
      <c r="B9035" t="s">
        <v>8807</v>
      </c>
      <c r="C9035">
        <v>170352</v>
      </c>
      <c r="E9035" t="s">
        <v>15</v>
      </c>
      <c r="F9035" t="s">
        <v>9041</v>
      </c>
      <c r="G9035">
        <v>1</v>
      </c>
    </row>
    <row r="9036" spans="1:7" x14ac:dyDescent="0.25">
      <c r="A9036">
        <v>30</v>
      </c>
      <c r="B9036" t="s">
        <v>8807</v>
      </c>
      <c r="C9036">
        <v>14775</v>
      </c>
      <c r="D9036" t="str">
        <f>"0927-2852"</f>
        <v>0927-2852</v>
      </c>
      <c r="E9036" t="s">
        <v>8</v>
      </c>
      <c r="F9036" t="s">
        <v>9042</v>
      </c>
      <c r="G9036">
        <v>1</v>
      </c>
    </row>
    <row r="9037" spans="1:7" x14ac:dyDescent="0.25">
      <c r="A9037">
        <v>30</v>
      </c>
      <c r="B9037" t="s">
        <v>8807</v>
      </c>
      <c r="C9037">
        <v>7692913</v>
      </c>
      <c r="E9037" t="s">
        <v>15</v>
      </c>
      <c r="F9037" t="s">
        <v>9043</v>
      </c>
      <c r="G9037">
        <v>1</v>
      </c>
    </row>
    <row r="9038" spans="1:7" x14ac:dyDescent="0.25">
      <c r="A9038">
        <v>30</v>
      </c>
      <c r="B9038" t="s">
        <v>8807</v>
      </c>
      <c r="C9038">
        <v>742</v>
      </c>
      <c r="D9038" t="str">
        <f>"0307-904X"</f>
        <v>0307-904X</v>
      </c>
      <c r="E9038" t="s">
        <v>8</v>
      </c>
      <c r="F9038" t="s">
        <v>9044</v>
      </c>
      <c r="G9038">
        <v>1</v>
      </c>
    </row>
    <row r="9039" spans="1:7" x14ac:dyDescent="0.25">
      <c r="A9039">
        <v>30</v>
      </c>
      <c r="B9039" t="s">
        <v>8807</v>
      </c>
      <c r="C9039">
        <v>12849</v>
      </c>
      <c r="D9039" t="str">
        <f>"1312-885X"</f>
        <v>1312-885X</v>
      </c>
      <c r="E9039" t="s">
        <v>8</v>
      </c>
      <c r="F9039" t="s">
        <v>9045</v>
      </c>
      <c r="G9039">
        <v>1</v>
      </c>
    </row>
    <row r="9040" spans="1:7" x14ac:dyDescent="0.25">
      <c r="A9040">
        <v>30</v>
      </c>
      <c r="B9040" t="s">
        <v>8807</v>
      </c>
      <c r="C9040">
        <v>15599</v>
      </c>
      <c r="D9040" t="str">
        <f>"1935-0090"</f>
        <v>1935-0090</v>
      </c>
      <c r="E9040" t="s">
        <v>8</v>
      </c>
      <c r="F9040" t="s">
        <v>9046</v>
      </c>
      <c r="G9040">
        <v>1</v>
      </c>
    </row>
    <row r="9041" spans="1:7" x14ac:dyDescent="0.25">
      <c r="A9041">
        <v>30</v>
      </c>
      <c r="B9041" t="s">
        <v>8807</v>
      </c>
      <c r="C9041">
        <v>12937</v>
      </c>
      <c r="D9041" t="str">
        <f>"0096-3003"</f>
        <v>0096-3003</v>
      </c>
      <c r="E9041" t="s">
        <v>8</v>
      </c>
      <c r="F9041" t="s">
        <v>9047</v>
      </c>
      <c r="G9041">
        <v>1</v>
      </c>
    </row>
    <row r="9042" spans="1:7" x14ac:dyDescent="0.25">
      <c r="A9042">
        <v>30</v>
      </c>
      <c r="B9042" t="s">
        <v>8807</v>
      </c>
      <c r="C9042">
        <v>10641</v>
      </c>
      <c r="D9042" t="str">
        <f>"0253-4827"</f>
        <v>0253-4827</v>
      </c>
      <c r="E9042" t="s">
        <v>8</v>
      </c>
      <c r="F9042" t="s">
        <v>9048</v>
      </c>
      <c r="G9042">
        <v>1</v>
      </c>
    </row>
    <row r="9043" spans="1:7" x14ac:dyDescent="0.25">
      <c r="A9043">
        <v>30</v>
      </c>
      <c r="B9043" t="s">
        <v>8807</v>
      </c>
      <c r="C9043">
        <v>592</v>
      </c>
      <c r="D9043" t="str">
        <f>"0095-4616"</f>
        <v>0095-4616</v>
      </c>
      <c r="E9043" t="s">
        <v>8</v>
      </c>
      <c r="F9043" t="s">
        <v>9049</v>
      </c>
      <c r="G9043">
        <v>1</v>
      </c>
    </row>
    <row r="9044" spans="1:7" x14ac:dyDescent="0.25">
      <c r="A9044">
        <v>30</v>
      </c>
      <c r="B9044" t="s">
        <v>8807</v>
      </c>
      <c r="C9044">
        <v>9304</v>
      </c>
      <c r="D9044" t="str">
        <f>"0893-9659"</f>
        <v>0893-9659</v>
      </c>
      <c r="E9044" t="s">
        <v>8</v>
      </c>
      <c r="F9044" t="s">
        <v>9050</v>
      </c>
      <c r="G9044">
        <v>1</v>
      </c>
    </row>
    <row r="9045" spans="1:7" x14ac:dyDescent="0.25">
      <c r="A9045">
        <v>30</v>
      </c>
      <c r="B9045" t="s">
        <v>8807</v>
      </c>
      <c r="C9045">
        <v>15382</v>
      </c>
      <c r="D9045" t="str">
        <f>"1687-1200"</f>
        <v>1687-1200</v>
      </c>
      <c r="E9045" t="s">
        <v>8</v>
      </c>
      <c r="F9045" t="s">
        <v>9051</v>
      </c>
      <c r="G9045">
        <v>1</v>
      </c>
    </row>
    <row r="9046" spans="1:7" x14ac:dyDescent="0.25">
      <c r="A9046">
        <v>30</v>
      </c>
      <c r="B9046" t="s">
        <v>8807</v>
      </c>
      <c r="C9046">
        <v>680</v>
      </c>
      <c r="D9046" t="str">
        <f>"0168-9274"</f>
        <v>0168-9274</v>
      </c>
      <c r="E9046" t="s">
        <v>8</v>
      </c>
      <c r="F9046" t="s">
        <v>9052</v>
      </c>
      <c r="G9046">
        <v>1</v>
      </c>
    </row>
    <row r="9047" spans="1:7" x14ac:dyDescent="0.25">
      <c r="A9047">
        <v>30</v>
      </c>
      <c r="B9047" t="s">
        <v>8807</v>
      </c>
      <c r="C9047">
        <v>1153</v>
      </c>
      <c r="E9047" t="s">
        <v>8</v>
      </c>
      <c r="F9047" t="s">
        <v>9053</v>
      </c>
      <c r="G9047">
        <v>1</v>
      </c>
    </row>
    <row r="9048" spans="1:7" x14ac:dyDescent="0.25">
      <c r="A9048">
        <v>30</v>
      </c>
      <c r="B9048" t="s">
        <v>8807</v>
      </c>
      <c r="C9048">
        <v>3037</v>
      </c>
      <c r="D9048" t="str">
        <f>"1524-1904"</f>
        <v>1524-1904</v>
      </c>
      <c r="E9048" t="s">
        <v>8</v>
      </c>
      <c r="F9048" t="s">
        <v>9054</v>
      </c>
      <c r="G9048">
        <v>1</v>
      </c>
    </row>
    <row r="9049" spans="1:7" x14ac:dyDescent="0.25">
      <c r="A9049">
        <v>30</v>
      </c>
      <c r="B9049" t="s">
        <v>8807</v>
      </c>
      <c r="C9049">
        <v>6471</v>
      </c>
      <c r="D9049" t="str">
        <f>"0003-889X"</f>
        <v>0003-889X</v>
      </c>
      <c r="E9049" t="s">
        <v>8</v>
      </c>
      <c r="F9049" t="s">
        <v>9055</v>
      </c>
      <c r="G9049">
        <v>1</v>
      </c>
    </row>
    <row r="9050" spans="1:7" x14ac:dyDescent="0.25">
      <c r="A9050">
        <v>30</v>
      </c>
      <c r="B9050" t="s">
        <v>8807</v>
      </c>
      <c r="C9050">
        <v>7218</v>
      </c>
      <c r="D9050" t="str">
        <f>"0933-5846"</f>
        <v>0933-5846</v>
      </c>
      <c r="E9050" t="s">
        <v>8</v>
      </c>
      <c r="F9050" t="s">
        <v>9056</v>
      </c>
      <c r="G9050">
        <v>1</v>
      </c>
    </row>
    <row r="9051" spans="1:7" x14ac:dyDescent="0.25">
      <c r="A9051">
        <v>30</v>
      </c>
      <c r="B9051" t="s">
        <v>8807</v>
      </c>
      <c r="C9051">
        <v>5456</v>
      </c>
      <c r="D9051" t="str">
        <f>"1134-3060"</f>
        <v>1134-3060</v>
      </c>
      <c r="E9051" t="s">
        <v>8</v>
      </c>
      <c r="F9051" t="s">
        <v>9057</v>
      </c>
      <c r="G9051">
        <v>1</v>
      </c>
    </row>
    <row r="9052" spans="1:7" x14ac:dyDescent="0.25">
      <c r="A9052">
        <v>30</v>
      </c>
      <c r="B9052" t="s">
        <v>8807</v>
      </c>
      <c r="C9052">
        <v>136078</v>
      </c>
      <c r="D9052" t="str">
        <f>"0044-8753"</f>
        <v>0044-8753</v>
      </c>
      <c r="E9052" t="s">
        <v>8</v>
      </c>
      <c r="F9052" t="s">
        <v>9058</v>
      </c>
      <c r="G9052">
        <v>1</v>
      </c>
    </row>
    <row r="9053" spans="1:7" x14ac:dyDescent="0.25">
      <c r="A9053">
        <v>30</v>
      </c>
      <c r="B9053" t="s">
        <v>8807</v>
      </c>
      <c r="C9053">
        <v>3444</v>
      </c>
      <c r="D9053" t="str">
        <f>"0004-2080"</f>
        <v>0004-2080</v>
      </c>
      <c r="E9053" t="s">
        <v>8</v>
      </c>
      <c r="F9053" t="s">
        <v>9059</v>
      </c>
      <c r="G9053">
        <v>1</v>
      </c>
    </row>
    <row r="9054" spans="1:7" x14ac:dyDescent="0.25">
      <c r="A9054">
        <v>30</v>
      </c>
      <c r="B9054" t="s">
        <v>8807</v>
      </c>
      <c r="C9054">
        <v>4202</v>
      </c>
      <c r="D9054" t="str">
        <f>"0381-7032"</f>
        <v>0381-7032</v>
      </c>
      <c r="E9054" t="s">
        <v>8</v>
      </c>
      <c r="F9054" t="s">
        <v>9060</v>
      </c>
      <c r="G9054">
        <v>1</v>
      </c>
    </row>
    <row r="9055" spans="1:7" x14ac:dyDescent="0.25">
      <c r="A9055">
        <v>30</v>
      </c>
      <c r="B9055" t="s">
        <v>8807</v>
      </c>
      <c r="C9055">
        <v>170343</v>
      </c>
      <c r="D9055" t="str">
        <f>"1855-3966"</f>
        <v>1855-3966</v>
      </c>
      <c r="E9055" t="s">
        <v>8</v>
      </c>
      <c r="F9055" t="s">
        <v>9061</v>
      </c>
      <c r="G9055">
        <v>1</v>
      </c>
    </row>
    <row r="9056" spans="1:7" x14ac:dyDescent="0.25">
      <c r="A9056">
        <v>30</v>
      </c>
      <c r="B9056" t="s">
        <v>8807</v>
      </c>
      <c r="C9056">
        <v>170355</v>
      </c>
      <c r="E9056" t="s">
        <v>15</v>
      </c>
      <c r="F9056" t="s">
        <v>9062</v>
      </c>
      <c r="G9056">
        <v>1</v>
      </c>
    </row>
    <row r="9057" spans="1:7" x14ac:dyDescent="0.25">
      <c r="A9057">
        <v>30</v>
      </c>
      <c r="B9057" t="s">
        <v>8807</v>
      </c>
      <c r="C9057">
        <v>20426</v>
      </c>
      <c r="D9057" t="str">
        <f>"1793-5571"</f>
        <v>1793-5571</v>
      </c>
      <c r="E9057" t="s">
        <v>8</v>
      </c>
      <c r="F9057" t="s">
        <v>9063</v>
      </c>
      <c r="G9057">
        <v>1</v>
      </c>
    </row>
    <row r="9058" spans="1:7" x14ac:dyDescent="0.25">
      <c r="A9058">
        <v>30</v>
      </c>
      <c r="B9058" t="s">
        <v>8807</v>
      </c>
      <c r="C9058">
        <v>8782804</v>
      </c>
      <c r="D9058" t="str">
        <f>"2364-5733"</f>
        <v>2364-5733</v>
      </c>
      <c r="E9058" t="s">
        <v>15</v>
      </c>
      <c r="F9058" t="s">
        <v>9064</v>
      </c>
      <c r="G9058">
        <v>1</v>
      </c>
    </row>
    <row r="9059" spans="1:7" x14ac:dyDescent="0.25">
      <c r="A9059">
        <v>30</v>
      </c>
      <c r="B9059" t="s">
        <v>8807</v>
      </c>
      <c r="C9059">
        <v>24419</v>
      </c>
      <c r="D9059" t="str">
        <f>"1863-8171"</f>
        <v>1863-8171</v>
      </c>
      <c r="E9059" t="s">
        <v>8</v>
      </c>
      <c r="F9059" t="s">
        <v>9065</v>
      </c>
      <c r="G9059">
        <v>1</v>
      </c>
    </row>
    <row r="9060" spans="1:7" x14ac:dyDescent="0.25">
      <c r="A9060">
        <v>30</v>
      </c>
      <c r="B9060" t="s">
        <v>8807</v>
      </c>
      <c r="C9060">
        <v>7417</v>
      </c>
      <c r="D9060" t="str">
        <f>"0921-7134"</f>
        <v>0921-7134</v>
      </c>
      <c r="E9060" t="s">
        <v>8</v>
      </c>
      <c r="F9060" t="s">
        <v>9066</v>
      </c>
      <c r="G9060">
        <v>1</v>
      </c>
    </row>
    <row r="9061" spans="1:7" x14ac:dyDescent="0.25">
      <c r="A9061">
        <v>30</v>
      </c>
      <c r="B9061" t="s">
        <v>8807</v>
      </c>
      <c r="C9061">
        <v>25569</v>
      </c>
      <c r="D9061" t="str">
        <f>"1034-4942"</f>
        <v>1034-4942</v>
      </c>
      <c r="E9061" t="s">
        <v>8</v>
      </c>
      <c r="F9061" t="s">
        <v>9067</v>
      </c>
      <c r="G9061">
        <v>1</v>
      </c>
    </row>
    <row r="9062" spans="1:7" x14ac:dyDescent="0.25">
      <c r="A9062">
        <v>30</v>
      </c>
      <c r="B9062" t="s">
        <v>8807</v>
      </c>
      <c r="C9062">
        <v>8580</v>
      </c>
      <c r="D9062" t="str">
        <f>"1369-1473"</f>
        <v>1369-1473</v>
      </c>
      <c r="E9062" t="s">
        <v>8</v>
      </c>
      <c r="F9062" t="s">
        <v>9068</v>
      </c>
      <c r="G9062">
        <v>1</v>
      </c>
    </row>
    <row r="9063" spans="1:7" x14ac:dyDescent="0.25">
      <c r="A9063">
        <v>30</v>
      </c>
      <c r="B9063" t="s">
        <v>8807</v>
      </c>
      <c r="C9063">
        <v>151784</v>
      </c>
      <c r="D9063" t="str">
        <f>"1026-597X"</f>
        <v>1026-597X</v>
      </c>
      <c r="E9063" t="s">
        <v>8</v>
      </c>
      <c r="F9063" t="s">
        <v>9069</v>
      </c>
      <c r="G9063">
        <v>1</v>
      </c>
    </row>
    <row r="9064" spans="1:7" x14ac:dyDescent="0.25">
      <c r="A9064">
        <v>30</v>
      </c>
      <c r="B9064" t="s">
        <v>8807</v>
      </c>
      <c r="C9064">
        <v>9955</v>
      </c>
      <c r="D9064" t="str">
        <f>"1224-2780"</f>
        <v>1224-2780</v>
      </c>
      <c r="E9064" t="s">
        <v>8</v>
      </c>
      <c r="F9064" t="s">
        <v>9070</v>
      </c>
      <c r="G9064">
        <v>1</v>
      </c>
    </row>
    <row r="9065" spans="1:7" x14ac:dyDescent="0.25">
      <c r="A9065">
        <v>30</v>
      </c>
      <c r="B9065" t="s">
        <v>8807</v>
      </c>
      <c r="C9065">
        <v>1641</v>
      </c>
      <c r="D9065" t="str">
        <f>"0137-6934"</f>
        <v>0137-6934</v>
      </c>
      <c r="E9065" t="s">
        <v>8</v>
      </c>
      <c r="F9065" t="s">
        <v>9071</v>
      </c>
      <c r="G9065">
        <v>1</v>
      </c>
    </row>
    <row r="9066" spans="1:7" x14ac:dyDescent="0.25">
      <c r="A9066">
        <v>30</v>
      </c>
      <c r="B9066" t="s">
        <v>8807</v>
      </c>
      <c r="C9066">
        <v>103165</v>
      </c>
      <c r="D9066" t="str">
        <f>"1936-0975"</f>
        <v>1936-0975</v>
      </c>
      <c r="E9066" t="s">
        <v>8</v>
      </c>
      <c r="F9066" t="s">
        <v>9072</v>
      </c>
      <c r="G9066">
        <v>1</v>
      </c>
    </row>
    <row r="9067" spans="1:7" x14ac:dyDescent="0.25">
      <c r="A9067">
        <v>30</v>
      </c>
      <c r="B9067" t="s">
        <v>8807</v>
      </c>
      <c r="C9067">
        <v>8675</v>
      </c>
      <c r="D9067" t="str">
        <f>"0138-4821"</f>
        <v>0138-4821</v>
      </c>
      <c r="E9067" t="s">
        <v>8</v>
      </c>
      <c r="F9067" t="s">
        <v>9073</v>
      </c>
      <c r="G9067">
        <v>1</v>
      </c>
    </row>
    <row r="9068" spans="1:7" x14ac:dyDescent="0.25">
      <c r="A9068">
        <v>30</v>
      </c>
      <c r="B9068" t="s">
        <v>8807</v>
      </c>
      <c r="C9068">
        <v>14673</v>
      </c>
      <c r="D9068" t="str">
        <f>"0323-3847"</f>
        <v>0323-3847</v>
      </c>
      <c r="E9068" t="s">
        <v>8</v>
      </c>
      <c r="F9068" t="s">
        <v>9074</v>
      </c>
      <c r="G9068">
        <v>1</v>
      </c>
    </row>
    <row r="9069" spans="1:7" x14ac:dyDescent="0.25">
      <c r="A9069">
        <v>30</v>
      </c>
      <c r="B9069" t="s">
        <v>8807</v>
      </c>
      <c r="C9069">
        <v>5580</v>
      </c>
      <c r="D9069" t="str">
        <f>"1864-0281"</f>
        <v>1864-0281</v>
      </c>
      <c r="E9069" t="s">
        <v>8</v>
      </c>
      <c r="F9069" t="s">
        <v>9075</v>
      </c>
      <c r="G9069">
        <v>1</v>
      </c>
    </row>
    <row r="9070" spans="1:7" x14ac:dyDescent="0.25">
      <c r="A9070">
        <v>30</v>
      </c>
      <c r="B9070" t="s">
        <v>8807</v>
      </c>
      <c r="C9070">
        <v>145509</v>
      </c>
      <c r="D9070" t="str">
        <f>"0103-636X"</f>
        <v>0103-636X</v>
      </c>
      <c r="E9070" t="s">
        <v>8</v>
      </c>
      <c r="F9070" t="s">
        <v>9076</v>
      </c>
      <c r="G9070">
        <v>1</v>
      </c>
    </row>
    <row r="9071" spans="1:7" x14ac:dyDescent="0.25">
      <c r="A9071">
        <v>30</v>
      </c>
      <c r="B9071" t="s">
        <v>8807</v>
      </c>
      <c r="C9071">
        <v>61890</v>
      </c>
      <c r="D9071" t="str">
        <f>"0037-8615"</f>
        <v>0037-8615</v>
      </c>
      <c r="E9071" t="s">
        <v>8</v>
      </c>
      <c r="F9071" t="s">
        <v>9077</v>
      </c>
      <c r="G9071">
        <v>1</v>
      </c>
    </row>
    <row r="9072" spans="1:7" x14ac:dyDescent="0.25">
      <c r="A9072">
        <v>30</v>
      </c>
      <c r="B9072" t="s">
        <v>8807</v>
      </c>
      <c r="C9072">
        <v>12091</v>
      </c>
      <c r="D9072" t="str">
        <f>"0392-4432"</f>
        <v>0392-4432</v>
      </c>
      <c r="E9072" t="s">
        <v>8</v>
      </c>
      <c r="F9072" t="s">
        <v>9078</v>
      </c>
      <c r="G9072">
        <v>1</v>
      </c>
    </row>
    <row r="9073" spans="1:7" x14ac:dyDescent="0.25">
      <c r="A9073">
        <v>30</v>
      </c>
      <c r="B9073" t="s">
        <v>8807</v>
      </c>
      <c r="C9073">
        <v>8498</v>
      </c>
      <c r="D9073" t="str">
        <f>"1687-2762"</f>
        <v>1687-2762</v>
      </c>
      <c r="E9073" t="s">
        <v>8</v>
      </c>
      <c r="F9073" t="s">
        <v>9079</v>
      </c>
      <c r="G9073">
        <v>1</v>
      </c>
    </row>
    <row r="9074" spans="1:7" x14ac:dyDescent="0.25">
      <c r="A9074">
        <v>30</v>
      </c>
      <c r="B9074" t="s">
        <v>8807</v>
      </c>
      <c r="C9074">
        <v>151777</v>
      </c>
      <c r="D9074" t="str">
        <f>"0103-0752"</f>
        <v>0103-0752</v>
      </c>
      <c r="E9074" t="s">
        <v>8</v>
      </c>
      <c r="F9074" t="s">
        <v>9080</v>
      </c>
      <c r="G9074">
        <v>1</v>
      </c>
    </row>
    <row r="9075" spans="1:7" x14ac:dyDescent="0.25">
      <c r="A9075">
        <v>30</v>
      </c>
      <c r="B9075" t="s">
        <v>8807</v>
      </c>
      <c r="C9075">
        <v>19244</v>
      </c>
      <c r="D9075" t="str">
        <f>"1749-8430"</f>
        <v>1749-8430</v>
      </c>
      <c r="E9075" t="s">
        <v>8</v>
      </c>
      <c r="F9075" t="s">
        <v>9081</v>
      </c>
      <c r="G9075">
        <v>1</v>
      </c>
    </row>
    <row r="9076" spans="1:7" x14ac:dyDescent="0.25">
      <c r="A9076">
        <v>30</v>
      </c>
      <c r="B9076" t="s">
        <v>8807</v>
      </c>
      <c r="C9076">
        <v>9015</v>
      </c>
      <c r="D9076" t="str">
        <f>"0007-4497"</f>
        <v>0007-4497</v>
      </c>
      <c r="E9076" t="s">
        <v>8</v>
      </c>
      <c r="F9076" t="s">
        <v>9082</v>
      </c>
      <c r="G9076">
        <v>1</v>
      </c>
    </row>
    <row r="9077" spans="1:7" x14ac:dyDescent="0.25">
      <c r="A9077">
        <v>30</v>
      </c>
      <c r="B9077" t="s">
        <v>8807</v>
      </c>
      <c r="C9077">
        <v>8515</v>
      </c>
      <c r="D9077" t="str">
        <f>"0273-0979"</f>
        <v>0273-0979</v>
      </c>
      <c r="E9077" t="s">
        <v>8</v>
      </c>
      <c r="F9077" t="s">
        <v>9083</v>
      </c>
      <c r="G9077">
        <v>1</v>
      </c>
    </row>
    <row r="9078" spans="1:7" x14ac:dyDescent="0.25">
      <c r="A9078">
        <v>30</v>
      </c>
      <c r="B9078" t="s">
        <v>8807</v>
      </c>
      <c r="C9078">
        <v>8928</v>
      </c>
      <c r="D9078" t="str">
        <f>"0004-9727"</f>
        <v>0004-9727</v>
      </c>
      <c r="E9078" t="s">
        <v>8</v>
      </c>
      <c r="F9078" t="s">
        <v>9084</v>
      </c>
      <c r="G9078">
        <v>1</v>
      </c>
    </row>
    <row r="9079" spans="1:7" x14ac:dyDescent="0.25">
      <c r="A9079">
        <v>30</v>
      </c>
      <c r="B9079" t="s">
        <v>8807</v>
      </c>
      <c r="C9079">
        <v>9823</v>
      </c>
      <c r="D9079" t="str">
        <f>"1370-1444"</f>
        <v>1370-1444</v>
      </c>
      <c r="E9079" t="s">
        <v>8</v>
      </c>
      <c r="F9079" t="s">
        <v>9085</v>
      </c>
      <c r="G9079">
        <v>1</v>
      </c>
    </row>
    <row r="9080" spans="1:7" x14ac:dyDescent="0.25">
      <c r="A9080">
        <v>30</v>
      </c>
      <c r="B9080" t="s">
        <v>8807</v>
      </c>
      <c r="C9080">
        <v>4140</v>
      </c>
      <c r="D9080" t="str">
        <f>"1678-7544"</f>
        <v>1678-7544</v>
      </c>
      <c r="E9080" t="s">
        <v>8</v>
      </c>
      <c r="F9080" t="s">
        <v>9086</v>
      </c>
      <c r="G9080">
        <v>1</v>
      </c>
    </row>
    <row r="9081" spans="1:7" x14ac:dyDescent="0.25">
      <c r="A9081">
        <v>30</v>
      </c>
      <c r="B9081" t="s">
        <v>8807</v>
      </c>
      <c r="C9081">
        <v>121029</v>
      </c>
      <c r="D9081" t="str">
        <f>"1015-8634"</f>
        <v>1015-8634</v>
      </c>
      <c r="E9081" t="s">
        <v>8</v>
      </c>
      <c r="F9081" t="s">
        <v>9087</v>
      </c>
      <c r="G9081">
        <v>1</v>
      </c>
    </row>
    <row r="9082" spans="1:7" x14ac:dyDescent="0.25">
      <c r="A9082">
        <v>30</v>
      </c>
      <c r="B9082" t="s">
        <v>8807</v>
      </c>
      <c r="C9082">
        <v>5730</v>
      </c>
      <c r="D9082" t="str">
        <f>"0024-6093"</f>
        <v>0024-6093</v>
      </c>
      <c r="E9082" t="s">
        <v>8</v>
      </c>
      <c r="F9082" t="s">
        <v>9088</v>
      </c>
      <c r="G9082">
        <v>1</v>
      </c>
    </row>
    <row r="9083" spans="1:7" x14ac:dyDescent="0.25">
      <c r="A9083">
        <v>30</v>
      </c>
      <c r="B9083" t="s">
        <v>8807</v>
      </c>
      <c r="C9083">
        <v>15358</v>
      </c>
      <c r="D9083" t="str">
        <f>"1245-530X"</f>
        <v>1245-530X</v>
      </c>
      <c r="E9083" t="s">
        <v>8</v>
      </c>
      <c r="F9083" t="s">
        <v>9089</v>
      </c>
      <c r="G9083">
        <v>1</v>
      </c>
    </row>
    <row r="9084" spans="1:7" x14ac:dyDescent="0.25">
      <c r="A9084">
        <v>30</v>
      </c>
      <c r="B9084" t="s">
        <v>8807</v>
      </c>
      <c r="C9084">
        <v>16717</v>
      </c>
      <c r="D9084" t="str">
        <f>"0008-0624"</f>
        <v>0008-0624</v>
      </c>
      <c r="E9084" t="s">
        <v>8</v>
      </c>
      <c r="F9084" t="s">
        <v>9090</v>
      </c>
      <c r="G9084">
        <v>1</v>
      </c>
    </row>
    <row r="9085" spans="1:7" x14ac:dyDescent="0.25">
      <c r="A9085">
        <v>30</v>
      </c>
      <c r="B9085" t="s">
        <v>8807</v>
      </c>
      <c r="C9085">
        <v>19315</v>
      </c>
      <c r="D9085" t="str">
        <f>"0008-0683"</f>
        <v>0008-0683</v>
      </c>
      <c r="E9085" t="s">
        <v>8</v>
      </c>
      <c r="F9085" t="s">
        <v>9091</v>
      </c>
      <c r="G9085">
        <v>1</v>
      </c>
    </row>
    <row r="9086" spans="1:7" x14ac:dyDescent="0.25">
      <c r="A9086">
        <v>30</v>
      </c>
      <c r="B9086" t="s">
        <v>8807</v>
      </c>
      <c r="C9086">
        <v>5732</v>
      </c>
      <c r="D9086" t="str">
        <f>"0950-6330"</f>
        <v>0950-6330</v>
      </c>
      <c r="E9086" t="s">
        <v>15</v>
      </c>
      <c r="F9086" t="s">
        <v>9092</v>
      </c>
      <c r="G9086">
        <v>1</v>
      </c>
    </row>
    <row r="9087" spans="1:7" x14ac:dyDescent="0.25">
      <c r="A9087">
        <v>30</v>
      </c>
      <c r="B9087" t="s">
        <v>8807</v>
      </c>
      <c r="C9087">
        <v>14590</v>
      </c>
      <c r="D9087" t="str">
        <f>"0008-414X"</f>
        <v>0008-414X</v>
      </c>
      <c r="E9087" t="s">
        <v>8</v>
      </c>
      <c r="F9087" t="s">
        <v>9093</v>
      </c>
      <c r="G9087">
        <v>1</v>
      </c>
    </row>
    <row r="9088" spans="1:7" x14ac:dyDescent="0.25">
      <c r="A9088">
        <v>30</v>
      </c>
      <c r="B9088" t="s">
        <v>8807</v>
      </c>
      <c r="C9088">
        <v>15843</v>
      </c>
      <c r="D9088" t="str">
        <f>"0319-5724"</f>
        <v>0319-5724</v>
      </c>
      <c r="E9088" t="s">
        <v>8</v>
      </c>
      <c r="F9088" t="s">
        <v>9094</v>
      </c>
      <c r="G9088">
        <v>1</v>
      </c>
    </row>
    <row r="9089" spans="1:7" x14ac:dyDescent="0.25">
      <c r="A9089">
        <v>30</v>
      </c>
      <c r="B9089" t="s">
        <v>8807</v>
      </c>
      <c r="C9089">
        <v>10785</v>
      </c>
      <c r="D9089" t="str">
        <f>"0008-4395"</f>
        <v>0008-4395</v>
      </c>
      <c r="E9089" t="s">
        <v>8</v>
      </c>
      <c r="F9089" t="s">
        <v>9095</v>
      </c>
      <c r="G9089">
        <v>1</v>
      </c>
    </row>
    <row r="9090" spans="1:7" x14ac:dyDescent="0.25">
      <c r="A9090">
        <v>30</v>
      </c>
      <c r="B9090" t="s">
        <v>8807</v>
      </c>
      <c r="C9090">
        <v>24304</v>
      </c>
      <c r="D9090" t="str">
        <f>"1895-1074"</f>
        <v>1895-1074</v>
      </c>
      <c r="E9090" t="s">
        <v>8</v>
      </c>
      <c r="F9090" t="s">
        <v>9096</v>
      </c>
      <c r="G9090">
        <v>1</v>
      </c>
    </row>
    <row r="9091" spans="1:7" x14ac:dyDescent="0.25">
      <c r="A9091">
        <v>30</v>
      </c>
      <c r="B9091" t="s">
        <v>8807</v>
      </c>
      <c r="C9091">
        <v>3445</v>
      </c>
      <c r="D9091" t="str">
        <f>"0933-2480"</f>
        <v>0933-2480</v>
      </c>
      <c r="E9091" t="s">
        <v>8</v>
      </c>
      <c r="F9091" t="s">
        <v>9097</v>
      </c>
      <c r="G9091">
        <v>1</v>
      </c>
    </row>
    <row r="9092" spans="1:7" x14ac:dyDescent="0.25">
      <c r="A9092">
        <v>30</v>
      </c>
      <c r="B9092" t="s">
        <v>8807</v>
      </c>
      <c r="C9092">
        <v>6790</v>
      </c>
      <c r="D9092" t="str">
        <f>"0960-0779"</f>
        <v>0960-0779</v>
      </c>
      <c r="E9092" t="s">
        <v>8</v>
      </c>
      <c r="F9092" t="s">
        <v>9098</v>
      </c>
      <c r="G9092">
        <v>1</v>
      </c>
    </row>
    <row r="9093" spans="1:7" x14ac:dyDescent="0.25">
      <c r="A9093">
        <v>30</v>
      </c>
      <c r="B9093" t="s">
        <v>8807</v>
      </c>
      <c r="C9093">
        <v>8783474</v>
      </c>
      <c r="E9093" t="s">
        <v>15</v>
      </c>
      <c r="F9093" t="s">
        <v>9099</v>
      </c>
      <c r="G9093">
        <v>1</v>
      </c>
    </row>
    <row r="9094" spans="1:7" x14ac:dyDescent="0.25">
      <c r="A9094">
        <v>30</v>
      </c>
      <c r="B9094" t="s">
        <v>8807</v>
      </c>
      <c r="C9094">
        <v>8783475</v>
      </c>
      <c r="E9094" t="s">
        <v>15</v>
      </c>
      <c r="F9094" t="s">
        <v>9100</v>
      </c>
      <c r="G9094">
        <v>1</v>
      </c>
    </row>
    <row r="9095" spans="1:7" x14ac:dyDescent="0.25">
      <c r="A9095">
        <v>30</v>
      </c>
      <c r="B9095" t="s">
        <v>8807</v>
      </c>
      <c r="C9095">
        <v>8884</v>
      </c>
      <c r="D9095" t="str">
        <f>"0252-9599"</f>
        <v>0252-9599</v>
      </c>
      <c r="E9095" t="s">
        <v>8</v>
      </c>
      <c r="F9095" t="s">
        <v>9101</v>
      </c>
      <c r="G9095">
        <v>1</v>
      </c>
    </row>
    <row r="9096" spans="1:7" x14ac:dyDescent="0.25">
      <c r="A9096">
        <v>30</v>
      </c>
      <c r="B9096" t="s">
        <v>8807</v>
      </c>
      <c r="C9096">
        <v>20926</v>
      </c>
      <c r="D9096" t="str">
        <f>"0898-5111"</f>
        <v>0898-5111</v>
      </c>
      <c r="E9096" t="s">
        <v>8</v>
      </c>
      <c r="F9096" t="s">
        <v>9102</v>
      </c>
      <c r="G9096">
        <v>1</v>
      </c>
    </row>
    <row r="9097" spans="1:7" x14ac:dyDescent="0.25">
      <c r="A9097">
        <v>30</v>
      </c>
      <c r="B9097" t="s">
        <v>8807</v>
      </c>
      <c r="C9097">
        <v>21979</v>
      </c>
      <c r="D9097" t="str">
        <f>"0009-725X "</f>
        <v xml:space="preserve">0009-725X </v>
      </c>
      <c r="E9097" t="s">
        <v>8</v>
      </c>
      <c r="F9097" t="s">
        <v>9103</v>
      </c>
      <c r="G9097">
        <v>1</v>
      </c>
    </row>
    <row r="9098" spans="1:7" x14ac:dyDescent="0.25">
      <c r="A9098">
        <v>30</v>
      </c>
      <c r="B9098" t="s">
        <v>8807</v>
      </c>
      <c r="C9098">
        <v>16354</v>
      </c>
      <c r="D9098" t="str">
        <f>"0010-0757"</f>
        <v>0010-0757</v>
      </c>
      <c r="E9098" t="s">
        <v>8</v>
      </c>
      <c r="F9098" t="s">
        <v>9104</v>
      </c>
      <c r="G9098">
        <v>1</v>
      </c>
    </row>
    <row r="9099" spans="1:7" x14ac:dyDescent="0.25">
      <c r="A9099">
        <v>30</v>
      </c>
      <c r="B9099" t="s">
        <v>8807</v>
      </c>
      <c r="C9099">
        <v>13696</v>
      </c>
      <c r="D9099" t="str">
        <f>"0746-8342"</f>
        <v>0746-8342</v>
      </c>
      <c r="E9099" t="s">
        <v>8</v>
      </c>
      <c r="F9099" t="s">
        <v>9105</v>
      </c>
      <c r="G9099">
        <v>1</v>
      </c>
    </row>
    <row r="9100" spans="1:7" x14ac:dyDescent="0.25">
      <c r="A9100">
        <v>30</v>
      </c>
      <c r="B9100" t="s">
        <v>8807</v>
      </c>
      <c r="C9100">
        <v>6889</v>
      </c>
      <c r="D9100" t="str">
        <f>"0010-1354"</f>
        <v>0010-1354</v>
      </c>
      <c r="E9100" t="s">
        <v>8</v>
      </c>
      <c r="F9100" t="s">
        <v>9106</v>
      </c>
      <c r="G9100">
        <v>1</v>
      </c>
    </row>
    <row r="9101" spans="1:7" x14ac:dyDescent="0.25">
      <c r="A9101">
        <v>30</v>
      </c>
      <c r="B9101" t="s">
        <v>8807</v>
      </c>
      <c r="C9101">
        <v>26482</v>
      </c>
      <c r="D9101" t="str">
        <f>"0010-2628"</f>
        <v>0010-2628</v>
      </c>
      <c r="E9101" t="s">
        <v>8</v>
      </c>
      <c r="F9101" t="s">
        <v>9107</v>
      </c>
      <c r="G9101">
        <v>1</v>
      </c>
    </row>
    <row r="9102" spans="1:7" x14ac:dyDescent="0.25">
      <c r="A9102">
        <v>30</v>
      </c>
      <c r="B9102" t="s">
        <v>8807</v>
      </c>
      <c r="C9102">
        <v>10628</v>
      </c>
      <c r="D9102" t="str">
        <f>"0092-7872"</f>
        <v>0092-7872</v>
      </c>
      <c r="E9102" t="s">
        <v>8</v>
      </c>
      <c r="F9102" t="s">
        <v>9108</v>
      </c>
      <c r="G9102">
        <v>1</v>
      </c>
    </row>
    <row r="9103" spans="1:7" x14ac:dyDescent="0.25">
      <c r="A9103">
        <v>30</v>
      </c>
      <c r="B9103" t="s">
        <v>8807</v>
      </c>
      <c r="C9103">
        <v>6410</v>
      </c>
      <c r="D9103" t="str">
        <f>"1539-6746"</f>
        <v>1539-6746</v>
      </c>
      <c r="E9103" t="s">
        <v>8</v>
      </c>
      <c r="F9103" t="s">
        <v>9109</v>
      </c>
      <c r="G9103">
        <v>1</v>
      </c>
    </row>
    <row r="9104" spans="1:7" x14ac:dyDescent="0.25">
      <c r="A9104">
        <v>30</v>
      </c>
      <c r="B9104" t="s">
        <v>8807</v>
      </c>
      <c r="C9104">
        <v>1307</v>
      </c>
      <c r="D9104" t="str">
        <f>"1007-5704"</f>
        <v>1007-5704</v>
      </c>
      <c r="E9104" t="s">
        <v>8</v>
      </c>
      <c r="F9104" t="s">
        <v>9110</v>
      </c>
      <c r="G9104">
        <v>1</v>
      </c>
    </row>
    <row r="9105" spans="1:7" x14ac:dyDescent="0.25">
      <c r="A9105">
        <v>30</v>
      </c>
      <c r="B9105" t="s">
        <v>8807</v>
      </c>
      <c r="C9105">
        <v>11676</v>
      </c>
      <c r="D9105" t="str">
        <f>"1931-4523"</f>
        <v>1931-4523</v>
      </c>
      <c r="E9105" t="s">
        <v>8</v>
      </c>
      <c r="F9105" t="s">
        <v>9111</v>
      </c>
      <c r="G9105">
        <v>1</v>
      </c>
    </row>
    <row r="9106" spans="1:7" x14ac:dyDescent="0.25">
      <c r="A9106">
        <v>30</v>
      </c>
      <c r="B9106" t="s">
        <v>8807</v>
      </c>
      <c r="C9106">
        <v>349</v>
      </c>
      <c r="D9106" t="str">
        <f>"0361-0918"</f>
        <v>0361-0918</v>
      </c>
      <c r="E9106" t="s">
        <v>8</v>
      </c>
      <c r="F9106" t="s">
        <v>9112</v>
      </c>
      <c r="G9106">
        <v>1</v>
      </c>
    </row>
    <row r="9107" spans="1:7" x14ac:dyDescent="0.25">
      <c r="A9107">
        <v>30</v>
      </c>
      <c r="B9107" t="s">
        <v>8807</v>
      </c>
      <c r="C9107">
        <v>6259</v>
      </c>
      <c r="D9107" t="str">
        <f>"0361-0926"</f>
        <v>0361-0926</v>
      </c>
      <c r="E9107" t="s">
        <v>8</v>
      </c>
      <c r="F9107" t="s">
        <v>9113</v>
      </c>
      <c r="G9107">
        <v>1</v>
      </c>
    </row>
    <row r="9108" spans="1:7" x14ac:dyDescent="0.25">
      <c r="A9108">
        <v>30</v>
      </c>
      <c r="B9108" t="s">
        <v>8807</v>
      </c>
      <c r="C9108">
        <v>14041</v>
      </c>
      <c r="D9108" t="str">
        <f>"1074-133X"</f>
        <v>1074-133X</v>
      </c>
      <c r="E9108" t="s">
        <v>8</v>
      </c>
      <c r="F9108" t="s">
        <v>9114</v>
      </c>
      <c r="G9108">
        <v>1</v>
      </c>
    </row>
    <row r="9109" spans="1:7" x14ac:dyDescent="0.25">
      <c r="A9109">
        <v>30</v>
      </c>
      <c r="B9109" t="s">
        <v>8807</v>
      </c>
      <c r="C9109">
        <v>15090</v>
      </c>
      <c r="D9109" t="str">
        <f>"1534-0392"</f>
        <v>1534-0392</v>
      </c>
      <c r="E9109" t="s">
        <v>8</v>
      </c>
      <c r="F9109" t="s">
        <v>9115</v>
      </c>
      <c r="G9109">
        <v>1</v>
      </c>
    </row>
    <row r="9110" spans="1:7" x14ac:dyDescent="0.25">
      <c r="A9110">
        <v>30</v>
      </c>
      <c r="B9110" t="s">
        <v>8807</v>
      </c>
      <c r="C9110">
        <v>12395</v>
      </c>
      <c r="D9110" t="str">
        <f>"1661-8254"</f>
        <v>1661-8254</v>
      </c>
      <c r="E9110" t="s">
        <v>8</v>
      </c>
      <c r="F9110" t="s">
        <v>9116</v>
      </c>
      <c r="G9110">
        <v>1</v>
      </c>
    </row>
    <row r="9111" spans="1:7" x14ac:dyDescent="0.25">
      <c r="A9111">
        <v>30</v>
      </c>
      <c r="B9111" t="s">
        <v>8807</v>
      </c>
      <c r="C9111">
        <v>8780701</v>
      </c>
      <c r="E9111" t="s">
        <v>8</v>
      </c>
      <c r="F9111" t="s">
        <v>9117</v>
      </c>
      <c r="G9111">
        <v>1</v>
      </c>
    </row>
    <row r="9112" spans="1:7" x14ac:dyDescent="0.25">
      <c r="A9112">
        <v>30</v>
      </c>
      <c r="B9112" t="s">
        <v>8807</v>
      </c>
      <c r="C9112">
        <v>4056</v>
      </c>
      <c r="D9112" t="str">
        <f>"1631-073X"</f>
        <v>1631-073X</v>
      </c>
      <c r="E9112" t="s">
        <v>8</v>
      </c>
      <c r="F9112" t="s">
        <v>9118</v>
      </c>
      <c r="G9112">
        <v>1</v>
      </c>
    </row>
    <row r="9113" spans="1:7" x14ac:dyDescent="0.25">
      <c r="A9113">
        <v>30</v>
      </c>
      <c r="B9113" t="s">
        <v>8807</v>
      </c>
      <c r="C9113">
        <v>14748</v>
      </c>
      <c r="D9113" t="str">
        <f>"1631-0721"</f>
        <v>1631-0721</v>
      </c>
      <c r="E9113" t="s">
        <v>8</v>
      </c>
      <c r="F9113" t="s">
        <v>9119</v>
      </c>
      <c r="G9113">
        <v>1</v>
      </c>
    </row>
    <row r="9114" spans="1:7" x14ac:dyDescent="0.25">
      <c r="A9114">
        <v>30</v>
      </c>
      <c r="B9114" t="s">
        <v>8807</v>
      </c>
      <c r="C9114">
        <v>5264</v>
      </c>
      <c r="D9114" t="str">
        <f>"1381-298X"</f>
        <v>1381-298X</v>
      </c>
      <c r="E9114" t="s">
        <v>8</v>
      </c>
      <c r="F9114" t="s">
        <v>9120</v>
      </c>
      <c r="G9114">
        <v>1</v>
      </c>
    </row>
    <row r="9115" spans="1:7" x14ac:dyDescent="0.25">
      <c r="A9115">
        <v>30</v>
      </c>
      <c r="B9115" t="s">
        <v>8807</v>
      </c>
      <c r="C9115">
        <v>7081</v>
      </c>
      <c r="D9115" t="str">
        <f>"0101-8205"</f>
        <v>0101-8205</v>
      </c>
      <c r="E9115" t="s">
        <v>8</v>
      </c>
      <c r="F9115" t="s">
        <v>9121</v>
      </c>
      <c r="G9115">
        <v>1</v>
      </c>
    </row>
    <row r="9116" spans="1:7" x14ac:dyDescent="0.25">
      <c r="A9116">
        <v>30</v>
      </c>
      <c r="B9116" t="s">
        <v>8807</v>
      </c>
      <c r="C9116">
        <v>24506</v>
      </c>
      <c r="D9116" t="str">
        <f>"1687-5265"</f>
        <v>1687-5265</v>
      </c>
      <c r="E9116" t="s">
        <v>8</v>
      </c>
      <c r="F9116" t="s">
        <v>9122</v>
      </c>
      <c r="G9116">
        <v>1</v>
      </c>
    </row>
    <row r="9117" spans="1:7" x14ac:dyDescent="0.25">
      <c r="A9117">
        <v>30</v>
      </c>
      <c r="B9117" t="s">
        <v>8807</v>
      </c>
      <c r="C9117">
        <v>20381</v>
      </c>
      <c r="D9117" t="str">
        <f>"1619-697X"</f>
        <v>1619-697X</v>
      </c>
      <c r="E9117" t="s">
        <v>8</v>
      </c>
      <c r="F9117" t="s">
        <v>9123</v>
      </c>
      <c r="G9117">
        <v>1</v>
      </c>
    </row>
    <row r="9118" spans="1:7" x14ac:dyDescent="0.25">
      <c r="A9118">
        <v>30</v>
      </c>
      <c r="B9118" t="s">
        <v>8807</v>
      </c>
      <c r="C9118">
        <v>11443</v>
      </c>
      <c r="D9118" t="str">
        <f>"0965-5425"</f>
        <v>0965-5425</v>
      </c>
      <c r="E9118" t="s">
        <v>8</v>
      </c>
      <c r="F9118" t="s">
        <v>9124</v>
      </c>
      <c r="G9118">
        <v>1</v>
      </c>
    </row>
    <row r="9119" spans="1:7" x14ac:dyDescent="0.25">
      <c r="A9119">
        <v>30</v>
      </c>
      <c r="B9119" t="s">
        <v>8807</v>
      </c>
      <c r="C9119">
        <v>12297</v>
      </c>
      <c r="D9119" t="str">
        <f>"1046-283X"</f>
        <v>1046-283X</v>
      </c>
      <c r="E9119" t="s">
        <v>8</v>
      </c>
      <c r="F9119" t="s">
        <v>9125</v>
      </c>
      <c r="G9119">
        <v>1</v>
      </c>
    </row>
    <row r="9120" spans="1:7" x14ac:dyDescent="0.25">
      <c r="A9120">
        <v>30</v>
      </c>
      <c r="B9120" t="s">
        <v>8807</v>
      </c>
      <c r="C9120">
        <v>10725</v>
      </c>
      <c r="D9120" t="str">
        <f>"1617-9447"</f>
        <v>1617-9447</v>
      </c>
      <c r="E9120" t="s">
        <v>8</v>
      </c>
      <c r="F9120" t="s">
        <v>9126</v>
      </c>
      <c r="G9120">
        <v>1</v>
      </c>
    </row>
    <row r="9121" spans="1:7" x14ac:dyDescent="0.25">
      <c r="A9121">
        <v>30</v>
      </c>
      <c r="B9121" t="s">
        <v>8807</v>
      </c>
      <c r="C9121">
        <v>96811</v>
      </c>
      <c r="D9121" t="str">
        <f>"1609-4840"</f>
        <v>1609-4840</v>
      </c>
      <c r="E9121" t="s">
        <v>8</v>
      </c>
      <c r="F9121" t="s">
        <v>9127</v>
      </c>
      <c r="G9121">
        <v>1</v>
      </c>
    </row>
    <row r="9122" spans="1:7" x14ac:dyDescent="0.25">
      <c r="A9122">
        <v>30</v>
      </c>
      <c r="B9122" t="s">
        <v>8807</v>
      </c>
      <c r="C9122">
        <v>14556</v>
      </c>
      <c r="D9122" t="str">
        <f>"0926-6003"</f>
        <v>0926-6003</v>
      </c>
      <c r="E9122" t="s">
        <v>8</v>
      </c>
      <c r="F9122" t="s">
        <v>9128</v>
      </c>
      <c r="G9122">
        <v>1</v>
      </c>
    </row>
    <row r="9123" spans="1:7" x14ac:dyDescent="0.25">
      <c r="A9123">
        <v>30</v>
      </c>
      <c r="B9123" t="s">
        <v>8807</v>
      </c>
      <c r="C9123">
        <v>11449</v>
      </c>
      <c r="D9123" t="str">
        <f>"0167-9473"</f>
        <v>0167-9473</v>
      </c>
      <c r="E9123" t="s">
        <v>8</v>
      </c>
      <c r="F9123" t="s">
        <v>9129</v>
      </c>
      <c r="G9123">
        <v>1</v>
      </c>
    </row>
    <row r="9124" spans="1:7" x14ac:dyDescent="0.25">
      <c r="A9124">
        <v>30</v>
      </c>
      <c r="B9124" t="s">
        <v>8807</v>
      </c>
      <c r="C9124">
        <v>918</v>
      </c>
      <c r="D9124" t="str">
        <f>"1526-1492"</f>
        <v>1526-1492</v>
      </c>
      <c r="E9124" t="s">
        <v>8</v>
      </c>
      <c r="F9124" t="s">
        <v>9130</v>
      </c>
      <c r="G9124">
        <v>1</v>
      </c>
    </row>
    <row r="9125" spans="1:7" x14ac:dyDescent="0.25">
      <c r="A9125">
        <v>30</v>
      </c>
      <c r="B9125" t="s">
        <v>8807</v>
      </c>
      <c r="C9125">
        <v>170413</v>
      </c>
      <c r="E9125" t="s">
        <v>15</v>
      </c>
      <c r="F9125" t="s">
        <v>9131</v>
      </c>
      <c r="G9125">
        <v>1</v>
      </c>
    </row>
    <row r="9126" spans="1:7" x14ac:dyDescent="0.25">
      <c r="A9126">
        <v>30</v>
      </c>
      <c r="B9126" t="s">
        <v>8807</v>
      </c>
      <c r="C9126">
        <v>5397</v>
      </c>
      <c r="D9126" t="str">
        <f>"0898-1221"</f>
        <v>0898-1221</v>
      </c>
      <c r="E9126" t="s">
        <v>8</v>
      </c>
      <c r="F9126" t="s">
        <v>9132</v>
      </c>
      <c r="G9126">
        <v>1</v>
      </c>
    </row>
    <row r="9127" spans="1:7" x14ac:dyDescent="0.25">
      <c r="A9127">
        <v>30</v>
      </c>
      <c r="B9127" t="s">
        <v>8807</v>
      </c>
      <c r="C9127">
        <v>15228</v>
      </c>
      <c r="D9127" t="str">
        <f>"1432-9360"</f>
        <v>1432-9360</v>
      </c>
      <c r="E9127" t="s">
        <v>8</v>
      </c>
      <c r="F9127" t="s">
        <v>9133</v>
      </c>
      <c r="G9127">
        <v>1</v>
      </c>
    </row>
    <row r="9128" spans="1:7" x14ac:dyDescent="0.25">
      <c r="A9128">
        <v>30</v>
      </c>
      <c r="B9128" t="s">
        <v>8807</v>
      </c>
      <c r="C9128">
        <v>6432</v>
      </c>
      <c r="E9128" t="s">
        <v>8</v>
      </c>
      <c r="F9128" t="s">
        <v>9134</v>
      </c>
      <c r="G9128">
        <v>1</v>
      </c>
    </row>
    <row r="9129" spans="1:7" x14ac:dyDescent="0.25">
      <c r="A9129">
        <v>30</v>
      </c>
      <c r="B9129" t="s">
        <v>8807</v>
      </c>
      <c r="C9129">
        <v>5020007</v>
      </c>
      <c r="E9129" t="s">
        <v>2100</v>
      </c>
      <c r="F9129" t="s">
        <v>9135</v>
      </c>
      <c r="G9129">
        <v>1</v>
      </c>
    </row>
    <row r="9130" spans="1:7" x14ac:dyDescent="0.25">
      <c r="A9130">
        <v>30</v>
      </c>
      <c r="B9130" t="s">
        <v>8807</v>
      </c>
      <c r="C9130">
        <v>13295</v>
      </c>
      <c r="D9130" t="str">
        <f>"1551-7144"</f>
        <v>1551-7144</v>
      </c>
      <c r="E9130" t="s">
        <v>8</v>
      </c>
      <c r="F9130" t="s">
        <v>9136</v>
      </c>
      <c r="G9130">
        <v>1</v>
      </c>
    </row>
    <row r="9131" spans="1:7" x14ac:dyDescent="0.25">
      <c r="A9131">
        <v>30</v>
      </c>
      <c r="B9131" t="s">
        <v>8807</v>
      </c>
      <c r="C9131">
        <v>4980</v>
      </c>
      <c r="D9131" t="str">
        <f>"0271-4132"</f>
        <v>0271-4132</v>
      </c>
      <c r="E9131" t="s">
        <v>15</v>
      </c>
      <c r="F9131" t="s">
        <v>9137</v>
      </c>
      <c r="G9131">
        <v>1</v>
      </c>
    </row>
    <row r="9132" spans="1:7" x14ac:dyDescent="0.25">
      <c r="A9132">
        <v>30</v>
      </c>
      <c r="B9132" t="s">
        <v>8807</v>
      </c>
      <c r="C9132">
        <v>170344</v>
      </c>
      <c r="D9132" t="str">
        <f>"1431-1968"</f>
        <v>1431-1968</v>
      </c>
      <c r="E9132" t="s">
        <v>15</v>
      </c>
      <c r="F9132" t="s">
        <v>9138</v>
      </c>
      <c r="G9132">
        <v>1</v>
      </c>
    </row>
    <row r="9133" spans="1:7" x14ac:dyDescent="0.25">
      <c r="A9133">
        <v>30</v>
      </c>
      <c r="B9133" t="s">
        <v>8807</v>
      </c>
      <c r="C9133">
        <v>170412</v>
      </c>
      <c r="E9133" t="s">
        <v>15</v>
      </c>
      <c r="F9133" t="s">
        <v>9139</v>
      </c>
      <c r="G9133">
        <v>1</v>
      </c>
    </row>
    <row r="9134" spans="1:7" x14ac:dyDescent="0.25">
      <c r="A9134">
        <v>30</v>
      </c>
      <c r="B9134" t="s">
        <v>8807</v>
      </c>
      <c r="C9134">
        <v>6078907</v>
      </c>
      <c r="D9134" t="str">
        <f>"1936-2447"</f>
        <v>1936-2447</v>
      </c>
      <c r="E9134" t="s">
        <v>8</v>
      </c>
      <c r="F9134" t="s">
        <v>9140</v>
      </c>
      <c r="G9134">
        <v>1</v>
      </c>
    </row>
    <row r="9135" spans="1:7" x14ac:dyDescent="0.25">
      <c r="A9135">
        <v>30</v>
      </c>
      <c r="B9135" t="s">
        <v>8807</v>
      </c>
      <c r="C9135">
        <v>7856</v>
      </c>
      <c r="D9135" t="str">
        <f>"0161-1194"</f>
        <v>0161-1194</v>
      </c>
      <c r="E9135" t="s">
        <v>8</v>
      </c>
      <c r="F9135" t="s">
        <v>9141</v>
      </c>
      <c r="G9135">
        <v>1</v>
      </c>
    </row>
    <row r="9136" spans="1:7" x14ac:dyDescent="0.25">
      <c r="A9136">
        <v>30</v>
      </c>
      <c r="B9136" t="s">
        <v>8807</v>
      </c>
      <c r="C9136">
        <v>60068</v>
      </c>
      <c r="D9136" t="str">
        <f>"0716-7776"</f>
        <v>0716-7776</v>
      </c>
      <c r="E9136" t="s">
        <v>8</v>
      </c>
      <c r="F9136" t="s">
        <v>9142</v>
      </c>
      <c r="G9136">
        <v>1</v>
      </c>
    </row>
    <row r="9137" spans="1:7" x14ac:dyDescent="0.25">
      <c r="A9137">
        <v>30</v>
      </c>
      <c r="B9137" t="s">
        <v>8807</v>
      </c>
      <c r="C9137">
        <v>4867</v>
      </c>
      <c r="D9137" t="str">
        <f>"0011-4642"</f>
        <v>0011-4642</v>
      </c>
      <c r="E9137" t="s">
        <v>8</v>
      </c>
      <c r="F9137" t="s">
        <v>9143</v>
      </c>
      <c r="G9137">
        <v>1</v>
      </c>
    </row>
    <row r="9138" spans="1:7" x14ac:dyDescent="0.25">
      <c r="A9138">
        <v>30</v>
      </c>
      <c r="B9138" t="s">
        <v>8807</v>
      </c>
      <c r="C9138">
        <v>12616</v>
      </c>
      <c r="D9138" t="str">
        <f>"1435-9871"</f>
        <v>1435-9871</v>
      </c>
      <c r="E9138" t="s">
        <v>8</v>
      </c>
      <c r="F9138" t="s">
        <v>9144</v>
      </c>
      <c r="G9138">
        <v>1</v>
      </c>
    </row>
    <row r="9139" spans="1:7" x14ac:dyDescent="0.25">
      <c r="A9139">
        <v>30</v>
      </c>
      <c r="B9139" t="s">
        <v>8807</v>
      </c>
      <c r="C9139">
        <v>8483</v>
      </c>
      <c r="D9139" t="str">
        <f>"0420-1213"</f>
        <v>0420-1213</v>
      </c>
      <c r="E9139" t="s">
        <v>8</v>
      </c>
      <c r="F9139" t="s">
        <v>9145</v>
      </c>
      <c r="G9139">
        <v>1</v>
      </c>
    </row>
    <row r="9140" spans="1:7" x14ac:dyDescent="0.25">
      <c r="A9140">
        <v>30</v>
      </c>
      <c r="B9140" t="s">
        <v>8807</v>
      </c>
      <c r="C9140">
        <v>15482</v>
      </c>
      <c r="D9140" t="str">
        <f>"0012-2661"</f>
        <v>0012-2661</v>
      </c>
      <c r="E9140" t="s">
        <v>8</v>
      </c>
      <c r="F9140" t="s">
        <v>9146</v>
      </c>
      <c r="G9140">
        <v>1</v>
      </c>
    </row>
    <row r="9141" spans="1:7" x14ac:dyDescent="0.25">
      <c r="A9141">
        <v>30</v>
      </c>
      <c r="B9141" t="s">
        <v>8807</v>
      </c>
      <c r="C9141">
        <v>11330</v>
      </c>
      <c r="E9141" t="s">
        <v>8</v>
      </c>
      <c r="F9141" t="s">
        <v>9147</v>
      </c>
      <c r="G9141">
        <v>1</v>
      </c>
    </row>
    <row r="9142" spans="1:7" x14ac:dyDescent="0.25">
      <c r="A9142">
        <v>30</v>
      </c>
      <c r="B9142" t="s">
        <v>8807</v>
      </c>
      <c r="C9142">
        <v>13910</v>
      </c>
      <c r="D9142" t="str">
        <f>"0926-2245"</f>
        <v>0926-2245</v>
      </c>
      <c r="E9142" t="s">
        <v>8</v>
      </c>
      <c r="F9142" t="s">
        <v>9148</v>
      </c>
      <c r="G9142">
        <v>1</v>
      </c>
    </row>
    <row r="9143" spans="1:7" x14ac:dyDescent="0.25">
      <c r="A9143">
        <v>30</v>
      </c>
      <c r="B9143" t="s">
        <v>8807</v>
      </c>
      <c r="C9143">
        <v>16364</v>
      </c>
      <c r="D9143" t="str">
        <f>"1078-0947"</f>
        <v>1078-0947</v>
      </c>
      <c r="E9143" t="s">
        <v>8</v>
      </c>
      <c r="F9143" t="s">
        <v>9149</v>
      </c>
      <c r="G9143">
        <v>1</v>
      </c>
    </row>
    <row r="9144" spans="1:7" x14ac:dyDescent="0.25">
      <c r="A9144">
        <v>30</v>
      </c>
      <c r="B9144" t="s">
        <v>8807</v>
      </c>
      <c r="C9144">
        <v>10217</v>
      </c>
      <c r="D9144" t="str">
        <f>"1531-3492"</f>
        <v>1531-3492</v>
      </c>
      <c r="E9144" t="s">
        <v>8</v>
      </c>
      <c r="F9144" t="s">
        <v>9150</v>
      </c>
      <c r="G9144">
        <v>1</v>
      </c>
    </row>
    <row r="9145" spans="1:7" x14ac:dyDescent="0.25">
      <c r="A9145">
        <v>30</v>
      </c>
      <c r="B9145" t="s">
        <v>8807</v>
      </c>
      <c r="C9145">
        <v>8721</v>
      </c>
      <c r="D9145" t="str">
        <f>"0166-218X"</f>
        <v>0166-218X</v>
      </c>
      <c r="E9145" t="s">
        <v>8</v>
      </c>
      <c r="F9145" t="s">
        <v>9151</v>
      </c>
      <c r="G9145">
        <v>1</v>
      </c>
    </row>
    <row r="9146" spans="1:7" x14ac:dyDescent="0.25">
      <c r="A9146">
        <v>30</v>
      </c>
      <c r="B9146" t="s">
        <v>8807</v>
      </c>
      <c r="C9146">
        <v>15948</v>
      </c>
      <c r="D9146" t="str">
        <f>"1026-0226"</f>
        <v>1026-0226</v>
      </c>
      <c r="E9146" t="s">
        <v>8</v>
      </c>
      <c r="F9146" t="s">
        <v>9152</v>
      </c>
      <c r="G9146">
        <v>1</v>
      </c>
    </row>
    <row r="9147" spans="1:7" x14ac:dyDescent="0.25">
      <c r="A9147">
        <v>30</v>
      </c>
      <c r="B9147" t="s">
        <v>8807</v>
      </c>
      <c r="C9147">
        <v>7492</v>
      </c>
      <c r="D9147" t="str">
        <f>"0012-365X"</f>
        <v>0012-365X</v>
      </c>
      <c r="E9147" t="s">
        <v>8</v>
      </c>
      <c r="F9147" t="s">
        <v>9153</v>
      </c>
      <c r="G9147">
        <v>1</v>
      </c>
    </row>
    <row r="9148" spans="1:7" x14ac:dyDescent="0.25">
      <c r="A9148">
        <v>30</v>
      </c>
      <c r="B9148" t="s">
        <v>8807</v>
      </c>
      <c r="C9148">
        <v>16844</v>
      </c>
      <c r="D9148" t="str">
        <f>"1462-7264"</f>
        <v>1462-7264</v>
      </c>
      <c r="E9148" t="s">
        <v>8</v>
      </c>
      <c r="F9148" t="s">
        <v>9154</v>
      </c>
      <c r="G9148">
        <v>1</v>
      </c>
    </row>
    <row r="9149" spans="1:7" x14ac:dyDescent="0.25">
      <c r="A9149">
        <v>30</v>
      </c>
      <c r="B9149" t="s">
        <v>8807</v>
      </c>
      <c r="C9149">
        <v>9771</v>
      </c>
      <c r="D9149" t="str">
        <f>"1572-5286"</f>
        <v>1572-5286</v>
      </c>
      <c r="E9149" t="s">
        <v>8</v>
      </c>
      <c r="F9149" t="s">
        <v>9155</v>
      </c>
      <c r="G9149">
        <v>1</v>
      </c>
    </row>
    <row r="9150" spans="1:7" x14ac:dyDescent="0.25">
      <c r="A9150">
        <v>30</v>
      </c>
      <c r="B9150" t="s">
        <v>8807</v>
      </c>
      <c r="C9150">
        <v>26237</v>
      </c>
      <c r="D9150" t="str">
        <f>"1234-3099"</f>
        <v>1234-3099</v>
      </c>
      <c r="E9150" t="s">
        <v>8</v>
      </c>
      <c r="F9150" t="s">
        <v>9156</v>
      </c>
      <c r="G9150">
        <v>1</v>
      </c>
    </row>
    <row r="9151" spans="1:7" x14ac:dyDescent="0.25">
      <c r="A9151">
        <v>30</v>
      </c>
      <c r="B9151" t="s">
        <v>8807</v>
      </c>
      <c r="C9151">
        <v>6090079</v>
      </c>
      <c r="D9151" t="str">
        <f>"1509-9423"</f>
        <v>1509-9423</v>
      </c>
      <c r="E9151" t="s">
        <v>8</v>
      </c>
      <c r="F9151" t="s">
        <v>9157</v>
      </c>
      <c r="G9151">
        <v>1</v>
      </c>
    </row>
    <row r="9152" spans="1:7" x14ac:dyDescent="0.25">
      <c r="A9152">
        <v>30</v>
      </c>
      <c r="B9152" t="s">
        <v>8807</v>
      </c>
      <c r="C9152">
        <v>17499</v>
      </c>
      <c r="D9152" t="str">
        <f>"0012-3862"</f>
        <v>0012-3862</v>
      </c>
      <c r="E9152" t="s">
        <v>8</v>
      </c>
      <c r="F9152" t="s">
        <v>9158</v>
      </c>
      <c r="G9152">
        <v>1</v>
      </c>
    </row>
    <row r="9153" spans="1:7" x14ac:dyDescent="0.25">
      <c r="A9153">
        <v>30</v>
      </c>
      <c r="B9153" t="s">
        <v>8807</v>
      </c>
      <c r="C9153">
        <v>7564</v>
      </c>
      <c r="D9153" t="str">
        <f>"1064-5624"</f>
        <v>1064-5624</v>
      </c>
      <c r="E9153" t="s">
        <v>8</v>
      </c>
      <c r="F9153" t="s">
        <v>9159</v>
      </c>
      <c r="G9153">
        <v>1</v>
      </c>
    </row>
    <row r="9154" spans="1:7" x14ac:dyDescent="0.25">
      <c r="A9154">
        <v>30</v>
      </c>
      <c r="B9154" t="s">
        <v>8807</v>
      </c>
      <c r="C9154">
        <v>7597</v>
      </c>
      <c r="D9154" t="str">
        <f>"1468-9367"</f>
        <v>1468-9367</v>
      </c>
      <c r="E9154" t="s">
        <v>8</v>
      </c>
      <c r="F9154" t="s">
        <v>9160</v>
      </c>
      <c r="G9154">
        <v>1</v>
      </c>
    </row>
    <row r="9155" spans="1:7" x14ac:dyDescent="0.25">
      <c r="A9155">
        <v>30</v>
      </c>
      <c r="B9155" t="s">
        <v>8807</v>
      </c>
      <c r="C9155">
        <v>7912</v>
      </c>
      <c r="D9155" t="str">
        <f>"1201-3390"</f>
        <v>1201-3390</v>
      </c>
      <c r="E9155" t="s">
        <v>8</v>
      </c>
      <c r="F9155" t="s">
        <v>9161</v>
      </c>
      <c r="G9155">
        <v>1</v>
      </c>
    </row>
    <row r="9156" spans="1:7" x14ac:dyDescent="0.25">
      <c r="A9156">
        <v>30</v>
      </c>
      <c r="B9156" t="s">
        <v>8807</v>
      </c>
      <c r="C9156">
        <v>1892</v>
      </c>
      <c r="D9156" t="str">
        <f>"1548-159X"</f>
        <v>1548-159X</v>
      </c>
      <c r="E9156" t="s">
        <v>8</v>
      </c>
      <c r="F9156" t="s">
        <v>9162</v>
      </c>
      <c r="G9156">
        <v>1</v>
      </c>
    </row>
    <row r="9157" spans="1:7" x14ac:dyDescent="0.25">
      <c r="A9157">
        <v>30</v>
      </c>
      <c r="B9157" t="s">
        <v>8807</v>
      </c>
      <c r="C9157">
        <v>8782508</v>
      </c>
      <c r="D9157" t="str">
        <f>"1983-3156"</f>
        <v>1983-3156</v>
      </c>
      <c r="E9157" t="s">
        <v>8</v>
      </c>
      <c r="F9157" t="s">
        <v>9163</v>
      </c>
      <c r="G9157">
        <v>1</v>
      </c>
    </row>
    <row r="9158" spans="1:7" x14ac:dyDescent="0.25">
      <c r="A9158">
        <v>30</v>
      </c>
      <c r="B9158" t="s">
        <v>8807</v>
      </c>
      <c r="C9158">
        <v>15896</v>
      </c>
      <c r="E9158" t="s">
        <v>8</v>
      </c>
      <c r="F9158" t="s">
        <v>9164</v>
      </c>
      <c r="G9158">
        <v>1</v>
      </c>
    </row>
    <row r="9159" spans="1:7" x14ac:dyDescent="0.25">
      <c r="A9159">
        <v>30</v>
      </c>
      <c r="B9159" t="s">
        <v>8807</v>
      </c>
      <c r="C9159">
        <v>8539</v>
      </c>
      <c r="D9159" t="str">
        <f>"1072-6691"</f>
        <v>1072-6691</v>
      </c>
      <c r="E9159" t="s">
        <v>8</v>
      </c>
      <c r="F9159" t="s">
        <v>9165</v>
      </c>
      <c r="G9159">
        <v>1</v>
      </c>
    </row>
    <row r="9160" spans="1:7" x14ac:dyDescent="0.25">
      <c r="A9160">
        <v>30</v>
      </c>
      <c r="B9160" t="s">
        <v>8807</v>
      </c>
      <c r="C9160">
        <v>7748820</v>
      </c>
      <c r="D9160" t="str">
        <f>"2338-2287"</f>
        <v>2338-2287</v>
      </c>
      <c r="E9160" t="s">
        <v>8</v>
      </c>
      <c r="F9160" t="s">
        <v>9166</v>
      </c>
      <c r="G9160">
        <v>1</v>
      </c>
    </row>
    <row r="9161" spans="1:7" x14ac:dyDescent="0.25">
      <c r="A9161">
        <v>30</v>
      </c>
      <c r="B9161" t="s">
        <v>8807</v>
      </c>
      <c r="C9161">
        <v>5949</v>
      </c>
      <c r="E9161" t="s">
        <v>8</v>
      </c>
      <c r="F9161" t="s">
        <v>9167</v>
      </c>
      <c r="G9161">
        <v>1</v>
      </c>
    </row>
    <row r="9162" spans="1:7" x14ac:dyDescent="0.25">
      <c r="A9162">
        <v>30</v>
      </c>
      <c r="B9162" t="s">
        <v>8807</v>
      </c>
      <c r="C9162">
        <v>14385</v>
      </c>
      <c r="E9162" t="s">
        <v>8</v>
      </c>
      <c r="F9162" t="s">
        <v>9168</v>
      </c>
      <c r="G9162">
        <v>1</v>
      </c>
    </row>
    <row r="9163" spans="1:7" x14ac:dyDescent="0.25">
      <c r="A9163">
        <v>30</v>
      </c>
      <c r="B9163" t="s">
        <v>8807</v>
      </c>
      <c r="C9163">
        <v>84748</v>
      </c>
      <c r="D9163" t="str">
        <f>"1935-9179"</f>
        <v>1935-9179</v>
      </c>
      <c r="E9163" t="s">
        <v>8</v>
      </c>
      <c r="F9163" t="s">
        <v>9169</v>
      </c>
      <c r="G9163">
        <v>1</v>
      </c>
    </row>
    <row r="9164" spans="1:7" x14ac:dyDescent="0.25">
      <c r="A9164">
        <v>30</v>
      </c>
      <c r="B9164" t="s">
        <v>8807</v>
      </c>
      <c r="C9164">
        <v>16977</v>
      </c>
      <c r="D9164" t="str">
        <f>"1068-9613"</f>
        <v>1068-9613</v>
      </c>
      <c r="E9164" t="s">
        <v>8</v>
      </c>
      <c r="F9164" t="s">
        <v>9170</v>
      </c>
      <c r="G9164">
        <v>1</v>
      </c>
    </row>
    <row r="9165" spans="1:7" x14ac:dyDescent="0.25">
      <c r="A9165">
        <v>30</v>
      </c>
      <c r="B9165" t="s">
        <v>8807</v>
      </c>
      <c r="C9165">
        <v>8421</v>
      </c>
      <c r="D9165" t="str">
        <f>"0013-6018"</f>
        <v>0013-6018</v>
      </c>
      <c r="E9165" t="s">
        <v>8</v>
      </c>
      <c r="F9165" t="s">
        <v>9171</v>
      </c>
      <c r="G9165">
        <v>1</v>
      </c>
    </row>
    <row r="9166" spans="1:7" x14ac:dyDescent="0.25">
      <c r="A9166">
        <v>30</v>
      </c>
      <c r="B9166" t="s">
        <v>8807</v>
      </c>
      <c r="C9166">
        <v>8782644</v>
      </c>
      <c r="D9166" t="str">
        <f>"2523-5192"</f>
        <v>2523-5192</v>
      </c>
      <c r="E9166" t="s">
        <v>15</v>
      </c>
      <c r="F9166" t="s">
        <v>9172</v>
      </c>
      <c r="G9166">
        <v>1</v>
      </c>
    </row>
    <row r="9167" spans="1:7" x14ac:dyDescent="0.25">
      <c r="A9167">
        <v>30</v>
      </c>
      <c r="B9167" t="s">
        <v>8807</v>
      </c>
      <c r="C9167">
        <v>8782642</v>
      </c>
      <c r="D9167" t="str">
        <f>"2523-515X"</f>
        <v>2523-515X</v>
      </c>
      <c r="E9167" t="s">
        <v>15</v>
      </c>
      <c r="F9167" t="s">
        <v>9173</v>
      </c>
      <c r="G9167">
        <v>1</v>
      </c>
    </row>
    <row r="9168" spans="1:7" x14ac:dyDescent="0.25">
      <c r="A9168">
        <v>30</v>
      </c>
      <c r="B9168" t="s">
        <v>8807</v>
      </c>
      <c r="C9168">
        <v>8782578</v>
      </c>
      <c r="D9168" t="str">
        <f>"2308-2151"</f>
        <v>2308-2151</v>
      </c>
      <c r="E9168" t="s">
        <v>8</v>
      </c>
      <c r="F9168" t="s">
        <v>9174</v>
      </c>
      <c r="G9168">
        <v>1</v>
      </c>
    </row>
    <row r="9169" spans="1:7" x14ac:dyDescent="0.25">
      <c r="A9169">
        <v>30</v>
      </c>
      <c r="B9169" t="s">
        <v>8807</v>
      </c>
      <c r="C9169">
        <v>8782648</v>
      </c>
      <c r="E9169" t="s">
        <v>15</v>
      </c>
      <c r="F9169" t="s">
        <v>9175</v>
      </c>
      <c r="G9169">
        <v>1</v>
      </c>
    </row>
    <row r="9170" spans="1:7" x14ac:dyDescent="0.25">
      <c r="A9170">
        <v>30</v>
      </c>
      <c r="B9170" t="s">
        <v>8807</v>
      </c>
      <c r="C9170">
        <v>9158</v>
      </c>
      <c r="D9170" t="str">
        <f>"0955-7997"</f>
        <v>0955-7997</v>
      </c>
      <c r="E9170" t="s">
        <v>8</v>
      </c>
      <c r="F9170" t="s">
        <v>9176</v>
      </c>
      <c r="G9170">
        <v>1</v>
      </c>
    </row>
    <row r="9171" spans="1:7" x14ac:dyDescent="0.25">
      <c r="A9171">
        <v>30</v>
      </c>
      <c r="B9171" t="s">
        <v>8807</v>
      </c>
      <c r="C9171">
        <v>15307</v>
      </c>
      <c r="D9171" t="str">
        <f>"1472-8915"</f>
        <v>1472-8915</v>
      </c>
      <c r="E9171" t="s">
        <v>8</v>
      </c>
      <c r="F9171" t="s">
        <v>9177</v>
      </c>
      <c r="G9171">
        <v>1</v>
      </c>
    </row>
    <row r="9172" spans="1:7" x14ac:dyDescent="0.25">
      <c r="A9172">
        <v>30</v>
      </c>
      <c r="B9172" t="s">
        <v>8807</v>
      </c>
      <c r="C9172">
        <v>2030</v>
      </c>
      <c r="E9172" t="s">
        <v>8</v>
      </c>
      <c r="F9172" t="s">
        <v>9178</v>
      </c>
      <c r="G9172">
        <v>1</v>
      </c>
    </row>
    <row r="9173" spans="1:7" x14ac:dyDescent="0.25">
      <c r="A9173">
        <v>30</v>
      </c>
      <c r="B9173" t="s">
        <v>8807</v>
      </c>
      <c r="C9173">
        <v>14343</v>
      </c>
      <c r="D9173" t="str">
        <f>"1180-4009"</f>
        <v>1180-4009</v>
      </c>
      <c r="E9173" t="s">
        <v>8</v>
      </c>
      <c r="F9173" t="s">
        <v>9179</v>
      </c>
      <c r="G9173">
        <v>1</v>
      </c>
    </row>
    <row r="9174" spans="1:7" x14ac:dyDescent="0.25">
      <c r="A9174">
        <v>30</v>
      </c>
      <c r="B9174" t="s">
        <v>8807</v>
      </c>
      <c r="C9174">
        <v>16443</v>
      </c>
      <c r="D9174" t="str">
        <f>"1292-8119"</f>
        <v>1292-8119</v>
      </c>
      <c r="E9174" t="s">
        <v>8</v>
      </c>
      <c r="F9174" t="s">
        <v>9180</v>
      </c>
      <c r="G9174">
        <v>1</v>
      </c>
    </row>
    <row r="9175" spans="1:7" x14ac:dyDescent="0.25">
      <c r="A9175">
        <v>30</v>
      </c>
      <c r="B9175" t="s">
        <v>8807</v>
      </c>
      <c r="C9175">
        <v>4492</v>
      </c>
      <c r="D9175" t="str">
        <f>"0764-583X"</f>
        <v>0764-583X</v>
      </c>
      <c r="E9175" t="s">
        <v>8</v>
      </c>
      <c r="F9175" t="s">
        <v>9181</v>
      </c>
      <c r="G9175">
        <v>1</v>
      </c>
    </row>
    <row r="9176" spans="1:7" x14ac:dyDescent="0.25">
      <c r="A9176">
        <v>30</v>
      </c>
      <c r="B9176" t="s">
        <v>8807</v>
      </c>
      <c r="C9176">
        <v>1369</v>
      </c>
      <c r="D9176" t="str">
        <f>"1292-8100"</f>
        <v>1292-8100</v>
      </c>
      <c r="E9176" t="s">
        <v>8</v>
      </c>
      <c r="F9176" t="s">
        <v>9182</v>
      </c>
      <c r="G9176">
        <v>1</v>
      </c>
    </row>
    <row r="9177" spans="1:7" x14ac:dyDescent="0.25">
      <c r="A9177">
        <v>30</v>
      </c>
      <c r="B9177" t="s">
        <v>8807</v>
      </c>
      <c r="C9177">
        <v>16594</v>
      </c>
      <c r="E9177" t="s">
        <v>8</v>
      </c>
      <c r="F9177" t="s">
        <v>9183</v>
      </c>
      <c r="G9177">
        <v>1</v>
      </c>
    </row>
    <row r="9178" spans="1:7" x14ac:dyDescent="0.25">
      <c r="A9178">
        <v>30</v>
      </c>
      <c r="B9178" t="s">
        <v>8807</v>
      </c>
      <c r="C9178">
        <v>8782645</v>
      </c>
      <c r="E9178" t="s">
        <v>15</v>
      </c>
      <c r="F9178" t="s">
        <v>9184</v>
      </c>
      <c r="G9178">
        <v>1</v>
      </c>
    </row>
    <row r="9179" spans="1:7" x14ac:dyDescent="0.25">
      <c r="A9179">
        <v>30</v>
      </c>
      <c r="B9179" t="s">
        <v>8807</v>
      </c>
      <c r="C9179">
        <v>7720108</v>
      </c>
      <c r="D9179" t="str">
        <f>"2190-9733"</f>
        <v>2190-9733</v>
      </c>
      <c r="E9179" t="s">
        <v>8</v>
      </c>
      <c r="F9179" t="s">
        <v>9185</v>
      </c>
      <c r="G9179">
        <v>1</v>
      </c>
    </row>
    <row r="9180" spans="1:7" x14ac:dyDescent="0.25">
      <c r="A9180">
        <v>30</v>
      </c>
      <c r="B9180" t="s">
        <v>8807</v>
      </c>
      <c r="C9180">
        <v>8782811</v>
      </c>
      <c r="E9180" t="s">
        <v>2100</v>
      </c>
      <c r="F9180" t="s">
        <v>9186</v>
      </c>
      <c r="G9180">
        <v>1</v>
      </c>
    </row>
    <row r="9181" spans="1:7" x14ac:dyDescent="0.25">
      <c r="A9181">
        <v>30</v>
      </c>
      <c r="B9181" t="s">
        <v>8807</v>
      </c>
      <c r="C9181">
        <v>196</v>
      </c>
      <c r="D9181" t="str">
        <f>"0956-7925"</f>
        <v>0956-7925</v>
      </c>
      <c r="E9181" t="s">
        <v>8</v>
      </c>
      <c r="F9181" t="s">
        <v>9187</v>
      </c>
      <c r="G9181">
        <v>1</v>
      </c>
    </row>
    <row r="9182" spans="1:7" x14ac:dyDescent="0.25">
      <c r="A9182">
        <v>30</v>
      </c>
      <c r="B9182" t="s">
        <v>8807</v>
      </c>
      <c r="C9182">
        <v>2599</v>
      </c>
      <c r="D9182" t="str">
        <f>"0195-6698"</f>
        <v>0195-6698</v>
      </c>
      <c r="E9182" t="s">
        <v>8</v>
      </c>
      <c r="F9182" t="s">
        <v>9188</v>
      </c>
      <c r="G9182">
        <v>1</v>
      </c>
    </row>
    <row r="9183" spans="1:7" x14ac:dyDescent="0.25">
      <c r="A9183">
        <v>30</v>
      </c>
      <c r="B9183" t="s">
        <v>8807</v>
      </c>
      <c r="C9183">
        <v>8775643</v>
      </c>
      <c r="D9183" t="str">
        <f>"2199-675X"</f>
        <v>2199-675X</v>
      </c>
      <c r="E9183" t="s">
        <v>8</v>
      </c>
      <c r="F9183" t="s">
        <v>9189</v>
      </c>
      <c r="G9183">
        <v>1</v>
      </c>
    </row>
    <row r="9184" spans="1:7" x14ac:dyDescent="0.25">
      <c r="A9184">
        <v>30</v>
      </c>
      <c r="B9184" t="s">
        <v>8807</v>
      </c>
      <c r="C9184">
        <v>101869</v>
      </c>
      <c r="D9184" t="str">
        <f>"1307-5543"</f>
        <v>1307-5543</v>
      </c>
      <c r="E9184" t="s">
        <v>8</v>
      </c>
      <c r="F9184" t="s">
        <v>9190</v>
      </c>
      <c r="G9184">
        <v>1</v>
      </c>
    </row>
    <row r="9185" spans="1:7" x14ac:dyDescent="0.25">
      <c r="A9185">
        <v>30</v>
      </c>
      <c r="B9185" t="s">
        <v>8807</v>
      </c>
      <c r="C9185">
        <v>7747887</v>
      </c>
      <c r="D9185" t="str">
        <f>"2301-251X"</f>
        <v>2301-251X</v>
      </c>
      <c r="E9185" t="s">
        <v>8</v>
      </c>
      <c r="F9185" t="s">
        <v>9191</v>
      </c>
      <c r="G9185">
        <v>1</v>
      </c>
    </row>
    <row r="9186" spans="1:7" x14ac:dyDescent="0.25">
      <c r="A9186">
        <v>30</v>
      </c>
      <c r="B9186" t="s">
        <v>8807</v>
      </c>
      <c r="C9186">
        <v>2358</v>
      </c>
      <c r="D9186" t="str">
        <f>"1434-6028"</f>
        <v>1434-6028</v>
      </c>
      <c r="E9186" t="s">
        <v>8</v>
      </c>
      <c r="F9186" t="s">
        <v>9192</v>
      </c>
      <c r="G9186">
        <v>1</v>
      </c>
    </row>
    <row r="9187" spans="1:7" x14ac:dyDescent="0.25">
      <c r="A9187">
        <v>30</v>
      </c>
      <c r="B9187" t="s">
        <v>8807</v>
      </c>
      <c r="C9187">
        <v>8782812</v>
      </c>
      <c r="E9187" t="s">
        <v>2100</v>
      </c>
      <c r="F9187" t="s">
        <v>9193</v>
      </c>
      <c r="G9187">
        <v>1</v>
      </c>
    </row>
    <row r="9188" spans="1:7" x14ac:dyDescent="0.25">
      <c r="A9188">
        <v>30</v>
      </c>
      <c r="B9188" t="s">
        <v>8807</v>
      </c>
      <c r="C9188">
        <v>4825</v>
      </c>
      <c r="D9188" t="str">
        <f>"1058-6458"</f>
        <v>1058-6458</v>
      </c>
      <c r="E9188" t="s">
        <v>8</v>
      </c>
      <c r="F9188" t="s">
        <v>9194</v>
      </c>
      <c r="G9188">
        <v>1</v>
      </c>
    </row>
    <row r="9189" spans="1:7" x14ac:dyDescent="0.25">
      <c r="A9189">
        <v>30</v>
      </c>
      <c r="B9189" t="s">
        <v>8807</v>
      </c>
      <c r="C9189">
        <v>15112</v>
      </c>
      <c r="D9189" t="str">
        <f>"0723-0869"</f>
        <v>0723-0869</v>
      </c>
      <c r="E9189" t="s">
        <v>8</v>
      </c>
      <c r="F9189" t="s">
        <v>9195</v>
      </c>
      <c r="G9189">
        <v>1</v>
      </c>
    </row>
    <row r="9190" spans="1:7" x14ac:dyDescent="0.25">
      <c r="A9190">
        <v>30</v>
      </c>
      <c r="B9190" t="s">
        <v>8807</v>
      </c>
      <c r="C9190">
        <v>8628</v>
      </c>
      <c r="D9190" t="str">
        <f>"1386-1999"</f>
        <v>1386-1999</v>
      </c>
      <c r="E9190" t="s">
        <v>8</v>
      </c>
      <c r="F9190" t="s">
        <v>9196</v>
      </c>
      <c r="G9190">
        <v>1</v>
      </c>
    </row>
    <row r="9191" spans="1:7" x14ac:dyDescent="0.25">
      <c r="A9191">
        <v>30</v>
      </c>
      <c r="B9191" t="s">
        <v>8807</v>
      </c>
      <c r="C9191">
        <v>170348</v>
      </c>
      <c r="D9191" t="str">
        <f>"1869-6929"</f>
        <v>1869-6929</v>
      </c>
      <c r="E9191" t="s">
        <v>15</v>
      </c>
      <c r="F9191" t="s">
        <v>9197</v>
      </c>
      <c r="G9191">
        <v>1</v>
      </c>
    </row>
    <row r="9192" spans="1:7" x14ac:dyDescent="0.25">
      <c r="A9192">
        <v>30</v>
      </c>
      <c r="B9192" t="s">
        <v>8807</v>
      </c>
      <c r="C9192">
        <v>47731</v>
      </c>
      <c r="D9192" t="str">
        <f>"0972-0863"</f>
        <v>0972-0863</v>
      </c>
      <c r="E9192" t="s">
        <v>8</v>
      </c>
      <c r="F9192" t="s">
        <v>9198</v>
      </c>
      <c r="G9192">
        <v>1</v>
      </c>
    </row>
    <row r="9193" spans="1:7" x14ac:dyDescent="0.25">
      <c r="A9193">
        <v>30</v>
      </c>
      <c r="B9193" t="s">
        <v>8807</v>
      </c>
      <c r="C9193">
        <v>98480</v>
      </c>
      <c r="D9193" t="str">
        <f>"1069-5265"</f>
        <v>1069-5265</v>
      </c>
      <c r="E9193" t="s">
        <v>15</v>
      </c>
      <c r="F9193" t="s">
        <v>9199</v>
      </c>
      <c r="G9193">
        <v>1</v>
      </c>
    </row>
    <row r="9194" spans="1:7" x14ac:dyDescent="0.25">
      <c r="A9194">
        <v>30</v>
      </c>
      <c r="B9194" t="s">
        <v>8807</v>
      </c>
      <c r="C9194">
        <v>170418</v>
      </c>
      <c r="E9194" t="s">
        <v>15</v>
      </c>
      <c r="F9194" t="s">
        <v>9200</v>
      </c>
      <c r="G9194">
        <v>1</v>
      </c>
    </row>
    <row r="9195" spans="1:7" x14ac:dyDescent="0.25">
      <c r="A9195">
        <v>30</v>
      </c>
      <c r="B9195" t="s">
        <v>8807</v>
      </c>
      <c r="C9195">
        <v>3121</v>
      </c>
      <c r="D9195" t="str">
        <f>"1687-1820"</f>
        <v>1687-1820</v>
      </c>
      <c r="E9195" t="s">
        <v>8</v>
      </c>
      <c r="F9195" t="s">
        <v>9201</v>
      </c>
      <c r="G9195">
        <v>1</v>
      </c>
    </row>
    <row r="9196" spans="1:7" x14ac:dyDescent="0.25">
      <c r="A9196">
        <v>30</v>
      </c>
      <c r="B9196" t="s">
        <v>8807</v>
      </c>
      <c r="C9196">
        <v>4514</v>
      </c>
      <c r="D9196" t="str">
        <f>"0219-4775"</f>
        <v>0219-4775</v>
      </c>
      <c r="E9196" t="s">
        <v>8</v>
      </c>
      <c r="F9196" t="s">
        <v>9202</v>
      </c>
      <c r="G9196">
        <v>1</v>
      </c>
    </row>
    <row r="9197" spans="1:7" x14ac:dyDescent="0.25">
      <c r="A9197">
        <v>30</v>
      </c>
      <c r="B9197" t="s">
        <v>8807</v>
      </c>
      <c r="C9197">
        <v>16279</v>
      </c>
      <c r="D9197" t="str">
        <f>"0228-0671"</f>
        <v>0228-0671</v>
      </c>
      <c r="E9197" t="s">
        <v>8</v>
      </c>
      <c r="F9197" t="s">
        <v>9203</v>
      </c>
      <c r="G9197">
        <v>1</v>
      </c>
    </row>
    <row r="9198" spans="1:7" x14ac:dyDescent="0.25">
      <c r="A9198">
        <v>30</v>
      </c>
      <c r="B9198" t="s">
        <v>8807</v>
      </c>
      <c r="C9198">
        <v>7779</v>
      </c>
      <c r="D9198" t="str">
        <f>"0933-7741"</f>
        <v>0933-7741</v>
      </c>
      <c r="E9198" t="s">
        <v>8</v>
      </c>
      <c r="F9198" t="s">
        <v>9204</v>
      </c>
      <c r="G9198">
        <v>1</v>
      </c>
    </row>
    <row r="9199" spans="1:7" x14ac:dyDescent="0.25">
      <c r="A9199">
        <v>30</v>
      </c>
      <c r="B9199" t="s">
        <v>8807</v>
      </c>
      <c r="C9199">
        <v>7737053</v>
      </c>
      <c r="E9199" t="s">
        <v>8</v>
      </c>
      <c r="F9199" t="s">
        <v>9205</v>
      </c>
      <c r="G9199">
        <v>1</v>
      </c>
    </row>
    <row r="9200" spans="1:7" x14ac:dyDescent="0.25">
      <c r="A9200">
        <v>30</v>
      </c>
      <c r="B9200" t="s">
        <v>8807</v>
      </c>
      <c r="C9200">
        <v>7737055</v>
      </c>
      <c r="E9200" t="s">
        <v>8</v>
      </c>
      <c r="F9200" t="s">
        <v>9206</v>
      </c>
      <c r="G9200">
        <v>1</v>
      </c>
    </row>
    <row r="9201" spans="1:7" x14ac:dyDescent="0.25">
      <c r="A9201">
        <v>30</v>
      </c>
      <c r="B9201" t="s">
        <v>8807</v>
      </c>
      <c r="C9201">
        <v>7003</v>
      </c>
      <c r="D9201" t="str">
        <f>"0218-348X"</f>
        <v>0218-348X</v>
      </c>
      <c r="E9201" t="s">
        <v>8</v>
      </c>
      <c r="F9201" t="s">
        <v>9207</v>
      </c>
      <c r="G9201">
        <v>1</v>
      </c>
    </row>
    <row r="9202" spans="1:7" x14ac:dyDescent="0.25">
      <c r="A9202">
        <v>30</v>
      </c>
      <c r="B9202" t="s">
        <v>8807</v>
      </c>
      <c r="C9202">
        <v>8774705</v>
      </c>
      <c r="E9202" t="s">
        <v>8</v>
      </c>
      <c r="F9202" t="s">
        <v>9208</v>
      </c>
      <c r="G9202">
        <v>1</v>
      </c>
    </row>
    <row r="9203" spans="1:7" x14ac:dyDescent="0.25">
      <c r="A9203">
        <v>30</v>
      </c>
      <c r="B9203" t="s">
        <v>8807</v>
      </c>
      <c r="C9203">
        <v>4522</v>
      </c>
      <c r="D9203" t="str">
        <f>"0016-2663"</f>
        <v>0016-2663</v>
      </c>
      <c r="E9203" t="s">
        <v>8</v>
      </c>
      <c r="F9203" t="s">
        <v>9209</v>
      </c>
      <c r="G9203">
        <v>1</v>
      </c>
    </row>
    <row r="9204" spans="1:7" x14ac:dyDescent="0.25">
      <c r="A9204">
        <v>30</v>
      </c>
      <c r="B9204" t="s">
        <v>8807</v>
      </c>
      <c r="C9204">
        <v>12705</v>
      </c>
      <c r="D9204" t="str">
        <f>"0793-1786"</f>
        <v>0793-1786</v>
      </c>
      <c r="E9204" t="s">
        <v>8</v>
      </c>
      <c r="F9204" t="s">
        <v>9210</v>
      </c>
      <c r="G9204">
        <v>1</v>
      </c>
    </row>
    <row r="9205" spans="1:7" x14ac:dyDescent="0.25">
      <c r="A9205">
        <v>30</v>
      </c>
      <c r="B9205" t="s">
        <v>8807</v>
      </c>
      <c r="C9205">
        <v>6340</v>
      </c>
      <c r="D9205" t="str">
        <f>"0016-2736"</f>
        <v>0016-2736</v>
      </c>
      <c r="E9205" t="s">
        <v>8</v>
      </c>
      <c r="F9205" t="s">
        <v>9211</v>
      </c>
      <c r="G9205">
        <v>1</v>
      </c>
    </row>
    <row r="9206" spans="1:7" x14ac:dyDescent="0.25">
      <c r="A9206">
        <v>30</v>
      </c>
      <c r="B9206" t="s">
        <v>8807</v>
      </c>
      <c r="C9206">
        <v>2153</v>
      </c>
      <c r="D9206" t="str">
        <f>"0532-8721"</f>
        <v>0532-8721</v>
      </c>
      <c r="E9206" t="s">
        <v>8</v>
      </c>
      <c r="F9206" t="s">
        <v>9212</v>
      </c>
      <c r="G9206">
        <v>1</v>
      </c>
    </row>
    <row r="9207" spans="1:7" x14ac:dyDescent="0.25">
      <c r="A9207">
        <v>30</v>
      </c>
      <c r="B9207" t="s">
        <v>8807</v>
      </c>
      <c r="C9207">
        <v>5774</v>
      </c>
      <c r="D9207" t="str">
        <f>"0165-0114"</f>
        <v>0165-0114</v>
      </c>
      <c r="E9207" t="s">
        <v>8</v>
      </c>
      <c r="F9207" t="s">
        <v>9213</v>
      </c>
      <c r="G9207">
        <v>1</v>
      </c>
    </row>
    <row r="9208" spans="1:7" x14ac:dyDescent="0.25">
      <c r="A9208">
        <v>30</v>
      </c>
      <c r="B9208" t="s">
        <v>8807</v>
      </c>
      <c r="C9208">
        <v>9776</v>
      </c>
      <c r="D9208" t="str">
        <f>"0046-5755"</f>
        <v>0046-5755</v>
      </c>
      <c r="E9208" t="s">
        <v>8</v>
      </c>
      <c r="F9208" t="s">
        <v>9214</v>
      </c>
      <c r="G9208">
        <v>1</v>
      </c>
    </row>
    <row r="9209" spans="1:7" x14ac:dyDescent="0.25">
      <c r="A9209">
        <v>30</v>
      </c>
      <c r="B9209" t="s">
        <v>8807</v>
      </c>
      <c r="C9209">
        <v>11881</v>
      </c>
      <c r="D9209" t="str">
        <f>"0309-1929"</f>
        <v>0309-1929</v>
      </c>
      <c r="E9209" t="s">
        <v>8</v>
      </c>
      <c r="F9209" t="s">
        <v>9215</v>
      </c>
      <c r="G9209">
        <v>1</v>
      </c>
    </row>
    <row r="9210" spans="1:7" x14ac:dyDescent="0.25">
      <c r="A9210">
        <v>30</v>
      </c>
      <c r="B9210" t="s">
        <v>8807</v>
      </c>
      <c r="C9210">
        <v>10533</v>
      </c>
      <c r="D9210" t="str">
        <f>"1072-947X"</f>
        <v>1072-947X</v>
      </c>
      <c r="E9210" t="s">
        <v>8</v>
      </c>
      <c r="F9210" t="s">
        <v>9216</v>
      </c>
      <c r="G9210">
        <v>1</v>
      </c>
    </row>
    <row r="9211" spans="1:7" x14ac:dyDescent="0.25">
      <c r="A9211">
        <v>30</v>
      </c>
      <c r="B9211" t="s">
        <v>8807</v>
      </c>
      <c r="C9211">
        <v>10636</v>
      </c>
      <c r="D9211" t="str">
        <f>"0017-0895"</f>
        <v>0017-0895</v>
      </c>
      <c r="E9211" t="s">
        <v>8</v>
      </c>
      <c r="F9211" t="s">
        <v>9217</v>
      </c>
      <c r="G9211">
        <v>1</v>
      </c>
    </row>
    <row r="9212" spans="1:7" x14ac:dyDescent="0.25">
      <c r="A9212">
        <v>30</v>
      </c>
      <c r="B9212" t="s">
        <v>8807</v>
      </c>
      <c r="C9212">
        <v>3896</v>
      </c>
      <c r="D9212" t="str">
        <f>"0017-095X"</f>
        <v>0017-095X</v>
      </c>
      <c r="E9212" t="s">
        <v>8</v>
      </c>
      <c r="F9212" t="s">
        <v>9218</v>
      </c>
      <c r="G9212">
        <v>1</v>
      </c>
    </row>
    <row r="9213" spans="1:7" x14ac:dyDescent="0.25">
      <c r="A9213">
        <v>30</v>
      </c>
      <c r="B9213" t="s">
        <v>8807</v>
      </c>
      <c r="C9213">
        <v>7214</v>
      </c>
      <c r="D9213" t="str">
        <f>"0202-2893"</f>
        <v>0202-2893</v>
      </c>
      <c r="E9213" t="s">
        <v>8</v>
      </c>
      <c r="F9213" t="s">
        <v>9219</v>
      </c>
      <c r="G9213">
        <v>1</v>
      </c>
    </row>
    <row r="9214" spans="1:7" x14ac:dyDescent="0.25">
      <c r="A9214">
        <v>30</v>
      </c>
      <c r="B9214" t="s">
        <v>8807</v>
      </c>
      <c r="C9214">
        <v>9716</v>
      </c>
      <c r="D9214" t="str">
        <f>"1661-7207"</f>
        <v>1661-7207</v>
      </c>
      <c r="E9214" t="s">
        <v>8</v>
      </c>
      <c r="F9214" t="s">
        <v>9220</v>
      </c>
      <c r="G9214">
        <v>1</v>
      </c>
    </row>
    <row r="9215" spans="1:7" x14ac:dyDescent="0.25">
      <c r="A9215">
        <v>30</v>
      </c>
      <c r="B9215" t="s">
        <v>8807</v>
      </c>
      <c r="C9215">
        <v>170414</v>
      </c>
      <c r="E9215" t="s">
        <v>15</v>
      </c>
      <c r="F9215" t="s">
        <v>9221</v>
      </c>
      <c r="G9215">
        <v>1</v>
      </c>
    </row>
    <row r="9216" spans="1:7" x14ac:dyDescent="0.25">
      <c r="A9216">
        <v>30</v>
      </c>
      <c r="B9216" t="s">
        <v>8807</v>
      </c>
      <c r="C9216">
        <v>840</v>
      </c>
      <c r="D9216" t="str">
        <f>"0385-4035"</f>
        <v>0385-4035</v>
      </c>
      <c r="E9216" t="s">
        <v>8</v>
      </c>
      <c r="F9216" t="s">
        <v>9222</v>
      </c>
      <c r="G9216">
        <v>1</v>
      </c>
    </row>
    <row r="9217" spans="1:7" x14ac:dyDescent="0.25">
      <c r="A9217">
        <v>30</v>
      </c>
      <c r="B9217" t="s">
        <v>8807</v>
      </c>
      <c r="C9217">
        <v>13158</v>
      </c>
      <c r="D9217" t="str">
        <f>"1532-0073"</f>
        <v>1532-0073</v>
      </c>
      <c r="E9217" t="s">
        <v>8</v>
      </c>
      <c r="F9217" t="s">
        <v>9223</v>
      </c>
      <c r="G9217">
        <v>1</v>
      </c>
    </row>
    <row r="9218" spans="1:7" x14ac:dyDescent="0.25">
      <c r="A9218">
        <v>30</v>
      </c>
      <c r="B9218" t="s">
        <v>8807</v>
      </c>
      <c r="C9218">
        <v>9789</v>
      </c>
      <c r="D9218" t="str">
        <f>"0362-1588"</f>
        <v>0362-1588</v>
      </c>
      <c r="E9218" t="s">
        <v>8</v>
      </c>
      <c r="F9218" t="s">
        <v>9224</v>
      </c>
      <c r="G9218">
        <v>1</v>
      </c>
    </row>
    <row r="9219" spans="1:7" x14ac:dyDescent="0.25">
      <c r="A9219">
        <v>30</v>
      </c>
      <c r="B9219" t="s">
        <v>8807</v>
      </c>
      <c r="C9219">
        <v>8782801</v>
      </c>
      <c r="D9219" t="str">
        <f>"2366-5947"</f>
        <v>2366-5947</v>
      </c>
      <c r="E9219" t="s">
        <v>15</v>
      </c>
      <c r="F9219" t="s">
        <v>9225</v>
      </c>
      <c r="G9219">
        <v>1</v>
      </c>
    </row>
    <row r="9220" spans="1:7" x14ac:dyDescent="0.25">
      <c r="A9220">
        <v>30</v>
      </c>
      <c r="B9220" t="s">
        <v>8807</v>
      </c>
      <c r="C9220">
        <v>8685</v>
      </c>
      <c r="D9220" t="str">
        <f>"0019-2082"</f>
        <v>0019-2082</v>
      </c>
      <c r="E9220" t="s">
        <v>8</v>
      </c>
      <c r="F9220" t="s">
        <v>9226</v>
      </c>
      <c r="G9220">
        <v>1</v>
      </c>
    </row>
    <row r="9221" spans="1:7" x14ac:dyDescent="0.25">
      <c r="A9221">
        <v>30</v>
      </c>
      <c r="B9221" t="s">
        <v>8807</v>
      </c>
      <c r="C9221">
        <v>16358</v>
      </c>
      <c r="D9221" t="str">
        <f>"0272-4960"</f>
        <v>0272-4960</v>
      </c>
      <c r="E9221" t="s">
        <v>8</v>
      </c>
      <c r="F9221" t="s">
        <v>9227</v>
      </c>
      <c r="G9221">
        <v>1</v>
      </c>
    </row>
    <row r="9222" spans="1:7" x14ac:dyDescent="0.25">
      <c r="A9222">
        <v>30</v>
      </c>
      <c r="B9222" t="s">
        <v>8807</v>
      </c>
      <c r="C9222">
        <v>7927</v>
      </c>
      <c r="D9222" t="str">
        <f>"1471-678X"</f>
        <v>1471-678X</v>
      </c>
      <c r="E9222" t="s">
        <v>8</v>
      </c>
      <c r="F9222" t="s">
        <v>9228</v>
      </c>
      <c r="G9222">
        <v>1</v>
      </c>
    </row>
    <row r="9223" spans="1:7" x14ac:dyDescent="0.25">
      <c r="A9223">
        <v>30</v>
      </c>
      <c r="B9223" t="s">
        <v>8807</v>
      </c>
      <c r="C9223">
        <v>12649</v>
      </c>
      <c r="D9223" t="str">
        <f>"0265-0754"</f>
        <v>0265-0754</v>
      </c>
      <c r="E9223" t="s">
        <v>8</v>
      </c>
      <c r="F9223" t="s">
        <v>9229</v>
      </c>
      <c r="G9223">
        <v>1</v>
      </c>
    </row>
    <row r="9224" spans="1:7" x14ac:dyDescent="0.25">
      <c r="A9224">
        <v>30</v>
      </c>
      <c r="B9224" t="s">
        <v>8807</v>
      </c>
      <c r="C9224">
        <v>126596</v>
      </c>
      <c r="D9224" t="str">
        <f>"1580-3139"</f>
        <v>1580-3139</v>
      </c>
      <c r="E9224" t="s">
        <v>8</v>
      </c>
      <c r="F9224" t="s">
        <v>9230</v>
      </c>
      <c r="G9224">
        <v>1</v>
      </c>
    </row>
    <row r="9225" spans="1:7" x14ac:dyDescent="0.25">
      <c r="A9225">
        <v>30</v>
      </c>
      <c r="B9225" t="s">
        <v>8807</v>
      </c>
      <c r="C9225">
        <v>38005</v>
      </c>
      <c r="D9225" t="str">
        <f>"0749-2170"</f>
        <v>0749-2170</v>
      </c>
      <c r="E9225" t="s">
        <v>15</v>
      </c>
      <c r="F9225" t="s">
        <v>9231</v>
      </c>
      <c r="G9225">
        <v>1</v>
      </c>
    </row>
    <row r="9226" spans="1:7" x14ac:dyDescent="0.25">
      <c r="A9226">
        <v>30</v>
      </c>
      <c r="B9226" t="s">
        <v>8807</v>
      </c>
      <c r="C9226">
        <v>11303</v>
      </c>
      <c r="D9226" t="str">
        <f>"0019-3577"</f>
        <v>0019-3577</v>
      </c>
      <c r="E9226" t="s">
        <v>8</v>
      </c>
      <c r="F9226" t="s">
        <v>9232</v>
      </c>
      <c r="G9226">
        <v>1</v>
      </c>
    </row>
    <row r="9227" spans="1:7" x14ac:dyDescent="0.25">
      <c r="A9227">
        <v>30</v>
      </c>
      <c r="B9227" t="s">
        <v>8807</v>
      </c>
      <c r="C9227">
        <v>3161</v>
      </c>
      <c r="D9227" t="str">
        <f>"0019-5588"</f>
        <v>0019-5588</v>
      </c>
      <c r="E9227" t="s">
        <v>8</v>
      </c>
      <c r="F9227" t="s">
        <v>9233</v>
      </c>
      <c r="G9227">
        <v>1</v>
      </c>
    </row>
    <row r="9228" spans="1:7" x14ac:dyDescent="0.25">
      <c r="A9228">
        <v>30</v>
      </c>
      <c r="B9228" t="s">
        <v>8807</v>
      </c>
      <c r="C9228">
        <v>12818</v>
      </c>
      <c r="D9228" t="str">
        <f>"0219-0257"</f>
        <v>0219-0257</v>
      </c>
      <c r="E9228" t="s">
        <v>8</v>
      </c>
      <c r="F9228" t="s">
        <v>9234</v>
      </c>
      <c r="G9228">
        <v>1</v>
      </c>
    </row>
    <row r="9229" spans="1:7" x14ac:dyDescent="0.25">
      <c r="A9229">
        <v>30</v>
      </c>
      <c r="B9229" t="s">
        <v>8807</v>
      </c>
      <c r="C9229">
        <v>170347</v>
      </c>
      <c r="D9229" t="str">
        <f>"1613-9011"</f>
        <v>1613-9011</v>
      </c>
      <c r="E9229" t="s">
        <v>15</v>
      </c>
      <c r="F9229" t="s">
        <v>9235</v>
      </c>
      <c r="G9229">
        <v>1</v>
      </c>
    </row>
    <row r="9230" spans="1:7" x14ac:dyDescent="0.25">
      <c r="A9230">
        <v>30</v>
      </c>
      <c r="B9230" t="s">
        <v>8807</v>
      </c>
      <c r="C9230">
        <v>170356</v>
      </c>
      <c r="E9230" t="s">
        <v>15</v>
      </c>
      <c r="F9230" t="s">
        <v>9236</v>
      </c>
      <c r="G9230">
        <v>1</v>
      </c>
    </row>
    <row r="9231" spans="1:7" x14ac:dyDescent="0.25">
      <c r="A9231">
        <v>30</v>
      </c>
      <c r="B9231" t="s">
        <v>8807</v>
      </c>
      <c r="C9231">
        <v>156484</v>
      </c>
      <c r="D9231" t="str">
        <f>"2078-2454"</f>
        <v>2078-2454</v>
      </c>
      <c r="E9231" t="s">
        <v>8</v>
      </c>
      <c r="F9231" t="s">
        <v>9237</v>
      </c>
      <c r="G9231">
        <v>1</v>
      </c>
    </row>
    <row r="9232" spans="1:7" x14ac:dyDescent="0.25">
      <c r="A9232">
        <v>30</v>
      </c>
      <c r="B9232" t="s">
        <v>8807</v>
      </c>
      <c r="C9232">
        <v>7820</v>
      </c>
      <c r="D9232" t="str">
        <f>"1065-2469"</f>
        <v>1065-2469</v>
      </c>
      <c r="E9232" t="s">
        <v>8</v>
      </c>
      <c r="F9232" t="s">
        <v>9238</v>
      </c>
      <c r="G9232">
        <v>1</v>
      </c>
    </row>
    <row r="9233" spans="1:7" x14ac:dyDescent="0.25">
      <c r="A9233">
        <v>30</v>
      </c>
      <c r="B9233" t="s">
        <v>8807</v>
      </c>
      <c r="C9233">
        <v>12961</v>
      </c>
      <c r="D9233" t="str">
        <f>"1463-9963"</f>
        <v>1463-9963</v>
      </c>
      <c r="E9233" t="s">
        <v>8</v>
      </c>
      <c r="F9233" t="s">
        <v>9239</v>
      </c>
      <c r="G9233">
        <v>1</v>
      </c>
    </row>
    <row r="9234" spans="1:7" x14ac:dyDescent="0.25">
      <c r="A9234">
        <v>30</v>
      </c>
      <c r="B9234" t="s">
        <v>8807</v>
      </c>
      <c r="C9234">
        <v>8782809</v>
      </c>
      <c r="E9234" t="s">
        <v>2100</v>
      </c>
      <c r="F9234" t="s">
        <v>9240</v>
      </c>
      <c r="G9234">
        <v>1</v>
      </c>
    </row>
    <row r="9235" spans="1:7" x14ac:dyDescent="0.25">
      <c r="A9235">
        <v>30</v>
      </c>
      <c r="B9235" t="s">
        <v>8807</v>
      </c>
      <c r="C9235">
        <v>8782810</v>
      </c>
      <c r="E9235" t="s">
        <v>2100</v>
      </c>
      <c r="F9235" t="s">
        <v>9241</v>
      </c>
      <c r="G9235">
        <v>1</v>
      </c>
    </row>
    <row r="9236" spans="1:7" x14ac:dyDescent="0.25">
      <c r="A9236">
        <v>30</v>
      </c>
      <c r="B9236" t="s">
        <v>8807</v>
      </c>
      <c r="C9236">
        <v>8783311</v>
      </c>
      <c r="E9236" t="s">
        <v>2100</v>
      </c>
      <c r="F9236" t="s">
        <v>9241</v>
      </c>
      <c r="G9236">
        <v>1</v>
      </c>
    </row>
    <row r="9237" spans="1:7" x14ac:dyDescent="0.25">
      <c r="A9237">
        <v>30</v>
      </c>
      <c r="B9237" t="s">
        <v>8807</v>
      </c>
      <c r="C9237">
        <v>9696</v>
      </c>
      <c r="E9237" t="s">
        <v>8</v>
      </c>
      <c r="F9237" t="s">
        <v>9242</v>
      </c>
      <c r="G9237">
        <v>1</v>
      </c>
    </row>
    <row r="9238" spans="1:7" x14ac:dyDescent="0.25">
      <c r="A9238">
        <v>30</v>
      </c>
      <c r="B9238" t="s">
        <v>8807</v>
      </c>
      <c r="C9238">
        <v>45378</v>
      </c>
      <c r="D9238" t="str">
        <f>"1306-3030"</f>
        <v>1306-3030</v>
      </c>
      <c r="E9238" t="s">
        <v>8</v>
      </c>
      <c r="F9238" t="s">
        <v>9243</v>
      </c>
      <c r="G9238">
        <v>1</v>
      </c>
    </row>
    <row r="9239" spans="1:7" x14ac:dyDescent="0.25">
      <c r="A9239">
        <v>30</v>
      </c>
      <c r="B9239" t="s">
        <v>8807</v>
      </c>
      <c r="C9239">
        <v>11121</v>
      </c>
      <c r="D9239" t="str">
        <f>"1312-8868"</f>
        <v>1312-8868</v>
      </c>
      <c r="E9239" t="s">
        <v>8</v>
      </c>
      <c r="F9239" t="s">
        <v>9244</v>
      </c>
      <c r="G9239">
        <v>1</v>
      </c>
    </row>
    <row r="9240" spans="1:7" x14ac:dyDescent="0.25">
      <c r="A9240">
        <v>30</v>
      </c>
      <c r="B9240" t="s">
        <v>8807</v>
      </c>
      <c r="C9240">
        <v>4523</v>
      </c>
      <c r="D9240" t="str">
        <f>"0218-1967"</f>
        <v>0218-1967</v>
      </c>
      <c r="E9240" t="s">
        <v>8</v>
      </c>
      <c r="F9240" t="s">
        <v>9245</v>
      </c>
      <c r="G9240">
        <v>1</v>
      </c>
    </row>
    <row r="9241" spans="1:7" x14ac:dyDescent="0.25">
      <c r="A9241">
        <v>30</v>
      </c>
      <c r="B9241" t="s">
        <v>8807</v>
      </c>
      <c r="C9241">
        <v>10793</v>
      </c>
      <c r="D9241" t="str">
        <f>"0973-0184"</f>
        <v>0973-0184</v>
      </c>
      <c r="E9241" t="s">
        <v>8</v>
      </c>
      <c r="F9241" t="s">
        <v>9246</v>
      </c>
      <c r="G9241">
        <v>1</v>
      </c>
    </row>
    <row r="9242" spans="1:7" x14ac:dyDescent="0.25">
      <c r="A9242">
        <v>30</v>
      </c>
      <c r="B9242" t="s">
        <v>8807</v>
      </c>
      <c r="C9242">
        <v>1036</v>
      </c>
      <c r="D9242" t="str">
        <f>"0020-7160"</f>
        <v>0020-7160</v>
      </c>
      <c r="E9242" t="s">
        <v>8</v>
      </c>
      <c r="F9242" t="s">
        <v>9247</v>
      </c>
      <c r="G9242">
        <v>1</v>
      </c>
    </row>
    <row r="9243" spans="1:7" x14ac:dyDescent="0.25">
      <c r="A9243">
        <v>30</v>
      </c>
      <c r="B9243" t="s">
        <v>8807</v>
      </c>
      <c r="C9243">
        <v>15170</v>
      </c>
      <c r="D9243" t="str">
        <f>"1687-9643"</f>
        <v>1687-9643</v>
      </c>
      <c r="E9243" t="s">
        <v>8</v>
      </c>
      <c r="F9243" t="s">
        <v>9248</v>
      </c>
      <c r="G9243">
        <v>1</v>
      </c>
    </row>
    <row r="9244" spans="1:7" x14ac:dyDescent="0.25">
      <c r="A9244">
        <v>30</v>
      </c>
      <c r="B9244" t="s">
        <v>8807</v>
      </c>
      <c r="C9244">
        <v>5435</v>
      </c>
      <c r="D9244" t="str">
        <f>"1549-2907"</f>
        <v>1549-2907</v>
      </c>
      <c r="E9244" t="s">
        <v>8</v>
      </c>
      <c r="F9244" t="s">
        <v>9249</v>
      </c>
      <c r="G9244">
        <v>1</v>
      </c>
    </row>
    <row r="9245" spans="1:7" x14ac:dyDescent="0.25">
      <c r="A9245">
        <v>30</v>
      </c>
      <c r="B9245" t="s">
        <v>8807</v>
      </c>
      <c r="C9245">
        <v>13563</v>
      </c>
      <c r="D9245" t="str">
        <f>"1562-2479"</f>
        <v>1562-2479</v>
      </c>
      <c r="E9245" t="s">
        <v>8</v>
      </c>
      <c r="F9245" t="s">
        <v>9250</v>
      </c>
      <c r="G9245">
        <v>1</v>
      </c>
    </row>
    <row r="9246" spans="1:7" x14ac:dyDescent="0.25">
      <c r="A9246">
        <v>30</v>
      </c>
      <c r="B9246" t="s">
        <v>8807</v>
      </c>
      <c r="C9246">
        <v>13418</v>
      </c>
      <c r="D9246" t="str">
        <f>"0219-8878"</f>
        <v>0219-8878</v>
      </c>
      <c r="E9246" t="s">
        <v>8</v>
      </c>
      <c r="F9246" t="s">
        <v>9251</v>
      </c>
      <c r="G9246">
        <v>1</v>
      </c>
    </row>
    <row r="9247" spans="1:7" x14ac:dyDescent="0.25">
      <c r="A9247">
        <v>30</v>
      </c>
      <c r="B9247" t="s">
        <v>8807</v>
      </c>
      <c r="C9247">
        <v>48500</v>
      </c>
      <c r="D9247" t="str">
        <f>"1998-5010"</f>
        <v>1998-5010</v>
      </c>
      <c r="E9247" t="s">
        <v>8</v>
      </c>
      <c r="F9247" t="s">
        <v>9252</v>
      </c>
      <c r="G9247">
        <v>1</v>
      </c>
    </row>
    <row r="9248" spans="1:7" x14ac:dyDescent="0.25">
      <c r="A9248">
        <v>30</v>
      </c>
      <c r="B9248" t="s">
        <v>8807</v>
      </c>
      <c r="C9248">
        <v>15778</v>
      </c>
      <c r="D9248" t="str">
        <f>"0020-739X"</f>
        <v>0020-739X</v>
      </c>
      <c r="E9248" t="s">
        <v>8</v>
      </c>
      <c r="F9248" t="s">
        <v>9253</v>
      </c>
      <c r="G9248">
        <v>1</v>
      </c>
    </row>
    <row r="9249" spans="1:7" x14ac:dyDescent="0.25">
      <c r="A9249">
        <v>30</v>
      </c>
      <c r="B9249" t="s">
        <v>8807</v>
      </c>
      <c r="C9249">
        <v>11871</v>
      </c>
      <c r="D9249" t="str">
        <f>"0973-8355"</f>
        <v>0973-8355</v>
      </c>
      <c r="E9249" t="s">
        <v>8</v>
      </c>
      <c r="F9249" t="s">
        <v>9254</v>
      </c>
      <c r="G9249">
        <v>1</v>
      </c>
    </row>
    <row r="9250" spans="1:7" x14ac:dyDescent="0.25">
      <c r="A9250">
        <v>30</v>
      </c>
      <c r="B9250" t="s">
        <v>8807</v>
      </c>
      <c r="C9250">
        <v>5861</v>
      </c>
      <c r="D9250" t="str">
        <f>"0129-167X"</f>
        <v>0129-167X</v>
      </c>
      <c r="E9250" t="s">
        <v>8</v>
      </c>
      <c r="F9250" t="s">
        <v>9255</v>
      </c>
      <c r="G9250">
        <v>1</v>
      </c>
    </row>
    <row r="9251" spans="1:7" x14ac:dyDescent="0.25">
      <c r="A9251">
        <v>30</v>
      </c>
      <c r="B9251" t="s">
        <v>8807</v>
      </c>
      <c r="C9251">
        <v>3796</v>
      </c>
      <c r="D9251" t="str">
        <f>"1814-0424"</f>
        <v>1814-0424</v>
      </c>
      <c r="E9251" t="s">
        <v>8</v>
      </c>
      <c r="F9251" t="s">
        <v>9256</v>
      </c>
      <c r="G9251">
        <v>1</v>
      </c>
    </row>
    <row r="9252" spans="1:7" x14ac:dyDescent="0.25">
      <c r="A9252">
        <v>30</v>
      </c>
      <c r="B9252" t="s">
        <v>8807</v>
      </c>
      <c r="C9252">
        <v>14736</v>
      </c>
      <c r="D9252" t="str">
        <f>"0161-1712"</f>
        <v>0161-1712</v>
      </c>
      <c r="E9252" t="s">
        <v>8</v>
      </c>
      <c r="F9252" t="s">
        <v>9257</v>
      </c>
      <c r="G9252">
        <v>1</v>
      </c>
    </row>
    <row r="9253" spans="1:7" x14ac:dyDescent="0.25">
      <c r="A9253">
        <v>30</v>
      </c>
      <c r="B9253" t="s">
        <v>8807</v>
      </c>
      <c r="C9253">
        <v>9588</v>
      </c>
      <c r="D9253" t="str">
        <f>"1565-1339"</f>
        <v>1565-1339</v>
      </c>
      <c r="E9253" t="s">
        <v>8</v>
      </c>
      <c r="F9253" t="s">
        <v>9258</v>
      </c>
      <c r="G9253">
        <v>1</v>
      </c>
    </row>
    <row r="9254" spans="1:7" x14ac:dyDescent="0.25">
      <c r="A9254">
        <v>30</v>
      </c>
      <c r="B9254" t="s">
        <v>8807</v>
      </c>
      <c r="C9254">
        <v>9855</v>
      </c>
      <c r="D9254" t="str">
        <f>"1793-0421"</f>
        <v>1793-0421</v>
      </c>
      <c r="E9254" t="s">
        <v>8</v>
      </c>
      <c r="F9254" t="s">
        <v>9259</v>
      </c>
      <c r="G9254">
        <v>1</v>
      </c>
    </row>
    <row r="9255" spans="1:7" x14ac:dyDescent="0.25">
      <c r="A9255">
        <v>30</v>
      </c>
      <c r="B9255" t="s">
        <v>8807</v>
      </c>
      <c r="C9255">
        <v>16137</v>
      </c>
      <c r="D9255" t="str">
        <f>"1705-5105"</f>
        <v>1705-5105</v>
      </c>
      <c r="E9255" t="s">
        <v>8</v>
      </c>
      <c r="F9255" t="s">
        <v>9260</v>
      </c>
      <c r="G9255">
        <v>1</v>
      </c>
    </row>
    <row r="9256" spans="1:7" x14ac:dyDescent="0.25">
      <c r="A9256">
        <v>30</v>
      </c>
      <c r="B9256" t="s">
        <v>8807</v>
      </c>
      <c r="C9256">
        <v>20457</v>
      </c>
      <c r="D9256" t="str">
        <f>"1745-7645"</f>
        <v>1745-7645</v>
      </c>
      <c r="E9256" t="s">
        <v>8</v>
      </c>
      <c r="F9256" t="s">
        <v>9261</v>
      </c>
      <c r="G9256">
        <v>1</v>
      </c>
    </row>
    <row r="9257" spans="1:7" x14ac:dyDescent="0.25">
      <c r="A9257">
        <v>30</v>
      </c>
      <c r="B9257" t="s">
        <v>8807</v>
      </c>
      <c r="C9257">
        <v>16124</v>
      </c>
      <c r="D9257" t="str">
        <f>"0972-9828"</f>
        <v>0972-9828</v>
      </c>
      <c r="E9257" t="s">
        <v>8</v>
      </c>
      <c r="F9257" t="s">
        <v>9262</v>
      </c>
      <c r="G9257">
        <v>1</v>
      </c>
    </row>
    <row r="9258" spans="1:7" x14ac:dyDescent="0.25">
      <c r="A9258">
        <v>30</v>
      </c>
      <c r="B9258" t="s">
        <v>8807</v>
      </c>
      <c r="C9258">
        <v>8767638</v>
      </c>
      <c r="D9258" t="str">
        <f>"2198-9745"</f>
        <v>2198-9745</v>
      </c>
      <c r="E9258" t="s">
        <v>8</v>
      </c>
      <c r="F9258" t="s">
        <v>9263</v>
      </c>
      <c r="G9258">
        <v>1</v>
      </c>
    </row>
    <row r="9259" spans="1:7" x14ac:dyDescent="0.25">
      <c r="A9259">
        <v>30</v>
      </c>
      <c r="B9259" t="s">
        <v>8807</v>
      </c>
      <c r="C9259">
        <v>18626</v>
      </c>
      <c r="D9259" t="str">
        <f>"2090-3332"</f>
        <v>2090-3332</v>
      </c>
      <c r="E9259" t="s">
        <v>8</v>
      </c>
      <c r="F9259" t="s">
        <v>9264</v>
      </c>
      <c r="G9259">
        <v>1</v>
      </c>
    </row>
    <row r="9260" spans="1:7" x14ac:dyDescent="0.25">
      <c r="A9260">
        <v>30</v>
      </c>
      <c r="B9260" t="s">
        <v>8807</v>
      </c>
      <c r="C9260">
        <v>29073</v>
      </c>
      <c r="D9260" t="str">
        <f>"0972-9976"</f>
        <v>0972-9976</v>
      </c>
      <c r="E9260" t="s">
        <v>8</v>
      </c>
      <c r="F9260" t="s">
        <v>9265</v>
      </c>
      <c r="G9260">
        <v>1</v>
      </c>
    </row>
    <row r="9261" spans="1:7" x14ac:dyDescent="0.25">
      <c r="A9261">
        <v>30</v>
      </c>
      <c r="B9261" t="s">
        <v>8807</v>
      </c>
      <c r="C9261">
        <v>3351</v>
      </c>
      <c r="D9261" t="str">
        <f>"1312-7594"</f>
        <v>1312-7594</v>
      </c>
      <c r="E9261" t="s">
        <v>8</v>
      </c>
      <c r="F9261" t="s">
        <v>9266</v>
      </c>
      <c r="G9261">
        <v>1</v>
      </c>
    </row>
    <row r="9262" spans="1:7" x14ac:dyDescent="0.25">
      <c r="A9262">
        <v>30</v>
      </c>
      <c r="B9262" t="s">
        <v>8807</v>
      </c>
      <c r="C9262">
        <v>170357</v>
      </c>
      <c r="E9262" t="s">
        <v>15</v>
      </c>
      <c r="F9262" t="s">
        <v>9267</v>
      </c>
      <c r="G9262">
        <v>1</v>
      </c>
    </row>
    <row r="9263" spans="1:7" x14ac:dyDescent="0.25">
      <c r="A9263">
        <v>30</v>
      </c>
      <c r="B9263" t="s">
        <v>8807</v>
      </c>
      <c r="C9263">
        <v>8782808</v>
      </c>
      <c r="E9263" t="s">
        <v>2100</v>
      </c>
      <c r="F9263" t="s">
        <v>9268</v>
      </c>
      <c r="G9263">
        <v>1</v>
      </c>
    </row>
    <row r="9264" spans="1:7" x14ac:dyDescent="0.25">
      <c r="A9264">
        <v>30</v>
      </c>
      <c r="B9264" t="s">
        <v>8807</v>
      </c>
      <c r="C9264">
        <v>890</v>
      </c>
      <c r="D9264" t="str">
        <f>"1542-7951"</f>
        <v>1542-7951</v>
      </c>
      <c r="E9264" t="s">
        <v>8</v>
      </c>
      <c r="F9264" t="s">
        <v>9269</v>
      </c>
      <c r="G9264">
        <v>1</v>
      </c>
    </row>
    <row r="9265" spans="1:7" x14ac:dyDescent="0.25">
      <c r="A9265">
        <v>30</v>
      </c>
      <c r="B9265" t="s">
        <v>8807</v>
      </c>
      <c r="C9265">
        <v>11234</v>
      </c>
      <c r="D9265" t="str">
        <f>"1741-5977"</f>
        <v>1741-5977</v>
      </c>
      <c r="E9265" t="s">
        <v>8</v>
      </c>
      <c r="F9265" t="s">
        <v>9270</v>
      </c>
      <c r="G9265">
        <v>1</v>
      </c>
    </row>
    <row r="9266" spans="1:7" x14ac:dyDescent="0.25">
      <c r="A9266">
        <v>30</v>
      </c>
      <c r="B9266" t="s">
        <v>8807</v>
      </c>
      <c r="C9266">
        <v>11018</v>
      </c>
      <c r="D9266" t="str">
        <f>"0021-2172"</f>
        <v>0021-2172</v>
      </c>
      <c r="E9266" t="s">
        <v>8</v>
      </c>
      <c r="F9266" t="s">
        <v>9271</v>
      </c>
      <c r="G9266">
        <v>1</v>
      </c>
    </row>
    <row r="9267" spans="1:7" x14ac:dyDescent="0.25">
      <c r="A9267">
        <v>30</v>
      </c>
      <c r="B9267" t="s">
        <v>8807</v>
      </c>
      <c r="C9267">
        <v>9232</v>
      </c>
      <c r="D9267" t="str">
        <f>"1064-5632"</f>
        <v>1064-5632</v>
      </c>
      <c r="E9267" t="s">
        <v>8</v>
      </c>
      <c r="F9267" t="s">
        <v>9272</v>
      </c>
      <c r="G9267">
        <v>1</v>
      </c>
    </row>
    <row r="9268" spans="1:7" x14ac:dyDescent="0.25">
      <c r="A9268">
        <v>30</v>
      </c>
      <c r="B9268" t="s">
        <v>8807</v>
      </c>
      <c r="C9268">
        <v>7312</v>
      </c>
      <c r="D9268" t="str">
        <f>"0012-0456"</f>
        <v>0012-0456</v>
      </c>
      <c r="E9268" t="s">
        <v>8</v>
      </c>
      <c r="F9268" t="s">
        <v>9273</v>
      </c>
      <c r="G9268">
        <v>1</v>
      </c>
    </row>
    <row r="9269" spans="1:7" x14ac:dyDescent="0.25">
      <c r="A9269">
        <v>30</v>
      </c>
      <c r="B9269" t="s">
        <v>8807</v>
      </c>
      <c r="C9269">
        <v>5035</v>
      </c>
      <c r="D9269" t="str">
        <f>"0916-7005"</f>
        <v>0916-7005</v>
      </c>
      <c r="E9269" t="s">
        <v>8</v>
      </c>
      <c r="F9269" t="s">
        <v>9274</v>
      </c>
      <c r="G9269">
        <v>1</v>
      </c>
    </row>
    <row r="9270" spans="1:7" x14ac:dyDescent="0.25">
      <c r="A9270">
        <v>30</v>
      </c>
      <c r="B9270" t="s">
        <v>8807</v>
      </c>
      <c r="C9270">
        <v>19699</v>
      </c>
      <c r="D9270" t="str">
        <f>"0289-2316"</f>
        <v>0289-2316</v>
      </c>
      <c r="E9270" t="s">
        <v>8</v>
      </c>
      <c r="F9270" t="s">
        <v>9275</v>
      </c>
      <c r="G9270">
        <v>1</v>
      </c>
    </row>
    <row r="9271" spans="1:7" x14ac:dyDescent="0.25">
      <c r="A9271">
        <v>30</v>
      </c>
      <c r="B9271" t="s">
        <v>8807</v>
      </c>
      <c r="C9271">
        <v>8783327</v>
      </c>
      <c r="D9271" t="str">
        <f>"2520-8764"</f>
        <v>2520-8764</v>
      </c>
      <c r="E9271" t="s">
        <v>8</v>
      </c>
      <c r="F9271" t="s">
        <v>9276</v>
      </c>
      <c r="G9271">
        <v>1</v>
      </c>
    </row>
    <row r="9272" spans="1:7" x14ac:dyDescent="0.25">
      <c r="A9272">
        <v>30</v>
      </c>
      <c r="B9272" t="s">
        <v>8807</v>
      </c>
      <c r="C9272">
        <v>8782577</v>
      </c>
      <c r="D9272" t="str">
        <f>"2429-7100"</f>
        <v>2429-7100</v>
      </c>
      <c r="E9272" t="s">
        <v>8</v>
      </c>
      <c r="F9272" t="s">
        <v>9277</v>
      </c>
      <c r="G9272">
        <v>1</v>
      </c>
    </row>
    <row r="9273" spans="1:7" x14ac:dyDescent="0.25">
      <c r="A9273">
        <v>30</v>
      </c>
      <c r="B9273" t="s">
        <v>8807</v>
      </c>
      <c r="C9273">
        <v>1908</v>
      </c>
      <c r="D9273" t="str">
        <f>"1246-7405"</f>
        <v>1246-7405</v>
      </c>
      <c r="E9273" t="s">
        <v>8</v>
      </c>
      <c r="F9273" t="s">
        <v>9278</v>
      </c>
      <c r="G9273">
        <v>1</v>
      </c>
    </row>
    <row r="9274" spans="1:7" x14ac:dyDescent="0.25">
      <c r="A9274">
        <v>30</v>
      </c>
      <c r="B9274" t="s">
        <v>8807</v>
      </c>
      <c r="C9274">
        <v>7610</v>
      </c>
      <c r="D9274" t="str">
        <f>"0173-5322"</f>
        <v>0173-5322</v>
      </c>
      <c r="E9274" t="s">
        <v>8</v>
      </c>
      <c r="F9274" t="s">
        <v>9279</v>
      </c>
      <c r="G9274">
        <v>1</v>
      </c>
    </row>
    <row r="9275" spans="1:7" x14ac:dyDescent="0.25">
      <c r="A9275">
        <v>30</v>
      </c>
      <c r="B9275" t="s">
        <v>8807</v>
      </c>
      <c r="C9275">
        <v>10424</v>
      </c>
      <c r="D9275" t="str">
        <f>"0021-8693"</f>
        <v>0021-8693</v>
      </c>
      <c r="E9275" t="s">
        <v>8</v>
      </c>
      <c r="F9275" t="s">
        <v>9280</v>
      </c>
      <c r="G9275">
        <v>1</v>
      </c>
    </row>
    <row r="9276" spans="1:7" x14ac:dyDescent="0.25">
      <c r="A9276">
        <v>30</v>
      </c>
      <c r="B9276" t="s">
        <v>8807</v>
      </c>
      <c r="C9276">
        <v>8064</v>
      </c>
      <c r="D9276" t="str">
        <f>"0219-4988"</f>
        <v>0219-4988</v>
      </c>
      <c r="E9276" t="s">
        <v>8</v>
      </c>
      <c r="F9276" t="s">
        <v>9281</v>
      </c>
      <c r="G9276">
        <v>1</v>
      </c>
    </row>
    <row r="9277" spans="1:7" x14ac:dyDescent="0.25">
      <c r="A9277">
        <v>30</v>
      </c>
      <c r="B9277" t="s">
        <v>8807</v>
      </c>
      <c r="C9277">
        <v>8758298</v>
      </c>
      <c r="D9277" t="str">
        <f>"2148-838X"</f>
        <v>2148-838X</v>
      </c>
      <c r="E9277" t="s">
        <v>8</v>
      </c>
      <c r="F9277" t="s">
        <v>9282</v>
      </c>
      <c r="G9277">
        <v>1</v>
      </c>
    </row>
    <row r="9278" spans="1:7" x14ac:dyDescent="0.25">
      <c r="A9278">
        <v>30</v>
      </c>
      <c r="B9278" t="s">
        <v>8807</v>
      </c>
      <c r="C9278">
        <v>5720</v>
      </c>
      <c r="D9278" t="str">
        <f>"0925-9899"</f>
        <v>0925-9899</v>
      </c>
      <c r="E9278" t="s">
        <v>8</v>
      </c>
      <c r="F9278" t="s">
        <v>9283</v>
      </c>
      <c r="G9278">
        <v>1</v>
      </c>
    </row>
    <row r="9279" spans="1:7" x14ac:dyDescent="0.25">
      <c r="A9279">
        <v>30</v>
      </c>
      <c r="B9279" t="s">
        <v>8807</v>
      </c>
      <c r="C9279">
        <v>10923</v>
      </c>
      <c r="D9279" t="str">
        <f>"0972-5954"</f>
        <v>0972-5954</v>
      </c>
      <c r="E9279" t="s">
        <v>8</v>
      </c>
      <c r="F9279" t="s">
        <v>9284</v>
      </c>
      <c r="G9279">
        <v>1</v>
      </c>
    </row>
    <row r="9280" spans="1:7" x14ac:dyDescent="0.25">
      <c r="A9280">
        <v>30</v>
      </c>
      <c r="B9280" t="s">
        <v>8807</v>
      </c>
      <c r="C9280">
        <v>8783009</v>
      </c>
      <c r="D9280" t="str">
        <f>"2367-1726 "</f>
        <v xml:space="preserve">2367-1726 </v>
      </c>
      <c r="E9280" t="s">
        <v>8</v>
      </c>
      <c r="F9280" t="s">
        <v>9285</v>
      </c>
      <c r="G9280">
        <v>1</v>
      </c>
    </row>
    <row r="9281" spans="1:7" x14ac:dyDescent="0.25">
      <c r="A9281">
        <v>30</v>
      </c>
      <c r="B9281" t="s">
        <v>8807</v>
      </c>
      <c r="C9281">
        <v>13106</v>
      </c>
      <c r="D9281" t="str">
        <f>"1110-757X"</f>
        <v>1110-757X</v>
      </c>
      <c r="E9281" t="s">
        <v>8</v>
      </c>
      <c r="F9281" t="s">
        <v>9286</v>
      </c>
      <c r="G9281">
        <v>1</v>
      </c>
    </row>
    <row r="9282" spans="1:7" x14ac:dyDescent="0.25">
      <c r="A9282">
        <v>30</v>
      </c>
      <c r="B9282" t="s">
        <v>8807</v>
      </c>
      <c r="C9282">
        <v>1697</v>
      </c>
      <c r="D9282" t="str">
        <f>"1598-5865"</f>
        <v>1598-5865</v>
      </c>
      <c r="E9282" t="s">
        <v>8</v>
      </c>
      <c r="F9282" t="s">
        <v>9287</v>
      </c>
      <c r="G9282">
        <v>1</v>
      </c>
    </row>
    <row r="9283" spans="1:7" x14ac:dyDescent="0.25">
      <c r="A9283">
        <v>30</v>
      </c>
      <c r="B9283" t="s">
        <v>8807</v>
      </c>
      <c r="C9283">
        <v>151792</v>
      </c>
      <c r="D9283" t="str">
        <f>"1930-6792"</f>
        <v>1930-6792</v>
      </c>
      <c r="E9283" t="s">
        <v>8</v>
      </c>
      <c r="F9283" t="s">
        <v>9288</v>
      </c>
      <c r="G9283">
        <v>1</v>
      </c>
    </row>
    <row r="9284" spans="1:7" x14ac:dyDescent="0.25">
      <c r="A9284">
        <v>30</v>
      </c>
      <c r="B9284" t="s">
        <v>8807</v>
      </c>
      <c r="C9284">
        <v>19122</v>
      </c>
      <c r="D9284" t="str">
        <f>"1067-5817"</f>
        <v>1067-5817</v>
      </c>
      <c r="E9284" t="s">
        <v>8</v>
      </c>
      <c r="F9284" t="s">
        <v>9289</v>
      </c>
      <c r="G9284">
        <v>1</v>
      </c>
    </row>
    <row r="9285" spans="1:7" x14ac:dyDescent="0.25">
      <c r="A9285">
        <v>30</v>
      </c>
      <c r="B9285" t="s">
        <v>8807</v>
      </c>
      <c r="C9285">
        <v>2237</v>
      </c>
      <c r="D9285" t="str">
        <f>"0266-4763"</f>
        <v>0266-4763</v>
      </c>
      <c r="E9285" t="s">
        <v>8</v>
      </c>
      <c r="F9285" t="s">
        <v>9290</v>
      </c>
      <c r="G9285">
        <v>1</v>
      </c>
    </row>
    <row r="9286" spans="1:7" x14ac:dyDescent="0.25">
      <c r="A9286">
        <v>30</v>
      </c>
      <c r="B9286" t="s">
        <v>8807</v>
      </c>
      <c r="C9286">
        <v>8782653</v>
      </c>
      <c r="D9286" t="str">
        <f>"2415-6302"</f>
        <v>2415-6302</v>
      </c>
      <c r="E9286" t="s">
        <v>8</v>
      </c>
      <c r="F9286" t="s">
        <v>9291</v>
      </c>
      <c r="G9286">
        <v>1</v>
      </c>
    </row>
    <row r="9287" spans="1:7" x14ac:dyDescent="0.25">
      <c r="A9287">
        <v>30</v>
      </c>
      <c r="B9287" t="s">
        <v>8807</v>
      </c>
      <c r="C9287">
        <v>11160</v>
      </c>
      <c r="D9287" t="str">
        <f>"1382-6905"</f>
        <v>1382-6905</v>
      </c>
      <c r="E9287" t="s">
        <v>8</v>
      </c>
      <c r="F9287" t="s">
        <v>9292</v>
      </c>
      <c r="G9287">
        <v>1</v>
      </c>
    </row>
    <row r="9288" spans="1:7" x14ac:dyDescent="0.25">
      <c r="A9288">
        <v>30</v>
      </c>
      <c r="B9288" t="s">
        <v>8807</v>
      </c>
      <c r="C9288">
        <v>9766</v>
      </c>
      <c r="D9288" t="str">
        <f>"1521-1398"</f>
        <v>1521-1398</v>
      </c>
      <c r="E9288" t="s">
        <v>8</v>
      </c>
      <c r="F9288" t="s">
        <v>9293</v>
      </c>
      <c r="G9288">
        <v>1</v>
      </c>
    </row>
    <row r="9289" spans="1:7" x14ac:dyDescent="0.25">
      <c r="A9289">
        <v>30</v>
      </c>
      <c r="B9289" t="s">
        <v>8807</v>
      </c>
      <c r="C9289">
        <v>11023</v>
      </c>
      <c r="D9289" t="str">
        <f>"0377-0427"</f>
        <v>0377-0427</v>
      </c>
      <c r="E9289" t="s">
        <v>8</v>
      </c>
      <c r="F9289" t="s">
        <v>9294</v>
      </c>
      <c r="G9289">
        <v>1</v>
      </c>
    </row>
    <row r="9290" spans="1:7" x14ac:dyDescent="0.25">
      <c r="A9290">
        <v>30</v>
      </c>
      <c r="B9290" t="s">
        <v>8807</v>
      </c>
      <c r="C9290">
        <v>16959</v>
      </c>
      <c r="D9290" t="str">
        <f>"0254-9409"</f>
        <v>0254-9409</v>
      </c>
      <c r="E9290" t="s">
        <v>8</v>
      </c>
      <c r="F9290" t="s">
        <v>9295</v>
      </c>
      <c r="G9290">
        <v>1</v>
      </c>
    </row>
    <row r="9291" spans="1:7" x14ac:dyDescent="0.25">
      <c r="A9291">
        <v>30</v>
      </c>
      <c r="B9291" t="s">
        <v>8807</v>
      </c>
      <c r="C9291">
        <v>11151</v>
      </c>
      <c r="D9291" t="str">
        <f>"1472-7978"</f>
        <v>1472-7978</v>
      </c>
      <c r="E9291" t="s">
        <v>8</v>
      </c>
      <c r="F9291" t="s">
        <v>9296</v>
      </c>
      <c r="G9291">
        <v>1</v>
      </c>
    </row>
    <row r="9292" spans="1:7" x14ac:dyDescent="0.25">
      <c r="A9292">
        <v>30</v>
      </c>
      <c r="B9292" t="s">
        <v>8807</v>
      </c>
      <c r="C9292">
        <v>3384</v>
      </c>
      <c r="D9292" t="str">
        <f>"0944-6532"</f>
        <v>0944-6532</v>
      </c>
      <c r="E9292" t="s">
        <v>8</v>
      </c>
      <c r="F9292" t="s">
        <v>9297</v>
      </c>
      <c r="G9292">
        <v>1</v>
      </c>
    </row>
    <row r="9293" spans="1:7" x14ac:dyDescent="0.25">
      <c r="A9293">
        <v>30</v>
      </c>
      <c r="B9293" t="s">
        <v>8807</v>
      </c>
      <c r="C9293">
        <v>14251</v>
      </c>
      <c r="D9293" t="str">
        <f>"1680-743X"</f>
        <v>1680-743X</v>
      </c>
      <c r="E9293" t="s">
        <v>8</v>
      </c>
      <c r="F9293" t="s">
        <v>9298</v>
      </c>
      <c r="G9293">
        <v>1</v>
      </c>
    </row>
    <row r="9294" spans="1:7" x14ac:dyDescent="0.25">
      <c r="A9294">
        <v>30</v>
      </c>
      <c r="B9294" t="s">
        <v>8807</v>
      </c>
      <c r="C9294">
        <v>6544</v>
      </c>
      <c r="D9294" t="str">
        <f>"1023-6198"</f>
        <v>1023-6198</v>
      </c>
      <c r="E9294" t="s">
        <v>8</v>
      </c>
      <c r="F9294" t="s">
        <v>9299</v>
      </c>
      <c r="G9294">
        <v>1</v>
      </c>
    </row>
    <row r="9295" spans="1:7" x14ac:dyDescent="0.25">
      <c r="A9295">
        <v>30</v>
      </c>
      <c r="B9295" t="s">
        <v>8807</v>
      </c>
      <c r="C9295">
        <v>11035</v>
      </c>
      <c r="D9295" t="str">
        <f>"1079-2724"</f>
        <v>1079-2724</v>
      </c>
      <c r="E9295" t="s">
        <v>8</v>
      </c>
      <c r="F9295" t="s">
        <v>9300</v>
      </c>
      <c r="G9295">
        <v>1</v>
      </c>
    </row>
    <row r="9296" spans="1:7" x14ac:dyDescent="0.25">
      <c r="A9296">
        <v>30</v>
      </c>
      <c r="B9296" t="s">
        <v>8807</v>
      </c>
      <c r="C9296">
        <v>8775974</v>
      </c>
      <c r="D9296" t="str">
        <f>"2296-9020"</f>
        <v>2296-9020</v>
      </c>
      <c r="E9296" t="s">
        <v>8</v>
      </c>
      <c r="F9296" t="s">
        <v>9301</v>
      </c>
      <c r="G9296">
        <v>1</v>
      </c>
    </row>
    <row r="9297" spans="1:7" x14ac:dyDescent="0.25">
      <c r="A9297">
        <v>30</v>
      </c>
      <c r="B9297" t="s">
        <v>8807</v>
      </c>
      <c r="C9297">
        <v>3597</v>
      </c>
      <c r="D9297" t="str">
        <f>"0022-0833"</f>
        <v>0022-0833</v>
      </c>
      <c r="E9297" t="s">
        <v>8</v>
      </c>
      <c r="F9297" t="s">
        <v>9302</v>
      </c>
      <c r="G9297">
        <v>1</v>
      </c>
    </row>
    <row r="9298" spans="1:7" x14ac:dyDescent="0.25">
      <c r="A9298">
        <v>30</v>
      </c>
      <c r="B9298" t="s">
        <v>8807</v>
      </c>
      <c r="C9298">
        <v>7754333</v>
      </c>
      <c r="D9298" t="str">
        <f>"2308-1309"</f>
        <v>2308-1309</v>
      </c>
      <c r="E9298" t="s">
        <v>8</v>
      </c>
      <c r="F9298" t="s">
        <v>9303</v>
      </c>
      <c r="G9298">
        <v>1</v>
      </c>
    </row>
    <row r="9299" spans="1:7" x14ac:dyDescent="0.25">
      <c r="A9299">
        <v>30</v>
      </c>
      <c r="B9299" t="s">
        <v>8807</v>
      </c>
      <c r="C9299">
        <v>6439</v>
      </c>
      <c r="D9299" t="str">
        <f>"2314-8896"</f>
        <v>2314-8896</v>
      </c>
      <c r="E9299" t="s">
        <v>8</v>
      </c>
      <c r="F9299" t="s">
        <v>9304</v>
      </c>
      <c r="G9299">
        <v>1</v>
      </c>
    </row>
    <row r="9300" spans="1:7" x14ac:dyDescent="0.25">
      <c r="A9300">
        <v>30</v>
      </c>
      <c r="B9300" t="s">
        <v>8807</v>
      </c>
      <c r="C9300">
        <v>12491</v>
      </c>
      <c r="D9300" t="str">
        <f>"0047-2468"</f>
        <v>0047-2468</v>
      </c>
      <c r="E9300" t="s">
        <v>8</v>
      </c>
      <c r="F9300" t="s">
        <v>9305</v>
      </c>
      <c r="G9300">
        <v>1</v>
      </c>
    </row>
    <row r="9301" spans="1:7" x14ac:dyDescent="0.25">
      <c r="A9301">
        <v>30</v>
      </c>
      <c r="B9301" t="s">
        <v>8807</v>
      </c>
      <c r="C9301">
        <v>8042</v>
      </c>
      <c r="D9301" t="str">
        <f>"0393-0440"</f>
        <v>0393-0440</v>
      </c>
      <c r="E9301" t="s">
        <v>8</v>
      </c>
      <c r="F9301" t="s">
        <v>9306</v>
      </c>
      <c r="G9301">
        <v>1</v>
      </c>
    </row>
    <row r="9302" spans="1:7" x14ac:dyDescent="0.25">
      <c r="A9302">
        <v>30</v>
      </c>
      <c r="B9302" t="s">
        <v>8807</v>
      </c>
      <c r="C9302">
        <v>1973</v>
      </c>
      <c r="E9302" t="s">
        <v>8</v>
      </c>
      <c r="F9302" t="s">
        <v>9307</v>
      </c>
      <c r="G9302">
        <v>1</v>
      </c>
    </row>
    <row r="9303" spans="1:7" x14ac:dyDescent="0.25">
      <c r="A9303">
        <v>30</v>
      </c>
      <c r="B9303" t="s">
        <v>8807</v>
      </c>
      <c r="C9303">
        <v>15371</v>
      </c>
      <c r="D9303" t="str">
        <f>"1433-5883"</f>
        <v>1433-5883</v>
      </c>
      <c r="E9303" t="s">
        <v>8</v>
      </c>
      <c r="F9303" t="s">
        <v>9308</v>
      </c>
      <c r="G9303">
        <v>1</v>
      </c>
    </row>
    <row r="9304" spans="1:7" x14ac:dyDescent="0.25">
      <c r="A9304">
        <v>30</v>
      </c>
      <c r="B9304" t="s">
        <v>8807</v>
      </c>
      <c r="C9304">
        <v>151782</v>
      </c>
      <c r="D9304" t="str">
        <f>"2193-8407"</f>
        <v>2193-8407</v>
      </c>
      <c r="E9304" t="s">
        <v>8</v>
      </c>
      <c r="F9304" t="s">
        <v>9309</v>
      </c>
      <c r="G9304">
        <v>1</v>
      </c>
    </row>
    <row r="9305" spans="1:7" x14ac:dyDescent="0.25">
      <c r="A9305">
        <v>30</v>
      </c>
      <c r="B9305" t="s">
        <v>8807</v>
      </c>
      <c r="C9305">
        <v>14442</v>
      </c>
      <c r="D9305" t="str">
        <f>"1025-5834"</f>
        <v>1025-5834</v>
      </c>
      <c r="E9305" t="s">
        <v>8</v>
      </c>
      <c r="F9305" t="s">
        <v>9310</v>
      </c>
      <c r="G9305">
        <v>1</v>
      </c>
    </row>
    <row r="9306" spans="1:7" x14ac:dyDescent="0.25">
      <c r="A9306">
        <v>30</v>
      </c>
      <c r="B9306" t="s">
        <v>8807</v>
      </c>
      <c r="C9306">
        <v>25565</v>
      </c>
      <c r="D9306" t="str">
        <f>"1531-6076"</f>
        <v>1531-6076</v>
      </c>
      <c r="E9306" t="s">
        <v>8</v>
      </c>
      <c r="F9306" t="s">
        <v>9311</v>
      </c>
      <c r="G9306">
        <v>1</v>
      </c>
    </row>
    <row r="9307" spans="1:7" x14ac:dyDescent="0.25">
      <c r="A9307">
        <v>30</v>
      </c>
      <c r="B9307" t="s">
        <v>8807</v>
      </c>
      <c r="C9307">
        <v>5223</v>
      </c>
      <c r="D9307" t="str">
        <f>"0897-3962"</f>
        <v>0897-3962</v>
      </c>
      <c r="E9307" t="s">
        <v>8</v>
      </c>
      <c r="F9307" t="s">
        <v>9312</v>
      </c>
      <c r="G9307">
        <v>1</v>
      </c>
    </row>
    <row r="9308" spans="1:7" x14ac:dyDescent="0.25">
      <c r="A9308">
        <v>30</v>
      </c>
      <c r="B9308" t="s">
        <v>8807</v>
      </c>
      <c r="C9308">
        <v>7914</v>
      </c>
      <c r="D9308" t="str">
        <f>"0928-0219"</f>
        <v>0928-0219</v>
      </c>
      <c r="E9308" t="s">
        <v>8</v>
      </c>
      <c r="F9308" t="s">
        <v>9313</v>
      </c>
      <c r="G9308">
        <v>1</v>
      </c>
    </row>
    <row r="9309" spans="1:7" x14ac:dyDescent="0.25">
      <c r="A9309">
        <v>30</v>
      </c>
      <c r="B9309" t="s">
        <v>8807</v>
      </c>
      <c r="C9309">
        <v>1525</v>
      </c>
      <c r="D9309" t="str">
        <f>"0218-2165"</f>
        <v>0218-2165</v>
      </c>
      <c r="E9309" t="s">
        <v>8</v>
      </c>
      <c r="F9309" t="s">
        <v>9314</v>
      </c>
      <c r="G9309">
        <v>1</v>
      </c>
    </row>
    <row r="9310" spans="1:7" x14ac:dyDescent="0.25">
      <c r="A9310">
        <v>30</v>
      </c>
      <c r="B9310" t="s">
        <v>8807</v>
      </c>
      <c r="C9310">
        <v>5923</v>
      </c>
      <c r="D9310" t="str">
        <f>"0949-5932"</f>
        <v>0949-5932</v>
      </c>
      <c r="E9310" t="s">
        <v>8</v>
      </c>
      <c r="F9310" t="s">
        <v>9315</v>
      </c>
      <c r="G9310">
        <v>1</v>
      </c>
    </row>
    <row r="9311" spans="1:7" x14ac:dyDescent="0.25">
      <c r="A9311">
        <v>30</v>
      </c>
      <c r="B9311" t="s">
        <v>8807</v>
      </c>
      <c r="C9311">
        <v>5828</v>
      </c>
      <c r="D9311" t="str">
        <f>"0022-247X"</f>
        <v>0022-247X</v>
      </c>
      <c r="E9311" t="s">
        <v>8</v>
      </c>
      <c r="F9311" t="s">
        <v>9316</v>
      </c>
      <c r="G9311">
        <v>1</v>
      </c>
    </row>
    <row r="9312" spans="1:7" x14ac:dyDescent="0.25">
      <c r="A9312">
        <v>30</v>
      </c>
      <c r="B9312" t="s">
        <v>8807</v>
      </c>
      <c r="C9312">
        <v>11503</v>
      </c>
      <c r="D9312" t="str">
        <f>"0259-9791"</f>
        <v>0259-9791</v>
      </c>
      <c r="E9312" t="s">
        <v>8</v>
      </c>
      <c r="F9312" t="s">
        <v>9317</v>
      </c>
      <c r="G9312">
        <v>1</v>
      </c>
    </row>
    <row r="9313" spans="1:7" x14ac:dyDescent="0.25">
      <c r="A9313">
        <v>30</v>
      </c>
      <c r="B9313" t="s">
        <v>8807</v>
      </c>
      <c r="C9313">
        <v>10240</v>
      </c>
      <c r="D9313" t="str">
        <f>"1862-2976"</f>
        <v>1862-2976</v>
      </c>
      <c r="E9313" t="s">
        <v>8</v>
      </c>
      <c r="F9313" t="s">
        <v>9318</v>
      </c>
      <c r="G9313">
        <v>1</v>
      </c>
    </row>
    <row r="9314" spans="1:7" x14ac:dyDescent="0.25">
      <c r="A9314">
        <v>30</v>
      </c>
      <c r="B9314" t="s">
        <v>8807</v>
      </c>
      <c r="C9314">
        <v>13974</v>
      </c>
      <c r="D9314" t="str">
        <f>"1422-6928"</f>
        <v>1422-6928</v>
      </c>
      <c r="E9314" t="s">
        <v>8</v>
      </c>
      <c r="F9314" t="s">
        <v>9319</v>
      </c>
      <c r="G9314">
        <v>1</v>
      </c>
    </row>
    <row r="9315" spans="1:7" x14ac:dyDescent="0.25">
      <c r="A9315">
        <v>30</v>
      </c>
      <c r="B9315" t="s">
        <v>8807</v>
      </c>
      <c r="C9315">
        <v>737</v>
      </c>
      <c r="D9315" t="str">
        <f>"0219-0613"</f>
        <v>0219-0613</v>
      </c>
      <c r="E9315" t="s">
        <v>8</v>
      </c>
      <c r="F9315" t="s">
        <v>9320</v>
      </c>
      <c r="G9315">
        <v>1</v>
      </c>
    </row>
    <row r="9316" spans="1:7" x14ac:dyDescent="0.25">
      <c r="A9316">
        <v>30</v>
      </c>
      <c r="B9316" t="s">
        <v>8807</v>
      </c>
      <c r="C9316">
        <v>8599</v>
      </c>
      <c r="D9316" t="str">
        <f>"2214-2487"</f>
        <v>2214-2487</v>
      </c>
      <c r="E9316" t="s">
        <v>8</v>
      </c>
      <c r="F9316" t="s">
        <v>9321</v>
      </c>
      <c r="G9316">
        <v>1</v>
      </c>
    </row>
    <row r="9317" spans="1:7" x14ac:dyDescent="0.25">
      <c r="A9317">
        <v>30</v>
      </c>
      <c r="B9317" t="s">
        <v>8807</v>
      </c>
      <c r="C9317">
        <v>12871</v>
      </c>
      <c r="D9317" t="str">
        <f>"0022-2488"</f>
        <v>0022-2488</v>
      </c>
      <c r="E9317" t="s">
        <v>8</v>
      </c>
      <c r="F9317" t="s">
        <v>9322</v>
      </c>
      <c r="G9317">
        <v>1</v>
      </c>
    </row>
    <row r="9318" spans="1:7" x14ac:dyDescent="0.25">
      <c r="A9318">
        <v>30</v>
      </c>
      <c r="B9318" t="s">
        <v>8807</v>
      </c>
      <c r="C9318">
        <v>5788</v>
      </c>
      <c r="D9318" t="str">
        <f>"1745-9737"</f>
        <v>1745-9737</v>
      </c>
      <c r="E9318" t="s">
        <v>8</v>
      </c>
      <c r="F9318" t="s">
        <v>9323</v>
      </c>
      <c r="G9318">
        <v>1</v>
      </c>
    </row>
    <row r="9319" spans="1:7" x14ac:dyDescent="0.25">
      <c r="A9319">
        <v>30</v>
      </c>
      <c r="B9319" t="s">
        <v>8807</v>
      </c>
      <c r="C9319">
        <v>23363</v>
      </c>
      <c r="D9319" t="str">
        <f>"1751-3472"</f>
        <v>1751-3472</v>
      </c>
      <c r="E9319" t="s">
        <v>8</v>
      </c>
      <c r="F9319" t="s">
        <v>9324</v>
      </c>
      <c r="G9319">
        <v>1</v>
      </c>
    </row>
    <row r="9320" spans="1:7" x14ac:dyDescent="0.25">
      <c r="A9320">
        <v>30</v>
      </c>
      <c r="B9320" t="s">
        <v>8807</v>
      </c>
      <c r="C9320">
        <v>7706944</v>
      </c>
      <c r="E9320" t="s">
        <v>8</v>
      </c>
      <c r="F9320" t="s">
        <v>9325</v>
      </c>
      <c r="G9320">
        <v>1</v>
      </c>
    </row>
    <row r="9321" spans="1:7" x14ac:dyDescent="0.25">
      <c r="A9321">
        <v>30</v>
      </c>
      <c r="B9321" t="s">
        <v>8807</v>
      </c>
      <c r="C9321">
        <v>7251</v>
      </c>
      <c r="D9321" t="str">
        <f>"1538-9472"</f>
        <v>1538-9472</v>
      </c>
      <c r="E9321" t="s">
        <v>8</v>
      </c>
      <c r="F9321" t="s">
        <v>9326</v>
      </c>
      <c r="G9321">
        <v>1</v>
      </c>
    </row>
    <row r="9322" spans="1:7" x14ac:dyDescent="0.25">
      <c r="A9322">
        <v>30</v>
      </c>
      <c r="B9322" t="s">
        <v>8807</v>
      </c>
      <c r="C9322">
        <v>140146</v>
      </c>
      <c r="D9322" t="str">
        <f>"1930-5311"</f>
        <v>1930-5311</v>
      </c>
      <c r="E9322" t="s">
        <v>8</v>
      </c>
      <c r="F9322" t="s">
        <v>9327</v>
      </c>
      <c r="G9322">
        <v>1</v>
      </c>
    </row>
    <row r="9323" spans="1:7" x14ac:dyDescent="0.25">
      <c r="A9323">
        <v>30</v>
      </c>
      <c r="B9323" t="s">
        <v>8807</v>
      </c>
      <c r="C9323">
        <v>10515</v>
      </c>
      <c r="D9323" t="str">
        <f>"1345-4773"</f>
        <v>1345-4773</v>
      </c>
      <c r="E9323" t="s">
        <v>8</v>
      </c>
      <c r="F9323" t="s">
        <v>9328</v>
      </c>
      <c r="G9323">
        <v>1</v>
      </c>
    </row>
    <row r="9324" spans="1:7" x14ac:dyDescent="0.25">
      <c r="A9324">
        <v>30</v>
      </c>
      <c r="B9324" t="s">
        <v>8807</v>
      </c>
      <c r="C9324">
        <v>10230</v>
      </c>
      <c r="D9324" t="str">
        <f>"1048-5252"</f>
        <v>1048-5252</v>
      </c>
      <c r="E9324" t="s">
        <v>8</v>
      </c>
      <c r="F9324" t="s">
        <v>9329</v>
      </c>
      <c r="G9324">
        <v>1</v>
      </c>
    </row>
    <row r="9325" spans="1:7" x14ac:dyDescent="0.25">
      <c r="A9325">
        <v>30</v>
      </c>
      <c r="B9325" t="s">
        <v>8807</v>
      </c>
      <c r="C9325">
        <v>8618</v>
      </c>
      <c r="D9325" t="str">
        <f>"0022-314X"</f>
        <v>0022-314X</v>
      </c>
      <c r="E9325" t="s">
        <v>8</v>
      </c>
      <c r="F9325" t="s">
        <v>9330</v>
      </c>
      <c r="G9325">
        <v>1</v>
      </c>
    </row>
    <row r="9326" spans="1:7" x14ac:dyDescent="0.25">
      <c r="A9326">
        <v>30</v>
      </c>
      <c r="B9326" t="s">
        <v>8807</v>
      </c>
      <c r="C9326">
        <v>16099</v>
      </c>
      <c r="D9326" t="str">
        <f>"1570-2820"</f>
        <v>1570-2820</v>
      </c>
      <c r="E9326" t="s">
        <v>8</v>
      </c>
      <c r="F9326" t="s">
        <v>9331</v>
      </c>
      <c r="G9326">
        <v>1</v>
      </c>
    </row>
    <row r="9327" spans="1:7" x14ac:dyDescent="0.25">
      <c r="A9327">
        <v>30</v>
      </c>
      <c r="B9327" t="s">
        <v>8807</v>
      </c>
      <c r="C9327">
        <v>14929</v>
      </c>
      <c r="D9327" t="str">
        <f>"0379-4024"</f>
        <v>0379-4024</v>
      </c>
      <c r="E9327" t="s">
        <v>8</v>
      </c>
      <c r="F9327" t="s">
        <v>9332</v>
      </c>
      <c r="G9327">
        <v>1</v>
      </c>
    </row>
    <row r="9328" spans="1:7" x14ac:dyDescent="0.25">
      <c r="A9328">
        <v>30</v>
      </c>
      <c r="B9328" t="s">
        <v>8807</v>
      </c>
      <c r="C9328">
        <v>11584</v>
      </c>
      <c r="D9328" t="str">
        <f>"0022-3239"</f>
        <v>0022-3239</v>
      </c>
      <c r="E9328" t="s">
        <v>8</v>
      </c>
      <c r="F9328" t="s">
        <v>9333</v>
      </c>
      <c r="G9328">
        <v>1</v>
      </c>
    </row>
    <row r="9329" spans="1:7" x14ac:dyDescent="0.25">
      <c r="A9329">
        <v>30</v>
      </c>
      <c r="B9329" t="s">
        <v>8807</v>
      </c>
      <c r="C9329">
        <v>10761</v>
      </c>
      <c r="D9329" t="str">
        <f>"1000-940X"</f>
        <v>1000-940X</v>
      </c>
      <c r="E9329" t="s">
        <v>8</v>
      </c>
      <c r="F9329" t="s">
        <v>9334</v>
      </c>
      <c r="G9329">
        <v>1</v>
      </c>
    </row>
    <row r="9330" spans="1:7" x14ac:dyDescent="0.25">
      <c r="A9330">
        <v>30</v>
      </c>
      <c r="B9330" t="s">
        <v>8807</v>
      </c>
      <c r="C9330">
        <v>14410</v>
      </c>
      <c r="D9330" t="str">
        <f>"1751-8113"</f>
        <v>1751-8113</v>
      </c>
      <c r="E9330" t="s">
        <v>8</v>
      </c>
      <c r="F9330" t="s">
        <v>9335</v>
      </c>
      <c r="G9330">
        <v>1</v>
      </c>
    </row>
    <row r="9331" spans="1:7" x14ac:dyDescent="0.25">
      <c r="A9331">
        <v>30</v>
      </c>
      <c r="B9331" t="s">
        <v>8807</v>
      </c>
      <c r="C9331">
        <v>12686</v>
      </c>
      <c r="D9331" t="str">
        <f>"0022-4049"</f>
        <v>0022-4049</v>
      </c>
      <c r="E9331" t="s">
        <v>8</v>
      </c>
      <c r="F9331" t="s">
        <v>9336</v>
      </c>
      <c r="G9331">
        <v>1</v>
      </c>
    </row>
    <row r="9332" spans="1:7" x14ac:dyDescent="0.25">
      <c r="A9332">
        <v>30</v>
      </c>
      <c r="B9332" t="s">
        <v>8807</v>
      </c>
      <c r="C9332">
        <v>108100</v>
      </c>
      <c r="E9332" t="s">
        <v>8</v>
      </c>
      <c r="F9332" t="s">
        <v>9337</v>
      </c>
      <c r="G9332">
        <v>1</v>
      </c>
    </row>
    <row r="9333" spans="1:7" x14ac:dyDescent="0.25">
      <c r="A9333">
        <v>30</v>
      </c>
      <c r="B9333" t="s">
        <v>8807</v>
      </c>
      <c r="C9333">
        <v>141776</v>
      </c>
      <c r="D9333" t="str">
        <f>"0971-1554"</f>
        <v>0971-1554</v>
      </c>
      <c r="E9333" t="s">
        <v>8</v>
      </c>
      <c r="F9333" t="s">
        <v>9338</v>
      </c>
      <c r="G9333">
        <v>1</v>
      </c>
    </row>
    <row r="9334" spans="1:7" x14ac:dyDescent="0.25">
      <c r="A9334">
        <v>30</v>
      </c>
      <c r="B9334" t="s">
        <v>8807</v>
      </c>
      <c r="C9334">
        <v>151780</v>
      </c>
      <c r="D9334" t="str">
        <f>"1753-9579"</f>
        <v>1753-9579</v>
      </c>
      <c r="E9334" t="s">
        <v>8</v>
      </c>
      <c r="F9334" t="s">
        <v>9339</v>
      </c>
      <c r="G9334">
        <v>1</v>
      </c>
    </row>
    <row r="9335" spans="1:7" x14ac:dyDescent="0.25">
      <c r="A9335">
        <v>30</v>
      </c>
      <c r="B9335" t="s">
        <v>8807</v>
      </c>
      <c r="C9335">
        <v>8328</v>
      </c>
      <c r="D9335" t="str">
        <f>"0885-7474"</f>
        <v>0885-7474</v>
      </c>
      <c r="E9335" t="s">
        <v>8</v>
      </c>
      <c r="F9335" t="s">
        <v>9340</v>
      </c>
      <c r="G9335">
        <v>1</v>
      </c>
    </row>
    <row r="9336" spans="1:7" x14ac:dyDescent="0.25">
      <c r="A9336">
        <v>30</v>
      </c>
      <c r="B9336" t="s">
        <v>8807</v>
      </c>
      <c r="C9336">
        <v>26524</v>
      </c>
      <c r="D9336" t="str">
        <f>"1747-7778"</f>
        <v>1747-7778</v>
      </c>
      <c r="E9336" t="s">
        <v>8</v>
      </c>
      <c r="F9336" t="s">
        <v>9341</v>
      </c>
      <c r="G9336">
        <v>1</v>
      </c>
    </row>
    <row r="9337" spans="1:7" x14ac:dyDescent="0.25">
      <c r="A9337">
        <v>30</v>
      </c>
      <c r="B9337" t="s">
        <v>8807</v>
      </c>
      <c r="C9337">
        <v>6172153</v>
      </c>
      <c r="D9337" t="str">
        <f>"1949-2006"</f>
        <v>1949-2006</v>
      </c>
      <c r="E9337" t="s">
        <v>8</v>
      </c>
      <c r="F9337" t="s">
        <v>9342</v>
      </c>
      <c r="G9337">
        <v>1</v>
      </c>
    </row>
    <row r="9338" spans="1:7" x14ac:dyDescent="0.25">
      <c r="A9338">
        <v>30</v>
      </c>
      <c r="B9338" t="s">
        <v>8807</v>
      </c>
      <c r="C9338">
        <v>8767025</v>
      </c>
      <c r="D9338" t="str">
        <f>"1948-7916"</f>
        <v>1948-7916</v>
      </c>
      <c r="E9338" t="s">
        <v>8</v>
      </c>
      <c r="F9338" t="s">
        <v>9343</v>
      </c>
      <c r="G9338">
        <v>1</v>
      </c>
    </row>
    <row r="9339" spans="1:7" x14ac:dyDescent="0.25">
      <c r="A9339">
        <v>30</v>
      </c>
      <c r="B9339" t="s">
        <v>8807</v>
      </c>
      <c r="C9339">
        <v>4777</v>
      </c>
      <c r="D9339" t="str">
        <f>"0094-9655"</f>
        <v>0094-9655</v>
      </c>
      <c r="E9339" t="s">
        <v>8</v>
      </c>
      <c r="F9339" t="s">
        <v>9344</v>
      </c>
      <c r="G9339">
        <v>1</v>
      </c>
    </row>
    <row r="9340" spans="1:7" x14ac:dyDescent="0.25">
      <c r="A9340">
        <v>30</v>
      </c>
      <c r="B9340" t="s">
        <v>8807</v>
      </c>
      <c r="C9340">
        <v>16596</v>
      </c>
      <c r="D9340" t="str">
        <f>"0022-4715"</f>
        <v>0022-4715</v>
      </c>
      <c r="E9340" t="s">
        <v>8</v>
      </c>
      <c r="F9340" t="s">
        <v>9345</v>
      </c>
      <c r="G9340">
        <v>1</v>
      </c>
    </row>
    <row r="9341" spans="1:7" x14ac:dyDescent="0.25">
      <c r="A9341">
        <v>30</v>
      </c>
      <c r="B9341" t="s">
        <v>8807</v>
      </c>
      <c r="C9341">
        <v>12777</v>
      </c>
      <c r="D9341" t="str">
        <f>"0378-3758"</f>
        <v>0378-3758</v>
      </c>
      <c r="E9341" t="s">
        <v>8</v>
      </c>
      <c r="F9341" t="s">
        <v>9346</v>
      </c>
      <c r="G9341">
        <v>1</v>
      </c>
    </row>
    <row r="9342" spans="1:7" x14ac:dyDescent="0.25">
      <c r="A9342">
        <v>30</v>
      </c>
      <c r="B9342" t="s">
        <v>8807</v>
      </c>
      <c r="C9342">
        <v>29364</v>
      </c>
      <c r="D9342" t="str">
        <f>"1559-8608"</f>
        <v>1559-8608</v>
      </c>
      <c r="E9342" t="s">
        <v>8</v>
      </c>
      <c r="F9342" t="s">
        <v>9347</v>
      </c>
      <c r="G9342">
        <v>1</v>
      </c>
    </row>
    <row r="9343" spans="1:7" x14ac:dyDescent="0.25">
      <c r="A9343">
        <v>30</v>
      </c>
      <c r="B9343" t="s">
        <v>8807</v>
      </c>
      <c r="C9343">
        <v>15620</v>
      </c>
      <c r="E9343" t="s">
        <v>8</v>
      </c>
      <c r="F9343" t="s">
        <v>9348</v>
      </c>
      <c r="G9343">
        <v>1</v>
      </c>
    </row>
    <row r="9344" spans="1:7" x14ac:dyDescent="0.25">
      <c r="A9344">
        <v>30</v>
      </c>
      <c r="B9344" t="s">
        <v>8807</v>
      </c>
      <c r="C9344">
        <v>7749700</v>
      </c>
      <c r="D9344" t="str">
        <f>"2325-0984"</f>
        <v>2325-0984</v>
      </c>
      <c r="E9344" t="s">
        <v>8</v>
      </c>
      <c r="F9344" t="s">
        <v>9349</v>
      </c>
      <c r="G9344">
        <v>1</v>
      </c>
    </row>
    <row r="9345" spans="1:7" x14ac:dyDescent="0.25">
      <c r="A9345">
        <v>30</v>
      </c>
      <c r="B9345" t="s">
        <v>8807</v>
      </c>
      <c r="C9345">
        <v>11807</v>
      </c>
      <c r="D9345" t="str">
        <f>"0747-7171"</f>
        <v>0747-7171</v>
      </c>
      <c r="E9345" t="s">
        <v>8</v>
      </c>
      <c r="F9345" t="s">
        <v>9350</v>
      </c>
      <c r="G9345">
        <v>1</v>
      </c>
    </row>
    <row r="9346" spans="1:7" x14ac:dyDescent="0.25">
      <c r="A9346">
        <v>30</v>
      </c>
      <c r="B9346" t="s">
        <v>8807</v>
      </c>
      <c r="C9346">
        <v>2142</v>
      </c>
      <c r="D9346" t="str">
        <f>"1527-5256"</f>
        <v>1527-5256</v>
      </c>
      <c r="E9346" t="s">
        <v>8</v>
      </c>
      <c r="F9346" t="s">
        <v>9351</v>
      </c>
      <c r="G9346">
        <v>1</v>
      </c>
    </row>
    <row r="9347" spans="1:7" x14ac:dyDescent="0.25">
      <c r="A9347">
        <v>30</v>
      </c>
      <c r="B9347" t="s">
        <v>8807</v>
      </c>
      <c r="C9347">
        <v>1437</v>
      </c>
      <c r="D9347" t="str">
        <f>"1446-7887"</f>
        <v>1446-7887</v>
      </c>
      <c r="E9347" t="s">
        <v>8</v>
      </c>
      <c r="F9347" t="s">
        <v>9352</v>
      </c>
      <c r="G9347">
        <v>1</v>
      </c>
    </row>
    <row r="9348" spans="1:7" x14ac:dyDescent="0.25">
      <c r="A9348">
        <v>30</v>
      </c>
      <c r="B9348" t="s">
        <v>8807</v>
      </c>
      <c r="C9348">
        <v>10656</v>
      </c>
      <c r="D9348" t="str">
        <f>"0016-0032"</f>
        <v>0016-0032</v>
      </c>
      <c r="E9348" t="s">
        <v>8</v>
      </c>
      <c r="F9348" t="s">
        <v>9353</v>
      </c>
      <c r="G9348">
        <v>1</v>
      </c>
    </row>
    <row r="9349" spans="1:7" x14ac:dyDescent="0.25">
      <c r="A9349">
        <v>30</v>
      </c>
      <c r="B9349" t="s">
        <v>8807</v>
      </c>
      <c r="C9349">
        <v>151676</v>
      </c>
      <c r="D9349" t="str">
        <f>"0537-2585"</f>
        <v>0537-2585</v>
      </c>
      <c r="E9349" t="s">
        <v>8</v>
      </c>
      <c r="F9349" t="s">
        <v>9354</v>
      </c>
      <c r="G9349">
        <v>1</v>
      </c>
    </row>
    <row r="9350" spans="1:7" x14ac:dyDescent="0.25">
      <c r="A9350">
        <v>30</v>
      </c>
      <c r="B9350" t="s">
        <v>8807</v>
      </c>
      <c r="C9350">
        <v>6748</v>
      </c>
      <c r="D9350" t="str">
        <f>"0304-9914"</f>
        <v>0304-9914</v>
      </c>
      <c r="E9350" t="s">
        <v>8</v>
      </c>
      <c r="F9350" t="s">
        <v>9355</v>
      </c>
      <c r="G9350">
        <v>1</v>
      </c>
    </row>
    <row r="9351" spans="1:7" x14ac:dyDescent="0.25">
      <c r="A9351">
        <v>30</v>
      </c>
      <c r="B9351" t="s">
        <v>8807</v>
      </c>
      <c r="C9351">
        <v>19561</v>
      </c>
      <c r="D9351" t="str">
        <f>"1226-3192"</f>
        <v>1226-3192</v>
      </c>
      <c r="E9351" t="s">
        <v>8</v>
      </c>
      <c r="F9351" t="s">
        <v>9356</v>
      </c>
      <c r="G9351">
        <v>1</v>
      </c>
    </row>
    <row r="9352" spans="1:7" x14ac:dyDescent="0.25">
      <c r="A9352">
        <v>30</v>
      </c>
      <c r="B9352" t="s">
        <v>8807</v>
      </c>
      <c r="C9352">
        <v>6025</v>
      </c>
      <c r="D9352" t="str">
        <f>"0025-5645"</f>
        <v>0025-5645</v>
      </c>
      <c r="E9352" t="s">
        <v>8</v>
      </c>
      <c r="F9352" t="s">
        <v>9357</v>
      </c>
      <c r="G9352">
        <v>1</v>
      </c>
    </row>
    <row r="9353" spans="1:7" x14ac:dyDescent="0.25">
      <c r="A9353">
        <v>30</v>
      </c>
      <c r="B9353" t="s">
        <v>8807</v>
      </c>
      <c r="C9353">
        <v>47462</v>
      </c>
      <c r="D9353" t="str">
        <f>"0970-1249"</f>
        <v>0970-1249</v>
      </c>
      <c r="E9353" t="s">
        <v>8</v>
      </c>
      <c r="F9353" t="s">
        <v>9358</v>
      </c>
      <c r="G9353">
        <v>1</v>
      </c>
    </row>
    <row r="9354" spans="1:7" x14ac:dyDescent="0.25">
      <c r="A9354">
        <v>30</v>
      </c>
      <c r="B9354" t="s">
        <v>8807</v>
      </c>
      <c r="C9354">
        <v>7158</v>
      </c>
      <c r="D9354" t="str">
        <f>"0964-1998"</f>
        <v>0964-1998</v>
      </c>
      <c r="E9354" t="s">
        <v>8</v>
      </c>
      <c r="F9354" t="s">
        <v>9359</v>
      </c>
      <c r="G9354">
        <v>1</v>
      </c>
    </row>
    <row r="9355" spans="1:7" x14ac:dyDescent="0.25">
      <c r="A9355">
        <v>30</v>
      </c>
      <c r="B9355" t="s">
        <v>8807</v>
      </c>
      <c r="C9355">
        <v>95412</v>
      </c>
      <c r="D9355" t="str">
        <f>"1793-5253"</f>
        <v>1793-5253</v>
      </c>
      <c r="E9355" t="s">
        <v>8</v>
      </c>
      <c r="F9355" t="s">
        <v>9360</v>
      </c>
      <c r="G9355">
        <v>1</v>
      </c>
    </row>
    <row r="9356" spans="1:7" x14ac:dyDescent="0.25">
      <c r="A9356">
        <v>30</v>
      </c>
      <c r="B9356" t="s">
        <v>8807</v>
      </c>
      <c r="C9356">
        <v>12833</v>
      </c>
      <c r="D9356" t="str">
        <f>"1875-5011"</f>
        <v>1875-5011</v>
      </c>
      <c r="E9356" t="s">
        <v>8</v>
      </c>
      <c r="F9356" t="s">
        <v>9361</v>
      </c>
      <c r="G9356">
        <v>1</v>
      </c>
    </row>
    <row r="9357" spans="1:7" x14ac:dyDescent="0.25">
      <c r="A9357">
        <v>30</v>
      </c>
      <c r="B9357" t="s">
        <v>8807</v>
      </c>
      <c r="C9357">
        <v>13266</v>
      </c>
      <c r="D9357" t="str">
        <f>"0386-5991"</f>
        <v>0386-5991</v>
      </c>
      <c r="E9357" t="s">
        <v>8</v>
      </c>
      <c r="F9357" t="s">
        <v>9362</v>
      </c>
      <c r="G9357">
        <v>1</v>
      </c>
    </row>
    <row r="9358" spans="1:7" x14ac:dyDescent="0.25">
      <c r="A9358">
        <v>30</v>
      </c>
      <c r="B9358" t="s">
        <v>8807</v>
      </c>
      <c r="C9358">
        <v>6260</v>
      </c>
      <c r="D9358" t="str">
        <f>"2156-2261"</f>
        <v>2156-2261</v>
      </c>
      <c r="E9358" t="s">
        <v>8</v>
      </c>
      <c r="F9358" t="s">
        <v>9363</v>
      </c>
      <c r="G9358">
        <v>1</v>
      </c>
    </row>
    <row r="9359" spans="1:7" x14ac:dyDescent="0.25">
      <c r="A9359">
        <v>30</v>
      </c>
      <c r="B9359" t="s">
        <v>8807</v>
      </c>
      <c r="C9359">
        <v>3073</v>
      </c>
      <c r="D9359" t="str">
        <f>"0013-8584"</f>
        <v>0013-8584</v>
      </c>
      <c r="E9359" t="s">
        <v>8</v>
      </c>
      <c r="F9359" t="s">
        <v>9364</v>
      </c>
      <c r="G9359">
        <v>1</v>
      </c>
    </row>
    <row r="9360" spans="1:7" x14ac:dyDescent="0.25">
      <c r="A9360">
        <v>30</v>
      </c>
      <c r="B9360" t="s">
        <v>8807</v>
      </c>
      <c r="C9360">
        <v>3278</v>
      </c>
      <c r="D9360" t="str">
        <f>"0075-8442"</f>
        <v>0075-8442</v>
      </c>
      <c r="E9360" t="s">
        <v>15</v>
      </c>
      <c r="F9360" t="s">
        <v>9365</v>
      </c>
      <c r="G9360">
        <v>1</v>
      </c>
    </row>
    <row r="9361" spans="1:7" x14ac:dyDescent="0.25">
      <c r="A9361">
        <v>30</v>
      </c>
      <c r="B9361" t="s">
        <v>8807</v>
      </c>
      <c r="C9361">
        <v>13445</v>
      </c>
      <c r="D9361" t="str">
        <f>"0075-8434"</f>
        <v>0075-8434</v>
      </c>
      <c r="E9361" t="s">
        <v>15</v>
      </c>
      <c r="F9361" t="s">
        <v>9366</v>
      </c>
      <c r="G9361">
        <v>1</v>
      </c>
    </row>
    <row r="9362" spans="1:7" x14ac:dyDescent="0.25">
      <c r="A9362">
        <v>30</v>
      </c>
      <c r="B9362" t="s">
        <v>8807</v>
      </c>
      <c r="C9362">
        <v>11884</v>
      </c>
      <c r="D9362" t="str">
        <f>"0075-8469"</f>
        <v>0075-8469</v>
      </c>
      <c r="E9362" t="s">
        <v>15</v>
      </c>
      <c r="F9362" t="s">
        <v>9367</v>
      </c>
      <c r="G9362">
        <v>1</v>
      </c>
    </row>
    <row r="9363" spans="1:7" x14ac:dyDescent="0.25">
      <c r="A9363">
        <v>30</v>
      </c>
      <c r="B9363" t="s">
        <v>8807</v>
      </c>
      <c r="C9363">
        <v>131046</v>
      </c>
      <c r="D9363" t="str">
        <f>"0930-0325"</f>
        <v>0930-0325</v>
      </c>
      <c r="E9363" t="s">
        <v>15</v>
      </c>
      <c r="F9363" t="s">
        <v>9368</v>
      </c>
      <c r="G9363">
        <v>1</v>
      </c>
    </row>
    <row r="9364" spans="1:7" x14ac:dyDescent="0.25">
      <c r="A9364">
        <v>30</v>
      </c>
      <c r="B9364" t="s">
        <v>8807</v>
      </c>
      <c r="C9364">
        <v>10193</v>
      </c>
      <c r="D9364" t="str">
        <f>"0024-3795"</f>
        <v>0024-3795</v>
      </c>
      <c r="E9364" t="s">
        <v>8</v>
      </c>
      <c r="F9364" t="s">
        <v>9369</v>
      </c>
      <c r="G9364">
        <v>1</v>
      </c>
    </row>
    <row r="9365" spans="1:7" x14ac:dyDescent="0.25">
      <c r="A9365">
        <v>30</v>
      </c>
      <c r="B9365" t="s">
        <v>8807</v>
      </c>
      <c r="C9365">
        <v>5178</v>
      </c>
      <c r="D9365" t="str">
        <f>"0308-1087"</f>
        <v>0308-1087</v>
      </c>
      <c r="E9365" t="s">
        <v>8</v>
      </c>
      <c r="F9365" t="s">
        <v>9370</v>
      </c>
      <c r="G9365">
        <v>1</v>
      </c>
    </row>
    <row r="9366" spans="1:7" x14ac:dyDescent="0.25">
      <c r="A9366">
        <v>30</v>
      </c>
      <c r="B9366" t="s">
        <v>8807</v>
      </c>
      <c r="C9366">
        <v>2207</v>
      </c>
      <c r="D9366" t="str">
        <f>"0363-1672"</f>
        <v>0363-1672</v>
      </c>
      <c r="E9366" t="s">
        <v>8</v>
      </c>
      <c r="F9366" t="s">
        <v>9371</v>
      </c>
      <c r="G9366">
        <v>1</v>
      </c>
    </row>
    <row r="9367" spans="1:7" x14ac:dyDescent="0.25">
      <c r="A9367">
        <v>30</v>
      </c>
      <c r="B9367" t="s">
        <v>8807</v>
      </c>
      <c r="C9367">
        <v>11617</v>
      </c>
      <c r="E9367" t="s">
        <v>8</v>
      </c>
      <c r="F9367" t="s">
        <v>9372</v>
      </c>
      <c r="G9367">
        <v>1</v>
      </c>
    </row>
    <row r="9368" spans="1:7" x14ac:dyDescent="0.25">
      <c r="A9368">
        <v>30</v>
      </c>
      <c r="B9368" t="s">
        <v>8807</v>
      </c>
      <c r="C9368">
        <v>25399</v>
      </c>
      <c r="D9368" t="str">
        <f>"1995-0802"</f>
        <v>1995-0802</v>
      </c>
      <c r="E9368" t="s">
        <v>8</v>
      </c>
      <c r="F9368" t="s">
        <v>9373</v>
      </c>
      <c r="G9368">
        <v>1</v>
      </c>
    </row>
    <row r="9369" spans="1:7" x14ac:dyDescent="0.25">
      <c r="A9369">
        <v>30</v>
      </c>
      <c r="B9369" t="s">
        <v>8807</v>
      </c>
      <c r="C9369">
        <v>1807</v>
      </c>
      <c r="D9369" t="str">
        <f>"1661-8297"</f>
        <v>1661-8297</v>
      </c>
      <c r="E9369" t="s">
        <v>8</v>
      </c>
      <c r="F9369" t="s">
        <v>9374</v>
      </c>
      <c r="G9369">
        <v>1</v>
      </c>
    </row>
    <row r="9370" spans="1:7" x14ac:dyDescent="0.25">
      <c r="A9370">
        <v>30</v>
      </c>
      <c r="B9370" t="s">
        <v>8807</v>
      </c>
      <c r="C9370">
        <v>170354</v>
      </c>
      <c r="E9370" t="s">
        <v>15</v>
      </c>
      <c r="F9370" t="s">
        <v>9375</v>
      </c>
      <c r="G9370">
        <v>1</v>
      </c>
    </row>
    <row r="9371" spans="1:7" x14ac:dyDescent="0.25">
      <c r="A9371">
        <v>30</v>
      </c>
      <c r="B9371" t="s">
        <v>8807</v>
      </c>
      <c r="C9371">
        <v>5262</v>
      </c>
      <c r="D9371" t="str">
        <f>"0025-2611"</f>
        <v>0025-2611</v>
      </c>
      <c r="E9371" t="s">
        <v>8</v>
      </c>
      <c r="F9371" t="s">
        <v>9376</v>
      </c>
      <c r="G9371">
        <v>1</v>
      </c>
    </row>
    <row r="9372" spans="1:7" x14ac:dyDescent="0.25">
      <c r="A9372">
        <v>30</v>
      </c>
      <c r="B9372" t="s">
        <v>8807</v>
      </c>
      <c r="C9372">
        <v>80052</v>
      </c>
      <c r="D9372" t="str">
        <f>"1024-2953"</f>
        <v>1024-2953</v>
      </c>
      <c r="E9372" t="s">
        <v>8</v>
      </c>
      <c r="F9372" t="s">
        <v>9377</v>
      </c>
      <c r="G9372">
        <v>1</v>
      </c>
    </row>
    <row r="9373" spans="1:7" x14ac:dyDescent="0.25">
      <c r="A9373">
        <v>30</v>
      </c>
      <c r="B9373" t="s">
        <v>8807</v>
      </c>
      <c r="C9373">
        <v>7954</v>
      </c>
      <c r="D9373" t="str">
        <f>"0340-6253"</f>
        <v>0340-6253</v>
      </c>
      <c r="E9373" t="s">
        <v>8</v>
      </c>
      <c r="F9373" t="s">
        <v>9378</v>
      </c>
      <c r="G9373">
        <v>1</v>
      </c>
    </row>
    <row r="9374" spans="1:7" x14ac:dyDescent="0.25">
      <c r="A9374">
        <v>30</v>
      </c>
      <c r="B9374" t="s">
        <v>8807</v>
      </c>
      <c r="C9374">
        <v>2743</v>
      </c>
      <c r="D9374" t="str">
        <f>"0025-5165"</f>
        <v>0025-5165</v>
      </c>
      <c r="E9374" t="s">
        <v>8</v>
      </c>
      <c r="F9374" t="s">
        <v>9379</v>
      </c>
      <c r="G9374">
        <v>1</v>
      </c>
    </row>
    <row r="9375" spans="1:7" x14ac:dyDescent="0.25">
      <c r="A9375">
        <v>30</v>
      </c>
      <c r="B9375" t="s">
        <v>8807</v>
      </c>
      <c r="C9375">
        <v>15635</v>
      </c>
      <c r="D9375" t="str">
        <f>"0025-5521"</f>
        <v>0025-5521</v>
      </c>
      <c r="E9375" t="s">
        <v>8</v>
      </c>
      <c r="F9375" t="s">
        <v>9380</v>
      </c>
      <c r="G9375">
        <v>1</v>
      </c>
    </row>
    <row r="9376" spans="1:7" x14ac:dyDescent="0.25">
      <c r="A9376">
        <v>30</v>
      </c>
      <c r="B9376" t="s">
        <v>8807</v>
      </c>
      <c r="C9376">
        <v>170417</v>
      </c>
      <c r="E9376" t="s">
        <v>15</v>
      </c>
      <c r="F9376" t="s">
        <v>9381</v>
      </c>
      <c r="G9376">
        <v>1</v>
      </c>
    </row>
    <row r="9377" spans="1:7" x14ac:dyDescent="0.25">
      <c r="A9377">
        <v>30</v>
      </c>
      <c r="B9377" t="s">
        <v>8807</v>
      </c>
      <c r="C9377">
        <v>5095</v>
      </c>
      <c r="D9377" t="str">
        <f>"0895-7177"</f>
        <v>0895-7177</v>
      </c>
      <c r="E9377" t="s">
        <v>8</v>
      </c>
      <c r="F9377" t="s">
        <v>9382</v>
      </c>
      <c r="G9377">
        <v>1</v>
      </c>
    </row>
    <row r="9378" spans="1:7" x14ac:dyDescent="0.25">
      <c r="A9378">
        <v>30</v>
      </c>
      <c r="B9378" t="s">
        <v>8807</v>
      </c>
      <c r="C9378">
        <v>13674</v>
      </c>
      <c r="D9378" t="str">
        <f>"1387-3954"</f>
        <v>1387-3954</v>
      </c>
      <c r="E9378" t="s">
        <v>8</v>
      </c>
      <c r="F9378" t="s">
        <v>9383</v>
      </c>
      <c r="G9378">
        <v>1</v>
      </c>
    </row>
    <row r="9379" spans="1:7" x14ac:dyDescent="0.25">
      <c r="A9379">
        <v>30</v>
      </c>
      <c r="B9379" t="s">
        <v>8807</v>
      </c>
      <c r="C9379">
        <v>15129</v>
      </c>
      <c r="D9379" t="str">
        <f>"1331-4343"</f>
        <v>1331-4343</v>
      </c>
      <c r="E9379" t="s">
        <v>15</v>
      </c>
      <c r="F9379" t="s">
        <v>9384</v>
      </c>
      <c r="G9379">
        <v>1</v>
      </c>
    </row>
    <row r="9380" spans="1:7" x14ac:dyDescent="0.25">
      <c r="A9380">
        <v>30</v>
      </c>
      <c r="B9380" t="s">
        <v>8807</v>
      </c>
      <c r="C9380">
        <v>5727</v>
      </c>
      <c r="D9380" t="str">
        <f>"0942-5616"</f>
        <v>0942-5616</v>
      </c>
      <c r="E9380" t="s">
        <v>8</v>
      </c>
      <c r="F9380" t="s">
        <v>9385</v>
      </c>
      <c r="G9380">
        <v>1</v>
      </c>
    </row>
    <row r="9381" spans="1:7" x14ac:dyDescent="0.25">
      <c r="A9381">
        <v>30</v>
      </c>
      <c r="B9381" t="s">
        <v>8807</v>
      </c>
      <c r="C9381">
        <v>16452</v>
      </c>
      <c r="D9381" t="str">
        <f>"0170-4214"</f>
        <v>0170-4214</v>
      </c>
      <c r="E9381" t="s">
        <v>8</v>
      </c>
      <c r="F9381" t="s">
        <v>9386</v>
      </c>
      <c r="G9381">
        <v>1</v>
      </c>
    </row>
    <row r="9382" spans="1:7" x14ac:dyDescent="0.25">
      <c r="A9382">
        <v>30</v>
      </c>
      <c r="B9382" t="s">
        <v>8807</v>
      </c>
      <c r="C9382">
        <v>25248</v>
      </c>
      <c r="D9382" t="str">
        <f>"1066-5307"</f>
        <v>1066-5307</v>
      </c>
      <c r="E9382" t="s">
        <v>8</v>
      </c>
      <c r="F9382" t="s">
        <v>9387</v>
      </c>
      <c r="G9382">
        <v>1</v>
      </c>
    </row>
    <row r="9383" spans="1:7" x14ac:dyDescent="0.25">
      <c r="A9383">
        <v>30</v>
      </c>
      <c r="B9383" t="s">
        <v>8807</v>
      </c>
      <c r="C9383">
        <v>67103</v>
      </c>
      <c r="D9383" t="str">
        <f>"1392-6292"</f>
        <v>1392-6292</v>
      </c>
      <c r="E9383" t="s">
        <v>8</v>
      </c>
      <c r="F9383" t="s">
        <v>9388</v>
      </c>
      <c r="G9383">
        <v>1</v>
      </c>
    </row>
    <row r="9384" spans="1:7" x14ac:dyDescent="0.25">
      <c r="A9384">
        <v>30</v>
      </c>
      <c r="B9384" t="s">
        <v>8807</v>
      </c>
      <c r="C9384">
        <v>38631</v>
      </c>
      <c r="D9384" t="str">
        <f>"0973-5348"</f>
        <v>0973-5348</v>
      </c>
      <c r="E9384" t="s">
        <v>8</v>
      </c>
      <c r="F9384" t="s">
        <v>9389</v>
      </c>
      <c r="G9384">
        <v>1</v>
      </c>
    </row>
    <row r="9385" spans="1:7" x14ac:dyDescent="0.25">
      <c r="A9385">
        <v>30</v>
      </c>
      <c r="B9385" t="s">
        <v>8807</v>
      </c>
      <c r="C9385">
        <v>16720</v>
      </c>
      <c r="D9385" t="str">
        <f>"0218-2025"</f>
        <v>0218-2025</v>
      </c>
      <c r="E9385" t="s">
        <v>8</v>
      </c>
      <c r="F9385" t="s">
        <v>9390</v>
      </c>
      <c r="G9385">
        <v>1</v>
      </c>
    </row>
    <row r="9386" spans="1:7" x14ac:dyDescent="0.25">
      <c r="A9386">
        <v>30</v>
      </c>
      <c r="B9386" t="s">
        <v>8807</v>
      </c>
      <c r="C9386">
        <v>16437</v>
      </c>
      <c r="D9386" t="str">
        <f>"1385-0172"</f>
        <v>1385-0172</v>
      </c>
      <c r="E9386" t="s">
        <v>8</v>
      </c>
      <c r="F9386" t="s">
        <v>9391</v>
      </c>
      <c r="G9386">
        <v>1</v>
      </c>
    </row>
    <row r="9387" spans="1:7" x14ac:dyDescent="0.25">
      <c r="A9387">
        <v>30</v>
      </c>
      <c r="B9387" t="s">
        <v>8807</v>
      </c>
      <c r="C9387">
        <v>1469</v>
      </c>
      <c r="D9387" t="str">
        <f>"0889-8480"</f>
        <v>0889-8480</v>
      </c>
      <c r="E9387" t="s">
        <v>8</v>
      </c>
      <c r="F9387" t="s">
        <v>9392</v>
      </c>
      <c r="G9387">
        <v>1</v>
      </c>
    </row>
    <row r="9388" spans="1:7" x14ac:dyDescent="0.25">
      <c r="A9388">
        <v>30</v>
      </c>
      <c r="B9388" t="s">
        <v>8807</v>
      </c>
      <c r="C9388">
        <v>4875</v>
      </c>
      <c r="D9388" t="str">
        <f>"1024-123X"</f>
        <v>1024-123X</v>
      </c>
      <c r="E9388" t="s">
        <v>8</v>
      </c>
      <c r="F9388" t="s">
        <v>9393</v>
      </c>
      <c r="G9388">
        <v>1</v>
      </c>
    </row>
    <row r="9389" spans="1:7" x14ac:dyDescent="0.25">
      <c r="A9389">
        <v>30</v>
      </c>
      <c r="B9389" t="s">
        <v>8807</v>
      </c>
      <c r="C9389">
        <v>16377</v>
      </c>
      <c r="D9389" t="str">
        <f>"0305-0041"</f>
        <v>0305-0041</v>
      </c>
      <c r="E9389" t="s">
        <v>8</v>
      </c>
      <c r="F9389" t="s">
        <v>9394</v>
      </c>
      <c r="G9389">
        <v>1</v>
      </c>
    </row>
    <row r="9390" spans="1:7" x14ac:dyDescent="0.25">
      <c r="A9390">
        <v>30</v>
      </c>
      <c r="B9390" t="s">
        <v>8807</v>
      </c>
      <c r="C9390">
        <v>12094</v>
      </c>
      <c r="D9390" t="str">
        <f>"1393-7197"</f>
        <v>1393-7197</v>
      </c>
      <c r="E9390" t="s">
        <v>8</v>
      </c>
      <c r="F9390" t="s">
        <v>9395</v>
      </c>
      <c r="G9390">
        <v>1</v>
      </c>
    </row>
    <row r="9391" spans="1:7" x14ac:dyDescent="0.25">
      <c r="A9391">
        <v>30</v>
      </c>
      <c r="B9391" t="s">
        <v>8807</v>
      </c>
      <c r="C9391">
        <v>1945</v>
      </c>
      <c r="D9391" t="str">
        <f>"0706-1994"</f>
        <v>0706-1994</v>
      </c>
      <c r="E9391" t="s">
        <v>8</v>
      </c>
      <c r="F9391" t="s">
        <v>9396</v>
      </c>
      <c r="G9391">
        <v>1</v>
      </c>
    </row>
    <row r="9392" spans="1:7" x14ac:dyDescent="0.25">
      <c r="A9392">
        <v>30</v>
      </c>
      <c r="B9392" t="s">
        <v>8807</v>
      </c>
      <c r="C9392">
        <v>8782807</v>
      </c>
      <c r="E9392" t="s">
        <v>2100</v>
      </c>
      <c r="F9392" t="s">
        <v>9397</v>
      </c>
      <c r="G9392">
        <v>1</v>
      </c>
    </row>
    <row r="9393" spans="1:7" x14ac:dyDescent="0.25">
      <c r="A9393">
        <v>30</v>
      </c>
      <c r="B9393" t="s">
        <v>8807</v>
      </c>
      <c r="C9393">
        <v>15581</v>
      </c>
      <c r="D9393" t="str">
        <f>"0165-4896"</f>
        <v>0165-4896</v>
      </c>
      <c r="E9393" t="s">
        <v>8</v>
      </c>
      <c r="F9393" t="s">
        <v>9398</v>
      </c>
      <c r="G9393">
        <v>1</v>
      </c>
    </row>
    <row r="9394" spans="1:7" x14ac:dyDescent="0.25">
      <c r="A9394">
        <v>30</v>
      </c>
      <c r="B9394" t="s">
        <v>8807</v>
      </c>
      <c r="C9394">
        <v>8782654</v>
      </c>
      <c r="D9394" t="str">
        <f>"2520-2316"</f>
        <v>2520-2316</v>
      </c>
      <c r="E9394" t="s">
        <v>8</v>
      </c>
      <c r="F9394" t="s">
        <v>9399</v>
      </c>
      <c r="G9394">
        <v>1</v>
      </c>
    </row>
    <row r="9395" spans="1:7" x14ac:dyDescent="0.25">
      <c r="A9395">
        <v>30</v>
      </c>
      <c r="B9395" t="s">
        <v>8807</v>
      </c>
      <c r="C9395">
        <v>7744262</v>
      </c>
      <c r="E9395" t="s">
        <v>8</v>
      </c>
      <c r="F9395" t="s">
        <v>9400</v>
      </c>
      <c r="G9395">
        <v>1</v>
      </c>
    </row>
    <row r="9396" spans="1:7" x14ac:dyDescent="0.25">
      <c r="A9396">
        <v>30</v>
      </c>
      <c r="B9396" t="s">
        <v>8807</v>
      </c>
      <c r="C9396">
        <v>11456</v>
      </c>
      <c r="D9396" t="str">
        <f>"0378-4754"</f>
        <v>0378-4754</v>
      </c>
      <c r="E9396" t="s">
        <v>8</v>
      </c>
      <c r="F9396" t="s">
        <v>9401</v>
      </c>
      <c r="G9396">
        <v>1</v>
      </c>
    </row>
    <row r="9397" spans="1:7" x14ac:dyDescent="0.25">
      <c r="A9397">
        <v>30</v>
      </c>
      <c r="B9397" t="s">
        <v>8807</v>
      </c>
      <c r="C9397">
        <v>10055</v>
      </c>
      <c r="D9397" t="str">
        <f>"1862-9679"</f>
        <v>1862-9679</v>
      </c>
      <c r="E9397" t="s">
        <v>8</v>
      </c>
      <c r="F9397" t="s">
        <v>9402</v>
      </c>
      <c r="G9397">
        <v>1</v>
      </c>
    </row>
    <row r="9398" spans="1:7" x14ac:dyDescent="0.25">
      <c r="A9398">
        <v>30</v>
      </c>
      <c r="B9398" t="s">
        <v>8807</v>
      </c>
      <c r="C9398">
        <v>16164</v>
      </c>
      <c r="D9398" t="str">
        <f>"1081-2865"</f>
        <v>1081-2865</v>
      </c>
      <c r="E9398" t="s">
        <v>8</v>
      </c>
      <c r="F9398" t="s">
        <v>9403</v>
      </c>
      <c r="G9398">
        <v>1</v>
      </c>
    </row>
    <row r="9399" spans="1:7" x14ac:dyDescent="0.25">
      <c r="A9399">
        <v>30</v>
      </c>
      <c r="B9399" t="s">
        <v>8807</v>
      </c>
      <c r="C9399">
        <v>8782802</v>
      </c>
      <c r="D9399" t="str">
        <f>"1612-3786"</f>
        <v>1612-3786</v>
      </c>
      <c r="E9399" t="s">
        <v>15</v>
      </c>
      <c r="F9399" t="s">
        <v>9404</v>
      </c>
      <c r="G9399">
        <v>1</v>
      </c>
    </row>
    <row r="9400" spans="1:7" x14ac:dyDescent="0.25">
      <c r="A9400">
        <v>30</v>
      </c>
      <c r="B9400" t="s">
        <v>8807</v>
      </c>
      <c r="C9400">
        <v>10225</v>
      </c>
      <c r="D9400" t="str">
        <f>"1033-2170"</f>
        <v>1033-2170</v>
      </c>
      <c r="E9400" t="s">
        <v>8</v>
      </c>
      <c r="F9400" t="s">
        <v>9405</v>
      </c>
      <c r="G9400">
        <v>1</v>
      </c>
    </row>
    <row r="9401" spans="1:7" x14ac:dyDescent="0.25">
      <c r="A9401">
        <v>30</v>
      </c>
      <c r="B9401" t="s">
        <v>8807</v>
      </c>
      <c r="C9401">
        <v>8783476</v>
      </c>
      <c r="D9401" t="str">
        <f>"1612-3956"</f>
        <v>1612-3956</v>
      </c>
      <c r="E9401" t="s">
        <v>15</v>
      </c>
      <c r="F9401" t="s">
        <v>9406</v>
      </c>
      <c r="G9401">
        <v>1</v>
      </c>
    </row>
    <row r="9402" spans="1:7" x14ac:dyDescent="0.25">
      <c r="A9402">
        <v>30</v>
      </c>
      <c r="B9402" t="s">
        <v>8807</v>
      </c>
      <c r="C9402">
        <v>414</v>
      </c>
      <c r="D9402" t="str">
        <f>"0932-4194"</f>
        <v>0932-4194</v>
      </c>
      <c r="E9402" t="s">
        <v>8</v>
      </c>
      <c r="F9402" t="s">
        <v>9407</v>
      </c>
      <c r="G9402">
        <v>1</v>
      </c>
    </row>
    <row r="9403" spans="1:7" x14ac:dyDescent="0.25">
      <c r="A9403">
        <v>30</v>
      </c>
      <c r="B9403" t="s">
        <v>8807</v>
      </c>
      <c r="C9403">
        <v>8841</v>
      </c>
      <c r="D9403" t="str">
        <f>"0025-5793"</f>
        <v>0025-5793</v>
      </c>
      <c r="E9403" t="s">
        <v>8</v>
      </c>
      <c r="F9403" t="s">
        <v>9408</v>
      </c>
      <c r="G9403">
        <v>1</v>
      </c>
    </row>
    <row r="9404" spans="1:7" x14ac:dyDescent="0.25">
      <c r="A9404">
        <v>30</v>
      </c>
      <c r="B9404" t="s">
        <v>8807</v>
      </c>
      <c r="C9404">
        <v>9594</v>
      </c>
      <c r="D9404" t="str">
        <f>"0025-584X"</f>
        <v>0025-584X</v>
      </c>
      <c r="E9404" t="s">
        <v>8</v>
      </c>
      <c r="F9404" t="s">
        <v>9409</v>
      </c>
      <c r="G9404">
        <v>1</v>
      </c>
    </row>
    <row r="9405" spans="1:7" x14ac:dyDescent="0.25">
      <c r="A9405">
        <v>30</v>
      </c>
      <c r="B9405" t="s">
        <v>8807</v>
      </c>
      <c r="C9405">
        <v>7148</v>
      </c>
      <c r="D9405" t="str">
        <f>"0720-728X"</f>
        <v>0720-728X</v>
      </c>
      <c r="E9405" t="s">
        <v>8</v>
      </c>
      <c r="F9405" t="s">
        <v>9410</v>
      </c>
      <c r="G9405">
        <v>1</v>
      </c>
    </row>
    <row r="9406" spans="1:7" x14ac:dyDescent="0.25">
      <c r="A9406">
        <v>30</v>
      </c>
      <c r="B9406" t="s">
        <v>8807</v>
      </c>
      <c r="C9406">
        <v>909</v>
      </c>
      <c r="D9406" t="str">
        <f>"1660-5446"</f>
        <v>1660-5446</v>
      </c>
      <c r="E9406" t="s">
        <v>8</v>
      </c>
      <c r="F9406" t="s">
        <v>9411</v>
      </c>
      <c r="G9406">
        <v>1</v>
      </c>
    </row>
    <row r="9407" spans="1:7" x14ac:dyDescent="0.25">
      <c r="A9407">
        <v>30</v>
      </c>
      <c r="B9407" t="s">
        <v>8807</v>
      </c>
      <c r="C9407">
        <v>10473</v>
      </c>
      <c r="D9407" t="str">
        <f>"1387-5841"</f>
        <v>1387-5841</v>
      </c>
      <c r="E9407" t="s">
        <v>8</v>
      </c>
      <c r="F9407" t="s">
        <v>9412</v>
      </c>
      <c r="G9407">
        <v>1</v>
      </c>
    </row>
    <row r="9408" spans="1:7" x14ac:dyDescent="0.25">
      <c r="A9408">
        <v>30</v>
      </c>
      <c r="B9408" t="s">
        <v>8807</v>
      </c>
      <c r="C9408">
        <v>7212</v>
      </c>
      <c r="D9408" t="str">
        <f>"1073-2772"</f>
        <v>1073-2772</v>
      </c>
      <c r="E9408" t="s">
        <v>8</v>
      </c>
      <c r="F9408" t="s">
        <v>9413</v>
      </c>
      <c r="G9408">
        <v>1</v>
      </c>
    </row>
    <row r="9409" spans="1:7" x14ac:dyDescent="0.25">
      <c r="A9409">
        <v>30</v>
      </c>
      <c r="B9409" t="s">
        <v>8807</v>
      </c>
      <c r="C9409">
        <v>11784</v>
      </c>
      <c r="D9409" t="str">
        <f>"0026-1335"</f>
        <v>0026-1335</v>
      </c>
      <c r="E9409" t="s">
        <v>8</v>
      </c>
      <c r="F9409" t="s">
        <v>9414</v>
      </c>
      <c r="G9409">
        <v>1</v>
      </c>
    </row>
    <row r="9410" spans="1:7" x14ac:dyDescent="0.25">
      <c r="A9410">
        <v>30</v>
      </c>
      <c r="B9410" t="s">
        <v>8807</v>
      </c>
      <c r="C9410">
        <v>14216</v>
      </c>
      <c r="D9410" t="str">
        <f>"0026-2285"</f>
        <v>0026-2285</v>
      </c>
      <c r="E9410" t="s">
        <v>8</v>
      </c>
      <c r="F9410" t="s">
        <v>9415</v>
      </c>
      <c r="G9410">
        <v>1</v>
      </c>
    </row>
    <row r="9411" spans="1:7" x14ac:dyDescent="0.25">
      <c r="A9411">
        <v>30</v>
      </c>
      <c r="B9411" t="s">
        <v>8807</v>
      </c>
      <c r="C9411">
        <v>9644</v>
      </c>
      <c r="D9411" t="str">
        <f>"1424-9286"</f>
        <v>1424-9286</v>
      </c>
      <c r="E9411" t="s">
        <v>8</v>
      </c>
      <c r="F9411" t="s">
        <v>9416</v>
      </c>
      <c r="G9411">
        <v>1</v>
      </c>
    </row>
    <row r="9412" spans="1:7" x14ac:dyDescent="0.25">
      <c r="A9412">
        <v>30</v>
      </c>
      <c r="B9412" t="s">
        <v>8807</v>
      </c>
      <c r="C9412">
        <v>26610</v>
      </c>
      <c r="D9412" t="str">
        <f>"1574-1699"</f>
        <v>1574-1699</v>
      </c>
      <c r="E9412" t="s">
        <v>8</v>
      </c>
      <c r="F9412" t="s">
        <v>9417</v>
      </c>
      <c r="G9412">
        <v>1</v>
      </c>
    </row>
    <row r="9413" spans="1:7" x14ac:dyDescent="0.25">
      <c r="A9413">
        <v>30</v>
      </c>
      <c r="B9413" t="s">
        <v>8807</v>
      </c>
      <c r="C9413">
        <v>8783379</v>
      </c>
      <c r="D9413" t="str">
        <f>"2351-6046"</f>
        <v>2351-6046</v>
      </c>
      <c r="E9413" t="s">
        <v>8</v>
      </c>
      <c r="F9413" t="s">
        <v>9418</v>
      </c>
      <c r="G9413">
        <v>1</v>
      </c>
    </row>
    <row r="9414" spans="1:7" x14ac:dyDescent="0.25">
      <c r="A9414">
        <v>30</v>
      </c>
      <c r="B9414" t="s">
        <v>8807</v>
      </c>
      <c r="C9414">
        <v>12682</v>
      </c>
      <c r="D9414" t="str">
        <f>"0026-9255"</f>
        <v>0026-9255</v>
      </c>
      <c r="E9414" t="s">
        <v>8</v>
      </c>
      <c r="F9414" t="s">
        <v>9419</v>
      </c>
      <c r="G9414">
        <v>1</v>
      </c>
    </row>
    <row r="9415" spans="1:7" x14ac:dyDescent="0.25">
      <c r="A9415">
        <v>30</v>
      </c>
      <c r="B9415" t="s">
        <v>8807</v>
      </c>
      <c r="C9415">
        <v>170411</v>
      </c>
      <c r="E9415" t="s">
        <v>15</v>
      </c>
      <c r="F9415" t="s">
        <v>9420</v>
      </c>
      <c r="G9415">
        <v>1</v>
      </c>
    </row>
    <row r="9416" spans="1:7" x14ac:dyDescent="0.25">
      <c r="A9416">
        <v>30</v>
      </c>
      <c r="B9416" t="s">
        <v>8807</v>
      </c>
      <c r="C9416">
        <v>180092</v>
      </c>
      <c r="D9416" t="str">
        <f>"2220-5438"</f>
        <v>2220-5438</v>
      </c>
      <c r="E9416" t="s">
        <v>8</v>
      </c>
      <c r="F9416" t="s">
        <v>9421</v>
      </c>
      <c r="G9416">
        <v>1</v>
      </c>
    </row>
    <row r="9417" spans="1:7" x14ac:dyDescent="0.25">
      <c r="A9417">
        <v>30</v>
      </c>
      <c r="B9417" t="s">
        <v>8807</v>
      </c>
      <c r="C9417">
        <v>6202</v>
      </c>
      <c r="D9417" t="str">
        <f>"1609-3321"</f>
        <v>1609-3321</v>
      </c>
      <c r="E9417" t="s">
        <v>8</v>
      </c>
      <c r="F9417" t="s">
        <v>9422</v>
      </c>
      <c r="G9417">
        <v>1</v>
      </c>
    </row>
    <row r="9418" spans="1:7" x14ac:dyDescent="0.25">
      <c r="A9418">
        <v>30</v>
      </c>
      <c r="B9418" t="s">
        <v>8807</v>
      </c>
      <c r="C9418">
        <v>156483</v>
      </c>
      <c r="D9418" t="str">
        <f>"1867-5778"</f>
        <v>1867-5778</v>
      </c>
      <c r="E9418" t="s">
        <v>8</v>
      </c>
      <c r="F9418" t="s">
        <v>9423</v>
      </c>
      <c r="G9418">
        <v>1</v>
      </c>
    </row>
    <row r="9419" spans="1:7" x14ac:dyDescent="0.25">
      <c r="A9419">
        <v>30</v>
      </c>
      <c r="B9419" t="s">
        <v>8807</v>
      </c>
      <c r="C9419">
        <v>8782651</v>
      </c>
      <c r="D9419" t="str">
        <f>"2523-5230"</f>
        <v>2523-5230</v>
      </c>
      <c r="E9419" t="s">
        <v>15</v>
      </c>
      <c r="F9419" t="s">
        <v>9424</v>
      </c>
      <c r="G9419">
        <v>1</v>
      </c>
    </row>
    <row r="9420" spans="1:7" x14ac:dyDescent="0.25">
      <c r="A9420">
        <v>30</v>
      </c>
      <c r="B9420" t="s">
        <v>8807</v>
      </c>
      <c r="C9420">
        <v>6430</v>
      </c>
      <c r="D9420" t="str">
        <f>"0027-7630"</f>
        <v>0027-7630</v>
      </c>
      <c r="E9420" t="s">
        <v>8</v>
      </c>
      <c r="F9420" t="s">
        <v>9425</v>
      </c>
      <c r="G9420">
        <v>1</v>
      </c>
    </row>
    <row r="9421" spans="1:7" x14ac:dyDescent="0.25">
      <c r="A9421">
        <v>30</v>
      </c>
      <c r="B9421" t="s">
        <v>8807</v>
      </c>
      <c r="C9421">
        <v>5524</v>
      </c>
      <c r="D9421" t="str">
        <f>"1567-7818"</f>
        <v>1567-7818</v>
      </c>
      <c r="E9421" t="s">
        <v>8</v>
      </c>
      <c r="F9421" t="s">
        <v>9426</v>
      </c>
      <c r="G9421">
        <v>1</v>
      </c>
    </row>
    <row r="9422" spans="1:7" x14ac:dyDescent="0.25">
      <c r="A9422">
        <v>30</v>
      </c>
      <c r="B9422" t="s">
        <v>8807</v>
      </c>
      <c r="C9422">
        <v>13953</v>
      </c>
      <c r="D9422" t="str">
        <f>"1556-1801"</f>
        <v>1556-1801</v>
      </c>
      <c r="E9422" t="s">
        <v>8</v>
      </c>
      <c r="F9422" t="s">
        <v>9427</v>
      </c>
      <c r="G9422">
        <v>1</v>
      </c>
    </row>
    <row r="9423" spans="1:7" x14ac:dyDescent="0.25">
      <c r="A9423">
        <v>30</v>
      </c>
      <c r="B9423" t="s">
        <v>8807</v>
      </c>
      <c r="C9423">
        <v>6969</v>
      </c>
      <c r="D9423" t="str">
        <f>"0925-2312"</f>
        <v>0925-2312</v>
      </c>
      <c r="E9423" t="s">
        <v>8</v>
      </c>
      <c r="F9423" t="s">
        <v>9428</v>
      </c>
      <c r="G9423">
        <v>1</v>
      </c>
    </row>
    <row r="9424" spans="1:7" x14ac:dyDescent="0.25">
      <c r="A9424">
        <v>30</v>
      </c>
      <c r="B9424" t="s">
        <v>8807</v>
      </c>
      <c r="C9424">
        <v>254</v>
      </c>
      <c r="D9424" t="str">
        <f>"1539-2791"</f>
        <v>1539-2791</v>
      </c>
      <c r="E9424" t="s">
        <v>8</v>
      </c>
      <c r="F9424" t="s">
        <v>9429</v>
      </c>
      <c r="G9424">
        <v>1</v>
      </c>
    </row>
    <row r="9425" spans="1:7" x14ac:dyDescent="0.25">
      <c r="A9425">
        <v>30</v>
      </c>
      <c r="B9425" t="s">
        <v>8807</v>
      </c>
      <c r="C9425">
        <v>170</v>
      </c>
      <c r="D9425" t="str">
        <f>"1793-0057"</f>
        <v>1793-0057</v>
      </c>
      <c r="E9425" t="s">
        <v>8</v>
      </c>
      <c r="F9425" t="s">
        <v>9430</v>
      </c>
      <c r="G9425">
        <v>1</v>
      </c>
    </row>
    <row r="9426" spans="1:7" x14ac:dyDescent="0.25">
      <c r="A9426">
        <v>30</v>
      </c>
      <c r="B9426" t="s">
        <v>8807</v>
      </c>
      <c r="C9426">
        <v>916</v>
      </c>
      <c r="E9426" t="s">
        <v>8</v>
      </c>
      <c r="F9426" t="s">
        <v>9431</v>
      </c>
      <c r="G9426">
        <v>1</v>
      </c>
    </row>
    <row r="9427" spans="1:7" x14ac:dyDescent="0.25">
      <c r="A9427">
        <v>30</v>
      </c>
      <c r="B9427" t="s">
        <v>8807</v>
      </c>
      <c r="C9427">
        <v>2077</v>
      </c>
      <c r="D9427" t="str">
        <f>"1590-5896"</f>
        <v>1590-5896</v>
      </c>
      <c r="E9427" t="s">
        <v>8</v>
      </c>
      <c r="F9427" t="s">
        <v>9432</v>
      </c>
      <c r="G9427">
        <v>1</v>
      </c>
    </row>
    <row r="9428" spans="1:7" x14ac:dyDescent="0.25">
      <c r="A9428">
        <v>30</v>
      </c>
      <c r="B9428" t="s">
        <v>8807</v>
      </c>
      <c r="C9428">
        <v>27853</v>
      </c>
      <c r="E9428" t="s">
        <v>8</v>
      </c>
      <c r="F9428" t="s">
        <v>9433</v>
      </c>
      <c r="G9428">
        <v>1</v>
      </c>
    </row>
    <row r="9429" spans="1:7" x14ac:dyDescent="0.25">
      <c r="A9429">
        <v>30</v>
      </c>
      <c r="B9429" t="s">
        <v>8807</v>
      </c>
      <c r="C9429">
        <v>10088</v>
      </c>
      <c r="D9429" t="str">
        <f>"1392-5113"</f>
        <v>1392-5113</v>
      </c>
      <c r="E9429" t="s">
        <v>8</v>
      </c>
      <c r="F9429" t="s">
        <v>9434</v>
      </c>
      <c r="G9429">
        <v>1</v>
      </c>
    </row>
    <row r="9430" spans="1:7" x14ac:dyDescent="0.25">
      <c r="A9430">
        <v>30</v>
      </c>
      <c r="B9430" t="s">
        <v>8807</v>
      </c>
      <c r="C9430">
        <v>10256</v>
      </c>
      <c r="D9430" t="str">
        <f>"1468-1218"</f>
        <v>1468-1218</v>
      </c>
      <c r="E9430" t="s">
        <v>8</v>
      </c>
      <c r="F9430" t="s">
        <v>9435</v>
      </c>
      <c r="G9430">
        <v>1</v>
      </c>
    </row>
    <row r="9431" spans="1:7" x14ac:dyDescent="0.25">
      <c r="A9431">
        <v>30</v>
      </c>
      <c r="B9431" t="s">
        <v>8807</v>
      </c>
      <c r="C9431">
        <v>8985</v>
      </c>
      <c r="D9431" t="str">
        <f>"0362-546X"</f>
        <v>0362-546X</v>
      </c>
      <c r="E9431" t="s">
        <v>8</v>
      </c>
      <c r="F9431" t="s">
        <v>9436</v>
      </c>
      <c r="G9431">
        <v>1</v>
      </c>
    </row>
    <row r="9432" spans="1:7" x14ac:dyDescent="0.25">
      <c r="A9432">
        <v>30</v>
      </c>
      <c r="B9432" t="s">
        <v>8807</v>
      </c>
      <c r="C9432">
        <v>6222</v>
      </c>
      <c r="D9432" t="str">
        <f>"1021-9722"</f>
        <v>1021-9722</v>
      </c>
      <c r="E9432" t="s">
        <v>8</v>
      </c>
      <c r="F9432" t="s">
        <v>9437</v>
      </c>
      <c r="G9432">
        <v>1</v>
      </c>
    </row>
    <row r="9433" spans="1:7" x14ac:dyDescent="0.25">
      <c r="A9433">
        <v>30</v>
      </c>
      <c r="B9433" t="s">
        <v>8807</v>
      </c>
      <c r="C9433">
        <v>1530</v>
      </c>
      <c r="D9433" t="str">
        <f>"1561-4085"</f>
        <v>1561-4085</v>
      </c>
      <c r="E9433" t="s">
        <v>8</v>
      </c>
      <c r="F9433" t="s">
        <v>9438</v>
      </c>
      <c r="G9433">
        <v>1</v>
      </c>
    </row>
    <row r="9434" spans="1:7" x14ac:dyDescent="0.25">
      <c r="A9434">
        <v>30</v>
      </c>
      <c r="B9434" t="s">
        <v>8807</v>
      </c>
      <c r="C9434">
        <v>10044</v>
      </c>
      <c r="D9434" t="str">
        <f>"0951-7715"</f>
        <v>0951-7715</v>
      </c>
      <c r="E9434" t="s">
        <v>8</v>
      </c>
      <c r="F9434" t="s">
        <v>9439</v>
      </c>
      <c r="G9434">
        <v>1</v>
      </c>
    </row>
    <row r="9435" spans="1:7" x14ac:dyDescent="0.25">
      <c r="A9435">
        <v>30</v>
      </c>
      <c r="B9435" t="s">
        <v>8807</v>
      </c>
      <c r="C9435">
        <v>13788</v>
      </c>
      <c r="D9435" t="str">
        <f>"0002-9920"</f>
        <v>0002-9920</v>
      </c>
      <c r="E9435" t="s">
        <v>8</v>
      </c>
      <c r="F9435" t="s">
        <v>9440</v>
      </c>
      <c r="G9435">
        <v>1</v>
      </c>
    </row>
    <row r="9436" spans="1:7" x14ac:dyDescent="0.25">
      <c r="A9436">
        <v>30</v>
      </c>
      <c r="B9436" t="s">
        <v>8807</v>
      </c>
      <c r="C9436">
        <v>7754347</v>
      </c>
      <c r="D9436" t="str">
        <f>"2326-4810"</f>
        <v>2326-4810</v>
      </c>
      <c r="E9436" t="s">
        <v>8</v>
      </c>
      <c r="F9436" t="s">
        <v>9441</v>
      </c>
      <c r="G9436">
        <v>1</v>
      </c>
    </row>
    <row r="9437" spans="1:7" x14ac:dyDescent="0.25">
      <c r="A9437">
        <v>30</v>
      </c>
      <c r="B9437" t="s">
        <v>8807</v>
      </c>
      <c r="C9437">
        <v>5047</v>
      </c>
      <c r="D9437" t="str">
        <f>"0163-0563"</f>
        <v>0163-0563</v>
      </c>
      <c r="E9437" t="s">
        <v>8</v>
      </c>
      <c r="F9437" t="s">
        <v>9442</v>
      </c>
      <c r="G9437">
        <v>1</v>
      </c>
    </row>
    <row r="9438" spans="1:7" x14ac:dyDescent="0.25">
      <c r="A9438">
        <v>30</v>
      </c>
      <c r="B9438" t="s">
        <v>8807</v>
      </c>
      <c r="C9438">
        <v>1800</v>
      </c>
      <c r="D9438" t="str">
        <f>"1070-5325"</f>
        <v>1070-5325</v>
      </c>
      <c r="E9438" t="s">
        <v>8</v>
      </c>
      <c r="F9438" t="s">
        <v>9443</v>
      </c>
      <c r="G9438">
        <v>1</v>
      </c>
    </row>
    <row r="9439" spans="1:7" x14ac:dyDescent="0.25">
      <c r="A9439">
        <v>30</v>
      </c>
      <c r="B9439" t="s">
        <v>8807</v>
      </c>
      <c r="C9439">
        <v>8906</v>
      </c>
      <c r="D9439" t="str">
        <f>"0749-159X"</f>
        <v>0749-159X</v>
      </c>
      <c r="E9439" t="s">
        <v>8</v>
      </c>
      <c r="F9439" t="s">
        <v>9444</v>
      </c>
      <c r="G9439">
        <v>1</v>
      </c>
    </row>
    <row r="9440" spans="1:7" x14ac:dyDescent="0.25">
      <c r="A9440">
        <v>30</v>
      </c>
      <c r="B9440" t="s">
        <v>8807</v>
      </c>
      <c r="C9440">
        <v>13214</v>
      </c>
      <c r="E9440" t="s">
        <v>8</v>
      </c>
      <c r="F9440" t="s">
        <v>9445</v>
      </c>
      <c r="G9440">
        <v>1</v>
      </c>
    </row>
    <row r="9441" spans="1:7" x14ac:dyDescent="0.25">
      <c r="A9441">
        <v>30</v>
      </c>
      <c r="B9441" t="s">
        <v>8807</v>
      </c>
      <c r="C9441">
        <v>4632</v>
      </c>
      <c r="D9441" t="str">
        <f>"1230-1612"</f>
        <v>1230-1612</v>
      </c>
      <c r="E9441" t="s">
        <v>8</v>
      </c>
      <c r="F9441" t="s">
        <v>9446</v>
      </c>
      <c r="G9441">
        <v>1</v>
      </c>
    </row>
    <row r="9442" spans="1:7" x14ac:dyDescent="0.25">
      <c r="A9442">
        <v>30</v>
      </c>
      <c r="B9442" t="s">
        <v>8807</v>
      </c>
      <c r="C9442">
        <v>11219</v>
      </c>
      <c r="D9442" t="str">
        <f>"1846-3886"</f>
        <v>1846-3886</v>
      </c>
      <c r="E9442" t="s">
        <v>8</v>
      </c>
      <c r="F9442" t="s">
        <v>9447</v>
      </c>
      <c r="G9442">
        <v>1</v>
      </c>
    </row>
    <row r="9443" spans="1:7" x14ac:dyDescent="0.25">
      <c r="A9443">
        <v>30</v>
      </c>
      <c r="B9443" t="s">
        <v>8807</v>
      </c>
      <c r="C9443">
        <v>1319</v>
      </c>
      <c r="D9443" t="str">
        <f>"0167-8094"</f>
        <v>0167-8094</v>
      </c>
      <c r="E9443" t="s">
        <v>8</v>
      </c>
      <c r="F9443" t="s">
        <v>9448</v>
      </c>
      <c r="G9443">
        <v>1</v>
      </c>
    </row>
    <row r="9444" spans="1:7" x14ac:dyDescent="0.25">
      <c r="A9444">
        <v>30</v>
      </c>
      <c r="B9444" t="s">
        <v>8807</v>
      </c>
      <c r="C9444">
        <v>3565</v>
      </c>
      <c r="D9444" t="str">
        <f>"0030-6126"</f>
        <v>0030-6126</v>
      </c>
      <c r="E9444" t="s">
        <v>8</v>
      </c>
      <c r="F9444" t="s">
        <v>9449</v>
      </c>
      <c r="G9444">
        <v>1</v>
      </c>
    </row>
    <row r="9445" spans="1:7" x14ac:dyDescent="0.25">
      <c r="A9445">
        <v>30</v>
      </c>
      <c r="B9445" t="s">
        <v>8807</v>
      </c>
      <c r="C9445">
        <v>73195</v>
      </c>
      <c r="D9445" t="str">
        <f>"0952-9942"</f>
        <v>0952-9942</v>
      </c>
      <c r="E9445" t="s">
        <v>15</v>
      </c>
      <c r="F9445" t="s">
        <v>9450</v>
      </c>
      <c r="G9445">
        <v>1</v>
      </c>
    </row>
    <row r="9446" spans="1:7" x14ac:dyDescent="0.25">
      <c r="A9446">
        <v>30</v>
      </c>
      <c r="B9446" t="s">
        <v>8807</v>
      </c>
      <c r="C9446">
        <v>9672</v>
      </c>
      <c r="D9446" t="str">
        <f>"0030-8730"</f>
        <v>0030-8730</v>
      </c>
      <c r="E9446" t="s">
        <v>8</v>
      </c>
      <c r="F9446" t="s">
        <v>9451</v>
      </c>
      <c r="G9446">
        <v>1</v>
      </c>
    </row>
    <row r="9447" spans="1:7" x14ac:dyDescent="0.25">
      <c r="A9447">
        <v>30</v>
      </c>
      <c r="B9447" t="s">
        <v>8807</v>
      </c>
      <c r="C9447">
        <v>9842</v>
      </c>
      <c r="D9447" t="str">
        <f>"1348-9151"</f>
        <v>1348-9151</v>
      </c>
      <c r="E9447" t="s">
        <v>8</v>
      </c>
      <c r="F9447" t="s">
        <v>9452</v>
      </c>
      <c r="G9447">
        <v>1</v>
      </c>
    </row>
    <row r="9448" spans="1:7" x14ac:dyDescent="0.25">
      <c r="A9448">
        <v>30</v>
      </c>
      <c r="B9448" t="s">
        <v>8807</v>
      </c>
      <c r="C9448">
        <v>13251</v>
      </c>
      <c r="D9448" t="str">
        <f>"0031-5303"</f>
        <v>0031-5303</v>
      </c>
      <c r="E9448" t="s">
        <v>8</v>
      </c>
      <c r="F9448" t="s">
        <v>9453</v>
      </c>
      <c r="G9448">
        <v>1</v>
      </c>
    </row>
    <row r="9449" spans="1:7" x14ac:dyDescent="0.25">
      <c r="A9449">
        <v>30</v>
      </c>
      <c r="B9449" t="s">
        <v>8807</v>
      </c>
      <c r="C9449">
        <v>9996</v>
      </c>
      <c r="D9449" t="str">
        <f>"0031-8019"</f>
        <v>0031-8019</v>
      </c>
      <c r="E9449" t="s">
        <v>8</v>
      </c>
      <c r="F9449" t="s">
        <v>9454</v>
      </c>
      <c r="G9449">
        <v>1</v>
      </c>
    </row>
    <row r="9450" spans="1:7" x14ac:dyDescent="0.25">
      <c r="A9450">
        <v>30</v>
      </c>
      <c r="B9450" t="s">
        <v>8807</v>
      </c>
      <c r="C9450">
        <v>27099</v>
      </c>
      <c r="D9450" t="str">
        <f>"1886-1350"</f>
        <v>1886-1350</v>
      </c>
      <c r="E9450" t="s">
        <v>8</v>
      </c>
      <c r="F9450" t="s">
        <v>9455</v>
      </c>
      <c r="G9450">
        <v>1</v>
      </c>
    </row>
    <row r="9451" spans="1:7" x14ac:dyDescent="0.25">
      <c r="A9451">
        <v>30</v>
      </c>
      <c r="B9451" t="s">
        <v>8807</v>
      </c>
      <c r="C9451">
        <v>10479</v>
      </c>
      <c r="D9451" t="str">
        <f>"0032-5155"</f>
        <v>0032-5155</v>
      </c>
      <c r="E9451" t="s">
        <v>8</v>
      </c>
      <c r="F9451" t="s">
        <v>9456</v>
      </c>
      <c r="G9451">
        <v>1</v>
      </c>
    </row>
    <row r="9452" spans="1:7" x14ac:dyDescent="0.25">
      <c r="A9452">
        <v>30</v>
      </c>
      <c r="B9452" t="s">
        <v>8807</v>
      </c>
      <c r="C9452">
        <v>8942</v>
      </c>
      <c r="D9452" t="str">
        <f>"1385-1292"</f>
        <v>1385-1292</v>
      </c>
      <c r="E9452" t="s">
        <v>8</v>
      </c>
      <c r="F9452" t="s">
        <v>9457</v>
      </c>
      <c r="G9452">
        <v>1</v>
      </c>
    </row>
    <row r="9453" spans="1:7" x14ac:dyDescent="0.25">
      <c r="A9453">
        <v>30</v>
      </c>
      <c r="B9453" t="s">
        <v>8807</v>
      </c>
      <c r="C9453">
        <v>16291</v>
      </c>
      <c r="D9453" t="str">
        <f>"0926-2601"</f>
        <v>0926-2601</v>
      </c>
      <c r="E9453" t="s">
        <v>8</v>
      </c>
      <c r="F9453" t="s">
        <v>9458</v>
      </c>
      <c r="G9453">
        <v>1</v>
      </c>
    </row>
    <row r="9454" spans="1:7" x14ac:dyDescent="0.25">
      <c r="A9454">
        <v>30</v>
      </c>
      <c r="B9454" t="s">
        <v>8807</v>
      </c>
      <c r="C9454">
        <v>170440</v>
      </c>
      <c r="E9454" t="s">
        <v>15</v>
      </c>
      <c r="F9454" t="s">
        <v>9459</v>
      </c>
      <c r="G9454">
        <v>1</v>
      </c>
    </row>
    <row r="9455" spans="1:7" x14ac:dyDescent="0.25">
      <c r="A9455">
        <v>30</v>
      </c>
      <c r="B9455" t="s">
        <v>8807</v>
      </c>
      <c r="C9455">
        <v>26069</v>
      </c>
      <c r="D9455" t="str">
        <f>"0208-4147"</f>
        <v>0208-4147</v>
      </c>
      <c r="E9455" t="s">
        <v>8</v>
      </c>
      <c r="F9455" t="s">
        <v>9460</v>
      </c>
      <c r="G9455">
        <v>1</v>
      </c>
    </row>
    <row r="9456" spans="1:7" x14ac:dyDescent="0.25">
      <c r="A9456">
        <v>30</v>
      </c>
      <c r="B9456" t="s">
        <v>8807</v>
      </c>
      <c r="C9456">
        <v>2366</v>
      </c>
      <c r="D9456" t="str">
        <f>"0269-9648"</f>
        <v>0269-9648</v>
      </c>
      <c r="E9456" t="s">
        <v>8</v>
      </c>
      <c r="F9456" t="s">
        <v>9461</v>
      </c>
      <c r="G9456">
        <v>1</v>
      </c>
    </row>
    <row r="9457" spans="1:7" x14ac:dyDescent="0.25">
      <c r="A9457">
        <v>30</v>
      </c>
      <c r="B9457" t="s">
        <v>8807</v>
      </c>
      <c r="C9457">
        <v>94364</v>
      </c>
      <c r="D9457" t="str">
        <f>"1549-5787"</f>
        <v>1549-5787</v>
      </c>
      <c r="E9457" t="s">
        <v>8</v>
      </c>
      <c r="F9457" t="s">
        <v>9462</v>
      </c>
      <c r="G9457">
        <v>1</v>
      </c>
    </row>
    <row r="9458" spans="1:7" x14ac:dyDescent="0.25">
      <c r="A9458">
        <v>30</v>
      </c>
      <c r="B9458" t="s">
        <v>8807</v>
      </c>
      <c r="C9458">
        <v>8783477</v>
      </c>
      <c r="D9458" t="str">
        <f>"2199-3130"</f>
        <v>2199-3130</v>
      </c>
      <c r="E9458" t="s">
        <v>15</v>
      </c>
      <c r="F9458" t="s">
        <v>9463</v>
      </c>
      <c r="G9458">
        <v>1</v>
      </c>
    </row>
    <row r="9459" spans="1:7" x14ac:dyDescent="0.25">
      <c r="A9459">
        <v>30</v>
      </c>
      <c r="B9459" t="s">
        <v>8807</v>
      </c>
      <c r="C9459">
        <v>2347</v>
      </c>
      <c r="D9459" t="str">
        <f>"0253-4142"</f>
        <v>0253-4142</v>
      </c>
      <c r="E9459" t="s">
        <v>8</v>
      </c>
      <c r="F9459" t="s">
        <v>9464</v>
      </c>
      <c r="G9459">
        <v>1</v>
      </c>
    </row>
    <row r="9460" spans="1:7" x14ac:dyDescent="0.25">
      <c r="A9460">
        <v>30</v>
      </c>
      <c r="B9460" t="s">
        <v>8807</v>
      </c>
      <c r="C9460">
        <v>2114</v>
      </c>
      <c r="E9460" t="s">
        <v>8</v>
      </c>
      <c r="F9460" t="s">
        <v>9465</v>
      </c>
      <c r="G9460">
        <v>1</v>
      </c>
    </row>
    <row r="9461" spans="1:7" x14ac:dyDescent="0.25">
      <c r="A9461">
        <v>30</v>
      </c>
      <c r="B9461" t="s">
        <v>8807</v>
      </c>
      <c r="C9461">
        <v>13164</v>
      </c>
      <c r="D9461" t="str">
        <f>"0002-9939"</f>
        <v>0002-9939</v>
      </c>
      <c r="E9461" t="s">
        <v>8</v>
      </c>
      <c r="F9461" t="s">
        <v>9466</v>
      </c>
      <c r="G9461">
        <v>1</v>
      </c>
    </row>
    <row r="9462" spans="1:7" x14ac:dyDescent="0.25">
      <c r="A9462">
        <v>30</v>
      </c>
      <c r="B9462" t="s">
        <v>8807</v>
      </c>
      <c r="C9462">
        <v>5634</v>
      </c>
      <c r="D9462" t="str">
        <f>"0013-0915"</f>
        <v>0013-0915</v>
      </c>
      <c r="E9462" t="s">
        <v>8</v>
      </c>
      <c r="F9462" t="s">
        <v>9467</v>
      </c>
      <c r="G9462">
        <v>1</v>
      </c>
    </row>
    <row r="9463" spans="1:7" x14ac:dyDescent="0.25">
      <c r="A9463">
        <v>30</v>
      </c>
      <c r="B9463" t="s">
        <v>8807</v>
      </c>
      <c r="C9463">
        <v>8782616</v>
      </c>
      <c r="E9463" t="s">
        <v>15</v>
      </c>
      <c r="F9463" t="s">
        <v>9468</v>
      </c>
      <c r="G9463">
        <v>1</v>
      </c>
    </row>
    <row r="9464" spans="1:7" x14ac:dyDescent="0.25">
      <c r="A9464">
        <v>30</v>
      </c>
      <c r="B9464" t="s">
        <v>8807</v>
      </c>
      <c r="C9464">
        <v>8782605</v>
      </c>
      <c r="E9464" t="s">
        <v>15</v>
      </c>
      <c r="F9464" t="s">
        <v>9469</v>
      </c>
      <c r="G9464">
        <v>1</v>
      </c>
    </row>
    <row r="9465" spans="1:7" x14ac:dyDescent="0.25">
      <c r="A9465">
        <v>30</v>
      </c>
      <c r="B9465" t="s">
        <v>8807</v>
      </c>
      <c r="C9465">
        <v>8782606</v>
      </c>
      <c r="E9465" t="s">
        <v>15</v>
      </c>
      <c r="F9465" t="s">
        <v>9470</v>
      </c>
      <c r="G9465">
        <v>1</v>
      </c>
    </row>
    <row r="9466" spans="1:7" x14ac:dyDescent="0.25">
      <c r="A9466">
        <v>30</v>
      </c>
      <c r="B9466" t="s">
        <v>8807</v>
      </c>
      <c r="C9466">
        <v>14156</v>
      </c>
      <c r="D9466" t="str">
        <f>"0771-100X"</f>
        <v>0771-100X</v>
      </c>
      <c r="E9466" t="s">
        <v>8</v>
      </c>
      <c r="F9466" t="s">
        <v>9471</v>
      </c>
      <c r="G9466">
        <v>1</v>
      </c>
    </row>
    <row r="9467" spans="1:7" x14ac:dyDescent="0.25">
      <c r="A9467">
        <v>30</v>
      </c>
      <c r="B9467" t="s">
        <v>8807</v>
      </c>
      <c r="C9467">
        <v>13688</v>
      </c>
      <c r="D9467" t="str">
        <f>"0386-2194"</f>
        <v>0386-2194</v>
      </c>
      <c r="E9467" t="s">
        <v>8</v>
      </c>
      <c r="F9467" t="s">
        <v>9472</v>
      </c>
      <c r="G9467">
        <v>1</v>
      </c>
    </row>
    <row r="9468" spans="1:7" x14ac:dyDescent="0.25">
      <c r="A9468">
        <v>30</v>
      </c>
      <c r="B9468" t="s">
        <v>8807</v>
      </c>
      <c r="C9468">
        <v>13855</v>
      </c>
      <c r="D9468" t="str">
        <f>"0308-2105"</f>
        <v>0308-2105</v>
      </c>
      <c r="E9468" t="s">
        <v>8</v>
      </c>
      <c r="F9468" t="s">
        <v>9473</v>
      </c>
      <c r="G9468">
        <v>1</v>
      </c>
    </row>
    <row r="9469" spans="1:7" x14ac:dyDescent="0.25">
      <c r="A9469">
        <v>30</v>
      </c>
      <c r="B9469" t="s">
        <v>8807</v>
      </c>
      <c r="C9469">
        <v>5266</v>
      </c>
      <c r="D9469" t="str">
        <f>"0081-5438"</f>
        <v>0081-5438</v>
      </c>
      <c r="E9469" t="s">
        <v>8</v>
      </c>
      <c r="F9469" t="s">
        <v>9474</v>
      </c>
      <c r="G9469">
        <v>1</v>
      </c>
    </row>
    <row r="9470" spans="1:7" x14ac:dyDescent="0.25">
      <c r="A9470">
        <v>30</v>
      </c>
      <c r="B9470" t="s">
        <v>8807</v>
      </c>
      <c r="C9470">
        <v>10917</v>
      </c>
      <c r="D9470" t="str">
        <f>"1468-4349"</f>
        <v>1468-4349</v>
      </c>
      <c r="E9470" t="s">
        <v>8</v>
      </c>
      <c r="F9470" t="s">
        <v>9475</v>
      </c>
      <c r="G9470">
        <v>1</v>
      </c>
    </row>
    <row r="9471" spans="1:7" x14ac:dyDescent="0.25">
      <c r="A9471">
        <v>30</v>
      </c>
      <c r="B9471" t="s">
        <v>8807</v>
      </c>
      <c r="C9471">
        <v>54356</v>
      </c>
      <c r="D9471" t="str">
        <f>"1544-9998"</f>
        <v>1544-9998</v>
      </c>
      <c r="E9471" t="s">
        <v>15</v>
      </c>
      <c r="F9471" t="s">
        <v>9476</v>
      </c>
      <c r="G9471">
        <v>1</v>
      </c>
    </row>
    <row r="9472" spans="1:7" x14ac:dyDescent="0.25">
      <c r="A9472">
        <v>30</v>
      </c>
      <c r="B9472" t="s">
        <v>8807</v>
      </c>
      <c r="C9472">
        <v>83136</v>
      </c>
      <c r="D9472" t="str">
        <f>"0743-1643"</f>
        <v>0743-1643</v>
      </c>
      <c r="E9472" t="s">
        <v>15</v>
      </c>
      <c r="F9472" t="s">
        <v>9477</v>
      </c>
      <c r="G9472">
        <v>1</v>
      </c>
    </row>
    <row r="9473" spans="1:7" x14ac:dyDescent="0.25">
      <c r="A9473">
        <v>30</v>
      </c>
      <c r="B9473" t="s">
        <v>8807</v>
      </c>
      <c r="C9473">
        <v>147234</v>
      </c>
      <c r="D9473" t="str">
        <f>"1050-6977"</f>
        <v>1050-6977</v>
      </c>
      <c r="E9473" t="s">
        <v>15</v>
      </c>
      <c r="F9473" t="s">
        <v>9478</v>
      </c>
      <c r="G9473">
        <v>1</v>
      </c>
    </row>
    <row r="9474" spans="1:7" x14ac:dyDescent="0.25">
      <c r="A9474">
        <v>30</v>
      </c>
      <c r="B9474" t="s">
        <v>8807</v>
      </c>
      <c r="C9474">
        <v>5420</v>
      </c>
      <c r="D9474" t="str">
        <f>"0716-0917"</f>
        <v>0716-0917</v>
      </c>
      <c r="E9474" t="s">
        <v>8</v>
      </c>
      <c r="F9474" t="s">
        <v>9479</v>
      </c>
      <c r="G9474">
        <v>1</v>
      </c>
    </row>
    <row r="9475" spans="1:7" x14ac:dyDescent="0.25">
      <c r="A9475">
        <v>30</v>
      </c>
      <c r="B9475" t="s">
        <v>8807</v>
      </c>
      <c r="C9475">
        <v>8116</v>
      </c>
      <c r="D9475" t="str">
        <f>"0214-1493"</f>
        <v>0214-1493</v>
      </c>
      <c r="E9475" t="s">
        <v>8</v>
      </c>
      <c r="F9475" t="s">
        <v>9480</v>
      </c>
      <c r="G9475">
        <v>1</v>
      </c>
    </row>
    <row r="9476" spans="1:7" x14ac:dyDescent="0.25">
      <c r="A9476">
        <v>30</v>
      </c>
      <c r="B9476" t="s">
        <v>8807</v>
      </c>
      <c r="C9476">
        <v>13064</v>
      </c>
      <c r="D9476" t="str">
        <f>"0033-3883"</f>
        <v>0033-3883</v>
      </c>
      <c r="E9476" t="s">
        <v>8</v>
      </c>
      <c r="F9476" t="s">
        <v>9481</v>
      </c>
      <c r="G9476">
        <v>1</v>
      </c>
    </row>
    <row r="9477" spans="1:7" x14ac:dyDescent="0.25">
      <c r="A9477">
        <v>30</v>
      </c>
      <c r="B9477" t="s">
        <v>8807</v>
      </c>
      <c r="C9477">
        <v>14507</v>
      </c>
      <c r="D9477" t="str">
        <f>"0034-5318"</f>
        <v>0034-5318</v>
      </c>
      <c r="E9477" t="s">
        <v>8</v>
      </c>
      <c r="F9477" t="s">
        <v>9482</v>
      </c>
      <c r="G9477">
        <v>1</v>
      </c>
    </row>
    <row r="9478" spans="1:7" x14ac:dyDescent="0.25">
      <c r="A9478">
        <v>30</v>
      </c>
      <c r="B9478" t="s">
        <v>8807</v>
      </c>
      <c r="C9478">
        <v>824</v>
      </c>
      <c r="D9478" t="str">
        <f>"1558-8599"</f>
        <v>1558-8599</v>
      </c>
      <c r="E9478" t="s">
        <v>8</v>
      </c>
      <c r="F9478" t="s">
        <v>9483</v>
      </c>
      <c r="G9478">
        <v>1</v>
      </c>
    </row>
    <row r="9479" spans="1:7" x14ac:dyDescent="0.25">
      <c r="A9479">
        <v>30</v>
      </c>
      <c r="B9479" t="s">
        <v>8807</v>
      </c>
      <c r="C9479">
        <v>4833</v>
      </c>
      <c r="D9479" t="str">
        <f>"1012-2346"</f>
        <v>1012-2346</v>
      </c>
      <c r="E9479" t="s">
        <v>8</v>
      </c>
      <c r="F9479" t="s">
        <v>9484</v>
      </c>
      <c r="G9479">
        <v>1</v>
      </c>
    </row>
    <row r="9480" spans="1:7" x14ac:dyDescent="0.25">
      <c r="A9480">
        <v>30</v>
      </c>
      <c r="B9480" t="s">
        <v>8807</v>
      </c>
      <c r="C9480">
        <v>8783254</v>
      </c>
      <c r="D9480" t="str">
        <f>"0033-5606"</f>
        <v>0033-5606</v>
      </c>
      <c r="E9480" t="s">
        <v>2100</v>
      </c>
      <c r="F9480" t="s">
        <v>9485</v>
      </c>
      <c r="G9480">
        <v>1</v>
      </c>
    </row>
    <row r="9481" spans="1:7" x14ac:dyDescent="0.25">
      <c r="A9481">
        <v>30</v>
      </c>
      <c r="B9481" t="s">
        <v>8807</v>
      </c>
      <c r="C9481">
        <v>10858</v>
      </c>
      <c r="D9481" t="str">
        <f>"1607-3606"</f>
        <v>1607-3606</v>
      </c>
      <c r="E9481" t="s">
        <v>8</v>
      </c>
      <c r="F9481" t="s">
        <v>9486</v>
      </c>
      <c r="G9481">
        <v>1</v>
      </c>
    </row>
    <row r="9482" spans="1:7" x14ac:dyDescent="0.25">
      <c r="A9482">
        <v>30</v>
      </c>
      <c r="B9482" t="s">
        <v>8807</v>
      </c>
      <c r="C9482">
        <v>7135</v>
      </c>
      <c r="D9482" t="str">
        <f>"0033-5177"</f>
        <v>0033-5177</v>
      </c>
      <c r="E9482" t="s">
        <v>8</v>
      </c>
      <c r="F9482" t="s">
        <v>9487</v>
      </c>
      <c r="G9482">
        <v>1</v>
      </c>
    </row>
    <row r="9483" spans="1:7" x14ac:dyDescent="0.25">
      <c r="A9483">
        <v>30</v>
      </c>
      <c r="B9483" t="s">
        <v>8807</v>
      </c>
      <c r="C9483">
        <v>8171</v>
      </c>
      <c r="D9483" t="str">
        <f>"0033-569X"</f>
        <v>0033-569X</v>
      </c>
      <c r="E9483" t="s">
        <v>8</v>
      </c>
      <c r="F9483" t="s">
        <v>9488</v>
      </c>
      <c r="G9483">
        <v>1</v>
      </c>
    </row>
    <row r="9484" spans="1:7" x14ac:dyDescent="0.25">
      <c r="A9484">
        <v>30</v>
      </c>
      <c r="B9484" t="s">
        <v>8807</v>
      </c>
      <c r="C9484">
        <v>8912</v>
      </c>
      <c r="D9484" t="str">
        <f>"0926-6364"</f>
        <v>0926-6364</v>
      </c>
      <c r="E9484" t="s">
        <v>8</v>
      </c>
      <c r="F9484" t="s">
        <v>9489</v>
      </c>
      <c r="G9484">
        <v>1</v>
      </c>
    </row>
    <row r="9485" spans="1:7" x14ac:dyDescent="0.25">
      <c r="A9485">
        <v>30</v>
      </c>
      <c r="B9485" t="s">
        <v>8807</v>
      </c>
      <c r="C9485">
        <v>7757155</v>
      </c>
      <c r="D9485" t="str">
        <f>"2014-3621"</f>
        <v>2014-3621</v>
      </c>
      <c r="E9485" t="s">
        <v>8</v>
      </c>
      <c r="F9485" t="s">
        <v>9490</v>
      </c>
      <c r="G9485">
        <v>1</v>
      </c>
    </row>
    <row r="9486" spans="1:7" x14ac:dyDescent="0.25">
      <c r="A9486">
        <v>30</v>
      </c>
      <c r="B9486" t="s">
        <v>8807</v>
      </c>
      <c r="C9486">
        <v>6701</v>
      </c>
      <c r="D9486" t="str">
        <f>"1560-3547"</f>
        <v>1560-3547</v>
      </c>
      <c r="E9486" t="s">
        <v>8</v>
      </c>
      <c r="F9486" t="s">
        <v>9491</v>
      </c>
      <c r="G9486">
        <v>1</v>
      </c>
    </row>
    <row r="9487" spans="1:7" x14ac:dyDescent="0.25">
      <c r="A9487">
        <v>30</v>
      </c>
      <c r="B9487" t="s">
        <v>8807</v>
      </c>
      <c r="C9487">
        <v>4385</v>
      </c>
      <c r="D9487" t="str">
        <f>"0373-1243"</f>
        <v>0373-1243</v>
      </c>
      <c r="E9487" t="s">
        <v>8</v>
      </c>
      <c r="F9487" t="s">
        <v>9492</v>
      </c>
      <c r="G9487">
        <v>1</v>
      </c>
    </row>
    <row r="9488" spans="1:7" x14ac:dyDescent="0.25">
      <c r="A9488">
        <v>30</v>
      </c>
      <c r="B9488" t="s">
        <v>8807</v>
      </c>
      <c r="C9488">
        <v>1531</v>
      </c>
      <c r="D9488" t="str">
        <f>"0041-8994"</f>
        <v>0041-8994</v>
      </c>
      <c r="E9488" t="s">
        <v>8</v>
      </c>
      <c r="F9488" t="s">
        <v>9493</v>
      </c>
      <c r="G9488">
        <v>1</v>
      </c>
    </row>
    <row r="9489" spans="1:7" x14ac:dyDescent="0.25">
      <c r="A9489">
        <v>30</v>
      </c>
      <c r="B9489" t="s">
        <v>8807</v>
      </c>
      <c r="C9489">
        <v>16782</v>
      </c>
      <c r="D9489" t="str">
        <f>"1120-6330"</f>
        <v>1120-6330</v>
      </c>
      <c r="E9489" t="s">
        <v>8</v>
      </c>
      <c r="F9489" t="s">
        <v>9494</v>
      </c>
      <c r="G9489">
        <v>1</v>
      </c>
    </row>
    <row r="9490" spans="1:7" x14ac:dyDescent="0.25">
      <c r="A9490">
        <v>30</v>
      </c>
      <c r="B9490" t="s">
        <v>8807</v>
      </c>
      <c r="C9490">
        <v>22800</v>
      </c>
      <c r="D9490" t="str">
        <f>"0137-2904"</f>
        <v>0137-2904</v>
      </c>
      <c r="E9490" t="s">
        <v>8</v>
      </c>
      <c r="F9490" t="s">
        <v>9495</v>
      </c>
      <c r="G9490">
        <v>1</v>
      </c>
    </row>
    <row r="9491" spans="1:7" x14ac:dyDescent="0.25">
      <c r="A9491">
        <v>30</v>
      </c>
      <c r="B9491" t="s">
        <v>8807</v>
      </c>
      <c r="C9491">
        <v>8295</v>
      </c>
      <c r="D9491" t="str">
        <f>"0034-4877"</f>
        <v>0034-4877</v>
      </c>
      <c r="E9491" t="s">
        <v>8</v>
      </c>
      <c r="F9491" t="s">
        <v>9496</v>
      </c>
      <c r="G9491">
        <v>1</v>
      </c>
    </row>
    <row r="9492" spans="1:7" x14ac:dyDescent="0.25">
      <c r="A9492">
        <v>30</v>
      </c>
      <c r="B9492" t="s">
        <v>8807</v>
      </c>
      <c r="C9492">
        <v>11868</v>
      </c>
      <c r="D9492" t="str">
        <f>"1088-4165"</f>
        <v>1088-4165</v>
      </c>
      <c r="E9492" t="s">
        <v>8</v>
      </c>
      <c r="F9492" t="s">
        <v>9497</v>
      </c>
      <c r="G9492">
        <v>1</v>
      </c>
    </row>
    <row r="9493" spans="1:7" x14ac:dyDescent="0.25">
      <c r="A9493">
        <v>30</v>
      </c>
      <c r="B9493" t="s">
        <v>8807</v>
      </c>
      <c r="C9493">
        <v>2351</v>
      </c>
      <c r="D9493" t="str">
        <f>"1479-4802"</f>
        <v>1479-4802</v>
      </c>
      <c r="E9493" t="s">
        <v>8</v>
      </c>
      <c r="F9493" t="s">
        <v>9498</v>
      </c>
      <c r="G9493">
        <v>1</v>
      </c>
    </row>
    <row r="9494" spans="1:7" x14ac:dyDescent="0.25">
      <c r="A9494">
        <v>30</v>
      </c>
      <c r="B9494" t="s">
        <v>8807</v>
      </c>
      <c r="C9494">
        <v>18047</v>
      </c>
      <c r="D9494" t="str">
        <f>"1422-6383"</f>
        <v>1422-6383</v>
      </c>
      <c r="E9494" t="s">
        <v>8</v>
      </c>
      <c r="F9494" t="s">
        <v>9499</v>
      </c>
      <c r="G9494">
        <v>1</v>
      </c>
    </row>
    <row r="9495" spans="1:7" x14ac:dyDescent="0.25">
      <c r="A9495">
        <v>30</v>
      </c>
      <c r="B9495" t="s">
        <v>8807</v>
      </c>
      <c r="C9495">
        <v>31451</v>
      </c>
      <c r="D9495" t="str">
        <f>"1665-2436"</f>
        <v>1665-2436</v>
      </c>
      <c r="E9495" t="s">
        <v>8</v>
      </c>
      <c r="F9495" t="s">
        <v>9500</v>
      </c>
      <c r="G9495">
        <v>1</v>
      </c>
    </row>
    <row r="9496" spans="1:7" x14ac:dyDescent="0.25">
      <c r="A9496">
        <v>30</v>
      </c>
      <c r="B9496" t="s">
        <v>8807</v>
      </c>
      <c r="C9496">
        <v>24900</v>
      </c>
      <c r="D9496" t="str">
        <f>"1139-1138"</f>
        <v>1139-1138</v>
      </c>
      <c r="E9496" t="s">
        <v>8</v>
      </c>
      <c r="F9496" t="s">
        <v>9501</v>
      </c>
      <c r="G9496">
        <v>1</v>
      </c>
    </row>
    <row r="9497" spans="1:7" x14ac:dyDescent="0.25">
      <c r="A9497">
        <v>30</v>
      </c>
      <c r="B9497" t="s">
        <v>8807</v>
      </c>
      <c r="C9497">
        <v>27180</v>
      </c>
      <c r="D9497" t="str">
        <f>"1645-6726"</f>
        <v>1645-6726</v>
      </c>
      <c r="E9497" t="s">
        <v>8</v>
      </c>
      <c r="F9497" t="s">
        <v>9502</v>
      </c>
      <c r="G9497">
        <v>1</v>
      </c>
    </row>
    <row r="9498" spans="1:7" x14ac:dyDescent="0.25">
      <c r="A9498">
        <v>30</v>
      </c>
      <c r="B9498" t="s">
        <v>8807</v>
      </c>
      <c r="C9498">
        <v>22861</v>
      </c>
      <c r="D9498" t="str">
        <f>"0035-3965"</f>
        <v>0035-3965</v>
      </c>
      <c r="E9498" t="s">
        <v>8</v>
      </c>
      <c r="F9498" t="s">
        <v>9503</v>
      </c>
      <c r="G9498">
        <v>1</v>
      </c>
    </row>
    <row r="9499" spans="1:7" x14ac:dyDescent="0.25">
      <c r="A9499">
        <v>30</v>
      </c>
      <c r="B9499" t="s">
        <v>8807</v>
      </c>
      <c r="C9499">
        <v>7744268</v>
      </c>
      <c r="E9499" t="s">
        <v>8</v>
      </c>
      <c r="F9499" t="s">
        <v>9504</v>
      </c>
      <c r="G9499">
        <v>1</v>
      </c>
    </row>
    <row r="9500" spans="1:7" x14ac:dyDescent="0.25">
      <c r="A9500">
        <v>30</v>
      </c>
      <c r="B9500" t="s">
        <v>8807</v>
      </c>
      <c r="C9500">
        <v>8981</v>
      </c>
      <c r="D9500" t="str">
        <f>"0035-7596"</f>
        <v>0035-7596</v>
      </c>
      <c r="E9500" t="s">
        <v>8</v>
      </c>
      <c r="F9500" t="s">
        <v>9505</v>
      </c>
      <c r="G9500">
        <v>1</v>
      </c>
    </row>
    <row r="9501" spans="1:7" x14ac:dyDescent="0.25">
      <c r="A9501">
        <v>30</v>
      </c>
      <c r="B9501" t="s">
        <v>8807</v>
      </c>
      <c r="C9501">
        <v>75290</v>
      </c>
      <c r="D9501" t="str">
        <f>"1067-9073"</f>
        <v>1067-9073</v>
      </c>
      <c r="E9501" t="s">
        <v>8</v>
      </c>
      <c r="F9501" t="s">
        <v>9506</v>
      </c>
      <c r="G9501">
        <v>1</v>
      </c>
    </row>
    <row r="9502" spans="1:7" x14ac:dyDescent="0.25">
      <c r="A9502">
        <v>30</v>
      </c>
      <c r="B9502" t="s">
        <v>8807</v>
      </c>
      <c r="C9502">
        <v>15322</v>
      </c>
      <c r="D9502" t="str">
        <f>"0927-6467"</f>
        <v>0927-6467</v>
      </c>
      <c r="E9502" t="s">
        <v>8</v>
      </c>
      <c r="F9502" t="s">
        <v>9507</v>
      </c>
      <c r="G9502">
        <v>1</v>
      </c>
    </row>
    <row r="9503" spans="1:7" x14ac:dyDescent="0.25">
      <c r="A9503">
        <v>30</v>
      </c>
      <c r="B9503" t="s">
        <v>8807</v>
      </c>
      <c r="C9503">
        <v>11159</v>
      </c>
      <c r="D9503" t="str">
        <f>"0036-0279"</f>
        <v>0036-0279</v>
      </c>
      <c r="E9503" t="s">
        <v>8</v>
      </c>
      <c r="F9503" t="s">
        <v>9508</v>
      </c>
      <c r="G9503">
        <v>1</v>
      </c>
    </row>
    <row r="9504" spans="1:7" x14ac:dyDescent="0.25">
      <c r="A9504">
        <v>30</v>
      </c>
      <c r="B9504" t="s">
        <v>8807</v>
      </c>
      <c r="C9504">
        <v>5502</v>
      </c>
      <c r="D9504" t="str">
        <f>"0976-836X"</f>
        <v>0976-836X</v>
      </c>
      <c r="E9504" t="s">
        <v>8</v>
      </c>
      <c r="F9504" t="s">
        <v>9509</v>
      </c>
      <c r="G9504">
        <v>1</v>
      </c>
    </row>
    <row r="9505" spans="1:7" x14ac:dyDescent="0.25">
      <c r="A9505">
        <v>30</v>
      </c>
      <c r="B9505" t="s">
        <v>8807</v>
      </c>
      <c r="C9505">
        <v>3259</v>
      </c>
      <c r="D9505" t="str">
        <f>"1840-0655"</f>
        <v>1840-0655</v>
      </c>
      <c r="E9505" t="s">
        <v>8</v>
      </c>
      <c r="F9505" t="s">
        <v>9510</v>
      </c>
      <c r="G9505">
        <v>1</v>
      </c>
    </row>
    <row r="9506" spans="1:7" x14ac:dyDescent="0.25">
      <c r="A9506">
        <v>30</v>
      </c>
      <c r="B9506" t="s">
        <v>8807</v>
      </c>
      <c r="C9506">
        <v>9943</v>
      </c>
      <c r="D9506" t="str">
        <f>"1064-5616"</f>
        <v>1064-5616</v>
      </c>
      <c r="E9506" t="s">
        <v>8</v>
      </c>
      <c r="F9506" t="s">
        <v>9511</v>
      </c>
      <c r="G9506">
        <v>1</v>
      </c>
    </row>
    <row r="9507" spans="1:7" x14ac:dyDescent="0.25">
      <c r="A9507">
        <v>30</v>
      </c>
      <c r="B9507" t="s">
        <v>8807</v>
      </c>
      <c r="C9507">
        <v>6273632</v>
      </c>
      <c r="D9507" t="str">
        <f>"1674-7283"</f>
        <v>1674-7283</v>
      </c>
      <c r="E9507" t="s">
        <v>8</v>
      </c>
      <c r="F9507" t="s">
        <v>9512</v>
      </c>
      <c r="G9507">
        <v>1</v>
      </c>
    </row>
    <row r="9508" spans="1:7" x14ac:dyDescent="0.25">
      <c r="A9508">
        <v>30</v>
      </c>
      <c r="B9508" t="s">
        <v>8807</v>
      </c>
      <c r="C9508">
        <v>23638</v>
      </c>
      <c r="D9508" t="str">
        <f>"1904-5514"</f>
        <v>1904-5514</v>
      </c>
      <c r="E9508" t="s">
        <v>15</v>
      </c>
      <c r="F9508" t="s">
        <v>9513</v>
      </c>
      <c r="G9508">
        <v>1</v>
      </c>
    </row>
    <row r="9509" spans="1:7" x14ac:dyDescent="0.25">
      <c r="A9509">
        <v>30</v>
      </c>
      <c r="B9509" t="s">
        <v>8807</v>
      </c>
      <c r="C9509">
        <v>4090</v>
      </c>
      <c r="D9509" t="str">
        <f>"1346-0862"</f>
        <v>1346-0862</v>
      </c>
      <c r="E9509" t="s">
        <v>8</v>
      </c>
      <c r="F9509" t="s">
        <v>9514</v>
      </c>
      <c r="G9509">
        <v>1</v>
      </c>
    </row>
    <row r="9510" spans="1:7" x14ac:dyDescent="0.25">
      <c r="A9510">
        <v>30</v>
      </c>
      <c r="B9510" t="s">
        <v>8807</v>
      </c>
      <c r="C9510">
        <v>10459</v>
      </c>
      <c r="D9510" t="str">
        <f>"0037-1912"</f>
        <v>0037-1912</v>
      </c>
      <c r="E9510" t="s">
        <v>8</v>
      </c>
      <c r="F9510" t="s">
        <v>9515</v>
      </c>
      <c r="G9510">
        <v>1</v>
      </c>
    </row>
    <row r="9511" spans="1:7" x14ac:dyDescent="0.25">
      <c r="A9511">
        <v>30</v>
      </c>
      <c r="B9511" t="s">
        <v>8807</v>
      </c>
      <c r="C9511">
        <v>60185</v>
      </c>
      <c r="D9511" t="str">
        <f>"0720-8766"</f>
        <v>0720-8766</v>
      </c>
      <c r="E9511" t="s">
        <v>8</v>
      </c>
      <c r="F9511" t="s">
        <v>9516</v>
      </c>
      <c r="G9511">
        <v>1</v>
      </c>
    </row>
    <row r="9512" spans="1:7" x14ac:dyDescent="0.25">
      <c r="A9512">
        <v>30</v>
      </c>
      <c r="B9512" t="s">
        <v>8807</v>
      </c>
      <c r="C9512">
        <v>16273</v>
      </c>
      <c r="E9512" t="s">
        <v>8</v>
      </c>
      <c r="F9512" t="s">
        <v>9517</v>
      </c>
      <c r="G9512">
        <v>1</v>
      </c>
    </row>
    <row r="9513" spans="1:7" x14ac:dyDescent="0.25">
      <c r="A9513">
        <v>30</v>
      </c>
      <c r="B9513" t="s">
        <v>8807</v>
      </c>
      <c r="C9513">
        <v>4835</v>
      </c>
      <c r="D9513" t="str">
        <f>"0747-4946"</f>
        <v>0747-4946</v>
      </c>
      <c r="E9513" t="s">
        <v>8</v>
      </c>
      <c r="F9513" t="s">
        <v>9518</v>
      </c>
      <c r="G9513">
        <v>1</v>
      </c>
    </row>
    <row r="9514" spans="1:7" x14ac:dyDescent="0.25">
      <c r="A9514">
        <v>30</v>
      </c>
      <c r="B9514" t="s">
        <v>8807</v>
      </c>
      <c r="C9514">
        <v>6269168</v>
      </c>
      <c r="D9514" t="str">
        <f>"1945-497X"</f>
        <v>1945-497X</v>
      </c>
      <c r="E9514" t="s">
        <v>8</v>
      </c>
      <c r="F9514" t="s">
        <v>9519</v>
      </c>
      <c r="G9514">
        <v>1</v>
      </c>
    </row>
    <row r="9515" spans="1:7" x14ac:dyDescent="0.25">
      <c r="A9515">
        <v>30</v>
      </c>
      <c r="B9515" t="s">
        <v>8807</v>
      </c>
      <c r="C9515">
        <v>128884</v>
      </c>
      <c r="D9515" t="str">
        <f>"1696-2281"</f>
        <v>1696-2281</v>
      </c>
      <c r="E9515" t="s">
        <v>8</v>
      </c>
      <c r="F9515" t="s">
        <v>9520</v>
      </c>
      <c r="G9515">
        <v>1</v>
      </c>
    </row>
    <row r="9516" spans="1:7" x14ac:dyDescent="0.25">
      <c r="A9516">
        <v>30</v>
      </c>
      <c r="B9516" t="s">
        <v>8807</v>
      </c>
      <c r="C9516">
        <v>139417</v>
      </c>
      <c r="D9516" t="str">
        <f>"1680-2179"</f>
        <v>1680-2179</v>
      </c>
      <c r="E9516" t="s">
        <v>8</v>
      </c>
      <c r="F9516" t="s">
        <v>9521</v>
      </c>
      <c r="G9516">
        <v>1</v>
      </c>
    </row>
    <row r="9517" spans="1:7" x14ac:dyDescent="0.25">
      <c r="A9517">
        <v>30</v>
      </c>
      <c r="B9517" t="s">
        <v>8807</v>
      </c>
      <c r="C9517">
        <v>9324</v>
      </c>
      <c r="D9517" t="str">
        <f>"0038-271X"</f>
        <v>0038-271X</v>
      </c>
      <c r="E9517" t="s">
        <v>8</v>
      </c>
      <c r="F9517" t="s">
        <v>9522</v>
      </c>
      <c r="G9517">
        <v>1</v>
      </c>
    </row>
    <row r="9518" spans="1:7" x14ac:dyDescent="0.25">
      <c r="A9518">
        <v>30</v>
      </c>
      <c r="B9518" t="s">
        <v>8807</v>
      </c>
      <c r="C9518">
        <v>13907</v>
      </c>
      <c r="D9518" t="str">
        <f>"0129-2021"</f>
        <v>0129-2021</v>
      </c>
      <c r="E9518" t="s">
        <v>8</v>
      </c>
      <c r="F9518" t="s">
        <v>9523</v>
      </c>
      <c r="G9518">
        <v>1</v>
      </c>
    </row>
    <row r="9519" spans="1:7" x14ac:dyDescent="0.25">
      <c r="A9519">
        <v>30</v>
      </c>
      <c r="B9519" t="s">
        <v>8807</v>
      </c>
      <c r="C9519">
        <v>6883</v>
      </c>
      <c r="D9519" t="str">
        <f>"1387-5868"</f>
        <v>1387-5868</v>
      </c>
      <c r="E9519" t="s">
        <v>8</v>
      </c>
      <c r="F9519" t="s">
        <v>9524</v>
      </c>
      <c r="G9519">
        <v>1</v>
      </c>
    </row>
    <row r="9520" spans="1:7" x14ac:dyDescent="0.25">
      <c r="A9520">
        <v>30</v>
      </c>
      <c r="B9520" t="s">
        <v>8807</v>
      </c>
      <c r="C9520">
        <v>170349</v>
      </c>
      <c r="E9520" t="s">
        <v>15</v>
      </c>
      <c r="F9520" t="s">
        <v>9525</v>
      </c>
      <c r="G9520">
        <v>1</v>
      </c>
    </row>
    <row r="9521" spans="1:7" x14ac:dyDescent="0.25">
      <c r="A9521">
        <v>30</v>
      </c>
      <c r="B9521" t="s">
        <v>8807</v>
      </c>
      <c r="C9521">
        <v>8782803</v>
      </c>
      <c r="D9521" t="str">
        <f>"2281-518X"</f>
        <v>2281-518X</v>
      </c>
      <c r="E9521" t="s">
        <v>15</v>
      </c>
      <c r="F9521" t="s">
        <v>9526</v>
      </c>
      <c r="G9521">
        <v>1</v>
      </c>
    </row>
    <row r="9522" spans="1:7" x14ac:dyDescent="0.25">
      <c r="A9522">
        <v>30</v>
      </c>
      <c r="B9522" t="s">
        <v>8807</v>
      </c>
      <c r="C9522">
        <v>2983</v>
      </c>
      <c r="D9522" t="str">
        <f>"1439-7382"</f>
        <v>1439-7382</v>
      </c>
      <c r="E9522" t="s">
        <v>8</v>
      </c>
      <c r="F9522" t="s">
        <v>9527</v>
      </c>
      <c r="G9522">
        <v>1</v>
      </c>
    </row>
    <row r="9523" spans="1:7" x14ac:dyDescent="0.25">
      <c r="A9523">
        <v>30</v>
      </c>
      <c r="B9523" t="s">
        <v>8807</v>
      </c>
      <c r="C9523">
        <v>8783478</v>
      </c>
      <c r="D9523" t="str">
        <f>"2194-1009"</f>
        <v>2194-1009</v>
      </c>
      <c r="E9523" t="s">
        <v>15</v>
      </c>
      <c r="F9523" t="s">
        <v>9528</v>
      </c>
      <c r="G9523">
        <v>1</v>
      </c>
    </row>
    <row r="9524" spans="1:7" x14ac:dyDescent="0.25">
      <c r="A9524">
        <v>30</v>
      </c>
      <c r="B9524" t="s">
        <v>8807</v>
      </c>
      <c r="C9524">
        <v>8782579</v>
      </c>
      <c r="D9524" t="str">
        <f>"2194-1009"</f>
        <v>2194-1009</v>
      </c>
      <c r="E9524" t="s">
        <v>15</v>
      </c>
      <c r="F9524" t="s">
        <v>9528</v>
      </c>
      <c r="G9524">
        <v>1</v>
      </c>
    </row>
    <row r="9525" spans="1:7" x14ac:dyDescent="0.25">
      <c r="A9525">
        <v>30</v>
      </c>
      <c r="B9525" t="s">
        <v>8807</v>
      </c>
      <c r="C9525">
        <v>6288454</v>
      </c>
      <c r="D9525" t="str">
        <f>"1431-8598"</f>
        <v>1431-8598</v>
      </c>
      <c r="E9525" t="s">
        <v>15</v>
      </c>
      <c r="F9525" t="s">
        <v>9529</v>
      </c>
      <c r="G9525">
        <v>1</v>
      </c>
    </row>
    <row r="9526" spans="1:7" x14ac:dyDescent="0.25">
      <c r="A9526">
        <v>30</v>
      </c>
      <c r="B9526" t="s">
        <v>8807</v>
      </c>
      <c r="C9526">
        <v>131927</v>
      </c>
      <c r="D9526" t="str">
        <f>"0172-7397"</f>
        <v>0172-7397</v>
      </c>
      <c r="E9526" t="s">
        <v>15</v>
      </c>
      <c r="F9526" t="s">
        <v>9530</v>
      </c>
      <c r="G9526">
        <v>1</v>
      </c>
    </row>
    <row r="9527" spans="1:7" x14ac:dyDescent="0.25">
      <c r="A9527">
        <v>30</v>
      </c>
      <c r="B9527" t="s">
        <v>8807</v>
      </c>
      <c r="C9527">
        <v>9697</v>
      </c>
      <c r="D9527" t="str">
        <f>"1061-0022"</f>
        <v>1061-0022</v>
      </c>
      <c r="E9527" t="s">
        <v>8</v>
      </c>
      <c r="F9527" t="s">
        <v>9531</v>
      </c>
      <c r="G9527">
        <v>1</v>
      </c>
    </row>
    <row r="9528" spans="1:7" x14ac:dyDescent="0.25">
      <c r="A9528">
        <v>30</v>
      </c>
      <c r="B9528" t="s">
        <v>8807</v>
      </c>
      <c r="C9528">
        <v>8766090</v>
      </c>
      <c r="E9528" t="s">
        <v>8</v>
      </c>
      <c r="F9528" t="s">
        <v>9532</v>
      </c>
      <c r="G9528">
        <v>1</v>
      </c>
    </row>
    <row r="9529" spans="1:7" x14ac:dyDescent="0.25">
      <c r="A9529">
        <v>30</v>
      </c>
      <c r="B9529" t="s">
        <v>8807</v>
      </c>
      <c r="C9529">
        <v>499</v>
      </c>
      <c r="D9529" t="str">
        <f>"0039-0402"</f>
        <v>0039-0402</v>
      </c>
      <c r="E9529" t="s">
        <v>8</v>
      </c>
      <c r="F9529" t="s">
        <v>9533</v>
      </c>
      <c r="G9529">
        <v>1</v>
      </c>
    </row>
    <row r="9530" spans="1:7" x14ac:dyDescent="0.25">
      <c r="A9530">
        <v>30</v>
      </c>
      <c r="B9530" t="s">
        <v>8807</v>
      </c>
      <c r="C9530">
        <v>10355</v>
      </c>
      <c r="D9530" t="str">
        <f>"1387-0874"</f>
        <v>1387-0874</v>
      </c>
      <c r="E9530" t="s">
        <v>8</v>
      </c>
      <c r="F9530" t="s">
        <v>9534</v>
      </c>
      <c r="G9530">
        <v>1</v>
      </c>
    </row>
    <row r="9531" spans="1:7" x14ac:dyDescent="0.25">
      <c r="A9531">
        <v>30</v>
      </c>
      <c r="B9531" t="s">
        <v>8807</v>
      </c>
      <c r="C9531">
        <v>16327</v>
      </c>
      <c r="D9531" t="str">
        <f>"1572-3127"</f>
        <v>1572-3127</v>
      </c>
      <c r="E9531" t="s">
        <v>8</v>
      </c>
      <c r="F9531" t="s">
        <v>9535</v>
      </c>
      <c r="G9531">
        <v>1</v>
      </c>
    </row>
    <row r="9532" spans="1:7" x14ac:dyDescent="0.25">
      <c r="A9532">
        <v>30</v>
      </c>
      <c r="B9532" t="s">
        <v>8807</v>
      </c>
      <c r="C9532">
        <v>23409</v>
      </c>
      <c r="D9532" t="str">
        <f>"1618-2510"</f>
        <v>1618-2510</v>
      </c>
      <c r="E9532" t="s">
        <v>8</v>
      </c>
      <c r="F9532" t="s">
        <v>9536</v>
      </c>
      <c r="G9532">
        <v>1</v>
      </c>
    </row>
    <row r="9533" spans="1:7" x14ac:dyDescent="0.25">
      <c r="A9533">
        <v>30</v>
      </c>
      <c r="B9533" t="s">
        <v>8807</v>
      </c>
      <c r="C9533">
        <v>13917</v>
      </c>
      <c r="D9533" t="str">
        <f>"1471-082X"</f>
        <v>1471-082X</v>
      </c>
      <c r="E9533" t="s">
        <v>8</v>
      </c>
      <c r="F9533" t="s">
        <v>9537</v>
      </c>
      <c r="G9533">
        <v>1</v>
      </c>
    </row>
    <row r="9534" spans="1:7" x14ac:dyDescent="0.25">
      <c r="A9534">
        <v>30</v>
      </c>
      <c r="B9534" t="s">
        <v>8807</v>
      </c>
      <c r="C9534">
        <v>13440</v>
      </c>
      <c r="D9534" t="str">
        <f>"0932-5026"</f>
        <v>0932-5026</v>
      </c>
      <c r="E9534" t="s">
        <v>8</v>
      </c>
      <c r="F9534" t="s">
        <v>9538</v>
      </c>
      <c r="G9534">
        <v>1</v>
      </c>
    </row>
    <row r="9535" spans="1:7" x14ac:dyDescent="0.25">
      <c r="A9535">
        <v>30</v>
      </c>
      <c r="B9535" t="s">
        <v>8807</v>
      </c>
      <c r="C9535">
        <v>6204</v>
      </c>
      <c r="D9535" t="str">
        <f>"0233-1888"</f>
        <v>0233-1888</v>
      </c>
      <c r="E9535" t="s">
        <v>8</v>
      </c>
      <c r="F9535" t="s">
        <v>9539</v>
      </c>
      <c r="G9535">
        <v>1</v>
      </c>
    </row>
    <row r="9536" spans="1:7" x14ac:dyDescent="0.25">
      <c r="A9536">
        <v>30</v>
      </c>
      <c r="B9536" t="s">
        <v>8807</v>
      </c>
      <c r="C9536">
        <v>13105</v>
      </c>
      <c r="D9536" t="str">
        <f>"0167-7152"</f>
        <v>0167-7152</v>
      </c>
      <c r="E9536" t="s">
        <v>8</v>
      </c>
      <c r="F9536" t="s">
        <v>9540</v>
      </c>
      <c r="G9536">
        <v>1</v>
      </c>
    </row>
    <row r="9537" spans="1:7" x14ac:dyDescent="0.25">
      <c r="A9537">
        <v>30</v>
      </c>
      <c r="B9537" t="s">
        <v>8807</v>
      </c>
      <c r="C9537">
        <v>20763</v>
      </c>
      <c r="D9537" t="str">
        <f>"2193-1402"</f>
        <v>2193-1402</v>
      </c>
      <c r="E9537" t="s">
        <v>8</v>
      </c>
      <c r="F9537" t="s">
        <v>9541</v>
      </c>
      <c r="G9537">
        <v>1</v>
      </c>
    </row>
    <row r="9538" spans="1:7" x14ac:dyDescent="0.25">
      <c r="A9538">
        <v>30</v>
      </c>
      <c r="B9538" t="s">
        <v>8807</v>
      </c>
      <c r="C9538">
        <v>140968</v>
      </c>
      <c r="D9538" t="str">
        <f>"1938-7989"</f>
        <v>1938-7989</v>
      </c>
      <c r="E9538" t="s">
        <v>8</v>
      </c>
      <c r="F9538" t="s">
        <v>9542</v>
      </c>
      <c r="G9538">
        <v>1</v>
      </c>
    </row>
    <row r="9539" spans="1:7" x14ac:dyDescent="0.25">
      <c r="A9539">
        <v>30</v>
      </c>
      <c r="B9539" t="s">
        <v>8807</v>
      </c>
      <c r="C9539">
        <v>9031</v>
      </c>
      <c r="E9539" t="s">
        <v>8</v>
      </c>
      <c r="F9539" t="s">
        <v>9543</v>
      </c>
      <c r="G9539">
        <v>1</v>
      </c>
    </row>
    <row r="9540" spans="1:7" x14ac:dyDescent="0.25">
      <c r="A9540">
        <v>30</v>
      </c>
      <c r="B9540" t="s">
        <v>8807</v>
      </c>
      <c r="C9540">
        <v>170345</v>
      </c>
      <c r="D9540" t="str">
        <f>"1431-8776"</f>
        <v>1431-8776</v>
      </c>
      <c r="E9540" t="s">
        <v>15</v>
      </c>
      <c r="F9540" t="s">
        <v>9544</v>
      </c>
      <c r="G9540">
        <v>1</v>
      </c>
    </row>
    <row r="9541" spans="1:7" x14ac:dyDescent="0.25">
      <c r="A9541">
        <v>30</v>
      </c>
      <c r="B9541" t="s">
        <v>8807</v>
      </c>
      <c r="C9541">
        <v>170415</v>
      </c>
      <c r="E9541" t="s">
        <v>15</v>
      </c>
      <c r="F9541" t="s">
        <v>9545</v>
      </c>
      <c r="G9541">
        <v>1</v>
      </c>
    </row>
    <row r="9542" spans="1:7" x14ac:dyDescent="0.25">
      <c r="A9542">
        <v>30</v>
      </c>
      <c r="B9542" t="s">
        <v>8807</v>
      </c>
      <c r="C9542">
        <v>74461</v>
      </c>
      <c r="E9542" t="s">
        <v>8</v>
      </c>
      <c r="F9542" t="s">
        <v>9546</v>
      </c>
      <c r="G9542">
        <v>1</v>
      </c>
    </row>
    <row r="9543" spans="1:7" x14ac:dyDescent="0.25">
      <c r="A9543">
        <v>30</v>
      </c>
      <c r="B9543" t="s">
        <v>8807</v>
      </c>
      <c r="C9543">
        <v>13107</v>
      </c>
      <c r="D9543" t="str">
        <f>"0736-2994"</f>
        <v>0736-2994</v>
      </c>
      <c r="E9543" t="s">
        <v>8</v>
      </c>
      <c r="F9543" t="s">
        <v>9547</v>
      </c>
      <c r="G9543">
        <v>1</v>
      </c>
    </row>
    <row r="9544" spans="1:7" x14ac:dyDescent="0.25">
      <c r="A9544">
        <v>30</v>
      </c>
      <c r="B9544" t="s">
        <v>8807</v>
      </c>
      <c r="C9544">
        <v>1962</v>
      </c>
      <c r="D9544" t="str">
        <f>"1436-3240"</f>
        <v>1436-3240</v>
      </c>
      <c r="E9544" t="s">
        <v>8</v>
      </c>
      <c r="F9544" t="s">
        <v>9548</v>
      </c>
      <c r="G9544">
        <v>1</v>
      </c>
    </row>
    <row r="9545" spans="1:7" x14ac:dyDescent="0.25">
      <c r="A9545">
        <v>30</v>
      </c>
      <c r="B9545" t="s">
        <v>8807</v>
      </c>
      <c r="C9545">
        <v>4915</v>
      </c>
      <c r="D9545" t="str">
        <f>"1532-6349"</f>
        <v>1532-6349</v>
      </c>
      <c r="E9545" t="s">
        <v>8</v>
      </c>
      <c r="F9545" t="s">
        <v>9549</v>
      </c>
      <c r="G9545">
        <v>1</v>
      </c>
    </row>
    <row r="9546" spans="1:7" x14ac:dyDescent="0.25">
      <c r="A9546">
        <v>30</v>
      </c>
      <c r="B9546" t="s">
        <v>8807</v>
      </c>
      <c r="C9546">
        <v>12753</v>
      </c>
      <c r="D9546" t="str">
        <f>"0219-4937"</f>
        <v>0219-4937</v>
      </c>
      <c r="E9546" t="s">
        <v>8</v>
      </c>
      <c r="F9546" t="s">
        <v>9550</v>
      </c>
      <c r="G9546">
        <v>1</v>
      </c>
    </row>
    <row r="9547" spans="1:7" x14ac:dyDescent="0.25">
      <c r="A9547">
        <v>30</v>
      </c>
      <c r="B9547" t="s">
        <v>8807</v>
      </c>
      <c r="C9547">
        <v>151795</v>
      </c>
      <c r="D9547" t="str">
        <f>"1744-2508"</f>
        <v>1744-2508</v>
      </c>
      <c r="E9547" t="s">
        <v>8</v>
      </c>
      <c r="F9547" t="s">
        <v>9551</v>
      </c>
      <c r="G9547">
        <v>1</v>
      </c>
    </row>
    <row r="9548" spans="1:7" x14ac:dyDescent="0.25">
      <c r="A9548">
        <v>30</v>
      </c>
      <c r="B9548" t="s">
        <v>8807</v>
      </c>
      <c r="C9548">
        <v>16194</v>
      </c>
      <c r="D9548" t="str">
        <f>"1070-5511"</f>
        <v>1070-5511</v>
      </c>
      <c r="E9548" t="s">
        <v>8</v>
      </c>
      <c r="F9548" t="s">
        <v>9552</v>
      </c>
      <c r="G9548">
        <v>1</v>
      </c>
    </row>
    <row r="9549" spans="1:7" x14ac:dyDescent="0.25">
      <c r="A9549">
        <v>30</v>
      </c>
      <c r="B9549" t="s">
        <v>8807</v>
      </c>
      <c r="C9549">
        <v>8700</v>
      </c>
      <c r="D9549" t="str">
        <f>"0039-3215"</f>
        <v>0039-3215</v>
      </c>
      <c r="E9549" t="s">
        <v>8</v>
      </c>
      <c r="F9549" t="s">
        <v>9553</v>
      </c>
      <c r="G9549">
        <v>1</v>
      </c>
    </row>
    <row r="9550" spans="1:7" x14ac:dyDescent="0.25">
      <c r="A9550">
        <v>30</v>
      </c>
      <c r="B9550" t="s">
        <v>8807</v>
      </c>
      <c r="C9550">
        <v>14361</v>
      </c>
      <c r="D9550" t="str">
        <f>"0039-3223"</f>
        <v>0039-3223</v>
      </c>
      <c r="E9550" t="s">
        <v>8</v>
      </c>
      <c r="F9550" t="s">
        <v>9554</v>
      </c>
      <c r="G9550">
        <v>1</v>
      </c>
    </row>
    <row r="9551" spans="1:7" x14ac:dyDescent="0.25">
      <c r="A9551">
        <v>30</v>
      </c>
      <c r="B9551" t="s">
        <v>8807</v>
      </c>
      <c r="C9551">
        <v>2256</v>
      </c>
      <c r="D9551" t="str">
        <f>"0081-6906"</f>
        <v>0081-6906</v>
      </c>
      <c r="E9551" t="s">
        <v>8</v>
      </c>
      <c r="F9551" t="s">
        <v>9555</v>
      </c>
      <c r="G9551">
        <v>1</v>
      </c>
    </row>
    <row r="9552" spans="1:7" x14ac:dyDescent="0.25">
      <c r="A9552">
        <v>30</v>
      </c>
      <c r="B9552" t="s">
        <v>8807</v>
      </c>
      <c r="C9552">
        <v>10000</v>
      </c>
      <c r="D9552" t="str">
        <f>"0022-2526"</f>
        <v>0022-2526</v>
      </c>
      <c r="E9552" t="s">
        <v>8</v>
      </c>
      <c r="F9552" t="s">
        <v>9556</v>
      </c>
      <c r="G9552">
        <v>1</v>
      </c>
    </row>
    <row r="9553" spans="1:7" x14ac:dyDescent="0.25">
      <c r="A9553">
        <v>30</v>
      </c>
      <c r="B9553" t="s">
        <v>8807</v>
      </c>
      <c r="C9553">
        <v>11014</v>
      </c>
      <c r="D9553" t="str">
        <f>"1815-0659"</f>
        <v>1815-0659</v>
      </c>
      <c r="E9553" t="s">
        <v>8</v>
      </c>
      <c r="F9553" t="s">
        <v>9557</v>
      </c>
      <c r="G9553">
        <v>1</v>
      </c>
    </row>
    <row r="9554" spans="1:7" x14ac:dyDescent="0.25">
      <c r="A9554">
        <v>30</v>
      </c>
      <c r="B9554" t="s">
        <v>8807</v>
      </c>
      <c r="C9554">
        <v>8730</v>
      </c>
      <c r="D9554" t="str">
        <f>"1027-5487"</f>
        <v>1027-5487</v>
      </c>
      <c r="E9554" t="s">
        <v>8</v>
      </c>
      <c r="F9554" t="s">
        <v>9558</v>
      </c>
      <c r="G9554">
        <v>1</v>
      </c>
    </row>
    <row r="9555" spans="1:7" x14ac:dyDescent="0.25">
      <c r="A9555">
        <v>30</v>
      </c>
      <c r="B9555" t="s">
        <v>8807</v>
      </c>
      <c r="C9555">
        <v>7769</v>
      </c>
      <c r="D9555" t="str">
        <f>"1589-7389"</f>
        <v>1589-7389</v>
      </c>
      <c r="E9555" t="s">
        <v>8</v>
      </c>
      <c r="F9555" t="s">
        <v>9559</v>
      </c>
      <c r="G9555">
        <v>1</v>
      </c>
    </row>
    <row r="9556" spans="1:7" x14ac:dyDescent="0.25">
      <c r="A9556">
        <v>30</v>
      </c>
      <c r="B9556" t="s">
        <v>8807</v>
      </c>
      <c r="C9556">
        <v>10518</v>
      </c>
      <c r="D9556" t="str">
        <f>"0268-3679"</f>
        <v>0268-3679</v>
      </c>
      <c r="E9556" t="s">
        <v>8</v>
      </c>
      <c r="F9556" t="s">
        <v>9560</v>
      </c>
      <c r="G9556">
        <v>1</v>
      </c>
    </row>
    <row r="9557" spans="1:7" x14ac:dyDescent="0.25">
      <c r="A9557">
        <v>30</v>
      </c>
      <c r="B9557" t="s">
        <v>8807</v>
      </c>
      <c r="C9557">
        <v>2795</v>
      </c>
      <c r="D9557" t="str">
        <f>"0141-982X"</f>
        <v>0141-982X</v>
      </c>
      <c r="E9557" t="s">
        <v>8</v>
      </c>
      <c r="F9557" t="s">
        <v>9561</v>
      </c>
      <c r="G9557">
        <v>1</v>
      </c>
    </row>
    <row r="9558" spans="1:7" x14ac:dyDescent="0.25">
      <c r="A9558">
        <v>30</v>
      </c>
      <c r="B9558" t="s">
        <v>8807</v>
      </c>
      <c r="C9558">
        <v>2550</v>
      </c>
      <c r="D9558" t="str">
        <f>"2211-1662"</f>
        <v>2211-1662</v>
      </c>
      <c r="E9558" t="s">
        <v>8</v>
      </c>
      <c r="F9558" t="s">
        <v>9562</v>
      </c>
      <c r="G9558">
        <v>1</v>
      </c>
    </row>
    <row r="9559" spans="1:7" x14ac:dyDescent="0.25">
      <c r="A9559">
        <v>30</v>
      </c>
      <c r="B9559" t="s">
        <v>8807</v>
      </c>
      <c r="C9559">
        <v>7459</v>
      </c>
      <c r="D9559" t="str">
        <f>"1133-0686"</f>
        <v>1133-0686</v>
      </c>
      <c r="E9559" t="s">
        <v>8</v>
      </c>
      <c r="F9559" t="s">
        <v>9563</v>
      </c>
      <c r="G9559">
        <v>1</v>
      </c>
    </row>
    <row r="9560" spans="1:7" x14ac:dyDescent="0.25">
      <c r="A9560">
        <v>30</v>
      </c>
      <c r="B9560" t="s">
        <v>8807</v>
      </c>
      <c r="C9560">
        <v>170410</v>
      </c>
      <c r="E9560" t="s">
        <v>15</v>
      </c>
      <c r="F9560" t="s">
        <v>9564</v>
      </c>
      <c r="G9560">
        <v>1</v>
      </c>
    </row>
    <row r="9561" spans="1:7" x14ac:dyDescent="0.25">
      <c r="A9561">
        <v>30</v>
      </c>
      <c r="B9561" t="s">
        <v>8807</v>
      </c>
      <c r="C9561">
        <v>11640</v>
      </c>
      <c r="D9561" t="str">
        <f>"0002-9890"</f>
        <v>0002-9890</v>
      </c>
      <c r="E9561" t="s">
        <v>8</v>
      </c>
      <c r="F9561" t="s">
        <v>9565</v>
      </c>
      <c r="G9561">
        <v>1</v>
      </c>
    </row>
    <row r="9562" spans="1:7" x14ac:dyDescent="0.25">
      <c r="A9562">
        <v>30</v>
      </c>
      <c r="B9562" t="s">
        <v>8807</v>
      </c>
      <c r="C9562">
        <v>15308</v>
      </c>
      <c r="D9562" t="str">
        <f>"0003-1305"</f>
        <v>0003-1305</v>
      </c>
      <c r="E9562" t="s">
        <v>8</v>
      </c>
      <c r="F9562" t="s">
        <v>9566</v>
      </c>
      <c r="G9562">
        <v>1</v>
      </c>
    </row>
    <row r="9563" spans="1:7" x14ac:dyDescent="0.25">
      <c r="A9563">
        <v>30</v>
      </c>
      <c r="B9563" t="s">
        <v>8807</v>
      </c>
      <c r="C9563">
        <v>4273</v>
      </c>
      <c r="D9563" t="str">
        <f>"1446-1811"</f>
        <v>1446-1811</v>
      </c>
      <c r="E9563" t="s">
        <v>8</v>
      </c>
      <c r="F9563" t="s">
        <v>9567</v>
      </c>
      <c r="G9563">
        <v>1</v>
      </c>
    </row>
    <row r="9564" spans="1:7" x14ac:dyDescent="0.25">
      <c r="A9564">
        <v>30</v>
      </c>
      <c r="B9564" t="s">
        <v>8807</v>
      </c>
      <c r="C9564">
        <v>17388</v>
      </c>
      <c r="D9564" t="str">
        <f>"1093-6106"</f>
        <v>1093-6106</v>
      </c>
      <c r="E9564" t="s">
        <v>8</v>
      </c>
      <c r="F9564" t="s">
        <v>9568</v>
      </c>
      <c r="G9564">
        <v>1</v>
      </c>
    </row>
    <row r="9565" spans="1:7" x14ac:dyDescent="0.25">
      <c r="A9565">
        <v>30</v>
      </c>
      <c r="B9565" t="s">
        <v>8807</v>
      </c>
      <c r="C9565">
        <v>14754</v>
      </c>
      <c r="D9565" t="str">
        <f>"1073-1849"</f>
        <v>1073-1849</v>
      </c>
      <c r="E9565" t="s">
        <v>8</v>
      </c>
      <c r="F9565" t="s">
        <v>9569</v>
      </c>
      <c r="G9565">
        <v>1</v>
      </c>
    </row>
    <row r="9566" spans="1:7" x14ac:dyDescent="0.25">
      <c r="A9566">
        <v>30</v>
      </c>
      <c r="B9566" t="s">
        <v>8807</v>
      </c>
      <c r="C9566">
        <v>2052</v>
      </c>
      <c r="D9566" t="str">
        <f>"1081-3810"</f>
        <v>1081-3810</v>
      </c>
      <c r="E9566" t="s">
        <v>8</v>
      </c>
      <c r="F9566" t="s">
        <v>9570</v>
      </c>
      <c r="G9566">
        <v>1</v>
      </c>
    </row>
    <row r="9567" spans="1:7" x14ac:dyDescent="0.25">
      <c r="A9567">
        <v>30</v>
      </c>
      <c r="B9567" t="s">
        <v>8807</v>
      </c>
      <c r="C9567">
        <v>4344</v>
      </c>
      <c r="D9567" t="str">
        <f>"1933-2823"</f>
        <v>1933-2823</v>
      </c>
      <c r="E9567" t="s">
        <v>8</v>
      </c>
      <c r="F9567" t="s">
        <v>9571</v>
      </c>
      <c r="G9567">
        <v>1</v>
      </c>
    </row>
    <row r="9568" spans="1:7" x14ac:dyDescent="0.25">
      <c r="A9568">
        <v>30</v>
      </c>
      <c r="B9568" t="s">
        <v>8807</v>
      </c>
      <c r="C9568">
        <v>7238</v>
      </c>
      <c r="D9568" t="str">
        <f>"0015-0517"</f>
        <v>0015-0517</v>
      </c>
      <c r="E9568" t="s">
        <v>8</v>
      </c>
      <c r="F9568" t="s">
        <v>9572</v>
      </c>
      <c r="G9568">
        <v>1</v>
      </c>
    </row>
    <row r="9569" spans="1:7" x14ac:dyDescent="0.25">
      <c r="A9569">
        <v>30</v>
      </c>
      <c r="B9569" t="s">
        <v>8807</v>
      </c>
      <c r="C9569">
        <v>11931</v>
      </c>
      <c r="D9569" t="str">
        <f>"1554-964X"</f>
        <v>1554-964X</v>
      </c>
      <c r="E9569" t="s">
        <v>8</v>
      </c>
      <c r="F9569" t="s">
        <v>9573</v>
      </c>
      <c r="G9569">
        <v>1</v>
      </c>
    </row>
    <row r="9570" spans="1:7" x14ac:dyDescent="0.25">
      <c r="A9570">
        <v>30</v>
      </c>
      <c r="B9570" t="s">
        <v>8807</v>
      </c>
      <c r="C9570">
        <v>1745</v>
      </c>
      <c r="D9570" t="str">
        <f>"1744-2710"</f>
        <v>1744-2710</v>
      </c>
      <c r="E9570" t="s">
        <v>8</v>
      </c>
      <c r="F9570" t="s">
        <v>9574</v>
      </c>
      <c r="G9570">
        <v>1</v>
      </c>
    </row>
    <row r="9571" spans="1:7" x14ac:dyDescent="0.25">
      <c r="A9571">
        <v>30</v>
      </c>
      <c r="B9571" t="s">
        <v>8807</v>
      </c>
      <c r="C9571">
        <v>10961</v>
      </c>
      <c r="E9571" t="s">
        <v>8</v>
      </c>
      <c r="F9571" t="s">
        <v>9575</v>
      </c>
      <c r="G9571">
        <v>1</v>
      </c>
    </row>
    <row r="9572" spans="1:7" x14ac:dyDescent="0.25">
      <c r="A9572">
        <v>30</v>
      </c>
      <c r="B9572" t="s">
        <v>8807</v>
      </c>
      <c r="C9572">
        <v>15130</v>
      </c>
      <c r="D9572" t="str">
        <f>"0312-3685"</f>
        <v>0312-3685</v>
      </c>
      <c r="E9572" t="s">
        <v>8</v>
      </c>
      <c r="F9572" t="s">
        <v>9576</v>
      </c>
      <c r="G9572">
        <v>1</v>
      </c>
    </row>
    <row r="9573" spans="1:7" x14ac:dyDescent="0.25">
      <c r="A9573">
        <v>30</v>
      </c>
      <c r="B9573" t="s">
        <v>8807</v>
      </c>
      <c r="C9573">
        <v>16413</v>
      </c>
      <c r="D9573" t="str">
        <f>"1551-3440"</f>
        <v>1551-3440</v>
      </c>
      <c r="E9573" t="s">
        <v>8</v>
      </c>
      <c r="F9573" t="s">
        <v>9577</v>
      </c>
      <c r="G9573">
        <v>1</v>
      </c>
    </row>
    <row r="9574" spans="1:7" x14ac:dyDescent="0.25">
      <c r="A9574">
        <v>30</v>
      </c>
      <c r="B9574" t="s">
        <v>8807</v>
      </c>
      <c r="C9574">
        <v>11557</v>
      </c>
      <c r="D9574" t="str">
        <f>"1092-0277"</f>
        <v>1092-0277</v>
      </c>
      <c r="E9574" t="s">
        <v>8</v>
      </c>
      <c r="F9574" t="s">
        <v>9578</v>
      </c>
      <c r="G9574">
        <v>1</v>
      </c>
    </row>
    <row r="9575" spans="1:7" x14ac:dyDescent="0.25">
      <c r="A9575">
        <v>30</v>
      </c>
      <c r="B9575" t="s">
        <v>8807</v>
      </c>
      <c r="C9575">
        <v>170409</v>
      </c>
      <c r="E9575" t="s">
        <v>15</v>
      </c>
      <c r="F9575" t="s">
        <v>9579</v>
      </c>
      <c r="G9575">
        <v>1</v>
      </c>
    </row>
    <row r="9576" spans="1:7" x14ac:dyDescent="0.25">
      <c r="A9576">
        <v>30</v>
      </c>
      <c r="B9576" t="s">
        <v>8807</v>
      </c>
      <c r="C9576">
        <v>15177</v>
      </c>
      <c r="D9576" t="str">
        <f>"0033-5606"</f>
        <v>0033-5606</v>
      </c>
      <c r="E9576" t="s">
        <v>8</v>
      </c>
      <c r="F9576" t="s">
        <v>9580</v>
      </c>
      <c r="G9576">
        <v>1</v>
      </c>
    </row>
    <row r="9577" spans="1:7" x14ac:dyDescent="0.25">
      <c r="A9577">
        <v>30</v>
      </c>
      <c r="B9577" t="s">
        <v>8807</v>
      </c>
      <c r="C9577">
        <v>11392</v>
      </c>
      <c r="D9577" t="str">
        <f>"0033-5614"</f>
        <v>0033-5614</v>
      </c>
      <c r="E9577" t="s">
        <v>8</v>
      </c>
      <c r="F9577" t="s">
        <v>9581</v>
      </c>
      <c r="G9577">
        <v>1</v>
      </c>
    </row>
    <row r="9578" spans="1:7" x14ac:dyDescent="0.25">
      <c r="A9578">
        <v>30</v>
      </c>
      <c r="B9578" t="s">
        <v>8807</v>
      </c>
      <c r="C9578">
        <v>7703693</v>
      </c>
      <c r="D9578" t="str">
        <f>"2073-4859"</f>
        <v>2073-4859</v>
      </c>
      <c r="E9578" t="s">
        <v>8</v>
      </c>
      <c r="F9578" t="s">
        <v>9582</v>
      </c>
      <c r="G9578">
        <v>1</v>
      </c>
    </row>
    <row r="9579" spans="1:7" x14ac:dyDescent="0.25">
      <c r="A9579">
        <v>30</v>
      </c>
      <c r="B9579" t="s">
        <v>8807</v>
      </c>
      <c r="C9579">
        <v>4919</v>
      </c>
      <c r="D9579" t="str">
        <f>"1382-4090"</f>
        <v>1382-4090</v>
      </c>
      <c r="E9579" t="s">
        <v>8</v>
      </c>
      <c r="F9579" t="s">
        <v>9583</v>
      </c>
      <c r="G9579">
        <v>1</v>
      </c>
    </row>
    <row r="9580" spans="1:7" x14ac:dyDescent="0.25">
      <c r="A9580">
        <v>30</v>
      </c>
      <c r="B9580" t="s">
        <v>8807</v>
      </c>
      <c r="C9580">
        <v>18171</v>
      </c>
      <c r="D9580" t="str">
        <f>"1536-867X"</f>
        <v>1536-867X</v>
      </c>
      <c r="E9580" t="s">
        <v>8</v>
      </c>
      <c r="F9580" t="s">
        <v>9584</v>
      </c>
      <c r="G9580">
        <v>1</v>
      </c>
    </row>
    <row r="9581" spans="1:7" x14ac:dyDescent="0.25">
      <c r="A9581">
        <v>30</v>
      </c>
      <c r="B9581" t="s">
        <v>8807</v>
      </c>
      <c r="C9581">
        <v>235</v>
      </c>
      <c r="E9581" t="s">
        <v>8</v>
      </c>
      <c r="F9581" t="s">
        <v>9585</v>
      </c>
      <c r="G9581">
        <v>1</v>
      </c>
    </row>
    <row r="9582" spans="1:7" x14ac:dyDescent="0.25">
      <c r="A9582">
        <v>30</v>
      </c>
      <c r="B9582" t="s">
        <v>8807</v>
      </c>
      <c r="C9582">
        <v>2337</v>
      </c>
      <c r="D9582" t="str">
        <f>"0040-585X"</f>
        <v>0040-585X</v>
      </c>
      <c r="E9582" t="s">
        <v>8</v>
      </c>
      <c r="F9582" t="s">
        <v>9586</v>
      </c>
      <c r="G9582">
        <v>1</v>
      </c>
    </row>
    <row r="9583" spans="1:7" x14ac:dyDescent="0.25">
      <c r="A9583">
        <v>30</v>
      </c>
      <c r="B9583" t="s">
        <v>8807</v>
      </c>
      <c r="C9583">
        <v>21309</v>
      </c>
      <c r="D9583" t="str">
        <f>"0094-9000"</f>
        <v>0094-9000</v>
      </c>
      <c r="E9583" t="s">
        <v>8</v>
      </c>
      <c r="F9583" t="s">
        <v>9587</v>
      </c>
      <c r="G9583">
        <v>1</v>
      </c>
    </row>
    <row r="9584" spans="1:7" x14ac:dyDescent="0.25">
      <c r="A9584">
        <v>30</v>
      </c>
      <c r="B9584" t="s">
        <v>8807</v>
      </c>
      <c r="C9584">
        <v>4717</v>
      </c>
      <c r="D9584" t="str">
        <f>"0040-8735"</f>
        <v>0040-8735</v>
      </c>
      <c r="E9584" t="s">
        <v>8</v>
      </c>
      <c r="F9584" t="s">
        <v>9588</v>
      </c>
      <c r="G9584">
        <v>1</v>
      </c>
    </row>
    <row r="9585" spans="1:7" x14ac:dyDescent="0.25">
      <c r="A9585">
        <v>30</v>
      </c>
      <c r="B9585" t="s">
        <v>8807</v>
      </c>
      <c r="C9585">
        <v>20557</v>
      </c>
      <c r="D9585" t="str">
        <f>"0387-3870"</f>
        <v>0387-3870</v>
      </c>
      <c r="E9585" t="s">
        <v>8</v>
      </c>
      <c r="F9585" t="s">
        <v>9589</v>
      </c>
      <c r="G9585">
        <v>1</v>
      </c>
    </row>
    <row r="9586" spans="1:7" x14ac:dyDescent="0.25">
      <c r="A9586">
        <v>30</v>
      </c>
      <c r="B9586" t="s">
        <v>8807</v>
      </c>
      <c r="C9586">
        <v>13698</v>
      </c>
      <c r="D9586" t="str">
        <f>"0166-8641"</f>
        <v>0166-8641</v>
      </c>
      <c r="E9586" t="s">
        <v>8</v>
      </c>
      <c r="F9586" t="s">
        <v>9590</v>
      </c>
      <c r="G9586">
        <v>1</v>
      </c>
    </row>
    <row r="9587" spans="1:7" x14ac:dyDescent="0.25">
      <c r="A9587">
        <v>30</v>
      </c>
      <c r="B9587" t="s">
        <v>8807</v>
      </c>
      <c r="C9587">
        <v>13121</v>
      </c>
      <c r="D9587" t="str">
        <f>"0765-0019"</f>
        <v>0765-0019</v>
      </c>
      <c r="E9587" t="s">
        <v>8</v>
      </c>
      <c r="F9587" t="s">
        <v>9591</v>
      </c>
      <c r="G9587">
        <v>1</v>
      </c>
    </row>
    <row r="9588" spans="1:7" x14ac:dyDescent="0.25">
      <c r="A9588">
        <v>30</v>
      </c>
      <c r="B9588" t="s">
        <v>8807</v>
      </c>
      <c r="C9588">
        <v>180091</v>
      </c>
      <c r="D9588" t="str">
        <f>"2052-4986"</f>
        <v>2052-4986</v>
      </c>
      <c r="E9588" t="s">
        <v>8</v>
      </c>
      <c r="F9588" t="s">
        <v>9592</v>
      </c>
      <c r="G9588">
        <v>1</v>
      </c>
    </row>
    <row r="9589" spans="1:7" x14ac:dyDescent="0.25">
      <c r="A9589">
        <v>30</v>
      </c>
      <c r="B9589" t="s">
        <v>8807</v>
      </c>
      <c r="C9589">
        <v>12079</v>
      </c>
      <c r="D9589" t="str">
        <f>"0041-1450"</f>
        <v>0041-1450</v>
      </c>
      <c r="E9589" t="s">
        <v>8</v>
      </c>
      <c r="F9589" t="s">
        <v>9593</v>
      </c>
      <c r="G9589">
        <v>1</v>
      </c>
    </row>
    <row r="9590" spans="1:7" x14ac:dyDescent="0.25">
      <c r="A9590">
        <v>30</v>
      </c>
      <c r="B9590" t="s">
        <v>8807</v>
      </c>
      <c r="C9590">
        <v>8782507</v>
      </c>
      <c r="D9590" t="str">
        <f>"1024-1833"</f>
        <v>1024-1833</v>
      </c>
      <c r="E9590" t="s">
        <v>8</v>
      </c>
      <c r="F9590" t="s">
        <v>9594</v>
      </c>
      <c r="G9590">
        <v>1</v>
      </c>
    </row>
    <row r="9591" spans="1:7" x14ac:dyDescent="0.25">
      <c r="A9591">
        <v>30</v>
      </c>
      <c r="B9591" t="s">
        <v>8807</v>
      </c>
      <c r="C9591">
        <v>22402</v>
      </c>
      <c r="D9591" t="str">
        <f>"0387-4982"</f>
        <v>0387-4982</v>
      </c>
      <c r="E9591" t="s">
        <v>8</v>
      </c>
      <c r="F9591" t="s">
        <v>9595</v>
      </c>
      <c r="G9591">
        <v>1</v>
      </c>
    </row>
    <row r="9592" spans="1:7" x14ac:dyDescent="0.25">
      <c r="A9592">
        <v>30</v>
      </c>
      <c r="B9592" t="s">
        <v>8807</v>
      </c>
      <c r="C9592">
        <v>3675</v>
      </c>
      <c r="D9592" t="str">
        <f>"0041-5995"</f>
        <v>0041-5995</v>
      </c>
      <c r="E9592" t="s">
        <v>8</v>
      </c>
      <c r="F9592" t="s">
        <v>9596</v>
      </c>
      <c r="G9592">
        <v>1</v>
      </c>
    </row>
    <row r="9593" spans="1:7" x14ac:dyDescent="0.25">
      <c r="A9593">
        <v>30</v>
      </c>
      <c r="B9593" t="s">
        <v>8807</v>
      </c>
      <c r="C9593">
        <v>109192</v>
      </c>
      <c r="D9593" t="str">
        <f>"0392-4041"</f>
        <v>0392-4041</v>
      </c>
      <c r="E9593" t="s">
        <v>8</v>
      </c>
      <c r="F9593" t="s">
        <v>9597</v>
      </c>
      <c r="G9593">
        <v>1</v>
      </c>
    </row>
    <row r="9594" spans="1:7" x14ac:dyDescent="0.25">
      <c r="A9594">
        <v>30</v>
      </c>
      <c r="B9594" t="s">
        <v>8807</v>
      </c>
      <c r="C9594">
        <v>170346</v>
      </c>
      <c r="E9594" t="s">
        <v>15</v>
      </c>
      <c r="F9594" t="s">
        <v>9598</v>
      </c>
      <c r="G9594">
        <v>1</v>
      </c>
    </row>
    <row r="9595" spans="1:7" x14ac:dyDescent="0.25">
      <c r="A9595">
        <v>30</v>
      </c>
      <c r="B9595" t="s">
        <v>8807</v>
      </c>
      <c r="C9595">
        <v>11348</v>
      </c>
      <c r="D9595" t="str">
        <f>"0315-3681"</f>
        <v>0315-3681</v>
      </c>
      <c r="E9595" t="s">
        <v>8</v>
      </c>
      <c r="F9595" t="s">
        <v>9599</v>
      </c>
      <c r="G9595">
        <v>1</v>
      </c>
    </row>
    <row r="9596" spans="1:7" x14ac:dyDescent="0.25">
      <c r="A9596">
        <v>30</v>
      </c>
      <c r="B9596" t="s">
        <v>8807</v>
      </c>
      <c r="C9596">
        <v>170353</v>
      </c>
      <c r="E9596" t="s">
        <v>15</v>
      </c>
      <c r="F9596" t="s">
        <v>9600</v>
      </c>
      <c r="G9596">
        <v>1</v>
      </c>
    </row>
    <row r="9597" spans="1:7" x14ac:dyDescent="0.25">
      <c r="A9597">
        <v>30</v>
      </c>
      <c r="B9597" t="s">
        <v>8807</v>
      </c>
      <c r="C9597">
        <v>7662807</v>
      </c>
      <c r="D9597" t="str">
        <f>"1939-5108"</f>
        <v>1939-5108</v>
      </c>
      <c r="E9597" t="s">
        <v>8</v>
      </c>
      <c r="F9597" t="s">
        <v>9601</v>
      </c>
      <c r="G9597">
        <v>1</v>
      </c>
    </row>
    <row r="9598" spans="1:7" x14ac:dyDescent="0.25">
      <c r="A9598">
        <v>30</v>
      </c>
      <c r="B9598" t="s">
        <v>8807</v>
      </c>
      <c r="C9598">
        <v>170351</v>
      </c>
      <c r="D9598" t="str">
        <f>"1940-6347"</f>
        <v>1940-6347</v>
      </c>
      <c r="E9598" t="s">
        <v>15</v>
      </c>
      <c r="F9598" t="s">
        <v>9602</v>
      </c>
      <c r="G9598">
        <v>1</v>
      </c>
    </row>
    <row r="9599" spans="1:7" x14ac:dyDescent="0.25">
      <c r="A9599">
        <v>30</v>
      </c>
      <c r="B9599" t="s">
        <v>8807</v>
      </c>
      <c r="C9599">
        <v>36044</v>
      </c>
      <c r="D9599" t="str">
        <f>"1540-6962"</f>
        <v>1540-6962</v>
      </c>
      <c r="E9599" t="s">
        <v>8</v>
      </c>
      <c r="F9599" t="s">
        <v>9603</v>
      </c>
      <c r="G9599">
        <v>1</v>
      </c>
    </row>
    <row r="9600" spans="1:7" x14ac:dyDescent="0.25">
      <c r="A9600">
        <v>30</v>
      </c>
      <c r="B9600" t="s">
        <v>8807</v>
      </c>
      <c r="C9600">
        <v>65</v>
      </c>
      <c r="D9600" t="str">
        <f>"0044-2275"</f>
        <v>0044-2275</v>
      </c>
      <c r="E9600" t="s">
        <v>8</v>
      </c>
      <c r="F9600" t="s">
        <v>9604</v>
      </c>
      <c r="G9600">
        <v>1</v>
      </c>
    </row>
    <row r="9601" spans="1:7" x14ac:dyDescent="0.25">
      <c r="A9601">
        <v>30</v>
      </c>
      <c r="B9601" t="s">
        <v>8807</v>
      </c>
      <c r="C9601">
        <v>1835</v>
      </c>
      <c r="D9601" t="str">
        <f>"0232-2064"</f>
        <v>0232-2064</v>
      </c>
      <c r="E9601" t="s">
        <v>8</v>
      </c>
      <c r="F9601" t="s">
        <v>9605</v>
      </c>
      <c r="G9601">
        <v>1</v>
      </c>
    </row>
    <row r="9602" spans="1:7" x14ac:dyDescent="0.25">
      <c r="A9602">
        <v>30</v>
      </c>
      <c r="B9602" t="s">
        <v>8807</v>
      </c>
      <c r="C9602">
        <v>8782652</v>
      </c>
      <c r="E9602" t="s">
        <v>15</v>
      </c>
      <c r="F9602" t="s">
        <v>9606</v>
      </c>
      <c r="G9602">
        <v>1</v>
      </c>
    </row>
    <row r="9603" spans="1:7" x14ac:dyDescent="0.25">
      <c r="A9603">
        <v>31</v>
      </c>
      <c r="B9603" t="s">
        <v>9607</v>
      </c>
      <c r="C9603">
        <v>1560</v>
      </c>
      <c r="D9603" t="str">
        <f>"0001-4842"</f>
        <v>0001-4842</v>
      </c>
      <c r="E9603" t="s">
        <v>8</v>
      </c>
      <c r="F9603" t="s">
        <v>9608</v>
      </c>
      <c r="G9603">
        <v>2</v>
      </c>
    </row>
    <row r="9604" spans="1:7" x14ac:dyDescent="0.25">
      <c r="A9604">
        <v>31</v>
      </c>
      <c r="B9604" t="s">
        <v>9607</v>
      </c>
      <c r="C9604">
        <v>154176</v>
      </c>
      <c r="D9604" t="str">
        <f>"1944-8244"</f>
        <v>1944-8244</v>
      </c>
      <c r="E9604" t="s">
        <v>8</v>
      </c>
      <c r="F9604" t="s">
        <v>9609</v>
      </c>
      <c r="G9604">
        <v>2</v>
      </c>
    </row>
    <row r="9605" spans="1:7" x14ac:dyDescent="0.25">
      <c r="A9605">
        <v>31</v>
      </c>
      <c r="B9605" t="s">
        <v>9607</v>
      </c>
      <c r="C9605">
        <v>7720709</v>
      </c>
      <c r="E9605" t="s">
        <v>8</v>
      </c>
      <c r="F9605" t="s">
        <v>9610</v>
      </c>
      <c r="G9605">
        <v>2</v>
      </c>
    </row>
    <row r="9606" spans="1:7" x14ac:dyDescent="0.25">
      <c r="A9606">
        <v>31</v>
      </c>
      <c r="B9606" t="s">
        <v>9607</v>
      </c>
      <c r="C9606">
        <v>7704784</v>
      </c>
      <c r="D9606" t="str">
        <f>"1614-6832"</f>
        <v>1614-6832</v>
      </c>
      <c r="E9606" t="s">
        <v>8</v>
      </c>
      <c r="F9606" t="s">
        <v>9611</v>
      </c>
      <c r="G9606">
        <v>2</v>
      </c>
    </row>
    <row r="9607" spans="1:7" x14ac:dyDescent="0.25">
      <c r="A9607">
        <v>31</v>
      </c>
      <c r="B9607" t="s">
        <v>9607</v>
      </c>
      <c r="C9607">
        <v>5118</v>
      </c>
      <c r="D9607" t="str">
        <f>"0003-2700"</f>
        <v>0003-2700</v>
      </c>
      <c r="E9607" t="s">
        <v>8</v>
      </c>
      <c r="F9607" t="s">
        <v>9612</v>
      </c>
      <c r="G9607">
        <v>2</v>
      </c>
    </row>
    <row r="9608" spans="1:7" x14ac:dyDescent="0.25">
      <c r="A9608">
        <v>31</v>
      </c>
      <c r="B9608" t="s">
        <v>9607</v>
      </c>
      <c r="C9608">
        <v>2992</v>
      </c>
      <c r="D9608" t="str">
        <f>"1433-7851"</f>
        <v>1433-7851</v>
      </c>
      <c r="E9608" t="s">
        <v>8</v>
      </c>
      <c r="F9608" t="s">
        <v>9613</v>
      </c>
      <c r="G9608">
        <v>2</v>
      </c>
    </row>
    <row r="9609" spans="1:7" x14ac:dyDescent="0.25">
      <c r="A9609">
        <v>31</v>
      </c>
      <c r="B9609" t="s">
        <v>9607</v>
      </c>
      <c r="C9609">
        <v>5549</v>
      </c>
      <c r="D9609" t="str">
        <f>"1525-7797"</f>
        <v>1525-7797</v>
      </c>
      <c r="E9609" t="s">
        <v>8</v>
      </c>
      <c r="F9609" t="s">
        <v>9614</v>
      </c>
      <c r="G9609">
        <v>2</v>
      </c>
    </row>
    <row r="9610" spans="1:7" x14ac:dyDescent="0.25">
      <c r="A9610">
        <v>31</v>
      </c>
      <c r="B9610" t="s">
        <v>9607</v>
      </c>
      <c r="C9610">
        <v>7698417</v>
      </c>
      <c r="D9610" t="str">
        <f>"2044-4753"</f>
        <v>2044-4753</v>
      </c>
      <c r="E9610" t="s">
        <v>8</v>
      </c>
      <c r="F9610" t="s">
        <v>9615</v>
      </c>
      <c r="G9610">
        <v>2</v>
      </c>
    </row>
    <row r="9611" spans="1:7" x14ac:dyDescent="0.25">
      <c r="A9611">
        <v>31</v>
      </c>
      <c r="B9611" t="s">
        <v>9607</v>
      </c>
      <c r="C9611">
        <v>14099</v>
      </c>
      <c r="D9611" t="str">
        <f>"1359-7345"</f>
        <v>1359-7345</v>
      </c>
      <c r="E9611" t="s">
        <v>8</v>
      </c>
      <c r="F9611" t="s">
        <v>9616</v>
      </c>
      <c r="G9611">
        <v>2</v>
      </c>
    </row>
    <row r="9612" spans="1:7" x14ac:dyDescent="0.25">
      <c r="A9612">
        <v>31</v>
      </c>
      <c r="B9612" t="s">
        <v>9607</v>
      </c>
      <c r="C9612">
        <v>9522</v>
      </c>
      <c r="D9612" t="str">
        <f>"0009-2665"</f>
        <v>0009-2665</v>
      </c>
      <c r="E9612" t="s">
        <v>8</v>
      </c>
      <c r="F9612" t="s">
        <v>9617</v>
      </c>
      <c r="G9612">
        <v>2</v>
      </c>
    </row>
    <row r="9613" spans="1:7" x14ac:dyDescent="0.25">
      <c r="A9613">
        <v>31</v>
      </c>
      <c r="B9613" t="s">
        <v>9607</v>
      </c>
      <c r="C9613">
        <v>160030</v>
      </c>
      <c r="D9613" t="str">
        <f>"2041-6520"</f>
        <v>2041-6520</v>
      </c>
      <c r="E9613" t="s">
        <v>8</v>
      </c>
      <c r="F9613" t="s">
        <v>9618</v>
      </c>
      <c r="G9613">
        <v>2</v>
      </c>
    </row>
    <row r="9614" spans="1:7" x14ac:dyDescent="0.25">
      <c r="A9614">
        <v>31</v>
      </c>
      <c r="B9614" t="s">
        <v>9607</v>
      </c>
      <c r="C9614">
        <v>8787</v>
      </c>
      <c r="D9614" t="str">
        <f>"0306-0012"</f>
        <v>0306-0012</v>
      </c>
      <c r="E9614" t="s">
        <v>8</v>
      </c>
      <c r="F9614" t="s">
        <v>9619</v>
      </c>
      <c r="G9614">
        <v>2</v>
      </c>
    </row>
    <row r="9615" spans="1:7" x14ac:dyDescent="0.25">
      <c r="A9615">
        <v>31</v>
      </c>
      <c r="B9615" t="s">
        <v>9607</v>
      </c>
      <c r="C9615">
        <v>15000</v>
      </c>
      <c r="D9615" t="str">
        <f>"0897-4756"</f>
        <v>0897-4756</v>
      </c>
      <c r="E9615" t="s">
        <v>8</v>
      </c>
      <c r="F9615" t="s">
        <v>9620</v>
      </c>
      <c r="G9615">
        <v>2</v>
      </c>
    </row>
    <row r="9616" spans="1:7" x14ac:dyDescent="0.25">
      <c r="A9616">
        <v>31</v>
      </c>
      <c r="B9616" t="s">
        <v>9607</v>
      </c>
      <c r="C9616">
        <v>8955</v>
      </c>
      <c r="D9616" t="str">
        <f>"0947-6539"</f>
        <v>0947-6539</v>
      </c>
      <c r="E9616" t="s">
        <v>8</v>
      </c>
      <c r="F9616" t="s">
        <v>9621</v>
      </c>
      <c r="G9616">
        <v>2</v>
      </c>
    </row>
    <row r="9617" spans="1:7" x14ac:dyDescent="0.25">
      <c r="A9617">
        <v>31</v>
      </c>
      <c r="B9617" t="s">
        <v>9607</v>
      </c>
      <c r="C9617">
        <v>21745</v>
      </c>
      <c r="D9617" t="str">
        <f>"1864-5631"</f>
        <v>1864-5631</v>
      </c>
      <c r="E9617" t="s">
        <v>8</v>
      </c>
      <c r="F9617" t="s">
        <v>9622</v>
      </c>
      <c r="G9617">
        <v>2</v>
      </c>
    </row>
    <row r="9618" spans="1:7" x14ac:dyDescent="0.25">
      <c r="A9618">
        <v>31</v>
      </c>
      <c r="B9618" t="s">
        <v>9607</v>
      </c>
      <c r="C9618">
        <v>16796</v>
      </c>
      <c r="D9618" t="str">
        <f>"1477-9226"</f>
        <v>1477-9226</v>
      </c>
      <c r="E9618" t="s">
        <v>8</v>
      </c>
      <c r="F9618" t="s">
        <v>9623</v>
      </c>
      <c r="G9618">
        <v>2</v>
      </c>
    </row>
    <row r="9619" spans="1:7" x14ac:dyDescent="0.25">
      <c r="A9619">
        <v>31</v>
      </c>
      <c r="B9619" t="s">
        <v>9607</v>
      </c>
      <c r="C9619">
        <v>11734</v>
      </c>
      <c r="D9619" t="str">
        <f>"0013-4686"</f>
        <v>0013-4686</v>
      </c>
      <c r="E9619" t="s">
        <v>8</v>
      </c>
      <c r="F9619" t="s">
        <v>9624</v>
      </c>
      <c r="G9619">
        <v>2</v>
      </c>
    </row>
    <row r="9620" spans="1:7" x14ac:dyDescent="0.25">
      <c r="A9620">
        <v>31</v>
      </c>
      <c r="B9620" t="s">
        <v>9607</v>
      </c>
      <c r="C9620">
        <v>44622</v>
      </c>
      <c r="D9620" t="str">
        <f>"1754-5692"</f>
        <v>1754-5692</v>
      </c>
      <c r="E9620" t="s">
        <v>8</v>
      </c>
      <c r="F9620" t="s">
        <v>9625</v>
      </c>
      <c r="G9620">
        <v>2</v>
      </c>
    </row>
    <row r="9621" spans="1:7" x14ac:dyDescent="0.25">
      <c r="A9621">
        <v>31</v>
      </c>
      <c r="B9621" t="s">
        <v>9607</v>
      </c>
      <c r="C9621">
        <v>3834</v>
      </c>
      <c r="D9621" t="str">
        <f>"1463-9262"</f>
        <v>1463-9262</v>
      </c>
      <c r="E9621" t="s">
        <v>8</v>
      </c>
      <c r="F9621" t="s">
        <v>9626</v>
      </c>
      <c r="G9621">
        <v>2</v>
      </c>
    </row>
    <row r="9622" spans="1:7" x14ac:dyDescent="0.25">
      <c r="A9622">
        <v>31</v>
      </c>
      <c r="B9622" t="s">
        <v>9607</v>
      </c>
      <c r="C9622">
        <v>16739</v>
      </c>
      <c r="D9622" t="str">
        <f>"0020-1669"</f>
        <v>0020-1669</v>
      </c>
      <c r="E9622" t="s">
        <v>8</v>
      </c>
      <c r="F9622" t="s">
        <v>9627</v>
      </c>
      <c r="G9622">
        <v>2</v>
      </c>
    </row>
    <row r="9623" spans="1:7" x14ac:dyDescent="0.25">
      <c r="A9623">
        <v>31</v>
      </c>
      <c r="B9623" t="s">
        <v>9607</v>
      </c>
      <c r="C9623">
        <v>10134</v>
      </c>
      <c r="D9623" t="str">
        <f>"0021-8898"</f>
        <v>0021-8898</v>
      </c>
      <c r="E9623" t="s">
        <v>8</v>
      </c>
      <c r="F9623" t="s">
        <v>9628</v>
      </c>
      <c r="G9623">
        <v>2</v>
      </c>
    </row>
    <row r="9624" spans="1:7" x14ac:dyDescent="0.25">
      <c r="A9624">
        <v>31</v>
      </c>
      <c r="B9624" t="s">
        <v>9607</v>
      </c>
      <c r="C9624">
        <v>12207</v>
      </c>
      <c r="D9624" t="str">
        <f>"1549-9618"</f>
        <v>1549-9618</v>
      </c>
      <c r="E9624" t="s">
        <v>8</v>
      </c>
      <c r="F9624" t="s">
        <v>9629</v>
      </c>
      <c r="G9624">
        <v>2</v>
      </c>
    </row>
    <row r="9625" spans="1:7" x14ac:dyDescent="0.25">
      <c r="A9625">
        <v>31</v>
      </c>
      <c r="B9625" t="s">
        <v>9607</v>
      </c>
      <c r="C9625">
        <v>4591</v>
      </c>
      <c r="D9625" t="str">
        <f>"0163-3864"</f>
        <v>0163-3864</v>
      </c>
      <c r="E9625" t="s">
        <v>8</v>
      </c>
      <c r="F9625" t="s">
        <v>9630</v>
      </c>
      <c r="G9625">
        <v>2</v>
      </c>
    </row>
    <row r="9626" spans="1:7" x14ac:dyDescent="0.25">
      <c r="A9626">
        <v>31</v>
      </c>
      <c r="B9626" t="s">
        <v>9607</v>
      </c>
      <c r="C9626">
        <v>16441</v>
      </c>
      <c r="D9626" t="str">
        <f>"0002-7863"</f>
        <v>0002-7863</v>
      </c>
      <c r="E9626" t="s">
        <v>8</v>
      </c>
      <c r="F9626" t="s">
        <v>9631</v>
      </c>
      <c r="G9626">
        <v>2</v>
      </c>
    </row>
    <row r="9627" spans="1:7" x14ac:dyDescent="0.25">
      <c r="A9627">
        <v>31</v>
      </c>
      <c r="B9627" t="s">
        <v>9607</v>
      </c>
      <c r="C9627">
        <v>16333</v>
      </c>
      <c r="D9627" t="str">
        <f>"0024-9297"</f>
        <v>0024-9297</v>
      </c>
      <c r="E9627" t="s">
        <v>8</v>
      </c>
      <c r="F9627" t="s">
        <v>9632</v>
      </c>
      <c r="G9627">
        <v>2</v>
      </c>
    </row>
    <row r="9628" spans="1:7" x14ac:dyDescent="0.25">
      <c r="A9628">
        <v>31</v>
      </c>
      <c r="B9628" t="s">
        <v>9607</v>
      </c>
      <c r="C9628">
        <v>19706</v>
      </c>
      <c r="D9628" t="str">
        <f>"1755-4330"</f>
        <v>1755-4330</v>
      </c>
      <c r="E9628" t="s">
        <v>8</v>
      </c>
      <c r="F9628" t="s">
        <v>9633</v>
      </c>
      <c r="G9628">
        <v>2</v>
      </c>
    </row>
    <row r="9629" spans="1:7" x14ac:dyDescent="0.25">
      <c r="A9629">
        <v>31</v>
      </c>
      <c r="B9629" t="s">
        <v>9607</v>
      </c>
      <c r="C9629">
        <v>12270</v>
      </c>
      <c r="D9629" t="str">
        <f>"1748-3387"</f>
        <v>1748-3387</v>
      </c>
      <c r="E9629" t="s">
        <v>8</v>
      </c>
      <c r="F9629" t="s">
        <v>9634</v>
      </c>
      <c r="G9629">
        <v>2</v>
      </c>
    </row>
    <row r="9630" spans="1:7" x14ac:dyDescent="0.25">
      <c r="A9630">
        <v>31</v>
      </c>
      <c r="B9630" t="s">
        <v>9607</v>
      </c>
      <c r="C9630">
        <v>5133</v>
      </c>
      <c r="D9630" t="str">
        <f>"1477-0520"</f>
        <v>1477-0520</v>
      </c>
      <c r="E9630" t="s">
        <v>8</v>
      </c>
      <c r="F9630" t="s">
        <v>9635</v>
      </c>
      <c r="G9630">
        <v>2</v>
      </c>
    </row>
    <row r="9631" spans="1:7" x14ac:dyDescent="0.25">
      <c r="A9631">
        <v>31</v>
      </c>
      <c r="B9631" t="s">
        <v>9607</v>
      </c>
      <c r="C9631">
        <v>10101</v>
      </c>
      <c r="D9631" t="str">
        <f>"1523-7060"</f>
        <v>1523-7060</v>
      </c>
      <c r="E9631" t="s">
        <v>8</v>
      </c>
      <c r="F9631" t="s">
        <v>9636</v>
      </c>
      <c r="G9631">
        <v>2</v>
      </c>
    </row>
    <row r="9632" spans="1:7" x14ac:dyDescent="0.25">
      <c r="A9632">
        <v>31</v>
      </c>
      <c r="B9632" t="s">
        <v>9607</v>
      </c>
      <c r="C9632">
        <v>14546</v>
      </c>
      <c r="D9632" t="str">
        <f>"1463-9076"</f>
        <v>1463-9076</v>
      </c>
      <c r="E9632" t="s">
        <v>8</v>
      </c>
      <c r="F9632" t="s">
        <v>9637</v>
      </c>
      <c r="G9632">
        <v>2</v>
      </c>
    </row>
    <row r="9633" spans="1:7" x14ac:dyDescent="0.25">
      <c r="A9633">
        <v>31</v>
      </c>
      <c r="B9633" t="s">
        <v>9607</v>
      </c>
      <c r="C9633">
        <v>2378</v>
      </c>
      <c r="D9633" t="str">
        <f>"0925-4005"</f>
        <v>0925-4005</v>
      </c>
      <c r="E9633" t="s">
        <v>8</v>
      </c>
      <c r="F9633" t="s">
        <v>9638</v>
      </c>
      <c r="G9633">
        <v>2</v>
      </c>
    </row>
    <row r="9634" spans="1:7" x14ac:dyDescent="0.25">
      <c r="A9634">
        <v>31</v>
      </c>
      <c r="B9634" t="s">
        <v>9607</v>
      </c>
      <c r="C9634">
        <v>5387</v>
      </c>
      <c r="D9634" t="str">
        <f>"0021-9606"</f>
        <v>0021-9606</v>
      </c>
      <c r="E9634" t="s">
        <v>8</v>
      </c>
      <c r="F9634" t="s">
        <v>9639</v>
      </c>
      <c r="G9634">
        <v>2</v>
      </c>
    </row>
    <row r="9635" spans="1:7" x14ac:dyDescent="0.25">
      <c r="A9635">
        <v>31</v>
      </c>
      <c r="B9635" t="s">
        <v>9607</v>
      </c>
      <c r="C9635">
        <v>6171550</v>
      </c>
      <c r="E9635" t="s">
        <v>8</v>
      </c>
      <c r="F9635" t="s">
        <v>9640</v>
      </c>
      <c r="G9635">
        <v>2</v>
      </c>
    </row>
    <row r="9636" spans="1:7" x14ac:dyDescent="0.25">
      <c r="A9636">
        <v>31</v>
      </c>
      <c r="B9636" t="s">
        <v>9607</v>
      </c>
      <c r="C9636">
        <v>7823</v>
      </c>
      <c r="D9636" t="str">
        <f>"2156-8952"</f>
        <v>2156-8952</v>
      </c>
      <c r="E9636" t="s">
        <v>8</v>
      </c>
      <c r="F9636" t="s">
        <v>9641</v>
      </c>
      <c r="G9636">
        <v>1</v>
      </c>
    </row>
    <row r="9637" spans="1:7" x14ac:dyDescent="0.25">
      <c r="A9637">
        <v>31</v>
      </c>
      <c r="B9637" t="s">
        <v>9607</v>
      </c>
      <c r="C9637">
        <v>7687346</v>
      </c>
      <c r="E9637" t="s">
        <v>8</v>
      </c>
      <c r="F9637" t="s">
        <v>9642</v>
      </c>
      <c r="G9637">
        <v>1</v>
      </c>
    </row>
    <row r="9638" spans="1:7" x14ac:dyDescent="0.25">
      <c r="A9638">
        <v>31</v>
      </c>
      <c r="B9638" t="s">
        <v>9607</v>
      </c>
      <c r="C9638">
        <v>8782576</v>
      </c>
      <c r="E9638" t="s">
        <v>8</v>
      </c>
      <c r="F9638" t="s">
        <v>9643</v>
      </c>
      <c r="G9638">
        <v>1</v>
      </c>
    </row>
    <row r="9639" spans="1:7" x14ac:dyDescent="0.25">
      <c r="A9639">
        <v>31</v>
      </c>
      <c r="B9639" t="s">
        <v>9607</v>
      </c>
      <c r="C9639">
        <v>5560</v>
      </c>
      <c r="D9639" t="str">
        <f>"0097-6156"</f>
        <v>0097-6156</v>
      </c>
      <c r="E9639" t="s">
        <v>15</v>
      </c>
      <c r="F9639" t="s">
        <v>9644</v>
      </c>
      <c r="G9639">
        <v>1</v>
      </c>
    </row>
    <row r="9640" spans="1:7" x14ac:dyDescent="0.25">
      <c r="A9640">
        <v>31</v>
      </c>
      <c r="B9640" t="s">
        <v>9607</v>
      </c>
      <c r="C9640">
        <v>8252</v>
      </c>
      <c r="D9640" t="str">
        <f>"1318-0207"</f>
        <v>1318-0207</v>
      </c>
      <c r="E9640" t="s">
        <v>8</v>
      </c>
      <c r="F9640" t="s">
        <v>9645</v>
      </c>
      <c r="G9640">
        <v>1</v>
      </c>
    </row>
    <row r="9641" spans="1:7" x14ac:dyDescent="0.25">
      <c r="A9641">
        <v>31</v>
      </c>
      <c r="B9641" t="s">
        <v>9607</v>
      </c>
      <c r="C9641">
        <v>1796</v>
      </c>
      <c r="D9641" t="str">
        <f>"1233-2356"</f>
        <v>1233-2356</v>
      </c>
      <c r="E9641" t="s">
        <v>8</v>
      </c>
      <c r="F9641" t="s">
        <v>9646</v>
      </c>
      <c r="G9641">
        <v>1</v>
      </c>
    </row>
    <row r="9642" spans="1:7" x14ac:dyDescent="0.25">
      <c r="A9642">
        <v>31</v>
      </c>
      <c r="B9642" t="s">
        <v>9607</v>
      </c>
      <c r="C9642">
        <v>8758428</v>
      </c>
      <c r="E9642" t="s">
        <v>8</v>
      </c>
      <c r="F9642" t="s">
        <v>9647</v>
      </c>
      <c r="G9642">
        <v>1</v>
      </c>
    </row>
    <row r="9643" spans="1:7" x14ac:dyDescent="0.25">
      <c r="A9643">
        <v>31</v>
      </c>
      <c r="B9643" t="s">
        <v>9607</v>
      </c>
      <c r="C9643">
        <v>8758429</v>
      </c>
      <c r="E9643" t="s">
        <v>8</v>
      </c>
      <c r="F9643" t="s">
        <v>9648</v>
      </c>
      <c r="G9643">
        <v>1</v>
      </c>
    </row>
    <row r="9644" spans="1:7" x14ac:dyDescent="0.25">
      <c r="A9644">
        <v>31</v>
      </c>
      <c r="B9644" t="s">
        <v>9607</v>
      </c>
      <c r="C9644">
        <v>8758568</v>
      </c>
      <c r="D9644" t="str">
        <f>"2053-2296"</f>
        <v>2053-2296</v>
      </c>
      <c r="E9644" t="s">
        <v>8</v>
      </c>
      <c r="F9644" t="s">
        <v>9649</v>
      </c>
      <c r="G9644">
        <v>1</v>
      </c>
    </row>
    <row r="9645" spans="1:7" x14ac:dyDescent="0.25">
      <c r="A9645">
        <v>31</v>
      </c>
      <c r="B9645" t="s">
        <v>9607</v>
      </c>
      <c r="C9645">
        <v>8781948</v>
      </c>
      <c r="D9645" t="str">
        <f>"2059-7983"</f>
        <v>2059-7983</v>
      </c>
      <c r="E9645" t="s">
        <v>8</v>
      </c>
      <c r="F9645" t="s">
        <v>9650</v>
      </c>
      <c r="G9645">
        <v>1</v>
      </c>
    </row>
    <row r="9646" spans="1:7" x14ac:dyDescent="0.25">
      <c r="A9646">
        <v>31</v>
      </c>
      <c r="B9646" t="s">
        <v>9607</v>
      </c>
      <c r="C9646">
        <v>5872</v>
      </c>
      <c r="E9646" t="s">
        <v>8</v>
      </c>
      <c r="F9646" t="s">
        <v>9651</v>
      </c>
      <c r="G9646">
        <v>1</v>
      </c>
    </row>
    <row r="9647" spans="1:7" x14ac:dyDescent="0.25">
      <c r="A9647">
        <v>31</v>
      </c>
      <c r="B9647" t="s">
        <v>9607</v>
      </c>
      <c r="C9647">
        <v>8782001</v>
      </c>
      <c r="D9647" t="str">
        <f>"2053-230X"</f>
        <v>2053-230X</v>
      </c>
      <c r="E9647" t="s">
        <v>8</v>
      </c>
      <c r="F9647" t="s">
        <v>9652</v>
      </c>
      <c r="G9647">
        <v>1</v>
      </c>
    </row>
    <row r="9648" spans="1:7" x14ac:dyDescent="0.25">
      <c r="A9648">
        <v>31</v>
      </c>
      <c r="B9648" t="s">
        <v>9607</v>
      </c>
      <c r="C9648">
        <v>8771660</v>
      </c>
      <c r="E9648" t="s">
        <v>8</v>
      </c>
      <c r="F9648" t="s">
        <v>9653</v>
      </c>
      <c r="G9648">
        <v>1</v>
      </c>
    </row>
    <row r="9649" spans="1:7" x14ac:dyDescent="0.25">
      <c r="A9649">
        <v>31</v>
      </c>
      <c r="B9649" t="s">
        <v>9607</v>
      </c>
      <c r="C9649">
        <v>3493</v>
      </c>
      <c r="D9649" t="str">
        <f>"0065-2415"</f>
        <v>0065-2415</v>
      </c>
      <c r="E9649" t="s">
        <v>15</v>
      </c>
      <c r="F9649" t="s">
        <v>9654</v>
      </c>
      <c r="G9649">
        <v>1</v>
      </c>
    </row>
    <row r="9650" spans="1:7" x14ac:dyDescent="0.25">
      <c r="A9650">
        <v>31</v>
      </c>
      <c r="B9650" t="s">
        <v>9607</v>
      </c>
      <c r="C9650">
        <v>317</v>
      </c>
      <c r="D9650" t="str">
        <f>"0065-2725"</f>
        <v>0065-2725</v>
      </c>
      <c r="E9650" t="s">
        <v>15</v>
      </c>
      <c r="F9650" t="s">
        <v>9655</v>
      </c>
      <c r="G9650">
        <v>1</v>
      </c>
    </row>
    <row r="9651" spans="1:7" x14ac:dyDescent="0.25">
      <c r="A9651">
        <v>31</v>
      </c>
      <c r="B9651" t="s">
        <v>9607</v>
      </c>
      <c r="C9651">
        <v>8251</v>
      </c>
      <c r="D9651" t="str">
        <f>"0898-8838"</f>
        <v>0898-8838</v>
      </c>
      <c r="E9651" t="s">
        <v>15</v>
      </c>
      <c r="F9651" t="s">
        <v>9656</v>
      </c>
      <c r="G9651">
        <v>1</v>
      </c>
    </row>
    <row r="9652" spans="1:7" x14ac:dyDescent="0.25">
      <c r="A9652">
        <v>31</v>
      </c>
      <c r="B9652" t="s">
        <v>9607</v>
      </c>
      <c r="C9652">
        <v>7704536</v>
      </c>
      <c r="D9652" t="str">
        <f>"2043-6254"</f>
        <v>2043-6254</v>
      </c>
      <c r="E9652" t="s">
        <v>8</v>
      </c>
      <c r="F9652" t="s">
        <v>9657</v>
      </c>
      <c r="G9652">
        <v>1</v>
      </c>
    </row>
    <row r="9653" spans="1:7" x14ac:dyDescent="0.25">
      <c r="A9653">
        <v>31</v>
      </c>
      <c r="B9653" t="s">
        <v>9607</v>
      </c>
      <c r="C9653">
        <v>5312</v>
      </c>
      <c r="D9653" t="str">
        <f>"0065-3160"</f>
        <v>0065-3160</v>
      </c>
      <c r="E9653" t="s">
        <v>8</v>
      </c>
      <c r="F9653" t="s">
        <v>9658</v>
      </c>
      <c r="G9653">
        <v>1</v>
      </c>
    </row>
    <row r="9654" spans="1:7" x14ac:dyDescent="0.25">
      <c r="A9654">
        <v>31</v>
      </c>
      <c r="B9654" t="s">
        <v>9607</v>
      </c>
      <c r="C9654">
        <v>6957</v>
      </c>
      <c r="D9654" t="str">
        <f>"0065-3195"</f>
        <v>0065-3195</v>
      </c>
      <c r="E9654" t="s">
        <v>15</v>
      </c>
      <c r="F9654" t="s">
        <v>9659</v>
      </c>
      <c r="G9654">
        <v>1</v>
      </c>
    </row>
    <row r="9655" spans="1:7" x14ac:dyDescent="0.25">
      <c r="A9655">
        <v>31</v>
      </c>
      <c r="B9655" t="s">
        <v>9607</v>
      </c>
      <c r="C9655">
        <v>7800</v>
      </c>
      <c r="D9655" t="str">
        <f>"0065-3276"</f>
        <v>0065-3276</v>
      </c>
      <c r="E9655" t="s">
        <v>15</v>
      </c>
      <c r="F9655" t="s">
        <v>9660</v>
      </c>
      <c r="G9655">
        <v>1</v>
      </c>
    </row>
    <row r="9656" spans="1:7" x14ac:dyDescent="0.25">
      <c r="A9656">
        <v>31</v>
      </c>
      <c r="B9656" t="s">
        <v>9607</v>
      </c>
      <c r="C9656">
        <v>11176</v>
      </c>
      <c r="D9656" t="str">
        <f>"0002-7812"</f>
        <v>0002-7812</v>
      </c>
      <c r="E9656" t="s">
        <v>8</v>
      </c>
      <c r="F9656" t="s">
        <v>9661</v>
      </c>
      <c r="G9656">
        <v>1</v>
      </c>
    </row>
    <row r="9657" spans="1:7" x14ac:dyDescent="0.25">
      <c r="A9657">
        <v>31</v>
      </c>
      <c r="B9657" t="s">
        <v>9607</v>
      </c>
      <c r="C9657">
        <v>7278</v>
      </c>
      <c r="D9657" t="str">
        <f>"0044-7749"</f>
        <v>0044-7749</v>
      </c>
      <c r="E9657" t="s">
        <v>8</v>
      </c>
      <c r="F9657" t="s">
        <v>9662</v>
      </c>
      <c r="G9657">
        <v>1</v>
      </c>
    </row>
    <row r="9658" spans="1:7" x14ac:dyDescent="0.25">
      <c r="A9658">
        <v>31</v>
      </c>
      <c r="B9658" t="s">
        <v>9607</v>
      </c>
      <c r="C9658">
        <v>283</v>
      </c>
      <c r="D9658" t="str">
        <f>"0003-2670"</f>
        <v>0003-2670</v>
      </c>
      <c r="E9658" t="s">
        <v>8</v>
      </c>
      <c r="F9658" t="s">
        <v>9663</v>
      </c>
      <c r="G9658">
        <v>1</v>
      </c>
    </row>
    <row r="9659" spans="1:7" x14ac:dyDescent="0.25">
      <c r="A9659">
        <v>31</v>
      </c>
      <c r="B9659" t="s">
        <v>9607</v>
      </c>
      <c r="C9659">
        <v>6513</v>
      </c>
      <c r="D9659" t="str">
        <f>"1618-2642"</f>
        <v>1618-2642</v>
      </c>
      <c r="E9659" t="s">
        <v>8</v>
      </c>
      <c r="F9659" t="s">
        <v>9664</v>
      </c>
      <c r="G9659">
        <v>1</v>
      </c>
    </row>
    <row r="9660" spans="1:7" x14ac:dyDescent="0.25">
      <c r="A9660">
        <v>31</v>
      </c>
      <c r="B9660" t="s">
        <v>9607</v>
      </c>
      <c r="C9660">
        <v>8205</v>
      </c>
      <c r="D9660" t="str">
        <f>"0003-2719"</f>
        <v>0003-2719</v>
      </c>
      <c r="E9660" t="s">
        <v>8</v>
      </c>
      <c r="F9660" t="s">
        <v>9665</v>
      </c>
      <c r="G9660">
        <v>1</v>
      </c>
    </row>
    <row r="9661" spans="1:7" x14ac:dyDescent="0.25">
      <c r="A9661">
        <v>31</v>
      </c>
      <c r="B9661" t="s">
        <v>9607</v>
      </c>
      <c r="C9661">
        <v>6016254</v>
      </c>
      <c r="D9661" t="str">
        <f>"1759-9660"</f>
        <v>1759-9660</v>
      </c>
      <c r="E9661" t="s">
        <v>8</v>
      </c>
      <c r="F9661" t="s">
        <v>9666</v>
      </c>
      <c r="G9661">
        <v>1</v>
      </c>
    </row>
    <row r="9662" spans="1:7" x14ac:dyDescent="0.25">
      <c r="A9662">
        <v>31</v>
      </c>
      <c r="B9662" t="s">
        <v>9607</v>
      </c>
      <c r="C9662">
        <v>9836</v>
      </c>
      <c r="D9662" t="str">
        <f>"0910-6340"</f>
        <v>0910-6340</v>
      </c>
      <c r="E9662" t="s">
        <v>8</v>
      </c>
      <c r="F9662" t="s">
        <v>9667</v>
      </c>
      <c r="G9662">
        <v>1</v>
      </c>
    </row>
    <row r="9663" spans="1:7" x14ac:dyDescent="0.25">
      <c r="A9663">
        <v>31</v>
      </c>
      <c r="B9663" t="s">
        <v>9607</v>
      </c>
      <c r="C9663">
        <v>24669</v>
      </c>
      <c r="D9663" t="str">
        <f>"0044-8249"</f>
        <v>0044-8249</v>
      </c>
      <c r="E9663" t="s">
        <v>8</v>
      </c>
      <c r="F9663" t="s">
        <v>9668</v>
      </c>
      <c r="G9663">
        <v>1</v>
      </c>
    </row>
    <row r="9664" spans="1:7" x14ac:dyDescent="0.25">
      <c r="A9664">
        <v>31</v>
      </c>
      <c r="B9664" t="s">
        <v>9607</v>
      </c>
      <c r="C9664">
        <v>7485</v>
      </c>
      <c r="D9664" t="str">
        <f>"0066-4103"</f>
        <v>0066-4103</v>
      </c>
      <c r="E9664" t="s">
        <v>8</v>
      </c>
      <c r="F9664" t="s">
        <v>9669</v>
      </c>
      <c r="G9664">
        <v>1</v>
      </c>
    </row>
    <row r="9665" spans="1:7" x14ac:dyDescent="0.25">
      <c r="A9665">
        <v>31</v>
      </c>
      <c r="B9665" t="s">
        <v>9607</v>
      </c>
      <c r="C9665">
        <v>7749</v>
      </c>
      <c r="D9665" t="str">
        <f>"0066-426X"</f>
        <v>0066-426X</v>
      </c>
      <c r="E9665" t="s">
        <v>8</v>
      </c>
      <c r="F9665" t="s">
        <v>9670</v>
      </c>
      <c r="G9665">
        <v>1</v>
      </c>
    </row>
    <row r="9666" spans="1:7" x14ac:dyDescent="0.25">
      <c r="A9666">
        <v>31</v>
      </c>
      <c r="B9666" t="s">
        <v>9607</v>
      </c>
      <c r="C9666">
        <v>8231</v>
      </c>
      <c r="D9666" t="str">
        <f>"0937-9347"</f>
        <v>0937-9347</v>
      </c>
      <c r="E9666" t="s">
        <v>8</v>
      </c>
      <c r="F9666" t="s">
        <v>9671</v>
      </c>
      <c r="G9666">
        <v>1</v>
      </c>
    </row>
    <row r="9667" spans="1:7" x14ac:dyDescent="0.25">
      <c r="A9667">
        <v>31</v>
      </c>
      <c r="B9667" t="s">
        <v>9607</v>
      </c>
      <c r="C9667">
        <v>972</v>
      </c>
      <c r="D9667" t="str">
        <f>"0268-2605"</f>
        <v>0268-2605</v>
      </c>
      <c r="E9667" t="s">
        <v>8</v>
      </c>
      <c r="F9667" t="s">
        <v>9672</v>
      </c>
      <c r="G9667">
        <v>1</v>
      </c>
    </row>
    <row r="9668" spans="1:7" x14ac:dyDescent="0.25">
      <c r="A9668">
        <v>31</v>
      </c>
      <c r="B9668" t="s">
        <v>9607</v>
      </c>
      <c r="C9668">
        <v>3316</v>
      </c>
      <c r="D9668" t="str">
        <f>"0570-4928"</f>
        <v>0570-4928</v>
      </c>
      <c r="E9668" t="s">
        <v>8</v>
      </c>
      <c r="F9668" t="s">
        <v>9673</v>
      </c>
      <c r="G9668">
        <v>1</v>
      </c>
    </row>
    <row r="9669" spans="1:7" x14ac:dyDescent="0.25">
      <c r="A9669">
        <v>31</v>
      </c>
      <c r="B9669" t="s">
        <v>9607</v>
      </c>
      <c r="C9669">
        <v>35637</v>
      </c>
      <c r="D9669" t="str">
        <f>"1551-7004"</f>
        <v>1551-7004</v>
      </c>
      <c r="E9669" t="s">
        <v>8</v>
      </c>
      <c r="F9669" t="s">
        <v>9674</v>
      </c>
      <c r="G9669">
        <v>1</v>
      </c>
    </row>
    <row r="9670" spans="1:7" x14ac:dyDescent="0.25">
      <c r="A9670">
        <v>31</v>
      </c>
      <c r="B9670" t="s">
        <v>9607</v>
      </c>
      <c r="C9670">
        <v>6023306</v>
      </c>
      <c r="D9670" t="str">
        <f>"1949-095X"</f>
        <v>1949-095X</v>
      </c>
      <c r="E9670" t="s">
        <v>8</v>
      </c>
      <c r="F9670" t="s">
        <v>9675</v>
      </c>
      <c r="G9670">
        <v>1</v>
      </c>
    </row>
    <row r="9671" spans="1:7" x14ac:dyDescent="0.25">
      <c r="A9671">
        <v>31</v>
      </c>
      <c r="B9671" t="s">
        <v>9607</v>
      </c>
      <c r="C9671">
        <v>11203</v>
      </c>
      <c r="D9671" t="str">
        <f>"0971-9822"</f>
        <v>0971-9822</v>
      </c>
      <c r="E9671" t="s">
        <v>8</v>
      </c>
      <c r="F9671" t="s">
        <v>9676</v>
      </c>
      <c r="G9671">
        <v>1</v>
      </c>
    </row>
    <row r="9672" spans="1:7" x14ac:dyDescent="0.25">
      <c r="A9672">
        <v>31</v>
      </c>
      <c r="B9672" t="s">
        <v>9607</v>
      </c>
      <c r="C9672">
        <v>154581</v>
      </c>
      <c r="D9672" t="str">
        <f>"1867-1381"</f>
        <v>1867-1381</v>
      </c>
      <c r="E9672" t="s">
        <v>8</v>
      </c>
      <c r="F9672" t="s">
        <v>9677</v>
      </c>
      <c r="G9672">
        <v>1</v>
      </c>
    </row>
    <row r="9673" spans="1:7" x14ac:dyDescent="0.25">
      <c r="A9673">
        <v>31</v>
      </c>
      <c r="B9673" t="s">
        <v>9607</v>
      </c>
      <c r="C9673">
        <v>12303</v>
      </c>
      <c r="D9673" t="str">
        <f>"0195-5373"</f>
        <v>0195-5373</v>
      </c>
      <c r="E9673" t="s">
        <v>8</v>
      </c>
      <c r="F9673" t="s">
        <v>9678</v>
      </c>
      <c r="G9673">
        <v>1</v>
      </c>
    </row>
    <row r="9674" spans="1:7" x14ac:dyDescent="0.25">
      <c r="A9674">
        <v>31</v>
      </c>
      <c r="B9674" t="s">
        <v>9607</v>
      </c>
      <c r="C9674">
        <v>12000</v>
      </c>
      <c r="D9674" t="str">
        <f>"0004-9425"</f>
        <v>0004-9425</v>
      </c>
      <c r="E9674" t="s">
        <v>8</v>
      </c>
      <c r="F9674" t="s">
        <v>9679</v>
      </c>
      <c r="G9674">
        <v>1</v>
      </c>
    </row>
    <row r="9675" spans="1:7" x14ac:dyDescent="0.25">
      <c r="A9675">
        <v>31</v>
      </c>
      <c r="B9675" t="s">
        <v>9607</v>
      </c>
      <c r="C9675">
        <v>17448</v>
      </c>
      <c r="D9675" t="str">
        <f>"2195-951X"</f>
        <v>2195-951X</v>
      </c>
      <c r="E9675" t="s">
        <v>8</v>
      </c>
      <c r="F9675" t="s">
        <v>9680</v>
      </c>
      <c r="G9675">
        <v>1</v>
      </c>
    </row>
    <row r="9676" spans="1:7" x14ac:dyDescent="0.25">
      <c r="A9676">
        <v>31</v>
      </c>
      <c r="B9676" t="s">
        <v>9607</v>
      </c>
      <c r="C9676">
        <v>7049</v>
      </c>
      <c r="D9676" t="str">
        <f>"1043-1802"</f>
        <v>1043-1802</v>
      </c>
      <c r="E9676" t="s">
        <v>8</v>
      </c>
      <c r="F9676" t="s">
        <v>9681</v>
      </c>
      <c r="G9676">
        <v>1</v>
      </c>
    </row>
    <row r="9677" spans="1:7" x14ac:dyDescent="0.25">
      <c r="A9677">
        <v>31</v>
      </c>
      <c r="B9677" t="s">
        <v>9607</v>
      </c>
      <c r="C9677">
        <v>7708292</v>
      </c>
      <c r="D9677" t="str">
        <f>"1179-299X"</f>
        <v>1179-299X</v>
      </c>
      <c r="E9677" t="s">
        <v>8</v>
      </c>
      <c r="F9677" t="s">
        <v>9682</v>
      </c>
      <c r="G9677">
        <v>1</v>
      </c>
    </row>
    <row r="9678" spans="1:7" x14ac:dyDescent="0.25">
      <c r="A9678">
        <v>31</v>
      </c>
      <c r="B9678" t="s">
        <v>9607</v>
      </c>
      <c r="C9678">
        <v>17439</v>
      </c>
      <c r="D9678" t="str">
        <f>"1932-1058"</f>
        <v>1932-1058</v>
      </c>
      <c r="E9678" t="s">
        <v>8</v>
      </c>
      <c r="F9678" t="s">
        <v>9683</v>
      </c>
      <c r="G9678">
        <v>1</v>
      </c>
    </row>
    <row r="9679" spans="1:7" x14ac:dyDescent="0.25">
      <c r="A9679">
        <v>31</v>
      </c>
      <c r="B9679" t="s">
        <v>9607</v>
      </c>
      <c r="C9679">
        <v>13154</v>
      </c>
      <c r="D9679" t="str">
        <f>"0968-0896"</f>
        <v>0968-0896</v>
      </c>
      <c r="E9679" t="s">
        <v>8</v>
      </c>
      <c r="F9679" t="s">
        <v>9684</v>
      </c>
      <c r="G9679">
        <v>1</v>
      </c>
    </row>
    <row r="9680" spans="1:7" x14ac:dyDescent="0.25">
      <c r="A9680">
        <v>31</v>
      </c>
      <c r="B9680" t="s">
        <v>9607</v>
      </c>
      <c r="C9680">
        <v>5921</v>
      </c>
      <c r="D9680" t="str">
        <f>"0960-894X"</f>
        <v>0960-894X</v>
      </c>
      <c r="E9680" t="s">
        <v>8</v>
      </c>
      <c r="F9680" t="s">
        <v>9685</v>
      </c>
      <c r="G9680">
        <v>1</v>
      </c>
    </row>
    <row r="9681" spans="1:7" x14ac:dyDescent="0.25">
      <c r="A9681">
        <v>31</v>
      </c>
      <c r="B9681" t="s">
        <v>9607</v>
      </c>
      <c r="C9681">
        <v>11693</v>
      </c>
      <c r="D9681" t="str">
        <f>"0045-2068"</f>
        <v>0045-2068</v>
      </c>
      <c r="E9681" t="s">
        <v>8</v>
      </c>
      <c r="F9681" t="s">
        <v>9686</v>
      </c>
      <c r="G9681">
        <v>1</v>
      </c>
    </row>
    <row r="9682" spans="1:7" x14ac:dyDescent="0.25">
      <c r="A9682">
        <v>31</v>
      </c>
      <c r="B9682" t="s">
        <v>9607</v>
      </c>
      <c r="C9682">
        <v>11365</v>
      </c>
      <c r="D9682" t="str">
        <f>"0301-4622"</f>
        <v>0301-4622</v>
      </c>
      <c r="E9682" t="s">
        <v>8</v>
      </c>
      <c r="F9682" t="s">
        <v>9687</v>
      </c>
      <c r="G9682">
        <v>1</v>
      </c>
    </row>
    <row r="9683" spans="1:7" x14ac:dyDescent="0.25">
      <c r="A9683">
        <v>31</v>
      </c>
      <c r="B9683" t="s">
        <v>9607</v>
      </c>
      <c r="C9683">
        <v>6280</v>
      </c>
      <c r="D9683" t="str">
        <f>"1011-3924"</f>
        <v>1011-3924</v>
      </c>
      <c r="E9683" t="s">
        <v>8</v>
      </c>
      <c r="F9683" t="s">
        <v>9688</v>
      </c>
      <c r="G9683">
        <v>1</v>
      </c>
    </row>
    <row r="9684" spans="1:7" x14ac:dyDescent="0.25">
      <c r="A9684">
        <v>31</v>
      </c>
      <c r="B9684" t="s">
        <v>9607</v>
      </c>
      <c r="C9684">
        <v>8178</v>
      </c>
      <c r="D9684" t="str">
        <f>"0009-2673"</f>
        <v>0009-2673</v>
      </c>
      <c r="E9684" t="s">
        <v>8</v>
      </c>
      <c r="F9684" t="s">
        <v>9689</v>
      </c>
      <c r="G9684">
        <v>1</v>
      </c>
    </row>
    <row r="9685" spans="1:7" x14ac:dyDescent="0.25">
      <c r="A9685">
        <v>31</v>
      </c>
      <c r="B9685" t="s">
        <v>9607</v>
      </c>
      <c r="C9685">
        <v>11400</v>
      </c>
      <c r="D9685" t="str">
        <f>"0253-2964"</f>
        <v>0253-2964</v>
      </c>
      <c r="E9685" t="s">
        <v>8</v>
      </c>
      <c r="F9685" t="s">
        <v>9690</v>
      </c>
      <c r="G9685">
        <v>1</v>
      </c>
    </row>
    <row r="9686" spans="1:7" x14ac:dyDescent="0.25">
      <c r="A9686">
        <v>31</v>
      </c>
      <c r="B9686" t="s">
        <v>9607</v>
      </c>
      <c r="C9686">
        <v>8876</v>
      </c>
      <c r="D9686" t="str">
        <f>"0525-1931"</f>
        <v>0525-1931</v>
      </c>
      <c r="E9686" t="s">
        <v>8</v>
      </c>
      <c r="F9686" t="s">
        <v>9691</v>
      </c>
      <c r="G9686">
        <v>1</v>
      </c>
    </row>
    <row r="9687" spans="1:7" x14ac:dyDescent="0.25">
      <c r="A9687">
        <v>31</v>
      </c>
      <c r="B9687" t="s">
        <v>9607</v>
      </c>
      <c r="C9687">
        <v>33798</v>
      </c>
      <c r="D9687" t="str">
        <f>"1359-0243"</f>
        <v>1359-0243</v>
      </c>
      <c r="E9687" t="s">
        <v>15</v>
      </c>
      <c r="F9687" t="s">
        <v>9692</v>
      </c>
      <c r="G9687">
        <v>1</v>
      </c>
    </row>
    <row r="9688" spans="1:7" x14ac:dyDescent="0.25">
      <c r="A9688">
        <v>31</v>
      </c>
      <c r="B9688" t="s">
        <v>9607</v>
      </c>
      <c r="C9688">
        <v>5376</v>
      </c>
      <c r="D9688" t="str">
        <f>"0008-4042"</f>
        <v>0008-4042</v>
      </c>
      <c r="E9688" t="s">
        <v>8</v>
      </c>
      <c r="F9688" t="s">
        <v>9693</v>
      </c>
      <c r="G9688">
        <v>1</v>
      </c>
    </row>
    <row r="9689" spans="1:7" x14ac:dyDescent="0.25">
      <c r="A9689">
        <v>31</v>
      </c>
      <c r="B9689" t="s">
        <v>9607</v>
      </c>
      <c r="C9689">
        <v>52153</v>
      </c>
      <c r="D9689" t="str">
        <f>"1841-4834"</f>
        <v>1841-4834</v>
      </c>
      <c r="E9689" t="s">
        <v>8</v>
      </c>
      <c r="F9689" t="s">
        <v>9694</v>
      </c>
      <c r="G9689">
        <v>1</v>
      </c>
    </row>
    <row r="9690" spans="1:7" x14ac:dyDescent="0.25">
      <c r="A9690">
        <v>31</v>
      </c>
      <c r="B9690" t="s">
        <v>9607</v>
      </c>
      <c r="C9690">
        <v>5608</v>
      </c>
      <c r="D9690" t="str">
        <f>"1439-4227"</f>
        <v>1439-4227</v>
      </c>
      <c r="E9690" t="s">
        <v>8</v>
      </c>
      <c r="F9690" t="s">
        <v>9695</v>
      </c>
      <c r="G9690">
        <v>1</v>
      </c>
    </row>
    <row r="9691" spans="1:7" x14ac:dyDescent="0.25">
      <c r="A9691">
        <v>31</v>
      </c>
      <c r="B9691" t="s">
        <v>9607</v>
      </c>
      <c r="C9691">
        <v>7697388</v>
      </c>
      <c r="D9691" t="str">
        <f>"1867-3880"</f>
        <v>1867-3880</v>
      </c>
      <c r="E9691" t="s">
        <v>8</v>
      </c>
      <c r="F9691" t="s">
        <v>9696</v>
      </c>
      <c r="G9691">
        <v>1</v>
      </c>
    </row>
    <row r="9692" spans="1:7" x14ac:dyDescent="0.25">
      <c r="A9692">
        <v>31</v>
      </c>
      <c r="B9692" t="s">
        <v>9607</v>
      </c>
      <c r="C9692">
        <v>915</v>
      </c>
      <c r="D9692" t="str">
        <f>"0366-6352"</f>
        <v>0366-6352</v>
      </c>
      <c r="E9692" t="s">
        <v>8</v>
      </c>
      <c r="F9692" t="s">
        <v>9697</v>
      </c>
      <c r="G9692">
        <v>1</v>
      </c>
    </row>
    <row r="9693" spans="1:7" x14ac:dyDescent="0.25">
      <c r="A9693">
        <v>31</v>
      </c>
      <c r="B9693" t="s">
        <v>9607</v>
      </c>
      <c r="C9693">
        <v>4512</v>
      </c>
      <c r="D9693" t="str">
        <f>"0301-0104"</f>
        <v>0301-0104</v>
      </c>
      <c r="E9693" t="s">
        <v>8</v>
      </c>
      <c r="F9693" t="s">
        <v>9698</v>
      </c>
      <c r="G9693">
        <v>1</v>
      </c>
    </row>
    <row r="9694" spans="1:7" x14ac:dyDescent="0.25">
      <c r="A9694">
        <v>31</v>
      </c>
      <c r="B9694" t="s">
        <v>9607</v>
      </c>
      <c r="C9694">
        <v>4272</v>
      </c>
      <c r="D9694" t="str">
        <f>"1005-9040"</f>
        <v>1005-9040</v>
      </c>
      <c r="E9694" t="s">
        <v>8</v>
      </c>
      <c r="F9694" t="s">
        <v>9699</v>
      </c>
      <c r="G9694">
        <v>1</v>
      </c>
    </row>
    <row r="9695" spans="1:7" x14ac:dyDescent="0.25">
      <c r="A9695">
        <v>31</v>
      </c>
      <c r="B9695" t="s">
        <v>9607</v>
      </c>
      <c r="C9695">
        <v>473</v>
      </c>
      <c r="D9695" t="str">
        <f>"0009-2770"</f>
        <v>0009-2770</v>
      </c>
      <c r="E9695" t="s">
        <v>8</v>
      </c>
      <c r="F9695" t="s">
        <v>9700</v>
      </c>
      <c r="G9695">
        <v>1</v>
      </c>
    </row>
    <row r="9696" spans="1:7" x14ac:dyDescent="0.25">
      <c r="A9696">
        <v>31</v>
      </c>
      <c r="B9696" t="s">
        <v>9607</v>
      </c>
      <c r="C9696">
        <v>855</v>
      </c>
      <c r="D9696" t="str">
        <f>"0009-2851"</f>
        <v>0009-2851</v>
      </c>
      <c r="E9696" t="s">
        <v>8</v>
      </c>
      <c r="F9696" t="s">
        <v>9701</v>
      </c>
      <c r="G9696">
        <v>1</v>
      </c>
    </row>
    <row r="9697" spans="1:7" x14ac:dyDescent="0.25">
      <c r="A9697">
        <v>31</v>
      </c>
      <c r="B9697" t="s">
        <v>9607</v>
      </c>
      <c r="C9697">
        <v>13067</v>
      </c>
      <c r="D9697" t="str">
        <f>"1861-4728"</f>
        <v>1861-4728</v>
      </c>
      <c r="E9697" t="s">
        <v>8</v>
      </c>
      <c r="F9697" t="s">
        <v>9702</v>
      </c>
      <c r="G9697">
        <v>1</v>
      </c>
    </row>
    <row r="9698" spans="1:7" x14ac:dyDescent="0.25">
      <c r="A9698">
        <v>31</v>
      </c>
      <c r="B9698" t="s">
        <v>9607</v>
      </c>
      <c r="C9698">
        <v>17142</v>
      </c>
      <c r="D9698" t="str">
        <f>"1612-1872"</f>
        <v>1612-1872</v>
      </c>
      <c r="E9698" t="s">
        <v>8</v>
      </c>
      <c r="F9698" t="s">
        <v>9703</v>
      </c>
      <c r="G9698">
        <v>1</v>
      </c>
    </row>
    <row r="9699" spans="1:7" x14ac:dyDescent="0.25">
      <c r="A9699">
        <v>31</v>
      </c>
      <c r="B9699" t="s">
        <v>9607</v>
      </c>
      <c r="C9699">
        <v>15272</v>
      </c>
      <c r="D9699" t="str">
        <f>"0366-7022"</f>
        <v>0366-7022</v>
      </c>
      <c r="E9699" t="s">
        <v>8</v>
      </c>
      <c r="F9699" t="s">
        <v>9704</v>
      </c>
      <c r="G9699">
        <v>1</v>
      </c>
    </row>
    <row r="9700" spans="1:7" x14ac:dyDescent="0.25">
      <c r="A9700">
        <v>31</v>
      </c>
      <c r="B9700" t="s">
        <v>9607</v>
      </c>
      <c r="C9700">
        <v>8061</v>
      </c>
      <c r="D9700" t="str">
        <f>"0009-3122"</f>
        <v>0009-3122</v>
      </c>
      <c r="E9700" t="s">
        <v>8</v>
      </c>
      <c r="F9700" t="s">
        <v>9705</v>
      </c>
      <c r="G9700">
        <v>1</v>
      </c>
    </row>
    <row r="9701" spans="1:7" x14ac:dyDescent="0.25">
      <c r="A9701">
        <v>31</v>
      </c>
      <c r="B9701" t="s">
        <v>9607</v>
      </c>
      <c r="C9701">
        <v>4574</v>
      </c>
      <c r="D9701" t="str">
        <f>"1439-4235"</f>
        <v>1439-4235</v>
      </c>
      <c r="E9701" t="s">
        <v>8</v>
      </c>
      <c r="F9701" t="s">
        <v>9706</v>
      </c>
      <c r="G9701">
        <v>1</v>
      </c>
    </row>
    <row r="9702" spans="1:7" x14ac:dyDescent="0.25">
      <c r="A9702">
        <v>31</v>
      </c>
      <c r="B9702" t="s">
        <v>9607</v>
      </c>
      <c r="C9702">
        <v>6411</v>
      </c>
      <c r="D9702" t="str">
        <f>"0009-4293"</f>
        <v>0009-4293</v>
      </c>
      <c r="E9702" t="s">
        <v>8</v>
      </c>
      <c r="F9702" t="s">
        <v>9707</v>
      </c>
      <c r="G9702">
        <v>1</v>
      </c>
    </row>
    <row r="9703" spans="1:7" x14ac:dyDescent="0.25">
      <c r="A9703">
        <v>31</v>
      </c>
      <c r="B9703" t="s">
        <v>9607</v>
      </c>
      <c r="C9703">
        <v>16451</v>
      </c>
      <c r="D9703" t="str">
        <f>"0392-839X"</f>
        <v>0392-839X</v>
      </c>
      <c r="E9703" t="s">
        <v>8</v>
      </c>
      <c r="F9703" t="s">
        <v>9708</v>
      </c>
      <c r="G9703">
        <v>1</v>
      </c>
    </row>
    <row r="9704" spans="1:7" x14ac:dyDescent="0.25">
      <c r="A9704">
        <v>31</v>
      </c>
      <c r="B9704" t="s">
        <v>9607</v>
      </c>
      <c r="C9704">
        <v>14432</v>
      </c>
      <c r="D9704" t="str">
        <f>"1001-8417"</f>
        <v>1001-8417</v>
      </c>
      <c r="E9704" t="s">
        <v>8</v>
      </c>
      <c r="F9704" t="s">
        <v>9709</v>
      </c>
      <c r="G9704">
        <v>1</v>
      </c>
    </row>
    <row r="9705" spans="1:7" x14ac:dyDescent="0.25">
      <c r="A9705">
        <v>31</v>
      </c>
      <c r="B9705" t="s">
        <v>9607</v>
      </c>
      <c r="C9705">
        <v>9550</v>
      </c>
      <c r="D9705" t="str">
        <f>"1674-0068"</f>
        <v>1674-0068</v>
      </c>
      <c r="E9705" t="s">
        <v>8</v>
      </c>
      <c r="F9705" t="s">
        <v>9710</v>
      </c>
      <c r="G9705">
        <v>1</v>
      </c>
    </row>
    <row r="9706" spans="1:7" x14ac:dyDescent="0.25">
      <c r="A9706">
        <v>31</v>
      </c>
      <c r="B9706" t="s">
        <v>9607</v>
      </c>
      <c r="C9706">
        <v>608</v>
      </c>
      <c r="D9706" t="str">
        <f>"1001-604X"</f>
        <v>1001-604X</v>
      </c>
      <c r="E9706" t="s">
        <v>8</v>
      </c>
      <c r="F9706" t="s">
        <v>9711</v>
      </c>
      <c r="G9706">
        <v>1</v>
      </c>
    </row>
    <row r="9707" spans="1:7" x14ac:dyDescent="0.25">
      <c r="A9707">
        <v>31</v>
      </c>
      <c r="B9707" t="s">
        <v>9607</v>
      </c>
      <c r="C9707">
        <v>4723</v>
      </c>
      <c r="D9707" t="str">
        <f>"0256-7679"</f>
        <v>0256-7679</v>
      </c>
      <c r="E9707" t="s">
        <v>8</v>
      </c>
      <c r="F9707" t="s">
        <v>9712</v>
      </c>
      <c r="G9707">
        <v>1</v>
      </c>
    </row>
    <row r="9708" spans="1:7" x14ac:dyDescent="0.25">
      <c r="A9708">
        <v>31</v>
      </c>
      <c r="B9708" t="s">
        <v>9607</v>
      </c>
      <c r="C9708">
        <v>15842</v>
      </c>
      <c r="D9708" t="str">
        <f>"0009-5893"</f>
        <v>0009-5893</v>
      </c>
      <c r="E9708" t="s">
        <v>8</v>
      </c>
      <c r="F9708" t="s">
        <v>9713</v>
      </c>
      <c r="G9708">
        <v>1</v>
      </c>
    </row>
    <row r="9709" spans="1:7" x14ac:dyDescent="0.25">
      <c r="A9709">
        <v>31</v>
      </c>
      <c r="B9709" t="s">
        <v>9607</v>
      </c>
      <c r="C9709">
        <v>8771334</v>
      </c>
      <c r="E9709" t="s">
        <v>8</v>
      </c>
      <c r="F9709" t="s">
        <v>9714</v>
      </c>
      <c r="G9709">
        <v>1</v>
      </c>
    </row>
    <row r="9710" spans="1:7" x14ac:dyDescent="0.25">
      <c r="A9710">
        <v>31</v>
      </c>
      <c r="B9710" t="s">
        <v>9607</v>
      </c>
      <c r="C9710">
        <v>10472</v>
      </c>
      <c r="D9710" t="str">
        <f>"0303-402X"</f>
        <v>0303-402X</v>
      </c>
      <c r="E9710" t="s">
        <v>8</v>
      </c>
      <c r="F9710" t="s">
        <v>9715</v>
      </c>
      <c r="G9710">
        <v>1</v>
      </c>
    </row>
    <row r="9711" spans="1:7" x14ac:dyDescent="0.25">
      <c r="A9711">
        <v>31</v>
      </c>
      <c r="B9711" t="s">
        <v>9607</v>
      </c>
      <c r="C9711">
        <v>4627</v>
      </c>
      <c r="D9711" t="str">
        <f>"1061-933X"</f>
        <v>1061-933X</v>
      </c>
      <c r="E9711" t="s">
        <v>8</v>
      </c>
      <c r="F9711" t="s">
        <v>9716</v>
      </c>
      <c r="G9711">
        <v>1</v>
      </c>
    </row>
    <row r="9712" spans="1:7" x14ac:dyDescent="0.25">
      <c r="A9712">
        <v>31</v>
      </c>
      <c r="B9712" t="s">
        <v>9607</v>
      </c>
      <c r="C9712">
        <v>908</v>
      </c>
      <c r="D9712" t="str">
        <f>"1386-2073"</f>
        <v>1386-2073</v>
      </c>
      <c r="E9712" t="s">
        <v>8</v>
      </c>
      <c r="F9712" t="s">
        <v>9717</v>
      </c>
      <c r="G9712">
        <v>1</v>
      </c>
    </row>
    <row r="9713" spans="1:7" x14ac:dyDescent="0.25">
      <c r="A9713">
        <v>31</v>
      </c>
      <c r="B9713" t="s">
        <v>9607</v>
      </c>
      <c r="C9713">
        <v>2173</v>
      </c>
      <c r="D9713" t="str">
        <f>"0260-3594"</f>
        <v>0260-3594</v>
      </c>
      <c r="E9713" t="s">
        <v>8</v>
      </c>
      <c r="F9713" t="s">
        <v>9718</v>
      </c>
      <c r="G9713">
        <v>1</v>
      </c>
    </row>
    <row r="9714" spans="1:7" x14ac:dyDescent="0.25">
      <c r="A9714">
        <v>31</v>
      </c>
      <c r="B9714" t="s">
        <v>9607</v>
      </c>
      <c r="C9714">
        <v>6339</v>
      </c>
      <c r="D9714" t="str">
        <f>"1631-0748"</f>
        <v>1631-0748</v>
      </c>
      <c r="E9714" t="s">
        <v>8</v>
      </c>
      <c r="F9714" t="s">
        <v>9719</v>
      </c>
      <c r="G9714">
        <v>1</v>
      </c>
    </row>
    <row r="9715" spans="1:7" x14ac:dyDescent="0.25">
      <c r="A9715">
        <v>31</v>
      </c>
      <c r="B9715" t="s">
        <v>9607</v>
      </c>
      <c r="C9715">
        <v>16371</v>
      </c>
      <c r="D9715" t="str">
        <f>"2210-271X"</f>
        <v>2210-271X</v>
      </c>
      <c r="E9715" t="s">
        <v>8</v>
      </c>
      <c r="F9715" t="s">
        <v>9720</v>
      </c>
      <c r="G9715">
        <v>1</v>
      </c>
    </row>
    <row r="9716" spans="1:7" x14ac:dyDescent="0.25">
      <c r="A9716">
        <v>31</v>
      </c>
      <c r="B9716" t="s">
        <v>9607</v>
      </c>
      <c r="C9716">
        <v>6072568</v>
      </c>
      <c r="E9716" t="s">
        <v>8</v>
      </c>
      <c r="F9716" t="s">
        <v>9721</v>
      </c>
      <c r="G9716">
        <v>1</v>
      </c>
    </row>
    <row r="9717" spans="1:7" x14ac:dyDescent="0.25">
      <c r="A9717">
        <v>31</v>
      </c>
      <c r="B9717" t="s">
        <v>9607</v>
      </c>
      <c r="C9717">
        <v>14468</v>
      </c>
      <c r="D9717" t="str">
        <f>"1040-8347"</f>
        <v>1040-8347</v>
      </c>
      <c r="E9717" t="s">
        <v>8</v>
      </c>
      <c r="F9717" t="s">
        <v>9722</v>
      </c>
      <c r="G9717">
        <v>1</v>
      </c>
    </row>
    <row r="9718" spans="1:7" x14ac:dyDescent="0.25">
      <c r="A9718">
        <v>31</v>
      </c>
      <c r="B9718" t="s">
        <v>9607</v>
      </c>
      <c r="C9718">
        <v>3337</v>
      </c>
      <c r="D9718" t="str">
        <f>"0011-1643"</f>
        <v>0011-1643</v>
      </c>
      <c r="E9718" t="s">
        <v>8</v>
      </c>
      <c r="F9718" t="s">
        <v>9723</v>
      </c>
      <c r="G9718">
        <v>1</v>
      </c>
    </row>
    <row r="9719" spans="1:7" x14ac:dyDescent="0.25">
      <c r="A9719">
        <v>31</v>
      </c>
      <c r="B9719" t="s">
        <v>9607</v>
      </c>
      <c r="C9719">
        <v>3633</v>
      </c>
      <c r="D9719" t="str">
        <f>"1528-7483"</f>
        <v>1528-7483</v>
      </c>
      <c r="E9719" t="s">
        <v>8</v>
      </c>
      <c r="F9719" t="s">
        <v>9724</v>
      </c>
      <c r="G9719">
        <v>1</v>
      </c>
    </row>
    <row r="9720" spans="1:7" x14ac:dyDescent="0.25">
      <c r="A9720">
        <v>31</v>
      </c>
      <c r="B9720" t="s">
        <v>9607</v>
      </c>
      <c r="C9720">
        <v>13227</v>
      </c>
      <c r="D9720" t="str">
        <f>"1063-7745"</f>
        <v>1063-7745</v>
      </c>
      <c r="E9720" t="s">
        <v>8</v>
      </c>
      <c r="F9720" t="s">
        <v>9725</v>
      </c>
      <c r="G9720">
        <v>1</v>
      </c>
    </row>
    <row r="9721" spans="1:7" x14ac:dyDescent="0.25">
      <c r="A9721">
        <v>31</v>
      </c>
      <c r="B9721" t="s">
        <v>9607</v>
      </c>
      <c r="C9721">
        <v>9860</v>
      </c>
      <c r="D9721" t="str">
        <f>"0889-311X"</f>
        <v>0889-311X</v>
      </c>
      <c r="E9721" t="s">
        <v>8</v>
      </c>
      <c r="F9721" t="s">
        <v>9726</v>
      </c>
      <c r="G9721">
        <v>1</v>
      </c>
    </row>
    <row r="9722" spans="1:7" x14ac:dyDescent="0.25">
      <c r="A9722">
        <v>31</v>
      </c>
      <c r="B9722" t="s">
        <v>9607</v>
      </c>
      <c r="C9722">
        <v>11842</v>
      </c>
      <c r="E9722" t="s">
        <v>8</v>
      </c>
      <c r="F9722" t="s">
        <v>9727</v>
      </c>
      <c r="G9722">
        <v>1</v>
      </c>
    </row>
    <row r="9723" spans="1:7" x14ac:dyDescent="0.25">
      <c r="A9723">
        <v>31</v>
      </c>
      <c r="B9723" t="s">
        <v>9607</v>
      </c>
      <c r="C9723">
        <v>17923</v>
      </c>
      <c r="D9723" t="str">
        <f>"1573-4110"</f>
        <v>1573-4110</v>
      </c>
      <c r="E9723" t="s">
        <v>8</v>
      </c>
      <c r="F9723" t="s">
        <v>9728</v>
      </c>
      <c r="G9723">
        <v>1</v>
      </c>
    </row>
    <row r="9724" spans="1:7" x14ac:dyDescent="0.25">
      <c r="A9724">
        <v>31</v>
      </c>
      <c r="B9724" t="s">
        <v>9607</v>
      </c>
      <c r="C9724">
        <v>7702543</v>
      </c>
      <c r="D9724" t="str">
        <f>"1877-9441"</f>
        <v>1877-9441</v>
      </c>
      <c r="E9724" t="s">
        <v>8</v>
      </c>
      <c r="F9724" t="s">
        <v>9729</v>
      </c>
      <c r="G9724">
        <v>1</v>
      </c>
    </row>
    <row r="9725" spans="1:7" x14ac:dyDescent="0.25">
      <c r="A9725">
        <v>31</v>
      </c>
      <c r="B9725" t="s">
        <v>9607</v>
      </c>
      <c r="C9725">
        <v>10926</v>
      </c>
      <c r="D9725" t="str">
        <f>"0929-8673"</f>
        <v>0929-8673</v>
      </c>
      <c r="E9725" t="s">
        <v>8</v>
      </c>
      <c r="F9725" t="s">
        <v>9730</v>
      </c>
      <c r="G9725">
        <v>1</v>
      </c>
    </row>
    <row r="9726" spans="1:7" x14ac:dyDescent="0.25">
      <c r="A9726">
        <v>31</v>
      </c>
      <c r="B9726" t="s">
        <v>9607</v>
      </c>
      <c r="C9726">
        <v>5019</v>
      </c>
      <c r="D9726" t="str">
        <f>"1359-0294"</f>
        <v>1359-0294</v>
      </c>
      <c r="E9726" t="s">
        <v>8</v>
      </c>
      <c r="F9726" t="s">
        <v>9731</v>
      </c>
      <c r="G9726">
        <v>1</v>
      </c>
    </row>
    <row r="9727" spans="1:7" x14ac:dyDescent="0.25">
      <c r="A9727">
        <v>31</v>
      </c>
      <c r="B9727" t="s">
        <v>9607</v>
      </c>
      <c r="C9727">
        <v>8782684</v>
      </c>
      <c r="D9727" t="str">
        <f>"2451-9103"</f>
        <v>2451-9103</v>
      </c>
      <c r="E9727" t="s">
        <v>8</v>
      </c>
      <c r="F9727" t="s">
        <v>9732</v>
      </c>
      <c r="G9727">
        <v>1</v>
      </c>
    </row>
    <row r="9728" spans="1:7" x14ac:dyDescent="0.25">
      <c r="A9728">
        <v>31</v>
      </c>
      <c r="B9728" t="s">
        <v>9607</v>
      </c>
      <c r="C9728">
        <v>8446</v>
      </c>
      <c r="D9728" t="str">
        <f>"1385-2728"</f>
        <v>1385-2728</v>
      </c>
      <c r="E9728" t="s">
        <v>8</v>
      </c>
      <c r="F9728" t="s">
        <v>9733</v>
      </c>
      <c r="G9728">
        <v>1</v>
      </c>
    </row>
    <row r="9729" spans="1:7" x14ac:dyDescent="0.25">
      <c r="A9729">
        <v>31</v>
      </c>
      <c r="B9729" t="s">
        <v>9607</v>
      </c>
      <c r="C9729">
        <v>15911</v>
      </c>
      <c r="D9729" t="str">
        <f>"1568-0266"</f>
        <v>1568-0266</v>
      </c>
      <c r="E9729" t="s">
        <v>8</v>
      </c>
      <c r="F9729" t="s">
        <v>9734</v>
      </c>
      <c r="G9729">
        <v>1</v>
      </c>
    </row>
    <row r="9730" spans="1:7" x14ac:dyDescent="0.25">
      <c r="A9730">
        <v>31</v>
      </c>
      <c r="B9730" t="s">
        <v>9607</v>
      </c>
      <c r="C9730">
        <v>10307</v>
      </c>
      <c r="D9730" t="str">
        <f>"1385-772X"</f>
        <v>1385-772X</v>
      </c>
      <c r="E9730" t="s">
        <v>8</v>
      </c>
      <c r="F9730" t="s">
        <v>9735</v>
      </c>
      <c r="G9730">
        <v>1</v>
      </c>
    </row>
    <row r="9731" spans="1:7" x14ac:dyDescent="0.25">
      <c r="A9731">
        <v>31</v>
      </c>
      <c r="B9731" t="s">
        <v>9607</v>
      </c>
      <c r="C9731">
        <v>5037</v>
      </c>
      <c r="D9731" t="str">
        <f>"0012-5008"</f>
        <v>0012-5008</v>
      </c>
      <c r="E9731" t="s">
        <v>8</v>
      </c>
      <c r="F9731" t="s">
        <v>9736</v>
      </c>
      <c r="G9731">
        <v>1</v>
      </c>
    </row>
    <row r="9732" spans="1:7" x14ac:dyDescent="0.25">
      <c r="A9732">
        <v>31</v>
      </c>
      <c r="B9732" t="s">
        <v>9607</v>
      </c>
      <c r="C9732">
        <v>5688</v>
      </c>
      <c r="D9732" t="str">
        <f>"0012-5016"</f>
        <v>0012-5016</v>
      </c>
      <c r="E9732" t="s">
        <v>8</v>
      </c>
      <c r="F9732" t="s">
        <v>9737</v>
      </c>
      <c r="G9732">
        <v>1</v>
      </c>
    </row>
    <row r="9733" spans="1:7" x14ac:dyDescent="0.25">
      <c r="A9733">
        <v>31</v>
      </c>
      <c r="B9733" t="s">
        <v>9607</v>
      </c>
      <c r="C9733">
        <v>7747670</v>
      </c>
      <c r="D9733" t="str">
        <f>"2162-8769"</f>
        <v>2162-8769</v>
      </c>
      <c r="E9733" t="s">
        <v>8</v>
      </c>
      <c r="F9733" t="s">
        <v>9738</v>
      </c>
      <c r="G9733">
        <v>1</v>
      </c>
    </row>
    <row r="9734" spans="1:7" x14ac:dyDescent="0.25">
      <c r="A9734">
        <v>31</v>
      </c>
      <c r="B9734" t="s">
        <v>9607</v>
      </c>
      <c r="C9734">
        <v>1918</v>
      </c>
      <c r="D9734" t="str">
        <f>"1938-6737"</f>
        <v>1938-6737</v>
      </c>
      <c r="E9734" t="s">
        <v>8</v>
      </c>
      <c r="F9734" t="s">
        <v>9739</v>
      </c>
      <c r="G9734">
        <v>1</v>
      </c>
    </row>
    <row r="9735" spans="1:7" x14ac:dyDescent="0.25">
      <c r="A9735">
        <v>31</v>
      </c>
      <c r="B9735" t="s">
        <v>9607</v>
      </c>
      <c r="C9735">
        <v>3790</v>
      </c>
      <c r="D9735" t="str">
        <f>"1040-0397"</f>
        <v>1040-0397</v>
      </c>
      <c r="E9735" t="s">
        <v>8</v>
      </c>
      <c r="F9735" t="s">
        <v>9740</v>
      </c>
      <c r="G9735">
        <v>1</v>
      </c>
    </row>
    <row r="9736" spans="1:7" x14ac:dyDescent="0.25">
      <c r="A9736">
        <v>31</v>
      </c>
      <c r="B9736" t="s">
        <v>9607</v>
      </c>
      <c r="C9736">
        <v>6098574</v>
      </c>
      <c r="D9736" t="str">
        <f>"1868-2529"</f>
        <v>1868-2529</v>
      </c>
      <c r="E9736" t="s">
        <v>8</v>
      </c>
      <c r="F9736" t="s">
        <v>9741</v>
      </c>
      <c r="G9736">
        <v>1</v>
      </c>
    </row>
    <row r="9737" spans="1:7" x14ac:dyDescent="0.25">
      <c r="A9737">
        <v>31</v>
      </c>
      <c r="B9737" t="s">
        <v>9607</v>
      </c>
      <c r="C9737">
        <v>10251</v>
      </c>
      <c r="D9737" t="str">
        <f>"1344-3542"</f>
        <v>1344-3542</v>
      </c>
      <c r="E9737" t="s">
        <v>8</v>
      </c>
      <c r="F9737" t="s">
        <v>9742</v>
      </c>
      <c r="G9737">
        <v>1</v>
      </c>
    </row>
    <row r="9738" spans="1:7" x14ac:dyDescent="0.25">
      <c r="A9738">
        <v>31</v>
      </c>
      <c r="B9738" t="s">
        <v>9607</v>
      </c>
      <c r="C9738">
        <v>6321</v>
      </c>
      <c r="D9738" t="str">
        <f>"1388-2481"</f>
        <v>1388-2481</v>
      </c>
      <c r="E9738" t="s">
        <v>8</v>
      </c>
      <c r="F9738" t="s">
        <v>9743</v>
      </c>
      <c r="G9738">
        <v>1</v>
      </c>
    </row>
    <row r="9739" spans="1:7" x14ac:dyDescent="0.25">
      <c r="A9739">
        <v>31</v>
      </c>
      <c r="B9739" t="s">
        <v>9607</v>
      </c>
      <c r="C9739">
        <v>8765345</v>
      </c>
      <c r="D9739" t="str">
        <f>"2213-7114"</f>
        <v>2213-7114</v>
      </c>
      <c r="E9739" t="s">
        <v>8</v>
      </c>
      <c r="F9739" t="s">
        <v>9744</v>
      </c>
      <c r="G9739">
        <v>1</v>
      </c>
    </row>
    <row r="9740" spans="1:7" x14ac:dyDescent="0.25">
      <c r="A9740">
        <v>31</v>
      </c>
      <c r="B9740" t="s">
        <v>9607</v>
      </c>
      <c r="C9740">
        <v>11804</v>
      </c>
      <c r="D9740" t="str">
        <f>"1610-3653"</f>
        <v>1610-3653</v>
      </c>
      <c r="E9740" t="s">
        <v>8</v>
      </c>
      <c r="F9740" t="s">
        <v>9745</v>
      </c>
      <c r="G9740">
        <v>1</v>
      </c>
    </row>
    <row r="9741" spans="1:7" x14ac:dyDescent="0.25">
      <c r="A9741">
        <v>31</v>
      </c>
      <c r="B9741" t="s">
        <v>9607</v>
      </c>
      <c r="C9741">
        <v>9254</v>
      </c>
      <c r="E9741" t="s">
        <v>8</v>
      </c>
      <c r="F9741" t="s">
        <v>9746</v>
      </c>
      <c r="G9741">
        <v>1</v>
      </c>
    </row>
    <row r="9742" spans="1:7" x14ac:dyDescent="0.25">
      <c r="A9742">
        <v>31</v>
      </c>
      <c r="B9742" t="s">
        <v>9607</v>
      </c>
      <c r="C9742">
        <v>152388</v>
      </c>
      <c r="D9742" t="str">
        <f>"1753-3546"</f>
        <v>1753-3546</v>
      </c>
      <c r="E9742" t="s">
        <v>8</v>
      </c>
      <c r="F9742" t="s">
        <v>9747</v>
      </c>
      <c r="G9742">
        <v>1</v>
      </c>
    </row>
    <row r="9743" spans="1:7" x14ac:dyDescent="0.25">
      <c r="A9743">
        <v>31</v>
      </c>
      <c r="B9743" t="s">
        <v>9607</v>
      </c>
      <c r="C9743">
        <v>15666</v>
      </c>
      <c r="D9743" t="str">
        <f>"1434-1948"</f>
        <v>1434-1948</v>
      </c>
      <c r="E9743" t="s">
        <v>8</v>
      </c>
      <c r="F9743" t="s">
        <v>9748</v>
      </c>
      <c r="G9743">
        <v>1</v>
      </c>
    </row>
    <row r="9744" spans="1:7" x14ac:dyDescent="0.25">
      <c r="A9744">
        <v>31</v>
      </c>
      <c r="B9744" t="s">
        <v>9607</v>
      </c>
      <c r="C9744">
        <v>2742</v>
      </c>
      <c r="D9744" t="str">
        <f>"1469-0667"</f>
        <v>1469-0667</v>
      </c>
      <c r="E9744" t="s">
        <v>8</v>
      </c>
      <c r="F9744" t="s">
        <v>9749</v>
      </c>
      <c r="G9744">
        <v>1</v>
      </c>
    </row>
    <row r="9745" spans="1:7" x14ac:dyDescent="0.25">
      <c r="A9745">
        <v>31</v>
      </c>
      <c r="B9745" t="s">
        <v>9607</v>
      </c>
      <c r="C9745">
        <v>7737852</v>
      </c>
      <c r="D9745" t="str">
        <f>"1662-5986"</f>
        <v>1662-5986</v>
      </c>
      <c r="E9745" t="s">
        <v>8</v>
      </c>
      <c r="F9745" t="s">
        <v>9750</v>
      </c>
      <c r="G9745">
        <v>1</v>
      </c>
    </row>
    <row r="9746" spans="1:7" x14ac:dyDescent="0.25">
      <c r="A9746">
        <v>31</v>
      </c>
      <c r="B9746" t="s">
        <v>9607</v>
      </c>
      <c r="C9746">
        <v>15831</v>
      </c>
      <c r="D9746" t="str">
        <f>"1434-193X"</f>
        <v>1434-193X</v>
      </c>
      <c r="E9746" t="s">
        <v>8</v>
      </c>
      <c r="F9746" t="s">
        <v>9751</v>
      </c>
      <c r="G9746">
        <v>1</v>
      </c>
    </row>
    <row r="9747" spans="1:7" x14ac:dyDescent="0.25">
      <c r="A9747">
        <v>31</v>
      </c>
      <c r="B9747" t="s">
        <v>9607</v>
      </c>
      <c r="C9747">
        <v>1868</v>
      </c>
      <c r="D9747" t="str">
        <f>"1359-6640"</f>
        <v>1359-6640</v>
      </c>
      <c r="E9747" t="s">
        <v>8</v>
      </c>
      <c r="F9747" t="s">
        <v>9752</v>
      </c>
      <c r="G9747">
        <v>1</v>
      </c>
    </row>
    <row r="9748" spans="1:7" x14ac:dyDescent="0.25">
      <c r="A9748">
        <v>31</v>
      </c>
      <c r="B9748" t="s">
        <v>9607</v>
      </c>
      <c r="C9748">
        <v>736</v>
      </c>
      <c r="D9748" t="str">
        <f>"0253-3820"</f>
        <v>0253-3820</v>
      </c>
      <c r="E9748" t="s">
        <v>8</v>
      </c>
      <c r="F9748" t="s">
        <v>9753</v>
      </c>
      <c r="G9748">
        <v>1</v>
      </c>
    </row>
    <row r="9749" spans="1:7" x14ac:dyDescent="0.25">
      <c r="A9749">
        <v>31</v>
      </c>
      <c r="B9749" t="s">
        <v>9607</v>
      </c>
      <c r="C9749">
        <v>6116465</v>
      </c>
      <c r="D9749" t="str">
        <f>"1944-0049"</f>
        <v>1944-0049</v>
      </c>
      <c r="E9749" t="s">
        <v>8</v>
      </c>
      <c r="F9749" t="s">
        <v>9754</v>
      </c>
      <c r="G9749">
        <v>1</v>
      </c>
    </row>
    <row r="9750" spans="1:7" x14ac:dyDescent="0.25">
      <c r="A9750">
        <v>31</v>
      </c>
      <c r="B9750" t="s">
        <v>9607</v>
      </c>
      <c r="C9750">
        <v>7273</v>
      </c>
      <c r="D9750" t="str">
        <f>"1386-4238"</f>
        <v>1386-4238</v>
      </c>
      <c r="E9750" t="s">
        <v>8</v>
      </c>
      <c r="F9750" t="s">
        <v>9755</v>
      </c>
      <c r="G9750">
        <v>1</v>
      </c>
    </row>
    <row r="9751" spans="1:7" x14ac:dyDescent="0.25">
      <c r="A9751">
        <v>31</v>
      </c>
      <c r="B9751" t="s">
        <v>9607</v>
      </c>
      <c r="C9751">
        <v>7694584</v>
      </c>
      <c r="E9751" t="s">
        <v>8</v>
      </c>
      <c r="F9751" t="s">
        <v>9756</v>
      </c>
      <c r="G9751">
        <v>1</v>
      </c>
    </row>
    <row r="9752" spans="1:7" x14ac:dyDescent="0.25">
      <c r="A9752">
        <v>31</v>
      </c>
      <c r="B9752" t="s">
        <v>9607</v>
      </c>
      <c r="C9752">
        <v>7688238</v>
      </c>
      <c r="D9752" t="str">
        <f>"1756-8919"</f>
        <v>1756-8919</v>
      </c>
      <c r="E9752" t="s">
        <v>8</v>
      </c>
      <c r="F9752" t="s">
        <v>9757</v>
      </c>
      <c r="G9752">
        <v>1</v>
      </c>
    </row>
    <row r="9753" spans="1:7" x14ac:dyDescent="0.25">
      <c r="A9753">
        <v>31</v>
      </c>
      <c r="B9753" t="s">
        <v>9607</v>
      </c>
      <c r="C9753">
        <v>8203</v>
      </c>
      <c r="D9753" t="str">
        <f>"0251-0790"</f>
        <v>0251-0790</v>
      </c>
      <c r="E9753" t="s">
        <v>8</v>
      </c>
      <c r="F9753" t="s">
        <v>9758</v>
      </c>
      <c r="G9753">
        <v>1</v>
      </c>
    </row>
    <row r="9754" spans="1:7" x14ac:dyDescent="0.25">
      <c r="A9754">
        <v>31</v>
      </c>
      <c r="B9754" t="s">
        <v>9607</v>
      </c>
      <c r="C9754">
        <v>6705</v>
      </c>
      <c r="D9754" t="str">
        <f>"1000-3304"</f>
        <v>1000-3304</v>
      </c>
      <c r="E9754" t="s">
        <v>8</v>
      </c>
      <c r="F9754" t="s">
        <v>9759</v>
      </c>
      <c r="G9754">
        <v>1</v>
      </c>
    </row>
    <row r="9755" spans="1:7" x14ac:dyDescent="0.25">
      <c r="A9755">
        <v>31</v>
      </c>
      <c r="B9755" t="s">
        <v>9607</v>
      </c>
      <c r="C9755">
        <v>5026</v>
      </c>
      <c r="D9755" t="str">
        <f>"0282-0080"</f>
        <v>0282-0080</v>
      </c>
      <c r="E9755" t="s">
        <v>8</v>
      </c>
      <c r="F9755" t="s">
        <v>9760</v>
      </c>
      <c r="G9755">
        <v>1</v>
      </c>
    </row>
    <row r="9756" spans="1:7" x14ac:dyDescent="0.25">
      <c r="A9756">
        <v>31</v>
      </c>
      <c r="B9756" t="s">
        <v>9607</v>
      </c>
      <c r="C9756">
        <v>11966</v>
      </c>
      <c r="D9756" t="str">
        <f>"0018-019X"</f>
        <v>0018-019X</v>
      </c>
      <c r="E9756" t="s">
        <v>8</v>
      </c>
      <c r="F9756" t="s">
        <v>9761</v>
      </c>
      <c r="G9756">
        <v>1</v>
      </c>
    </row>
    <row r="9757" spans="1:7" x14ac:dyDescent="0.25">
      <c r="A9757">
        <v>31</v>
      </c>
      <c r="B9757" t="s">
        <v>9607</v>
      </c>
      <c r="C9757">
        <v>12867</v>
      </c>
      <c r="D9757" t="str">
        <f>"1042-7163"</f>
        <v>1042-7163</v>
      </c>
      <c r="E9757" t="s">
        <v>8</v>
      </c>
      <c r="F9757" t="s">
        <v>9762</v>
      </c>
      <c r="G9757">
        <v>1</v>
      </c>
    </row>
    <row r="9758" spans="1:7" x14ac:dyDescent="0.25">
      <c r="A9758">
        <v>31</v>
      </c>
      <c r="B9758" t="s">
        <v>9607</v>
      </c>
      <c r="C9758">
        <v>1271</v>
      </c>
      <c r="D9758" t="str">
        <f>"0385-5414"</f>
        <v>0385-5414</v>
      </c>
      <c r="E9758" t="s">
        <v>8</v>
      </c>
      <c r="F9758" t="s">
        <v>9763</v>
      </c>
      <c r="G9758">
        <v>1</v>
      </c>
    </row>
    <row r="9759" spans="1:7" x14ac:dyDescent="0.25">
      <c r="A9759">
        <v>31</v>
      </c>
      <c r="B9759" t="s">
        <v>9607</v>
      </c>
      <c r="C9759">
        <v>9524</v>
      </c>
      <c r="D9759" t="str">
        <f>"0793-0283"</f>
        <v>0793-0283</v>
      </c>
      <c r="E9759" t="s">
        <v>8</v>
      </c>
      <c r="F9759" t="s">
        <v>9764</v>
      </c>
      <c r="G9759">
        <v>1</v>
      </c>
    </row>
    <row r="9760" spans="1:7" x14ac:dyDescent="0.25">
      <c r="A9760">
        <v>31</v>
      </c>
      <c r="B9760" t="s">
        <v>9607</v>
      </c>
      <c r="C9760">
        <v>7678</v>
      </c>
      <c r="D9760" t="str">
        <f>"0018-1439"</f>
        <v>0018-1439</v>
      </c>
      <c r="E9760" t="s">
        <v>8</v>
      </c>
      <c r="F9760" t="s">
        <v>9765</v>
      </c>
      <c r="G9760">
        <v>1</v>
      </c>
    </row>
    <row r="9761" spans="1:7" x14ac:dyDescent="0.25">
      <c r="A9761">
        <v>31</v>
      </c>
      <c r="B9761" t="s">
        <v>9607</v>
      </c>
      <c r="C9761">
        <v>16309</v>
      </c>
      <c r="D9761" t="str">
        <f>"0954-0083"</f>
        <v>0954-0083</v>
      </c>
      <c r="E9761" t="s">
        <v>8</v>
      </c>
      <c r="F9761" t="s">
        <v>9766</v>
      </c>
      <c r="G9761">
        <v>1</v>
      </c>
    </row>
    <row r="9762" spans="1:7" x14ac:dyDescent="0.25">
      <c r="A9762">
        <v>31</v>
      </c>
      <c r="B9762" t="s">
        <v>9607</v>
      </c>
      <c r="C9762">
        <v>14006</v>
      </c>
      <c r="D9762" t="str">
        <f>"1005-281X"</f>
        <v>1005-281X</v>
      </c>
      <c r="E9762" t="s">
        <v>8</v>
      </c>
      <c r="F9762" t="s">
        <v>9767</v>
      </c>
      <c r="G9762">
        <v>1</v>
      </c>
    </row>
    <row r="9763" spans="1:7" x14ac:dyDescent="0.25">
      <c r="A9763">
        <v>31</v>
      </c>
      <c r="B9763" t="s">
        <v>9607</v>
      </c>
      <c r="C9763">
        <v>6414</v>
      </c>
      <c r="D9763" t="str">
        <f>"0567-7351"</f>
        <v>0567-7351</v>
      </c>
      <c r="E9763" t="s">
        <v>8</v>
      </c>
      <c r="F9763" t="s">
        <v>9768</v>
      </c>
      <c r="G9763">
        <v>1</v>
      </c>
    </row>
    <row r="9764" spans="1:7" x14ac:dyDescent="0.25">
      <c r="A9764">
        <v>31</v>
      </c>
      <c r="B9764" t="s">
        <v>9607</v>
      </c>
      <c r="C9764">
        <v>72</v>
      </c>
      <c r="D9764" t="str">
        <f>"0376-4710"</f>
        <v>0376-4710</v>
      </c>
      <c r="E9764" t="s">
        <v>8</v>
      </c>
      <c r="F9764" t="s">
        <v>9769</v>
      </c>
      <c r="G9764">
        <v>1</v>
      </c>
    </row>
    <row r="9765" spans="1:7" x14ac:dyDescent="0.25">
      <c r="A9765">
        <v>31</v>
      </c>
      <c r="B9765" t="s">
        <v>9607</v>
      </c>
      <c r="C9765">
        <v>9329</v>
      </c>
      <c r="D9765" t="str">
        <f>"0376-4699"</f>
        <v>0376-4699</v>
      </c>
      <c r="E9765" t="s">
        <v>8</v>
      </c>
      <c r="F9765" t="s">
        <v>9770</v>
      </c>
      <c r="G9765">
        <v>1</v>
      </c>
    </row>
    <row r="9766" spans="1:7" x14ac:dyDescent="0.25">
      <c r="A9766">
        <v>31</v>
      </c>
      <c r="B9766" t="s">
        <v>9607</v>
      </c>
      <c r="C9766">
        <v>9120</v>
      </c>
      <c r="D9766" t="str">
        <f>"0971-1627"</f>
        <v>0971-1627</v>
      </c>
      <c r="E9766" t="s">
        <v>8</v>
      </c>
      <c r="F9766" t="s">
        <v>9771</v>
      </c>
      <c r="G9766">
        <v>1</v>
      </c>
    </row>
    <row r="9767" spans="1:7" x14ac:dyDescent="0.25">
      <c r="A9767">
        <v>31</v>
      </c>
      <c r="B9767" t="s">
        <v>9607</v>
      </c>
      <c r="C9767">
        <v>11768</v>
      </c>
      <c r="D9767" t="str">
        <f>"1387-7003"</f>
        <v>1387-7003</v>
      </c>
      <c r="E9767" t="s">
        <v>8</v>
      </c>
      <c r="F9767" t="s">
        <v>9772</v>
      </c>
      <c r="G9767">
        <v>1</v>
      </c>
    </row>
    <row r="9768" spans="1:7" x14ac:dyDescent="0.25">
      <c r="A9768">
        <v>31</v>
      </c>
      <c r="B9768" t="s">
        <v>9607</v>
      </c>
      <c r="C9768">
        <v>15480</v>
      </c>
      <c r="D9768" t="str">
        <f>"0073-8077"</f>
        <v>0073-8077</v>
      </c>
      <c r="E9768" t="s">
        <v>15</v>
      </c>
      <c r="F9768" t="s">
        <v>9773</v>
      </c>
      <c r="G9768">
        <v>1</v>
      </c>
    </row>
    <row r="9769" spans="1:7" x14ac:dyDescent="0.25">
      <c r="A9769">
        <v>31</v>
      </c>
      <c r="B9769" t="s">
        <v>9607</v>
      </c>
      <c r="C9769">
        <v>15437</v>
      </c>
      <c r="D9769" t="str">
        <f>"0020-1693"</f>
        <v>0020-1693</v>
      </c>
      <c r="E9769" t="s">
        <v>8</v>
      </c>
      <c r="F9769" t="s">
        <v>9774</v>
      </c>
      <c r="G9769">
        <v>1</v>
      </c>
    </row>
    <row r="9770" spans="1:7" x14ac:dyDescent="0.25">
      <c r="A9770">
        <v>31</v>
      </c>
      <c r="B9770" t="s">
        <v>9607</v>
      </c>
      <c r="C9770">
        <v>10942</v>
      </c>
      <c r="D9770" t="str">
        <f>"1073-9149"</f>
        <v>1073-9149</v>
      </c>
      <c r="E9770" t="s">
        <v>8</v>
      </c>
      <c r="F9770" t="s">
        <v>9775</v>
      </c>
      <c r="G9770">
        <v>1</v>
      </c>
    </row>
    <row r="9771" spans="1:7" x14ac:dyDescent="0.25">
      <c r="A9771">
        <v>31</v>
      </c>
      <c r="B9771" t="s">
        <v>9607</v>
      </c>
      <c r="C9771">
        <v>6154961</v>
      </c>
      <c r="D9771" t="str">
        <f>"1913-2751"</f>
        <v>1913-2751</v>
      </c>
      <c r="E9771" t="s">
        <v>8</v>
      </c>
      <c r="F9771" t="s">
        <v>9776</v>
      </c>
      <c r="G9771">
        <v>1</v>
      </c>
    </row>
    <row r="9772" spans="1:7" x14ac:dyDescent="0.25">
      <c r="A9772">
        <v>31</v>
      </c>
      <c r="B9772" t="s">
        <v>9607</v>
      </c>
      <c r="C9772">
        <v>26962</v>
      </c>
      <c r="D9772" t="str">
        <f>"1435-6163"</f>
        <v>1435-6163</v>
      </c>
      <c r="E9772" t="s">
        <v>8</v>
      </c>
      <c r="F9772" t="s">
        <v>9777</v>
      </c>
      <c r="G9772">
        <v>1</v>
      </c>
    </row>
    <row r="9773" spans="1:7" x14ac:dyDescent="0.25">
      <c r="A9773">
        <v>31</v>
      </c>
      <c r="B9773" t="s">
        <v>9607</v>
      </c>
      <c r="C9773">
        <v>6157118</v>
      </c>
      <c r="D9773" t="str">
        <f>"2041-1286"</f>
        <v>2041-1286</v>
      </c>
      <c r="E9773" t="s">
        <v>8</v>
      </c>
      <c r="F9773" t="s">
        <v>9778</v>
      </c>
      <c r="G9773">
        <v>1</v>
      </c>
    </row>
    <row r="9774" spans="1:7" x14ac:dyDescent="0.25">
      <c r="A9774">
        <v>31</v>
      </c>
      <c r="B9774" t="s">
        <v>9607</v>
      </c>
      <c r="C9774">
        <v>1235</v>
      </c>
      <c r="D9774" t="str">
        <f>"0538-8066"</f>
        <v>0538-8066</v>
      </c>
      <c r="E9774" t="s">
        <v>8</v>
      </c>
      <c r="F9774" t="s">
        <v>9779</v>
      </c>
      <c r="G9774">
        <v>1</v>
      </c>
    </row>
    <row r="9775" spans="1:7" x14ac:dyDescent="0.25">
      <c r="A9775">
        <v>31</v>
      </c>
      <c r="B9775" t="s">
        <v>9607</v>
      </c>
      <c r="C9775">
        <v>7713212</v>
      </c>
      <c r="D9775" t="str">
        <f>"2090-3537"</f>
        <v>2090-3537</v>
      </c>
      <c r="E9775" t="s">
        <v>8</v>
      </c>
      <c r="F9775" t="s">
        <v>9780</v>
      </c>
      <c r="G9775">
        <v>1</v>
      </c>
    </row>
    <row r="9776" spans="1:7" x14ac:dyDescent="0.25">
      <c r="A9776">
        <v>31</v>
      </c>
      <c r="B9776" t="s">
        <v>9607</v>
      </c>
      <c r="C9776">
        <v>5711</v>
      </c>
      <c r="D9776" t="str">
        <f>"1387-3806"</f>
        <v>1387-3806</v>
      </c>
      <c r="E9776" t="s">
        <v>8</v>
      </c>
      <c r="F9776" t="s">
        <v>9781</v>
      </c>
      <c r="G9776">
        <v>1</v>
      </c>
    </row>
    <row r="9777" spans="1:7" x14ac:dyDescent="0.25">
      <c r="A9777">
        <v>31</v>
      </c>
      <c r="B9777" t="s">
        <v>9607</v>
      </c>
      <c r="C9777">
        <v>1615</v>
      </c>
      <c r="D9777" t="str">
        <f>"1661-6596"</f>
        <v>1661-6596</v>
      </c>
      <c r="E9777" t="s">
        <v>8</v>
      </c>
      <c r="F9777" t="s">
        <v>9782</v>
      </c>
      <c r="G9777">
        <v>1</v>
      </c>
    </row>
    <row r="9778" spans="1:7" x14ac:dyDescent="0.25">
      <c r="A9778">
        <v>31</v>
      </c>
      <c r="B9778" t="s">
        <v>9607</v>
      </c>
      <c r="C9778">
        <v>7619</v>
      </c>
      <c r="D9778" t="str">
        <f>"1023-666X"</f>
        <v>1023-666X</v>
      </c>
      <c r="E9778" t="s">
        <v>8</v>
      </c>
      <c r="F9778" t="s">
        <v>9783</v>
      </c>
      <c r="G9778">
        <v>1</v>
      </c>
    </row>
    <row r="9779" spans="1:7" x14ac:dyDescent="0.25">
      <c r="A9779">
        <v>31</v>
      </c>
      <c r="B9779" t="s">
        <v>9607</v>
      </c>
      <c r="C9779">
        <v>3151</v>
      </c>
      <c r="D9779" t="str">
        <f>"0020-7608"</f>
        <v>0020-7608</v>
      </c>
      <c r="E9779" t="s">
        <v>8</v>
      </c>
      <c r="F9779" t="s">
        <v>9784</v>
      </c>
      <c r="G9779">
        <v>1</v>
      </c>
    </row>
    <row r="9780" spans="1:7" x14ac:dyDescent="0.25">
      <c r="A9780">
        <v>31</v>
      </c>
      <c r="B9780" t="s">
        <v>9607</v>
      </c>
      <c r="C9780">
        <v>2108</v>
      </c>
      <c r="D9780" t="str">
        <f>"0144-235X"</f>
        <v>0144-235X</v>
      </c>
      <c r="E9780" t="s">
        <v>8</v>
      </c>
      <c r="F9780" t="s">
        <v>9785</v>
      </c>
      <c r="G9780">
        <v>1</v>
      </c>
    </row>
    <row r="9781" spans="1:7" x14ac:dyDescent="0.25">
      <c r="A9781">
        <v>31</v>
      </c>
      <c r="B9781" t="s">
        <v>9607</v>
      </c>
      <c r="C9781">
        <v>8769032</v>
      </c>
      <c r="E9781" t="s">
        <v>8</v>
      </c>
      <c r="F9781" t="s">
        <v>9786</v>
      </c>
      <c r="G9781">
        <v>1</v>
      </c>
    </row>
    <row r="9782" spans="1:7" x14ac:dyDescent="0.25">
      <c r="A9782">
        <v>31</v>
      </c>
      <c r="B9782" t="s">
        <v>9607</v>
      </c>
      <c r="C9782">
        <v>9915</v>
      </c>
      <c r="D9782" t="str">
        <f>"1026-1265"</f>
        <v>1026-1265</v>
      </c>
      <c r="E9782" t="s">
        <v>8</v>
      </c>
      <c r="F9782" t="s">
        <v>9787</v>
      </c>
      <c r="G9782">
        <v>1</v>
      </c>
    </row>
    <row r="9783" spans="1:7" x14ac:dyDescent="0.25">
      <c r="A9783">
        <v>31</v>
      </c>
      <c r="B9783" t="s">
        <v>9607</v>
      </c>
      <c r="C9783">
        <v>12673</v>
      </c>
      <c r="D9783" t="str">
        <f>"0021-2148"</f>
        <v>0021-2148</v>
      </c>
      <c r="E9783" t="s">
        <v>8</v>
      </c>
      <c r="F9783" t="s">
        <v>9788</v>
      </c>
      <c r="G9783">
        <v>1</v>
      </c>
    </row>
    <row r="9784" spans="1:7" x14ac:dyDescent="0.25">
      <c r="A9784">
        <v>31</v>
      </c>
      <c r="B9784" t="s">
        <v>9607</v>
      </c>
      <c r="C9784">
        <v>11509</v>
      </c>
      <c r="D9784" t="str">
        <f>"0254-5861"</f>
        <v>0254-5861</v>
      </c>
      <c r="E9784" t="s">
        <v>8</v>
      </c>
      <c r="F9784" t="s">
        <v>9789</v>
      </c>
      <c r="G9784">
        <v>1</v>
      </c>
    </row>
    <row r="9785" spans="1:7" x14ac:dyDescent="0.25">
      <c r="A9785">
        <v>31</v>
      </c>
      <c r="B9785" t="s">
        <v>9607</v>
      </c>
      <c r="C9785">
        <v>4800</v>
      </c>
      <c r="D9785" t="str">
        <f>"1203-8407"</f>
        <v>1203-8407</v>
      </c>
      <c r="E9785" t="s">
        <v>8</v>
      </c>
      <c r="F9785" t="s">
        <v>9790</v>
      </c>
      <c r="G9785">
        <v>1</v>
      </c>
    </row>
    <row r="9786" spans="1:7" x14ac:dyDescent="0.25">
      <c r="A9786">
        <v>31</v>
      </c>
      <c r="B9786" t="s">
        <v>9607</v>
      </c>
      <c r="C9786">
        <v>9170</v>
      </c>
      <c r="D9786" t="str">
        <f>"0165-2370"</f>
        <v>0165-2370</v>
      </c>
      <c r="E9786" t="s">
        <v>8</v>
      </c>
      <c r="F9786" t="s">
        <v>9791</v>
      </c>
      <c r="G9786">
        <v>1</v>
      </c>
    </row>
    <row r="9787" spans="1:7" x14ac:dyDescent="0.25">
      <c r="A9787">
        <v>31</v>
      </c>
      <c r="B9787" t="s">
        <v>9607</v>
      </c>
      <c r="C9787">
        <v>2063</v>
      </c>
      <c r="D9787" t="str">
        <f>"0267-9477"</f>
        <v>0267-9477</v>
      </c>
      <c r="E9787" t="s">
        <v>8</v>
      </c>
      <c r="F9787" t="s">
        <v>9792</v>
      </c>
      <c r="G9787">
        <v>1</v>
      </c>
    </row>
    <row r="9788" spans="1:7" x14ac:dyDescent="0.25">
      <c r="A9788">
        <v>31</v>
      </c>
      <c r="B9788" t="s">
        <v>9607</v>
      </c>
      <c r="C9788">
        <v>1216</v>
      </c>
      <c r="D9788" t="str">
        <f>"1061-9348"</f>
        <v>1061-9348</v>
      </c>
      <c r="E9788" t="s">
        <v>8</v>
      </c>
      <c r="F9788" t="s">
        <v>9793</v>
      </c>
      <c r="G9788">
        <v>1</v>
      </c>
    </row>
    <row r="9789" spans="1:7" x14ac:dyDescent="0.25">
      <c r="A9789">
        <v>31</v>
      </c>
      <c r="B9789" t="s">
        <v>9607</v>
      </c>
      <c r="C9789">
        <v>2023</v>
      </c>
      <c r="D9789" t="str">
        <f>"2090-8865"</f>
        <v>2090-8865</v>
      </c>
      <c r="E9789" t="s">
        <v>8</v>
      </c>
      <c r="F9789" t="s">
        <v>9794</v>
      </c>
      <c r="G9789">
        <v>1</v>
      </c>
    </row>
    <row r="9790" spans="1:7" x14ac:dyDescent="0.25">
      <c r="A9790">
        <v>31</v>
      </c>
      <c r="B9790" t="s">
        <v>9607</v>
      </c>
      <c r="C9790">
        <v>8313</v>
      </c>
      <c r="D9790" t="str">
        <f>"0021-891X"</f>
        <v>0021-891X</v>
      </c>
      <c r="E9790" t="s">
        <v>8</v>
      </c>
      <c r="F9790" t="s">
        <v>9795</v>
      </c>
      <c r="G9790">
        <v>1</v>
      </c>
    </row>
    <row r="9791" spans="1:7" x14ac:dyDescent="0.25">
      <c r="A9791">
        <v>31</v>
      </c>
      <c r="B9791" t="s">
        <v>9607</v>
      </c>
      <c r="C9791">
        <v>2193</v>
      </c>
      <c r="D9791" t="str">
        <f>"0949-8257"</f>
        <v>0949-8257</v>
      </c>
      <c r="E9791" t="s">
        <v>8</v>
      </c>
      <c r="F9791" t="s">
        <v>9796</v>
      </c>
      <c r="G9791">
        <v>1</v>
      </c>
    </row>
    <row r="9792" spans="1:7" x14ac:dyDescent="0.25">
      <c r="A9792">
        <v>31</v>
      </c>
      <c r="B9792" t="s">
        <v>9607</v>
      </c>
      <c r="C9792">
        <v>13019</v>
      </c>
      <c r="D9792" t="str">
        <f>"0732-8303"</f>
        <v>0732-8303</v>
      </c>
      <c r="E9792" t="s">
        <v>8</v>
      </c>
      <c r="F9792" t="s">
        <v>9797</v>
      </c>
      <c r="G9792">
        <v>1</v>
      </c>
    </row>
    <row r="9793" spans="1:7" x14ac:dyDescent="0.25">
      <c r="A9793">
        <v>31</v>
      </c>
      <c r="B9793" t="s">
        <v>9607</v>
      </c>
      <c r="C9793">
        <v>15206</v>
      </c>
      <c r="D9793" t="str">
        <f>"1074-1542"</f>
        <v>1074-1542</v>
      </c>
      <c r="E9793" t="s">
        <v>8</v>
      </c>
      <c r="F9793" t="s">
        <v>9798</v>
      </c>
      <c r="G9793">
        <v>1</v>
      </c>
    </row>
    <row r="9794" spans="1:7" x14ac:dyDescent="0.25">
      <c r="A9794">
        <v>31</v>
      </c>
      <c r="B9794" t="s">
        <v>9607</v>
      </c>
      <c r="C9794">
        <v>7144</v>
      </c>
      <c r="D9794" t="str">
        <f>"1747-5198"</f>
        <v>1747-5198</v>
      </c>
      <c r="E9794" t="s">
        <v>8</v>
      </c>
      <c r="F9794" t="s">
        <v>9799</v>
      </c>
      <c r="G9794">
        <v>1</v>
      </c>
    </row>
    <row r="9795" spans="1:7" x14ac:dyDescent="0.25">
      <c r="A9795">
        <v>31</v>
      </c>
      <c r="B9795" t="s">
        <v>9607</v>
      </c>
      <c r="C9795">
        <v>15738</v>
      </c>
      <c r="D9795" t="str">
        <f>"0370-0089"</f>
        <v>0370-0089</v>
      </c>
      <c r="E9795" t="s">
        <v>8</v>
      </c>
      <c r="F9795" t="s">
        <v>9800</v>
      </c>
      <c r="G9795">
        <v>1</v>
      </c>
    </row>
    <row r="9796" spans="1:7" x14ac:dyDescent="0.25">
      <c r="A9796">
        <v>31</v>
      </c>
      <c r="B9796" t="s">
        <v>9607</v>
      </c>
      <c r="C9796">
        <v>7744</v>
      </c>
      <c r="D9796" t="str">
        <f>"0021-9665"</f>
        <v>0021-9665</v>
      </c>
      <c r="E9796" t="s">
        <v>8</v>
      </c>
      <c r="F9796" t="s">
        <v>9801</v>
      </c>
      <c r="G9796">
        <v>1</v>
      </c>
    </row>
    <row r="9797" spans="1:7" x14ac:dyDescent="0.25">
      <c r="A9797">
        <v>31</v>
      </c>
      <c r="B9797" t="s">
        <v>9607</v>
      </c>
      <c r="C9797">
        <v>12789</v>
      </c>
      <c r="D9797" t="str">
        <f>"1040-7278"</f>
        <v>1040-7278</v>
      </c>
      <c r="E9797" t="s">
        <v>8</v>
      </c>
      <c r="F9797" t="s">
        <v>9802</v>
      </c>
      <c r="G9797">
        <v>1</v>
      </c>
    </row>
    <row r="9798" spans="1:7" x14ac:dyDescent="0.25">
      <c r="A9798">
        <v>31</v>
      </c>
      <c r="B9798" t="s">
        <v>9607</v>
      </c>
      <c r="C9798">
        <v>11518</v>
      </c>
      <c r="D9798" t="str">
        <f>"0021-9797"</f>
        <v>0021-9797</v>
      </c>
      <c r="E9798" t="s">
        <v>8</v>
      </c>
      <c r="F9798" t="s">
        <v>9803</v>
      </c>
      <c r="G9798">
        <v>1</v>
      </c>
    </row>
    <row r="9799" spans="1:7" x14ac:dyDescent="0.25">
      <c r="A9799">
        <v>31</v>
      </c>
      <c r="B9799" t="s">
        <v>9607</v>
      </c>
      <c r="C9799">
        <v>15502</v>
      </c>
      <c r="D9799" t="str">
        <f>"0192-8651"</f>
        <v>0192-8651</v>
      </c>
      <c r="E9799" t="s">
        <v>8</v>
      </c>
      <c r="F9799" t="s">
        <v>9804</v>
      </c>
      <c r="G9799">
        <v>1</v>
      </c>
    </row>
    <row r="9800" spans="1:7" x14ac:dyDescent="0.25">
      <c r="A9800">
        <v>31</v>
      </c>
      <c r="B9800" t="s">
        <v>9607</v>
      </c>
      <c r="C9800">
        <v>16632</v>
      </c>
      <c r="D9800" t="str">
        <f>"0095-8972"</f>
        <v>0095-8972</v>
      </c>
      <c r="E9800" t="s">
        <v>8</v>
      </c>
      <c r="F9800" t="s">
        <v>9805</v>
      </c>
      <c r="G9800">
        <v>1</v>
      </c>
    </row>
    <row r="9801" spans="1:7" x14ac:dyDescent="0.25">
      <c r="A9801">
        <v>31</v>
      </c>
      <c r="B9801" t="s">
        <v>9607</v>
      </c>
      <c r="C9801">
        <v>9220</v>
      </c>
      <c r="D9801" t="str">
        <f>"0022-0248"</f>
        <v>0022-0248</v>
      </c>
      <c r="E9801" t="s">
        <v>8</v>
      </c>
      <c r="F9801" t="s">
        <v>9806</v>
      </c>
      <c r="G9801">
        <v>1</v>
      </c>
    </row>
    <row r="9802" spans="1:7" x14ac:dyDescent="0.25">
      <c r="A9802">
        <v>31</v>
      </c>
      <c r="B9802" t="s">
        <v>9607</v>
      </c>
      <c r="C9802">
        <v>17387</v>
      </c>
      <c r="D9802" t="str">
        <f>"1773-2247"</f>
        <v>1773-2247</v>
      </c>
      <c r="E9802" t="s">
        <v>8</v>
      </c>
      <c r="F9802" t="s">
        <v>9807</v>
      </c>
      <c r="G9802">
        <v>1</v>
      </c>
    </row>
    <row r="9803" spans="1:7" x14ac:dyDescent="0.25">
      <c r="A9803">
        <v>31</v>
      </c>
      <c r="B9803" t="s">
        <v>9607</v>
      </c>
      <c r="C9803">
        <v>3687</v>
      </c>
      <c r="D9803" t="str">
        <f>"1572-6657"</f>
        <v>1572-6657</v>
      </c>
      <c r="E9803" t="s">
        <v>8</v>
      </c>
      <c r="F9803" t="s">
        <v>9808</v>
      </c>
      <c r="G9803">
        <v>1</v>
      </c>
    </row>
    <row r="9804" spans="1:7" x14ac:dyDescent="0.25">
      <c r="A9804">
        <v>31</v>
      </c>
      <c r="B9804" t="s">
        <v>9607</v>
      </c>
      <c r="C9804">
        <v>5676</v>
      </c>
      <c r="D9804" t="str">
        <f>"1385-3449"</f>
        <v>1385-3449</v>
      </c>
      <c r="E9804" t="s">
        <v>8</v>
      </c>
      <c r="F9804" t="s">
        <v>9809</v>
      </c>
      <c r="G9804">
        <v>1</v>
      </c>
    </row>
    <row r="9805" spans="1:7" x14ac:dyDescent="0.25">
      <c r="A9805">
        <v>31</v>
      </c>
      <c r="B9805" t="s">
        <v>9607</v>
      </c>
      <c r="C9805">
        <v>8821</v>
      </c>
      <c r="D9805" t="str">
        <f>"0368-2048"</f>
        <v>0368-2048</v>
      </c>
      <c r="E9805" t="s">
        <v>8</v>
      </c>
      <c r="F9805" t="s">
        <v>9810</v>
      </c>
      <c r="G9805">
        <v>1</v>
      </c>
    </row>
    <row r="9806" spans="1:7" x14ac:dyDescent="0.25">
      <c r="A9806">
        <v>31</v>
      </c>
      <c r="B9806" t="s">
        <v>9607</v>
      </c>
      <c r="C9806">
        <v>141188</v>
      </c>
      <c r="D9806" t="str">
        <f>"2095-4956"</f>
        <v>2095-4956</v>
      </c>
      <c r="E9806" t="s">
        <v>8</v>
      </c>
      <c r="F9806" t="s">
        <v>9811</v>
      </c>
      <c r="G9806">
        <v>1</v>
      </c>
    </row>
    <row r="9807" spans="1:7" x14ac:dyDescent="0.25">
      <c r="A9807">
        <v>31</v>
      </c>
      <c r="B9807" t="s">
        <v>9607</v>
      </c>
      <c r="C9807">
        <v>7686</v>
      </c>
      <c r="D9807" t="str">
        <f>"0022-1139"</f>
        <v>0022-1139</v>
      </c>
      <c r="E9807" t="s">
        <v>8</v>
      </c>
      <c r="F9807" t="s">
        <v>9812</v>
      </c>
      <c r="G9807">
        <v>1</v>
      </c>
    </row>
    <row r="9808" spans="1:7" x14ac:dyDescent="0.25">
      <c r="A9808">
        <v>31</v>
      </c>
      <c r="B9808" t="s">
        <v>9607</v>
      </c>
      <c r="C9808">
        <v>16457</v>
      </c>
      <c r="D9808" t="str">
        <f>"0022-152X"</f>
        <v>0022-152X</v>
      </c>
      <c r="E9808" t="s">
        <v>8</v>
      </c>
      <c r="F9808" t="s">
        <v>9813</v>
      </c>
      <c r="G9808">
        <v>1</v>
      </c>
    </row>
    <row r="9809" spans="1:7" x14ac:dyDescent="0.25">
      <c r="A9809">
        <v>31</v>
      </c>
      <c r="B9809" t="s">
        <v>9607</v>
      </c>
      <c r="C9809">
        <v>69</v>
      </c>
      <c r="D9809" t="str">
        <f>"1388-3127"</f>
        <v>1388-3127</v>
      </c>
      <c r="E9809" t="s">
        <v>8</v>
      </c>
      <c r="F9809" t="s">
        <v>9814</v>
      </c>
      <c r="G9809">
        <v>1</v>
      </c>
    </row>
    <row r="9810" spans="1:7" x14ac:dyDescent="0.25">
      <c r="A9810">
        <v>31</v>
      </c>
      <c r="B9810" t="s">
        <v>9607</v>
      </c>
      <c r="C9810">
        <v>17014</v>
      </c>
      <c r="D9810" t="str">
        <f>"1574-1443"</f>
        <v>1574-1443</v>
      </c>
      <c r="E9810" t="s">
        <v>8</v>
      </c>
      <c r="F9810" t="s">
        <v>9815</v>
      </c>
      <c r="G9810">
        <v>1</v>
      </c>
    </row>
    <row r="9811" spans="1:7" x14ac:dyDescent="0.25">
      <c r="A9811">
        <v>31</v>
      </c>
      <c r="B9811" t="s">
        <v>9607</v>
      </c>
      <c r="C9811">
        <v>9917</v>
      </c>
      <c r="D9811" t="str">
        <f>"0162-0134"</f>
        <v>0162-0134</v>
      </c>
      <c r="E9811" t="s">
        <v>8</v>
      </c>
      <c r="F9811" t="s">
        <v>9816</v>
      </c>
      <c r="G9811">
        <v>1</v>
      </c>
    </row>
    <row r="9812" spans="1:7" x14ac:dyDescent="0.25">
      <c r="A9812">
        <v>31</v>
      </c>
      <c r="B9812" t="s">
        <v>9607</v>
      </c>
      <c r="C9812">
        <v>16148</v>
      </c>
      <c r="D9812" t="str">
        <f>"1060-1325"</f>
        <v>1060-1325</v>
      </c>
      <c r="E9812" t="s">
        <v>8</v>
      </c>
      <c r="F9812" t="s">
        <v>9817</v>
      </c>
      <c r="G9812">
        <v>1</v>
      </c>
    </row>
    <row r="9813" spans="1:7" x14ac:dyDescent="0.25">
      <c r="A9813">
        <v>31</v>
      </c>
      <c r="B9813" t="s">
        <v>9607</v>
      </c>
      <c r="C9813">
        <v>4242</v>
      </c>
      <c r="D9813" t="str">
        <f>"0022-2348"</f>
        <v>0022-2348</v>
      </c>
      <c r="E9813" t="s">
        <v>8</v>
      </c>
      <c r="F9813" t="s">
        <v>9818</v>
      </c>
      <c r="G9813">
        <v>1</v>
      </c>
    </row>
    <row r="9814" spans="1:7" x14ac:dyDescent="0.25">
      <c r="A9814">
        <v>31</v>
      </c>
      <c r="B9814" t="s">
        <v>9607</v>
      </c>
      <c r="C9814">
        <v>10545</v>
      </c>
      <c r="D9814" t="str">
        <f>"1090-7807"</f>
        <v>1090-7807</v>
      </c>
      <c r="E9814" t="s">
        <v>8</v>
      </c>
      <c r="F9814" t="s">
        <v>9819</v>
      </c>
      <c r="G9814">
        <v>1</v>
      </c>
    </row>
    <row r="9815" spans="1:7" x14ac:dyDescent="0.25">
      <c r="A9815">
        <v>31</v>
      </c>
      <c r="B9815" t="s">
        <v>9607</v>
      </c>
      <c r="C9815">
        <v>9278</v>
      </c>
      <c r="D9815" t="str">
        <f>"1381-1169"</f>
        <v>1381-1169</v>
      </c>
      <c r="E9815" t="s">
        <v>8</v>
      </c>
      <c r="F9815" t="s">
        <v>9820</v>
      </c>
      <c r="G9815">
        <v>1</v>
      </c>
    </row>
    <row r="9816" spans="1:7" x14ac:dyDescent="0.25">
      <c r="A9816">
        <v>31</v>
      </c>
      <c r="B9816" t="s">
        <v>9607</v>
      </c>
      <c r="C9816">
        <v>8087</v>
      </c>
      <c r="D9816" t="str">
        <f>"1381-1177"</f>
        <v>1381-1177</v>
      </c>
      <c r="E9816" t="s">
        <v>8</v>
      </c>
      <c r="F9816" t="s">
        <v>9821</v>
      </c>
      <c r="G9816">
        <v>1</v>
      </c>
    </row>
    <row r="9817" spans="1:7" x14ac:dyDescent="0.25">
      <c r="A9817">
        <v>31</v>
      </c>
      <c r="B9817" t="s">
        <v>9607</v>
      </c>
      <c r="C9817">
        <v>4524</v>
      </c>
      <c r="D9817" t="str">
        <f>"1093-3263"</f>
        <v>1093-3263</v>
      </c>
      <c r="E9817" t="s">
        <v>8</v>
      </c>
      <c r="F9817" t="s">
        <v>9822</v>
      </c>
      <c r="G9817">
        <v>1</v>
      </c>
    </row>
    <row r="9818" spans="1:7" x14ac:dyDescent="0.25">
      <c r="A9818">
        <v>31</v>
      </c>
      <c r="B9818" t="s">
        <v>9607</v>
      </c>
      <c r="C9818">
        <v>3140</v>
      </c>
      <c r="D9818" t="str">
        <f>"1610-2940"</f>
        <v>1610-2940</v>
      </c>
      <c r="E9818" t="s">
        <v>8</v>
      </c>
      <c r="F9818" t="s">
        <v>9823</v>
      </c>
      <c r="G9818">
        <v>1</v>
      </c>
    </row>
    <row r="9819" spans="1:7" x14ac:dyDescent="0.25">
      <c r="A9819">
        <v>31</v>
      </c>
      <c r="B9819" t="s">
        <v>9607</v>
      </c>
      <c r="C9819">
        <v>16864</v>
      </c>
      <c r="D9819" t="str">
        <f>"0952-3499"</f>
        <v>0952-3499</v>
      </c>
      <c r="E9819" t="s">
        <v>8</v>
      </c>
      <c r="F9819" t="s">
        <v>9824</v>
      </c>
      <c r="G9819">
        <v>1</v>
      </c>
    </row>
    <row r="9820" spans="1:7" x14ac:dyDescent="0.25">
      <c r="A9820">
        <v>31</v>
      </c>
      <c r="B9820" t="s">
        <v>9607</v>
      </c>
      <c r="C9820">
        <v>11067</v>
      </c>
      <c r="D9820" t="str">
        <f>"0022-2852"</f>
        <v>0022-2852</v>
      </c>
      <c r="E9820" t="s">
        <v>8</v>
      </c>
      <c r="F9820" t="s">
        <v>9825</v>
      </c>
      <c r="G9820">
        <v>1</v>
      </c>
    </row>
    <row r="9821" spans="1:7" x14ac:dyDescent="0.25">
      <c r="A9821">
        <v>31</v>
      </c>
      <c r="B9821" t="s">
        <v>9607</v>
      </c>
      <c r="C9821">
        <v>9626</v>
      </c>
      <c r="D9821" t="str">
        <f>"0166-1280"</f>
        <v>0166-1280</v>
      </c>
      <c r="E9821" t="s">
        <v>8</v>
      </c>
      <c r="F9821" t="s">
        <v>9826</v>
      </c>
      <c r="G9821">
        <v>1</v>
      </c>
    </row>
    <row r="9822" spans="1:7" x14ac:dyDescent="0.25">
      <c r="A9822">
        <v>31</v>
      </c>
      <c r="B9822" t="s">
        <v>9607</v>
      </c>
      <c r="C9822">
        <v>11941</v>
      </c>
      <c r="D9822" t="str">
        <f>"0022-328X"</f>
        <v>0022-328X</v>
      </c>
      <c r="E9822" t="s">
        <v>8</v>
      </c>
      <c r="F9822" t="s">
        <v>9827</v>
      </c>
      <c r="G9822">
        <v>1</v>
      </c>
    </row>
    <row r="9823" spans="1:7" x14ac:dyDescent="0.25">
      <c r="A9823">
        <v>31</v>
      </c>
      <c r="B9823" t="s">
        <v>9607</v>
      </c>
      <c r="C9823">
        <v>15424</v>
      </c>
      <c r="D9823" t="str">
        <f>"1010-6030"</f>
        <v>1010-6030</v>
      </c>
      <c r="E9823" t="s">
        <v>8</v>
      </c>
      <c r="F9823" t="s">
        <v>9828</v>
      </c>
      <c r="G9823">
        <v>1</v>
      </c>
    </row>
    <row r="9824" spans="1:7" x14ac:dyDescent="0.25">
      <c r="A9824">
        <v>31</v>
      </c>
      <c r="B9824" t="s">
        <v>9607</v>
      </c>
      <c r="C9824">
        <v>16172</v>
      </c>
      <c r="D9824" t="str">
        <f>"0914-9244"</f>
        <v>0914-9244</v>
      </c>
      <c r="E9824" t="s">
        <v>8</v>
      </c>
      <c r="F9824" t="s">
        <v>9829</v>
      </c>
      <c r="G9824">
        <v>1</v>
      </c>
    </row>
    <row r="9825" spans="1:7" x14ac:dyDescent="0.25">
      <c r="A9825">
        <v>31</v>
      </c>
      <c r="B9825" t="s">
        <v>9607</v>
      </c>
      <c r="C9825">
        <v>5811</v>
      </c>
      <c r="D9825" t="str">
        <f>"0047-2689"</f>
        <v>0047-2689</v>
      </c>
      <c r="E9825" t="s">
        <v>8</v>
      </c>
      <c r="F9825" t="s">
        <v>9830</v>
      </c>
      <c r="G9825">
        <v>1</v>
      </c>
    </row>
    <row r="9826" spans="1:7" x14ac:dyDescent="0.25">
      <c r="A9826">
        <v>31</v>
      </c>
      <c r="B9826" t="s">
        <v>9607</v>
      </c>
      <c r="C9826">
        <v>13743</v>
      </c>
      <c r="D9826" t="str">
        <f>"0894-3230"</f>
        <v>0894-3230</v>
      </c>
      <c r="E9826" t="s">
        <v>8</v>
      </c>
      <c r="F9826" t="s">
        <v>9831</v>
      </c>
      <c r="G9826">
        <v>1</v>
      </c>
    </row>
    <row r="9827" spans="1:7" x14ac:dyDescent="0.25">
      <c r="A9827">
        <v>31</v>
      </c>
      <c r="B9827" t="s">
        <v>9607</v>
      </c>
      <c r="C9827">
        <v>13098</v>
      </c>
      <c r="D9827" t="str">
        <f>"0022-3697"</f>
        <v>0022-3697</v>
      </c>
      <c r="E9827" t="s">
        <v>8</v>
      </c>
      <c r="F9827" t="s">
        <v>9832</v>
      </c>
      <c r="G9827">
        <v>1</v>
      </c>
    </row>
    <row r="9828" spans="1:7" x14ac:dyDescent="0.25">
      <c r="A9828">
        <v>31</v>
      </c>
      <c r="B9828" t="s">
        <v>9607</v>
      </c>
      <c r="C9828">
        <v>405</v>
      </c>
      <c r="D9828" t="str">
        <f>"0933-4173"</f>
        <v>0933-4173</v>
      </c>
      <c r="E9828" t="s">
        <v>8</v>
      </c>
      <c r="F9828" t="s">
        <v>9833</v>
      </c>
      <c r="G9828">
        <v>1</v>
      </c>
    </row>
    <row r="9829" spans="1:7" x14ac:dyDescent="0.25">
      <c r="A9829">
        <v>31</v>
      </c>
      <c r="B9829" t="s">
        <v>9607</v>
      </c>
      <c r="C9829">
        <v>459</v>
      </c>
      <c r="D9829" t="str">
        <f>"0334-6447"</f>
        <v>0334-6447</v>
      </c>
      <c r="E9829" t="s">
        <v>8</v>
      </c>
      <c r="F9829" t="s">
        <v>9834</v>
      </c>
      <c r="G9829">
        <v>1</v>
      </c>
    </row>
    <row r="9830" spans="1:7" x14ac:dyDescent="0.25">
      <c r="A9830">
        <v>31</v>
      </c>
      <c r="B9830" t="s">
        <v>9607</v>
      </c>
      <c r="C9830">
        <v>14597</v>
      </c>
      <c r="D9830" t="str">
        <f>"0970-0838"</f>
        <v>0970-0838</v>
      </c>
      <c r="E9830" t="s">
        <v>8</v>
      </c>
      <c r="F9830" t="s">
        <v>9835</v>
      </c>
      <c r="G9830">
        <v>1</v>
      </c>
    </row>
    <row r="9831" spans="1:7" x14ac:dyDescent="0.25">
      <c r="A9831">
        <v>31</v>
      </c>
      <c r="B9831" t="s">
        <v>9607</v>
      </c>
      <c r="C9831">
        <v>12629</v>
      </c>
      <c r="D9831" t="str">
        <f>"1022-9760"</f>
        <v>1022-9760</v>
      </c>
      <c r="E9831" t="s">
        <v>8</v>
      </c>
      <c r="F9831" t="s">
        <v>9836</v>
      </c>
      <c r="G9831">
        <v>1</v>
      </c>
    </row>
    <row r="9832" spans="1:7" x14ac:dyDescent="0.25">
      <c r="A9832">
        <v>31</v>
      </c>
      <c r="B9832" t="s">
        <v>9607</v>
      </c>
      <c r="C9832">
        <v>11036</v>
      </c>
      <c r="D9832" t="str">
        <f>"0887-624X"</f>
        <v>0887-624X</v>
      </c>
      <c r="E9832" t="s">
        <v>8</v>
      </c>
      <c r="F9832" t="s">
        <v>9837</v>
      </c>
      <c r="G9832">
        <v>1</v>
      </c>
    </row>
    <row r="9833" spans="1:7" x14ac:dyDescent="0.25">
      <c r="A9833">
        <v>31</v>
      </c>
      <c r="B9833" t="s">
        <v>9607</v>
      </c>
      <c r="C9833">
        <v>2908</v>
      </c>
      <c r="D9833" t="str">
        <f>"0887-6266"</f>
        <v>0887-6266</v>
      </c>
      <c r="E9833" t="s">
        <v>8</v>
      </c>
      <c r="F9833" t="s">
        <v>9838</v>
      </c>
      <c r="G9833">
        <v>1</v>
      </c>
    </row>
    <row r="9834" spans="1:7" x14ac:dyDescent="0.25">
      <c r="A9834">
        <v>31</v>
      </c>
      <c r="B9834" t="s">
        <v>9607</v>
      </c>
      <c r="C9834">
        <v>9040</v>
      </c>
      <c r="D9834" t="str">
        <f>"1088-4246"</f>
        <v>1088-4246</v>
      </c>
      <c r="E9834" t="s">
        <v>8</v>
      </c>
      <c r="F9834" t="s">
        <v>9839</v>
      </c>
      <c r="G9834">
        <v>1</v>
      </c>
    </row>
    <row r="9835" spans="1:7" x14ac:dyDescent="0.25">
      <c r="A9835">
        <v>31</v>
      </c>
      <c r="B9835" t="s">
        <v>9607</v>
      </c>
      <c r="C9835">
        <v>8011</v>
      </c>
      <c r="D9835" t="str">
        <f>"0022-4073"</f>
        <v>0022-4073</v>
      </c>
      <c r="E9835" t="s">
        <v>8</v>
      </c>
      <c r="F9835" t="s">
        <v>9840</v>
      </c>
      <c r="G9835">
        <v>1</v>
      </c>
    </row>
    <row r="9836" spans="1:7" x14ac:dyDescent="0.25">
      <c r="A9836">
        <v>31</v>
      </c>
      <c r="B9836" t="s">
        <v>9607</v>
      </c>
      <c r="C9836">
        <v>7891</v>
      </c>
      <c r="D9836" t="str">
        <f>"0236-5731"</f>
        <v>0236-5731</v>
      </c>
      <c r="E9836" t="s">
        <v>8</v>
      </c>
      <c r="F9836" t="s">
        <v>9841</v>
      </c>
      <c r="G9836">
        <v>1</v>
      </c>
    </row>
    <row r="9837" spans="1:7" x14ac:dyDescent="0.25">
      <c r="A9837">
        <v>31</v>
      </c>
      <c r="B9837" t="s">
        <v>9607</v>
      </c>
      <c r="C9837">
        <v>8129</v>
      </c>
      <c r="D9837" t="str">
        <f>"0377-0486"</f>
        <v>0377-0486</v>
      </c>
      <c r="E9837" t="s">
        <v>8</v>
      </c>
      <c r="F9837" t="s">
        <v>9842</v>
      </c>
      <c r="G9837">
        <v>1</v>
      </c>
    </row>
    <row r="9838" spans="1:7" x14ac:dyDescent="0.25">
      <c r="A9838">
        <v>31</v>
      </c>
      <c r="B9838" t="s">
        <v>9607</v>
      </c>
      <c r="C9838">
        <v>8782516</v>
      </c>
      <c r="D9838" t="str">
        <f>"2245-4551"</f>
        <v>2245-4551</v>
      </c>
      <c r="E9838" t="s">
        <v>8</v>
      </c>
      <c r="F9838" t="s">
        <v>9843</v>
      </c>
      <c r="G9838">
        <v>1</v>
      </c>
    </row>
    <row r="9839" spans="1:7" x14ac:dyDescent="0.25">
      <c r="A9839">
        <v>31</v>
      </c>
      <c r="B9839" t="s">
        <v>9607</v>
      </c>
      <c r="C9839">
        <v>147685</v>
      </c>
      <c r="D9839" t="str">
        <f>"1687-725X"</f>
        <v>1687-725X</v>
      </c>
      <c r="E9839" t="s">
        <v>8</v>
      </c>
      <c r="F9839" t="s">
        <v>9844</v>
      </c>
      <c r="G9839">
        <v>1</v>
      </c>
    </row>
    <row r="9840" spans="1:7" x14ac:dyDescent="0.25">
      <c r="A9840">
        <v>31</v>
      </c>
      <c r="B9840" t="s">
        <v>9607</v>
      </c>
      <c r="C9840">
        <v>5859</v>
      </c>
      <c r="D9840" t="str">
        <f>"0022-4596"</f>
        <v>0022-4596</v>
      </c>
      <c r="E9840" t="s">
        <v>8</v>
      </c>
      <c r="F9840" t="s">
        <v>9845</v>
      </c>
      <c r="G9840">
        <v>1</v>
      </c>
    </row>
    <row r="9841" spans="1:7" x14ac:dyDescent="0.25">
      <c r="A9841">
        <v>31</v>
      </c>
      <c r="B9841" t="s">
        <v>9607</v>
      </c>
      <c r="C9841">
        <v>12220</v>
      </c>
      <c r="D9841" t="str">
        <f>"1432-8488"</f>
        <v>1432-8488</v>
      </c>
      <c r="E9841" t="s">
        <v>8</v>
      </c>
      <c r="F9841" t="s">
        <v>9846</v>
      </c>
      <c r="G9841">
        <v>1</v>
      </c>
    </row>
    <row r="9842" spans="1:7" x14ac:dyDescent="0.25">
      <c r="A9842">
        <v>31</v>
      </c>
      <c r="B9842" t="s">
        <v>9607</v>
      </c>
      <c r="C9842">
        <v>9995</v>
      </c>
      <c r="D9842" t="str">
        <f>"0095-9782"</f>
        <v>0095-9782</v>
      </c>
      <c r="E9842" t="s">
        <v>8</v>
      </c>
      <c r="F9842" t="s">
        <v>9847</v>
      </c>
      <c r="G9842">
        <v>1</v>
      </c>
    </row>
    <row r="9843" spans="1:7" x14ac:dyDescent="0.25">
      <c r="A9843">
        <v>31</v>
      </c>
      <c r="B9843" t="s">
        <v>9607</v>
      </c>
      <c r="C9843">
        <v>13042</v>
      </c>
      <c r="D9843" t="str">
        <f>"2314-4920"</f>
        <v>2314-4920</v>
      </c>
      <c r="E9843" t="s">
        <v>8</v>
      </c>
      <c r="F9843" t="s">
        <v>9848</v>
      </c>
      <c r="G9843">
        <v>1</v>
      </c>
    </row>
    <row r="9844" spans="1:7" x14ac:dyDescent="0.25">
      <c r="A9844">
        <v>31</v>
      </c>
      <c r="B9844" t="s">
        <v>9607</v>
      </c>
      <c r="C9844">
        <v>15923</v>
      </c>
      <c r="D9844" t="str">
        <f>"0022-4766"</f>
        <v>0022-4766</v>
      </c>
      <c r="E9844" t="s">
        <v>8</v>
      </c>
      <c r="F9844" t="s">
        <v>9849</v>
      </c>
      <c r="G9844">
        <v>1</v>
      </c>
    </row>
    <row r="9845" spans="1:7" x14ac:dyDescent="0.25">
      <c r="A9845">
        <v>31</v>
      </c>
      <c r="B9845" t="s">
        <v>9607</v>
      </c>
      <c r="C9845">
        <v>12431</v>
      </c>
      <c r="D9845" t="str">
        <f>"1741-5993"</f>
        <v>1741-5993</v>
      </c>
      <c r="E9845" t="s">
        <v>8</v>
      </c>
      <c r="F9845" t="s">
        <v>9850</v>
      </c>
      <c r="G9845">
        <v>1</v>
      </c>
    </row>
    <row r="9846" spans="1:7" x14ac:dyDescent="0.25">
      <c r="A9846">
        <v>31</v>
      </c>
      <c r="B9846" t="s">
        <v>9607</v>
      </c>
      <c r="C9846">
        <v>1890</v>
      </c>
      <c r="D9846" t="str">
        <f>"1044-0305"</f>
        <v>1044-0305</v>
      </c>
      <c r="E9846" t="s">
        <v>8</v>
      </c>
      <c r="F9846" t="s">
        <v>9851</v>
      </c>
      <c r="G9846">
        <v>1</v>
      </c>
    </row>
    <row r="9847" spans="1:7" x14ac:dyDescent="0.25">
      <c r="A9847">
        <v>31</v>
      </c>
      <c r="B9847" t="s">
        <v>9607</v>
      </c>
      <c r="C9847">
        <v>4420</v>
      </c>
      <c r="D9847" t="str">
        <f>"0103-5053"</f>
        <v>0103-5053</v>
      </c>
      <c r="E9847" t="s">
        <v>8</v>
      </c>
      <c r="F9847" t="s">
        <v>9852</v>
      </c>
      <c r="G9847">
        <v>1</v>
      </c>
    </row>
    <row r="9848" spans="1:7" x14ac:dyDescent="0.25">
      <c r="A9848">
        <v>31</v>
      </c>
      <c r="B9848" t="s">
        <v>9607</v>
      </c>
      <c r="C9848">
        <v>5628</v>
      </c>
      <c r="D9848" t="str">
        <f>"0253-5106"</f>
        <v>0253-5106</v>
      </c>
      <c r="E9848" t="s">
        <v>8</v>
      </c>
      <c r="F9848" t="s">
        <v>9853</v>
      </c>
      <c r="G9848">
        <v>1</v>
      </c>
    </row>
    <row r="9849" spans="1:7" x14ac:dyDescent="0.25">
      <c r="A9849">
        <v>31</v>
      </c>
      <c r="B9849" t="s">
        <v>9607</v>
      </c>
      <c r="C9849">
        <v>11468</v>
      </c>
      <c r="D9849" t="str">
        <f>"0717-9324"</f>
        <v>0717-9324</v>
      </c>
      <c r="E9849" t="s">
        <v>8</v>
      </c>
      <c r="F9849" t="s">
        <v>9854</v>
      </c>
      <c r="G9849">
        <v>1</v>
      </c>
    </row>
    <row r="9850" spans="1:7" x14ac:dyDescent="0.25">
      <c r="A9850">
        <v>31</v>
      </c>
      <c r="B9850" t="s">
        <v>9607</v>
      </c>
      <c r="C9850">
        <v>10653</v>
      </c>
      <c r="D9850" t="str">
        <f>"0009-4536"</f>
        <v>0009-4536</v>
      </c>
      <c r="E9850" t="s">
        <v>8</v>
      </c>
      <c r="F9850" t="s">
        <v>9855</v>
      </c>
      <c r="G9850">
        <v>1</v>
      </c>
    </row>
    <row r="9851" spans="1:7" x14ac:dyDescent="0.25">
      <c r="A9851">
        <v>31</v>
      </c>
      <c r="B9851" t="s">
        <v>9607</v>
      </c>
      <c r="C9851">
        <v>7657</v>
      </c>
      <c r="D9851" t="str">
        <f>"0013-4651"</f>
        <v>0013-4651</v>
      </c>
      <c r="E9851" t="s">
        <v>8</v>
      </c>
      <c r="F9851" t="s">
        <v>9856</v>
      </c>
      <c r="G9851">
        <v>1</v>
      </c>
    </row>
    <row r="9852" spans="1:7" x14ac:dyDescent="0.25">
      <c r="A9852">
        <v>31</v>
      </c>
      <c r="B9852" t="s">
        <v>9607</v>
      </c>
      <c r="C9852">
        <v>2576</v>
      </c>
      <c r="D9852" t="str">
        <f>"0019-4522"</f>
        <v>0019-4522</v>
      </c>
      <c r="E9852" t="s">
        <v>8</v>
      </c>
      <c r="F9852" t="s">
        <v>9857</v>
      </c>
      <c r="G9852">
        <v>1</v>
      </c>
    </row>
    <row r="9853" spans="1:7" x14ac:dyDescent="0.25">
      <c r="A9853">
        <v>31</v>
      </c>
      <c r="B9853" t="s">
        <v>9607</v>
      </c>
      <c r="C9853">
        <v>3413</v>
      </c>
      <c r="D9853" t="str">
        <f>"0219-6336"</f>
        <v>0219-6336</v>
      </c>
      <c r="E9853" t="s">
        <v>8</v>
      </c>
      <c r="F9853" t="s">
        <v>9858</v>
      </c>
      <c r="G9853">
        <v>1</v>
      </c>
    </row>
    <row r="9854" spans="1:7" x14ac:dyDescent="0.25">
      <c r="A9854">
        <v>31</v>
      </c>
      <c r="B9854" t="s">
        <v>9607</v>
      </c>
      <c r="C9854">
        <v>2572</v>
      </c>
      <c r="D9854" t="str">
        <f>"1388-6150"</f>
        <v>1388-6150</v>
      </c>
      <c r="E9854" t="s">
        <v>8</v>
      </c>
      <c r="F9854" t="s">
        <v>9859</v>
      </c>
      <c r="G9854">
        <v>1</v>
      </c>
    </row>
    <row r="9855" spans="1:7" x14ac:dyDescent="0.25">
      <c r="A9855">
        <v>31</v>
      </c>
      <c r="B9855" t="s">
        <v>9607</v>
      </c>
      <c r="C9855">
        <v>9121</v>
      </c>
      <c r="D9855" t="str">
        <f>"0386-2186"</f>
        <v>0386-2186</v>
      </c>
      <c r="E9855" t="s">
        <v>8</v>
      </c>
      <c r="F9855" t="s">
        <v>9860</v>
      </c>
      <c r="G9855">
        <v>1</v>
      </c>
    </row>
    <row r="9856" spans="1:7" x14ac:dyDescent="0.25">
      <c r="A9856">
        <v>31</v>
      </c>
      <c r="B9856" t="s">
        <v>9607</v>
      </c>
      <c r="C9856">
        <v>15750</v>
      </c>
      <c r="D9856" t="str">
        <f>"0151-9093"</f>
        <v>0151-9093</v>
      </c>
      <c r="E9856" t="s">
        <v>8</v>
      </c>
      <c r="F9856" t="s">
        <v>9861</v>
      </c>
      <c r="G9856">
        <v>1</v>
      </c>
    </row>
    <row r="9857" spans="1:7" x14ac:dyDescent="0.25">
      <c r="A9857">
        <v>31</v>
      </c>
      <c r="B9857" t="s">
        <v>9607</v>
      </c>
      <c r="C9857">
        <v>6186</v>
      </c>
      <c r="D9857" t="str">
        <f>"1471-6577"</f>
        <v>1471-6577</v>
      </c>
      <c r="E9857" t="s">
        <v>8</v>
      </c>
      <c r="F9857" t="s">
        <v>9862</v>
      </c>
      <c r="G9857">
        <v>1</v>
      </c>
    </row>
    <row r="9858" spans="1:7" x14ac:dyDescent="0.25">
      <c r="A9858">
        <v>31</v>
      </c>
      <c r="B9858" t="s">
        <v>9607</v>
      </c>
      <c r="C9858">
        <v>9531</v>
      </c>
      <c r="D9858" t="str">
        <f>"1527-5949"</f>
        <v>1527-5949</v>
      </c>
      <c r="E9858" t="s">
        <v>8</v>
      </c>
      <c r="F9858" t="s">
        <v>9863</v>
      </c>
      <c r="G9858">
        <v>1</v>
      </c>
    </row>
    <row r="9859" spans="1:7" x14ac:dyDescent="0.25">
      <c r="A9859">
        <v>31</v>
      </c>
      <c r="B9859" t="s">
        <v>9607</v>
      </c>
      <c r="C9859">
        <v>6659</v>
      </c>
      <c r="D9859" t="str">
        <f>"1570-1786"</f>
        <v>1570-1786</v>
      </c>
      <c r="E9859" t="s">
        <v>8</v>
      </c>
      <c r="F9859" t="s">
        <v>9864</v>
      </c>
      <c r="G9859">
        <v>1</v>
      </c>
    </row>
    <row r="9860" spans="1:7" x14ac:dyDescent="0.25">
      <c r="A9860">
        <v>31</v>
      </c>
      <c r="B9860" t="s">
        <v>9607</v>
      </c>
      <c r="C9860">
        <v>4954</v>
      </c>
      <c r="D9860" t="str">
        <f>"0267-8292"</f>
        <v>0267-8292</v>
      </c>
      <c r="E9860" t="s">
        <v>8</v>
      </c>
      <c r="F9860" t="s">
        <v>9865</v>
      </c>
      <c r="G9860">
        <v>1</v>
      </c>
    </row>
    <row r="9861" spans="1:7" x14ac:dyDescent="0.25">
      <c r="A9861">
        <v>31</v>
      </c>
      <c r="B9861" t="s">
        <v>9607</v>
      </c>
      <c r="C9861">
        <v>4084</v>
      </c>
      <c r="D9861" t="str">
        <f>"1022-1352"</f>
        <v>1022-1352</v>
      </c>
      <c r="E9861" t="s">
        <v>8</v>
      </c>
      <c r="F9861" t="s">
        <v>9866</v>
      </c>
      <c r="G9861">
        <v>1</v>
      </c>
    </row>
    <row r="9862" spans="1:7" x14ac:dyDescent="0.25">
      <c r="A9862">
        <v>31</v>
      </c>
      <c r="B9862" t="s">
        <v>9607</v>
      </c>
      <c r="C9862">
        <v>2534</v>
      </c>
      <c r="D9862" t="str">
        <f>"1022-1336"</f>
        <v>1022-1336</v>
      </c>
      <c r="E9862" t="s">
        <v>8</v>
      </c>
      <c r="F9862" t="s">
        <v>9867</v>
      </c>
      <c r="G9862">
        <v>1</v>
      </c>
    </row>
    <row r="9863" spans="1:7" x14ac:dyDescent="0.25">
      <c r="A9863">
        <v>31</v>
      </c>
      <c r="B9863" t="s">
        <v>9607</v>
      </c>
      <c r="C9863">
        <v>2834</v>
      </c>
      <c r="D9863" t="str">
        <f>"1598-5032"</f>
        <v>1598-5032</v>
      </c>
      <c r="E9863" t="s">
        <v>8</v>
      </c>
      <c r="F9863" t="s">
        <v>9868</v>
      </c>
      <c r="G9863">
        <v>1</v>
      </c>
    </row>
    <row r="9864" spans="1:7" x14ac:dyDescent="0.25">
      <c r="A9864">
        <v>31</v>
      </c>
      <c r="B9864" t="s">
        <v>9607</v>
      </c>
      <c r="C9864">
        <v>11999</v>
      </c>
      <c r="D9864" t="str">
        <f>"1022-1344"</f>
        <v>1022-1344</v>
      </c>
      <c r="E9864" t="s">
        <v>8</v>
      </c>
      <c r="F9864" t="s">
        <v>9869</v>
      </c>
      <c r="G9864">
        <v>1</v>
      </c>
    </row>
    <row r="9865" spans="1:7" x14ac:dyDescent="0.25">
      <c r="A9865">
        <v>31</v>
      </c>
      <c r="B9865" t="s">
        <v>9607</v>
      </c>
      <c r="C9865">
        <v>7525</v>
      </c>
      <c r="D9865" t="str">
        <f>"0749-1581"</f>
        <v>0749-1581</v>
      </c>
      <c r="E9865" t="s">
        <v>8</v>
      </c>
      <c r="F9865" t="s">
        <v>9870</v>
      </c>
      <c r="G9865">
        <v>1</v>
      </c>
    </row>
    <row r="9866" spans="1:7" x14ac:dyDescent="0.25">
      <c r="A9866">
        <v>31</v>
      </c>
      <c r="B9866" t="s">
        <v>9607</v>
      </c>
      <c r="C9866">
        <v>4256</v>
      </c>
      <c r="D9866" t="str">
        <f>"1024-1221"</f>
        <v>1024-1221</v>
      </c>
      <c r="E9866" t="s">
        <v>8</v>
      </c>
      <c r="F9866" t="s">
        <v>9871</v>
      </c>
      <c r="G9866">
        <v>1</v>
      </c>
    </row>
    <row r="9867" spans="1:7" x14ac:dyDescent="0.25">
      <c r="A9867">
        <v>31</v>
      </c>
      <c r="B9867" t="s">
        <v>9607</v>
      </c>
      <c r="C9867">
        <v>22503</v>
      </c>
      <c r="D9867" t="str">
        <f>"0792-1241"</f>
        <v>0792-1241</v>
      </c>
      <c r="E9867" t="s">
        <v>8</v>
      </c>
      <c r="F9867" t="s">
        <v>9872</v>
      </c>
      <c r="G9867">
        <v>1</v>
      </c>
    </row>
    <row r="9868" spans="1:7" x14ac:dyDescent="0.25">
      <c r="A9868">
        <v>31</v>
      </c>
      <c r="B9868" t="s">
        <v>9607</v>
      </c>
      <c r="C9868">
        <v>11965</v>
      </c>
      <c r="D9868" t="str">
        <f>"0277-7037"</f>
        <v>0277-7037</v>
      </c>
      <c r="E9868" t="s">
        <v>8</v>
      </c>
      <c r="F9868" t="s">
        <v>9873</v>
      </c>
      <c r="G9868">
        <v>1</v>
      </c>
    </row>
    <row r="9869" spans="1:7" x14ac:dyDescent="0.25">
      <c r="A9869">
        <v>31</v>
      </c>
      <c r="B9869" t="s">
        <v>9607</v>
      </c>
      <c r="C9869">
        <v>9142</v>
      </c>
      <c r="D9869" t="str">
        <f>"0254-0584"</f>
        <v>0254-0584</v>
      </c>
      <c r="E9869" t="s">
        <v>8</v>
      </c>
      <c r="F9869" t="s">
        <v>9874</v>
      </c>
      <c r="G9869">
        <v>1</v>
      </c>
    </row>
    <row r="9870" spans="1:7" x14ac:dyDescent="0.25">
      <c r="A9870">
        <v>31</v>
      </c>
      <c r="B9870" t="s">
        <v>9607</v>
      </c>
      <c r="C9870">
        <v>7697361</v>
      </c>
      <c r="D9870" t="str">
        <f>"2040-2503"</f>
        <v>2040-2503</v>
      </c>
      <c r="E9870" t="s">
        <v>8</v>
      </c>
      <c r="F9870" t="s">
        <v>9875</v>
      </c>
      <c r="G9870">
        <v>1</v>
      </c>
    </row>
    <row r="9871" spans="1:7" x14ac:dyDescent="0.25">
      <c r="A9871">
        <v>31</v>
      </c>
      <c r="B9871" t="s">
        <v>9607</v>
      </c>
      <c r="C9871">
        <v>6226</v>
      </c>
      <c r="D9871" t="str">
        <f>"0959-9436"</f>
        <v>0959-9436</v>
      </c>
      <c r="E9871" t="s">
        <v>8</v>
      </c>
      <c r="F9871" t="s">
        <v>9876</v>
      </c>
      <c r="G9871">
        <v>1</v>
      </c>
    </row>
    <row r="9872" spans="1:7" x14ac:dyDescent="0.25">
      <c r="A9872">
        <v>31</v>
      </c>
      <c r="B9872" t="s">
        <v>9607</v>
      </c>
      <c r="C9872">
        <v>1811</v>
      </c>
      <c r="D9872" t="str">
        <f>"0161-5149"</f>
        <v>0161-5149</v>
      </c>
      <c r="E9872" t="s">
        <v>8</v>
      </c>
      <c r="F9872" t="s">
        <v>9877</v>
      </c>
      <c r="G9872">
        <v>1</v>
      </c>
    </row>
    <row r="9873" spans="1:7" x14ac:dyDescent="0.25">
      <c r="A9873">
        <v>31</v>
      </c>
      <c r="B9873" t="s">
        <v>9607</v>
      </c>
      <c r="C9873">
        <v>154150</v>
      </c>
      <c r="D9873" t="str">
        <f>"1756-5901"</f>
        <v>1756-5901</v>
      </c>
      <c r="E9873" t="s">
        <v>8</v>
      </c>
      <c r="F9873" t="s">
        <v>9878</v>
      </c>
      <c r="G9873">
        <v>1</v>
      </c>
    </row>
    <row r="9874" spans="1:7" x14ac:dyDescent="0.25">
      <c r="A9874">
        <v>31</v>
      </c>
      <c r="B9874" t="s">
        <v>9607</v>
      </c>
      <c r="C9874">
        <v>7738584</v>
      </c>
      <c r="D9874" t="str">
        <f>"2050-6120"</f>
        <v>2050-6120</v>
      </c>
      <c r="E9874" t="s">
        <v>8</v>
      </c>
      <c r="F9874" t="s">
        <v>9879</v>
      </c>
      <c r="G9874">
        <v>1</v>
      </c>
    </row>
    <row r="9875" spans="1:7" x14ac:dyDescent="0.25">
      <c r="A9875">
        <v>31</v>
      </c>
      <c r="B9875" t="s">
        <v>9607</v>
      </c>
      <c r="C9875">
        <v>17475</v>
      </c>
      <c r="E9875" t="s">
        <v>8</v>
      </c>
      <c r="F9875" t="s">
        <v>9880</v>
      </c>
      <c r="G9875">
        <v>1</v>
      </c>
    </row>
    <row r="9876" spans="1:7" x14ac:dyDescent="0.25">
      <c r="A9876">
        <v>31</v>
      </c>
      <c r="B9876" t="s">
        <v>9607</v>
      </c>
      <c r="C9876">
        <v>2450</v>
      </c>
      <c r="D9876" t="str">
        <f>"0026-265X"</f>
        <v>0026-265X</v>
      </c>
      <c r="E9876" t="s">
        <v>8</v>
      </c>
      <c r="F9876" t="s">
        <v>9881</v>
      </c>
      <c r="G9876">
        <v>1</v>
      </c>
    </row>
    <row r="9877" spans="1:7" x14ac:dyDescent="0.25">
      <c r="A9877">
        <v>31</v>
      </c>
      <c r="B9877" t="s">
        <v>9607</v>
      </c>
      <c r="C9877">
        <v>15913</v>
      </c>
      <c r="D9877" t="str">
        <f>"0026-3672"</f>
        <v>0026-3672</v>
      </c>
      <c r="E9877" t="s">
        <v>8</v>
      </c>
      <c r="F9877" t="s">
        <v>9882</v>
      </c>
      <c r="G9877">
        <v>1</v>
      </c>
    </row>
    <row r="9878" spans="1:7" x14ac:dyDescent="0.25">
      <c r="A9878">
        <v>31</v>
      </c>
      <c r="B9878" t="s">
        <v>9607</v>
      </c>
      <c r="C9878">
        <v>17733</v>
      </c>
      <c r="D9878" t="str">
        <f>"1542-1406"</f>
        <v>1542-1406</v>
      </c>
      <c r="E9878" t="s">
        <v>8</v>
      </c>
      <c r="F9878" t="s">
        <v>9883</v>
      </c>
      <c r="G9878">
        <v>1</v>
      </c>
    </row>
    <row r="9879" spans="1:7" x14ac:dyDescent="0.25">
      <c r="A9879">
        <v>31</v>
      </c>
      <c r="B9879" t="s">
        <v>9607</v>
      </c>
      <c r="C9879">
        <v>2455</v>
      </c>
      <c r="D9879" t="str">
        <f>"1381-1991"</f>
        <v>1381-1991</v>
      </c>
      <c r="E9879" t="s">
        <v>8</v>
      </c>
      <c r="F9879" t="s">
        <v>9884</v>
      </c>
      <c r="G9879">
        <v>1</v>
      </c>
    </row>
    <row r="9880" spans="1:7" x14ac:dyDescent="0.25">
      <c r="A9880">
        <v>31</v>
      </c>
      <c r="B9880" t="s">
        <v>9607</v>
      </c>
      <c r="C9880">
        <v>12288</v>
      </c>
      <c r="D9880" t="str">
        <f>"1868-1743"</f>
        <v>1868-1743</v>
      </c>
      <c r="E9880" t="s">
        <v>8</v>
      </c>
      <c r="F9880" t="s">
        <v>9885</v>
      </c>
      <c r="G9880">
        <v>1</v>
      </c>
    </row>
    <row r="9881" spans="1:7" x14ac:dyDescent="0.25">
      <c r="A9881">
        <v>31</v>
      </c>
      <c r="B9881" t="s">
        <v>9607</v>
      </c>
      <c r="C9881">
        <v>12582</v>
      </c>
      <c r="D9881" t="str">
        <f>"1420-3049"</f>
        <v>1420-3049</v>
      </c>
      <c r="E9881" t="s">
        <v>8</v>
      </c>
      <c r="F9881" t="s">
        <v>9886</v>
      </c>
      <c r="G9881">
        <v>1</v>
      </c>
    </row>
    <row r="9882" spans="1:7" x14ac:dyDescent="0.25">
      <c r="A9882">
        <v>31</v>
      </c>
      <c r="B9882" t="s">
        <v>9607</v>
      </c>
      <c r="C9882">
        <v>5299</v>
      </c>
      <c r="D9882" t="str">
        <f>"0026-9247"</f>
        <v>0026-9247</v>
      </c>
      <c r="E9882" t="s">
        <v>8</v>
      </c>
      <c r="F9882" t="s">
        <v>9887</v>
      </c>
      <c r="G9882">
        <v>1</v>
      </c>
    </row>
    <row r="9883" spans="1:7" x14ac:dyDescent="0.25">
      <c r="A9883">
        <v>31</v>
      </c>
      <c r="B9883" t="s">
        <v>9607</v>
      </c>
      <c r="C9883">
        <v>8783786</v>
      </c>
      <c r="D9883" t="str">
        <f>"1874-6489"</f>
        <v>1874-6489</v>
      </c>
      <c r="E9883" t="s">
        <v>15</v>
      </c>
      <c r="F9883" t="s">
        <v>9888</v>
      </c>
      <c r="G9883">
        <v>1</v>
      </c>
    </row>
    <row r="9884" spans="1:7" x14ac:dyDescent="0.25">
      <c r="A9884">
        <v>31</v>
      </c>
      <c r="B9884" t="s">
        <v>9607</v>
      </c>
      <c r="C9884">
        <v>14630</v>
      </c>
      <c r="D9884" t="str">
        <f>"1934-578X"</f>
        <v>1934-578X</v>
      </c>
      <c r="E9884" t="s">
        <v>8</v>
      </c>
      <c r="F9884" t="s">
        <v>9889</v>
      </c>
      <c r="G9884">
        <v>1</v>
      </c>
    </row>
    <row r="9885" spans="1:7" x14ac:dyDescent="0.25">
      <c r="A9885">
        <v>31</v>
      </c>
      <c r="B9885" t="s">
        <v>9607</v>
      </c>
      <c r="C9885">
        <v>8782688</v>
      </c>
      <c r="E9885" t="s">
        <v>8</v>
      </c>
      <c r="F9885" t="s">
        <v>9890</v>
      </c>
      <c r="G9885">
        <v>1</v>
      </c>
    </row>
    <row r="9886" spans="1:7" x14ac:dyDescent="0.25">
      <c r="A9886">
        <v>31</v>
      </c>
      <c r="B9886" t="s">
        <v>9607</v>
      </c>
      <c r="C9886">
        <v>8782820</v>
      </c>
      <c r="D9886" t="str">
        <f>"2044-253X"</f>
        <v>2044-253X</v>
      </c>
      <c r="E9886" t="s">
        <v>15</v>
      </c>
      <c r="F9886" t="s">
        <v>9891</v>
      </c>
      <c r="G9886">
        <v>1</v>
      </c>
    </row>
    <row r="9887" spans="1:7" x14ac:dyDescent="0.25">
      <c r="A9887">
        <v>31</v>
      </c>
      <c r="B9887" t="s">
        <v>9607</v>
      </c>
      <c r="C9887">
        <v>2048</v>
      </c>
      <c r="D9887" t="str">
        <f>"1144-0546"</f>
        <v>1144-0546</v>
      </c>
      <c r="E9887" t="s">
        <v>8</v>
      </c>
      <c r="F9887" t="s">
        <v>9892</v>
      </c>
      <c r="G9887">
        <v>1</v>
      </c>
    </row>
    <row r="9888" spans="1:7" x14ac:dyDescent="0.25">
      <c r="A9888">
        <v>31</v>
      </c>
      <c r="B9888" t="s">
        <v>9607</v>
      </c>
      <c r="C9888">
        <v>11087</v>
      </c>
      <c r="D9888" t="str">
        <f>"0030-400X"</f>
        <v>0030-400X</v>
      </c>
      <c r="E9888" t="s">
        <v>8</v>
      </c>
      <c r="F9888" t="s">
        <v>9893</v>
      </c>
      <c r="G9888">
        <v>1</v>
      </c>
    </row>
    <row r="9889" spans="1:7" x14ac:dyDescent="0.25">
      <c r="A9889">
        <v>31</v>
      </c>
      <c r="B9889" t="s">
        <v>9607</v>
      </c>
      <c r="C9889">
        <v>1636</v>
      </c>
      <c r="D9889" t="str">
        <f>"0030-4948"</f>
        <v>0030-4948</v>
      </c>
      <c r="E9889" t="s">
        <v>8</v>
      </c>
      <c r="F9889" t="s">
        <v>9894</v>
      </c>
      <c r="G9889">
        <v>1</v>
      </c>
    </row>
    <row r="9890" spans="1:7" x14ac:dyDescent="0.25">
      <c r="A9890">
        <v>31</v>
      </c>
      <c r="B9890" t="s">
        <v>9607</v>
      </c>
      <c r="C9890">
        <v>2893</v>
      </c>
      <c r="D9890" t="str">
        <f>"0078-6209"</f>
        <v>0078-6209</v>
      </c>
      <c r="E9890" t="s">
        <v>8</v>
      </c>
      <c r="F9890" t="s">
        <v>9895</v>
      </c>
      <c r="G9890">
        <v>1</v>
      </c>
    </row>
    <row r="9891" spans="1:7" x14ac:dyDescent="0.25">
      <c r="A9891">
        <v>31</v>
      </c>
      <c r="B9891" t="s">
        <v>9607</v>
      </c>
      <c r="C9891">
        <v>9198</v>
      </c>
      <c r="D9891" t="str">
        <f>"0276-7333"</f>
        <v>0276-7333</v>
      </c>
      <c r="E9891" t="s">
        <v>8</v>
      </c>
      <c r="F9891" t="s">
        <v>9896</v>
      </c>
      <c r="G9891">
        <v>1</v>
      </c>
    </row>
    <row r="9892" spans="1:7" x14ac:dyDescent="0.25">
      <c r="A9892">
        <v>31</v>
      </c>
      <c r="B9892" t="s">
        <v>9607</v>
      </c>
      <c r="C9892">
        <v>15305</v>
      </c>
      <c r="D9892" t="str">
        <f>"0209-4541"</f>
        <v>0209-4541</v>
      </c>
      <c r="E9892" t="s">
        <v>8</v>
      </c>
      <c r="F9892" t="s">
        <v>9897</v>
      </c>
      <c r="G9892">
        <v>1</v>
      </c>
    </row>
    <row r="9893" spans="1:7" x14ac:dyDescent="0.25">
      <c r="A9893">
        <v>31</v>
      </c>
      <c r="B9893" t="s">
        <v>9607</v>
      </c>
      <c r="C9893">
        <v>7746632</v>
      </c>
      <c r="E9893" t="s">
        <v>8</v>
      </c>
      <c r="F9893" t="s">
        <v>9898</v>
      </c>
      <c r="G9893">
        <v>1</v>
      </c>
    </row>
    <row r="9894" spans="1:7" x14ac:dyDescent="0.25">
      <c r="A9894">
        <v>31</v>
      </c>
      <c r="B9894" t="s">
        <v>9607</v>
      </c>
      <c r="C9894">
        <v>4611</v>
      </c>
      <c r="D9894" t="str">
        <f>"1042-6507"</f>
        <v>1042-6507</v>
      </c>
      <c r="E9894" t="s">
        <v>8</v>
      </c>
      <c r="F9894" t="s">
        <v>9899</v>
      </c>
      <c r="G9894">
        <v>1</v>
      </c>
    </row>
    <row r="9895" spans="1:7" x14ac:dyDescent="0.25">
      <c r="A9895">
        <v>31</v>
      </c>
      <c r="B9895" t="s">
        <v>9607</v>
      </c>
      <c r="C9895">
        <v>8782821</v>
      </c>
      <c r="D9895" t="str">
        <f>"2197-4349"</f>
        <v>2197-4349</v>
      </c>
      <c r="E9895" t="s">
        <v>15</v>
      </c>
      <c r="F9895" t="s">
        <v>9900</v>
      </c>
      <c r="G9895">
        <v>1</v>
      </c>
    </row>
    <row r="9896" spans="1:7" x14ac:dyDescent="0.25">
      <c r="A9896">
        <v>31</v>
      </c>
      <c r="B9896" t="s">
        <v>9607</v>
      </c>
      <c r="C9896">
        <v>13177</v>
      </c>
      <c r="D9896" t="str">
        <f>"0031-9104"</f>
        <v>0031-9104</v>
      </c>
      <c r="E9896" t="s">
        <v>8</v>
      </c>
      <c r="F9896" t="s">
        <v>9901</v>
      </c>
      <c r="G9896">
        <v>1</v>
      </c>
    </row>
    <row r="9897" spans="1:7" x14ac:dyDescent="0.25">
      <c r="A9897">
        <v>31</v>
      </c>
      <c r="B9897" t="s">
        <v>9607</v>
      </c>
      <c r="C9897">
        <v>23886</v>
      </c>
      <c r="D9897" t="str">
        <f>"1874-3900"</f>
        <v>1874-3900</v>
      </c>
      <c r="E9897" t="s">
        <v>8</v>
      </c>
      <c r="F9897" t="s">
        <v>9902</v>
      </c>
      <c r="G9897">
        <v>1</v>
      </c>
    </row>
    <row r="9898" spans="1:7" x14ac:dyDescent="0.25">
      <c r="A9898">
        <v>31</v>
      </c>
      <c r="B9898" t="s">
        <v>9607</v>
      </c>
      <c r="C9898">
        <v>896</v>
      </c>
      <c r="D9898" t="str">
        <f>"0032-2725"</f>
        <v>0032-2725</v>
      </c>
      <c r="E9898" t="s">
        <v>8</v>
      </c>
      <c r="F9898" t="s">
        <v>9903</v>
      </c>
      <c r="G9898">
        <v>1</v>
      </c>
    </row>
    <row r="9899" spans="1:7" x14ac:dyDescent="0.25">
      <c r="A9899">
        <v>31</v>
      </c>
      <c r="B9899" t="s">
        <v>9607</v>
      </c>
      <c r="C9899">
        <v>262</v>
      </c>
      <c r="D9899" t="str">
        <f>"1040-6638"</f>
        <v>1040-6638</v>
      </c>
      <c r="E9899" t="s">
        <v>8</v>
      </c>
      <c r="F9899" t="s">
        <v>9904</v>
      </c>
      <c r="G9899">
        <v>1</v>
      </c>
    </row>
    <row r="9900" spans="1:7" x14ac:dyDescent="0.25">
      <c r="A9900">
        <v>31</v>
      </c>
      <c r="B9900" t="s">
        <v>9607</v>
      </c>
      <c r="C9900">
        <v>6074</v>
      </c>
      <c r="D9900" t="str">
        <f>"0277-5387"</f>
        <v>0277-5387</v>
      </c>
      <c r="E9900" t="s">
        <v>8</v>
      </c>
      <c r="F9900" t="s">
        <v>9905</v>
      </c>
      <c r="G9900">
        <v>1</v>
      </c>
    </row>
    <row r="9901" spans="1:7" x14ac:dyDescent="0.25">
      <c r="A9901">
        <v>31</v>
      </c>
      <c r="B9901" t="s">
        <v>9607</v>
      </c>
      <c r="C9901">
        <v>8219</v>
      </c>
      <c r="D9901" t="str">
        <f>"0170-0839"</f>
        <v>0170-0839</v>
      </c>
      <c r="E9901" t="s">
        <v>8</v>
      </c>
      <c r="F9901" t="s">
        <v>9906</v>
      </c>
      <c r="G9901">
        <v>1</v>
      </c>
    </row>
    <row r="9902" spans="1:7" x14ac:dyDescent="0.25">
      <c r="A9902">
        <v>31</v>
      </c>
      <c r="B9902" t="s">
        <v>9607</v>
      </c>
      <c r="C9902">
        <v>6245062</v>
      </c>
      <c r="D9902" t="str">
        <f>"1759-9954"</f>
        <v>1759-9954</v>
      </c>
      <c r="E9902" t="s">
        <v>8</v>
      </c>
      <c r="F9902" t="s">
        <v>9907</v>
      </c>
      <c r="G9902">
        <v>1</v>
      </c>
    </row>
    <row r="9903" spans="1:7" x14ac:dyDescent="0.25">
      <c r="A9903">
        <v>31</v>
      </c>
      <c r="B9903" t="s">
        <v>9607</v>
      </c>
      <c r="C9903">
        <v>7702</v>
      </c>
      <c r="D9903" t="str">
        <f>"0141-3910"</f>
        <v>0141-3910</v>
      </c>
      <c r="E9903" t="s">
        <v>8</v>
      </c>
      <c r="F9903" t="s">
        <v>9908</v>
      </c>
      <c r="G9903">
        <v>1</v>
      </c>
    </row>
    <row r="9904" spans="1:7" x14ac:dyDescent="0.25">
      <c r="A9904">
        <v>31</v>
      </c>
      <c r="B9904" t="s">
        <v>9607</v>
      </c>
      <c r="C9904">
        <v>6667</v>
      </c>
      <c r="D9904" t="str">
        <f>"0959-8103"</f>
        <v>0959-8103</v>
      </c>
      <c r="E9904" t="s">
        <v>8</v>
      </c>
      <c r="F9904" t="s">
        <v>9909</v>
      </c>
      <c r="G9904">
        <v>1</v>
      </c>
    </row>
    <row r="9905" spans="1:7" x14ac:dyDescent="0.25">
      <c r="A9905">
        <v>31</v>
      </c>
      <c r="B9905" t="s">
        <v>9607</v>
      </c>
      <c r="C9905">
        <v>1867</v>
      </c>
      <c r="D9905" t="str">
        <f>"0032-3896"</f>
        <v>0032-3896</v>
      </c>
      <c r="E9905" t="s">
        <v>8</v>
      </c>
      <c r="F9905" t="s">
        <v>9910</v>
      </c>
      <c r="G9905">
        <v>1</v>
      </c>
    </row>
    <row r="9906" spans="1:7" x14ac:dyDescent="0.25">
      <c r="A9906">
        <v>31</v>
      </c>
      <c r="B9906" t="s">
        <v>9607</v>
      </c>
      <c r="C9906">
        <v>18147</v>
      </c>
      <c r="D9906" t="str">
        <f>"1558-3724"</f>
        <v>1558-3724</v>
      </c>
      <c r="E9906" t="s">
        <v>8</v>
      </c>
      <c r="F9906" t="s">
        <v>9911</v>
      </c>
      <c r="G9906">
        <v>1</v>
      </c>
    </row>
    <row r="9907" spans="1:7" x14ac:dyDescent="0.25">
      <c r="A9907">
        <v>31</v>
      </c>
      <c r="B9907" t="s">
        <v>9607</v>
      </c>
      <c r="C9907">
        <v>14644</v>
      </c>
      <c r="D9907" t="str">
        <f>"1560-0904"</f>
        <v>1560-0904</v>
      </c>
      <c r="E9907" t="s">
        <v>8</v>
      </c>
      <c r="F9907" t="s">
        <v>9912</v>
      </c>
      <c r="G9907">
        <v>1</v>
      </c>
    </row>
    <row r="9908" spans="1:7" x14ac:dyDescent="0.25">
      <c r="A9908">
        <v>31</v>
      </c>
      <c r="B9908" t="s">
        <v>9607</v>
      </c>
      <c r="C9908">
        <v>8379</v>
      </c>
      <c r="D9908" t="str">
        <f>"0379-153X"</f>
        <v>0379-153X</v>
      </c>
      <c r="E9908" t="s">
        <v>8</v>
      </c>
      <c r="F9908" t="s">
        <v>9913</v>
      </c>
      <c r="G9908">
        <v>1</v>
      </c>
    </row>
    <row r="9909" spans="1:7" x14ac:dyDescent="0.25">
      <c r="A9909">
        <v>31</v>
      </c>
      <c r="B9909" t="s">
        <v>9607</v>
      </c>
      <c r="C9909">
        <v>15681</v>
      </c>
      <c r="D9909" t="str">
        <f>"2574-0881"</f>
        <v>2574-0881</v>
      </c>
      <c r="E9909" t="s">
        <v>8</v>
      </c>
      <c r="F9909" t="s">
        <v>9914</v>
      </c>
      <c r="G9909">
        <v>1</v>
      </c>
    </row>
    <row r="9910" spans="1:7" x14ac:dyDescent="0.25">
      <c r="A9910">
        <v>31</v>
      </c>
      <c r="B9910" t="s">
        <v>9607</v>
      </c>
      <c r="C9910">
        <v>15412</v>
      </c>
      <c r="D9910" t="str">
        <f>"1042-7147"</f>
        <v>1042-7147</v>
      </c>
      <c r="E9910" t="s">
        <v>8</v>
      </c>
      <c r="F9910" t="s">
        <v>9915</v>
      </c>
      <c r="G9910">
        <v>1</v>
      </c>
    </row>
    <row r="9911" spans="1:7" x14ac:dyDescent="0.25">
      <c r="A9911">
        <v>31</v>
      </c>
      <c r="B9911" t="s">
        <v>9607</v>
      </c>
      <c r="C9911">
        <v>8783787</v>
      </c>
      <c r="E9911" t="s">
        <v>15</v>
      </c>
      <c r="F9911" t="s">
        <v>9916</v>
      </c>
      <c r="G9911">
        <v>1</v>
      </c>
    </row>
    <row r="9912" spans="1:7" x14ac:dyDescent="0.25">
      <c r="A9912">
        <v>31</v>
      </c>
      <c r="B9912" t="s">
        <v>9607</v>
      </c>
      <c r="C9912">
        <v>10862</v>
      </c>
      <c r="D9912" t="str">
        <f>"0079-6379"</f>
        <v>0079-6379</v>
      </c>
      <c r="E9912" t="s">
        <v>15</v>
      </c>
      <c r="F9912" t="s">
        <v>9917</v>
      </c>
      <c r="G9912">
        <v>1</v>
      </c>
    </row>
    <row r="9913" spans="1:7" x14ac:dyDescent="0.25">
      <c r="A9913">
        <v>31</v>
      </c>
      <c r="B9913" t="s">
        <v>9607</v>
      </c>
      <c r="C9913">
        <v>9928</v>
      </c>
      <c r="D9913" t="str">
        <f>"0079-6565"</f>
        <v>0079-6565</v>
      </c>
      <c r="E9913" t="s">
        <v>8</v>
      </c>
      <c r="F9913" t="s">
        <v>9918</v>
      </c>
      <c r="G9913">
        <v>1</v>
      </c>
    </row>
    <row r="9914" spans="1:7" x14ac:dyDescent="0.25">
      <c r="A9914">
        <v>31</v>
      </c>
      <c r="B9914" t="s">
        <v>9607</v>
      </c>
      <c r="C9914">
        <v>2757</v>
      </c>
      <c r="D9914" t="str">
        <f>"0079-6700"</f>
        <v>0079-6700</v>
      </c>
      <c r="E9914" t="s">
        <v>8</v>
      </c>
      <c r="F9914" t="s">
        <v>9919</v>
      </c>
      <c r="G9914">
        <v>1</v>
      </c>
    </row>
    <row r="9915" spans="1:7" x14ac:dyDescent="0.25">
      <c r="A9915">
        <v>31</v>
      </c>
      <c r="B9915" t="s">
        <v>9607</v>
      </c>
      <c r="C9915">
        <v>15605</v>
      </c>
      <c r="D9915" t="str">
        <f>"1468-6783"</f>
        <v>1468-6783</v>
      </c>
      <c r="E9915" t="s">
        <v>8</v>
      </c>
      <c r="F9915" t="s">
        <v>9920</v>
      </c>
      <c r="G9915">
        <v>1</v>
      </c>
    </row>
    <row r="9916" spans="1:7" x14ac:dyDescent="0.25">
      <c r="A9916">
        <v>31</v>
      </c>
      <c r="B9916" t="s">
        <v>9607</v>
      </c>
      <c r="C9916">
        <v>16188</v>
      </c>
      <c r="D9916" t="str">
        <f>"0079-6786"</f>
        <v>0079-6786</v>
      </c>
      <c r="E9916" t="s">
        <v>8</v>
      </c>
      <c r="F9916" t="s">
        <v>9921</v>
      </c>
      <c r="G9916">
        <v>1</v>
      </c>
    </row>
    <row r="9917" spans="1:7" x14ac:dyDescent="0.25">
      <c r="A9917">
        <v>31</v>
      </c>
      <c r="B9917" t="s">
        <v>9607</v>
      </c>
      <c r="C9917">
        <v>836</v>
      </c>
      <c r="D9917" t="str">
        <f>"0079-6816"</f>
        <v>0079-6816</v>
      </c>
      <c r="E9917" t="s">
        <v>8</v>
      </c>
      <c r="F9917" t="s">
        <v>9922</v>
      </c>
      <c r="G9917">
        <v>1</v>
      </c>
    </row>
    <row r="9918" spans="1:7" x14ac:dyDescent="0.25">
      <c r="A9918">
        <v>31</v>
      </c>
      <c r="B9918" t="s">
        <v>9607</v>
      </c>
      <c r="C9918">
        <v>3720</v>
      </c>
      <c r="D9918" t="str">
        <f>"0033-4545"</f>
        <v>0033-4545</v>
      </c>
      <c r="E9918" t="s">
        <v>8</v>
      </c>
      <c r="F9918" t="s">
        <v>9923</v>
      </c>
      <c r="G9918">
        <v>1</v>
      </c>
    </row>
    <row r="9919" spans="1:7" x14ac:dyDescent="0.25">
      <c r="A9919">
        <v>31</v>
      </c>
      <c r="B9919" t="s">
        <v>9607</v>
      </c>
      <c r="C9919">
        <v>12323</v>
      </c>
      <c r="D9919" t="str">
        <f>"0100-4042"</f>
        <v>0100-4042</v>
      </c>
      <c r="E9919" t="s">
        <v>8</v>
      </c>
      <c r="F9919" t="s">
        <v>9924</v>
      </c>
      <c r="G9919">
        <v>1</v>
      </c>
    </row>
    <row r="9920" spans="1:7" x14ac:dyDescent="0.25">
      <c r="A9920">
        <v>31</v>
      </c>
      <c r="B9920" t="s">
        <v>9607</v>
      </c>
      <c r="C9920">
        <v>9892</v>
      </c>
      <c r="D9920" t="str">
        <f>"0033-8230"</f>
        <v>0033-8230</v>
      </c>
      <c r="E9920" t="s">
        <v>8</v>
      </c>
      <c r="F9920" t="s">
        <v>9925</v>
      </c>
      <c r="G9920">
        <v>1</v>
      </c>
    </row>
    <row r="9921" spans="1:7" x14ac:dyDescent="0.25">
      <c r="A9921">
        <v>31</v>
      </c>
      <c r="B9921" t="s">
        <v>9607</v>
      </c>
      <c r="C9921">
        <v>5205</v>
      </c>
      <c r="D9921" t="str">
        <f>"0951-4198"</f>
        <v>0951-4198</v>
      </c>
      <c r="E9921" t="s">
        <v>8</v>
      </c>
      <c r="F9921" t="s">
        <v>9926</v>
      </c>
      <c r="G9921">
        <v>1</v>
      </c>
    </row>
    <row r="9922" spans="1:7" x14ac:dyDescent="0.25">
      <c r="A9922">
        <v>31</v>
      </c>
      <c r="B9922" t="s">
        <v>9607</v>
      </c>
      <c r="C9922">
        <v>14750</v>
      </c>
      <c r="D9922" t="str">
        <f>"0922-6168"</f>
        <v>0922-6168</v>
      </c>
      <c r="E9922" t="s">
        <v>8</v>
      </c>
      <c r="F9922" t="s">
        <v>9927</v>
      </c>
      <c r="G9922">
        <v>1</v>
      </c>
    </row>
    <row r="9923" spans="1:7" x14ac:dyDescent="0.25">
      <c r="A9923">
        <v>31</v>
      </c>
      <c r="B9923" t="s">
        <v>9607</v>
      </c>
      <c r="C9923">
        <v>11627</v>
      </c>
      <c r="D9923" t="str">
        <f>"0048-752X"</f>
        <v>0048-752X</v>
      </c>
      <c r="E9923" t="s">
        <v>8</v>
      </c>
      <c r="F9923" t="s">
        <v>9928</v>
      </c>
      <c r="G9923">
        <v>1</v>
      </c>
    </row>
    <row r="9924" spans="1:7" x14ac:dyDescent="0.25">
      <c r="A9924">
        <v>31</v>
      </c>
      <c r="B9924" t="s">
        <v>9607</v>
      </c>
      <c r="C9924">
        <v>534</v>
      </c>
      <c r="D9924" t="str">
        <f>"1069-3599"</f>
        <v>1069-3599</v>
      </c>
      <c r="E9924" t="s">
        <v>8</v>
      </c>
      <c r="F9924" t="s">
        <v>9929</v>
      </c>
      <c r="G9924">
        <v>1</v>
      </c>
    </row>
    <row r="9925" spans="1:7" x14ac:dyDescent="0.25">
      <c r="A9925">
        <v>31</v>
      </c>
      <c r="B9925" t="s">
        <v>9607</v>
      </c>
      <c r="C9925">
        <v>672</v>
      </c>
      <c r="D9925" t="str">
        <f>"0193-4929"</f>
        <v>0193-4929</v>
      </c>
      <c r="E9925" t="s">
        <v>8</v>
      </c>
      <c r="F9925" t="s">
        <v>9930</v>
      </c>
      <c r="G9925">
        <v>1</v>
      </c>
    </row>
    <row r="9926" spans="1:7" x14ac:dyDescent="0.25">
      <c r="A9926">
        <v>31</v>
      </c>
      <c r="B9926" t="s">
        <v>9607</v>
      </c>
      <c r="C9926">
        <v>7066</v>
      </c>
      <c r="D9926" t="str">
        <f>"0035-3930"</f>
        <v>0035-3930</v>
      </c>
      <c r="E9926" t="s">
        <v>8</v>
      </c>
      <c r="F9926" t="s">
        <v>9931</v>
      </c>
      <c r="G9926">
        <v>1</v>
      </c>
    </row>
    <row r="9927" spans="1:7" x14ac:dyDescent="0.25">
      <c r="A9927">
        <v>31</v>
      </c>
      <c r="B9927" t="s">
        <v>9607</v>
      </c>
      <c r="C9927">
        <v>19324</v>
      </c>
      <c r="D9927" t="str">
        <f>"0260-6291"</f>
        <v>0260-6291</v>
      </c>
      <c r="E9927" t="s">
        <v>15</v>
      </c>
      <c r="F9927" t="s">
        <v>9932</v>
      </c>
      <c r="G9927">
        <v>1</v>
      </c>
    </row>
    <row r="9928" spans="1:7" x14ac:dyDescent="0.25">
      <c r="A9928">
        <v>31</v>
      </c>
      <c r="B9928" t="s">
        <v>9607</v>
      </c>
      <c r="C9928">
        <v>7711741</v>
      </c>
      <c r="D9928" t="str">
        <f>"2046-2069"</f>
        <v>2046-2069</v>
      </c>
      <c r="E9928" t="s">
        <v>8</v>
      </c>
      <c r="F9928" t="s">
        <v>9933</v>
      </c>
      <c r="G9928">
        <v>1</v>
      </c>
    </row>
    <row r="9929" spans="1:7" x14ac:dyDescent="0.25">
      <c r="A9929">
        <v>31</v>
      </c>
      <c r="B9929" t="s">
        <v>9607</v>
      </c>
      <c r="C9929">
        <v>7715593</v>
      </c>
      <c r="D9929" t="str">
        <f>"2041-3203"</f>
        <v>2041-3203</v>
      </c>
      <c r="E9929" t="s">
        <v>15</v>
      </c>
      <c r="F9929" t="s">
        <v>9934</v>
      </c>
      <c r="G9929">
        <v>1</v>
      </c>
    </row>
    <row r="9930" spans="1:7" x14ac:dyDescent="0.25">
      <c r="A9930">
        <v>31</v>
      </c>
      <c r="B9930" t="s">
        <v>9607</v>
      </c>
      <c r="C9930">
        <v>3368</v>
      </c>
      <c r="D9930" t="str">
        <f>"0035-9475"</f>
        <v>0035-9475</v>
      </c>
      <c r="E9930" t="s">
        <v>8</v>
      </c>
      <c r="F9930" t="s">
        <v>9935</v>
      </c>
      <c r="G9930">
        <v>1</v>
      </c>
    </row>
    <row r="9931" spans="1:7" x14ac:dyDescent="0.25">
      <c r="A9931">
        <v>31</v>
      </c>
      <c r="B9931" t="s">
        <v>9607</v>
      </c>
      <c r="C9931">
        <v>15709</v>
      </c>
      <c r="D9931" t="str">
        <f>"1066-5285"</f>
        <v>1066-5285</v>
      </c>
      <c r="E9931" t="s">
        <v>8</v>
      </c>
      <c r="F9931" t="s">
        <v>9936</v>
      </c>
      <c r="G9931">
        <v>1</v>
      </c>
    </row>
    <row r="9932" spans="1:7" x14ac:dyDescent="0.25">
      <c r="A9932">
        <v>31</v>
      </c>
      <c r="B9932" t="s">
        <v>9607</v>
      </c>
      <c r="C9932">
        <v>3742</v>
      </c>
      <c r="D9932" t="str">
        <f>"1068-1620"</f>
        <v>1068-1620</v>
      </c>
      <c r="E9932" t="s">
        <v>8</v>
      </c>
      <c r="F9932" t="s">
        <v>9937</v>
      </c>
      <c r="G9932">
        <v>1</v>
      </c>
    </row>
    <row r="9933" spans="1:7" x14ac:dyDescent="0.25">
      <c r="A9933">
        <v>31</v>
      </c>
      <c r="B9933" t="s">
        <v>9607</v>
      </c>
      <c r="C9933">
        <v>8720</v>
      </c>
      <c r="D9933" t="str">
        <f>"1070-3284"</f>
        <v>1070-3284</v>
      </c>
      <c r="E9933" t="s">
        <v>8</v>
      </c>
      <c r="F9933" t="s">
        <v>9938</v>
      </c>
      <c r="G9933">
        <v>1</v>
      </c>
    </row>
    <row r="9934" spans="1:7" x14ac:dyDescent="0.25">
      <c r="A9934">
        <v>31</v>
      </c>
      <c r="B9934" t="s">
        <v>9607</v>
      </c>
      <c r="C9934">
        <v>10504</v>
      </c>
      <c r="D9934" t="str">
        <f>"1023-1935"</f>
        <v>1023-1935</v>
      </c>
      <c r="E9934" t="s">
        <v>8</v>
      </c>
      <c r="F9934" t="s">
        <v>9939</v>
      </c>
      <c r="G9934">
        <v>1</v>
      </c>
    </row>
    <row r="9935" spans="1:7" x14ac:dyDescent="0.25">
      <c r="A9935">
        <v>31</v>
      </c>
      <c r="B9935" t="s">
        <v>9607</v>
      </c>
      <c r="C9935">
        <v>14375</v>
      </c>
      <c r="D9935" t="str">
        <f>"1070-3632"</f>
        <v>1070-3632</v>
      </c>
      <c r="E9935" t="s">
        <v>8</v>
      </c>
      <c r="F9935" t="s">
        <v>9940</v>
      </c>
      <c r="G9935">
        <v>1</v>
      </c>
    </row>
    <row r="9936" spans="1:7" x14ac:dyDescent="0.25">
      <c r="A9936">
        <v>31</v>
      </c>
      <c r="B9936" t="s">
        <v>9607</v>
      </c>
      <c r="C9936">
        <v>1252</v>
      </c>
      <c r="D9936" t="str">
        <f>"0036-0236"</f>
        <v>0036-0236</v>
      </c>
      <c r="E9936" t="s">
        <v>8</v>
      </c>
      <c r="F9936" t="s">
        <v>9941</v>
      </c>
      <c r="G9936">
        <v>1</v>
      </c>
    </row>
    <row r="9937" spans="1:7" x14ac:dyDescent="0.25">
      <c r="A9937">
        <v>31</v>
      </c>
      <c r="B9937" t="s">
        <v>9607</v>
      </c>
      <c r="C9937">
        <v>14479</v>
      </c>
      <c r="D9937" t="str">
        <f>"1070-4280"</f>
        <v>1070-4280</v>
      </c>
      <c r="E9937" t="s">
        <v>8</v>
      </c>
      <c r="F9937" t="s">
        <v>9942</v>
      </c>
      <c r="G9937">
        <v>1</v>
      </c>
    </row>
    <row r="9938" spans="1:7" x14ac:dyDescent="0.25">
      <c r="A9938">
        <v>31</v>
      </c>
      <c r="B9938" t="s">
        <v>9607</v>
      </c>
      <c r="C9938">
        <v>16985</v>
      </c>
      <c r="D9938" t="str">
        <f>"0036-0244"</f>
        <v>0036-0244</v>
      </c>
      <c r="E9938" t="s">
        <v>8</v>
      </c>
      <c r="F9938" t="s">
        <v>9943</v>
      </c>
      <c r="G9938">
        <v>1</v>
      </c>
    </row>
    <row r="9939" spans="1:7" x14ac:dyDescent="0.25">
      <c r="A9939">
        <v>31</v>
      </c>
      <c r="B9939" t="s">
        <v>9607</v>
      </c>
      <c r="C9939">
        <v>6273628</v>
      </c>
      <c r="D9939" t="str">
        <f>"1674-7291"</f>
        <v>1674-7291</v>
      </c>
      <c r="E9939" t="s">
        <v>8</v>
      </c>
      <c r="F9939" t="s">
        <v>9944</v>
      </c>
      <c r="G9939">
        <v>1</v>
      </c>
    </row>
    <row r="9940" spans="1:7" x14ac:dyDescent="0.25">
      <c r="A9940">
        <v>31</v>
      </c>
      <c r="B9940" t="s">
        <v>9607</v>
      </c>
      <c r="C9940">
        <v>6273798</v>
      </c>
      <c r="D9940" t="str">
        <f>"1946-6234"</f>
        <v>1946-6234</v>
      </c>
      <c r="E9940" t="s">
        <v>8</v>
      </c>
      <c r="F9940" t="s">
        <v>9945</v>
      </c>
      <c r="G9940">
        <v>1</v>
      </c>
    </row>
    <row r="9941" spans="1:7" x14ac:dyDescent="0.25">
      <c r="A9941">
        <v>31</v>
      </c>
      <c r="B9941" t="s">
        <v>9607</v>
      </c>
      <c r="C9941">
        <v>9951</v>
      </c>
      <c r="D9941" t="str">
        <f>"0167-2738"</f>
        <v>0167-2738</v>
      </c>
      <c r="E9941" t="s">
        <v>8</v>
      </c>
      <c r="F9941" t="s">
        <v>9946</v>
      </c>
      <c r="G9941">
        <v>1</v>
      </c>
    </row>
    <row r="9942" spans="1:7" x14ac:dyDescent="0.25">
      <c r="A9942">
        <v>31</v>
      </c>
      <c r="B9942" t="s">
        <v>9607</v>
      </c>
      <c r="C9942">
        <v>13768</v>
      </c>
      <c r="D9942" t="str">
        <f>"0926-2040"</f>
        <v>0926-2040</v>
      </c>
      <c r="E9942" t="s">
        <v>8</v>
      </c>
      <c r="F9942" t="s">
        <v>9947</v>
      </c>
      <c r="G9942">
        <v>1</v>
      </c>
    </row>
    <row r="9943" spans="1:7" x14ac:dyDescent="0.25">
      <c r="A9943">
        <v>31</v>
      </c>
      <c r="B9943" t="s">
        <v>9607</v>
      </c>
      <c r="C9943">
        <v>11870</v>
      </c>
      <c r="D9943" t="str">
        <f>"1293-2558"</f>
        <v>1293-2558</v>
      </c>
      <c r="E9943" t="s">
        <v>8</v>
      </c>
      <c r="F9943" t="s">
        <v>9948</v>
      </c>
      <c r="G9943">
        <v>1</v>
      </c>
    </row>
    <row r="9944" spans="1:7" x14ac:dyDescent="0.25">
      <c r="A9944">
        <v>31</v>
      </c>
      <c r="B9944" t="s">
        <v>9607</v>
      </c>
      <c r="C9944">
        <v>4892</v>
      </c>
      <c r="D9944" t="str">
        <f>"0736-6299"</f>
        <v>0736-6299</v>
      </c>
      <c r="E9944" t="s">
        <v>8</v>
      </c>
      <c r="F9944" t="s">
        <v>9949</v>
      </c>
      <c r="G9944">
        <v>1</v>
      </c>
    </row>
    <row r="9945" spans="1:7" x14ac:dyDescent="0.25">
      <c r="A9945">
        <v>31</v>
      </c>
      <c r="B9945" t="s">
        <v>9607</v>
      </c>
      <c r="C9945">
        <v>4653</v>
      </c>
      <c r="D9945" t="str">
        <f>"0379-4350"</f>
        <v>0379-4350</v>
      </c>
      <c r="E9945" t="s">
        <v>8</v>
      </c>
      <c r="F9945" t="s">
        <v>9950</v>
      </c>
      <c r="G9945">
        <v>1</v>
      </c>
    </row>
    <row r="9946" spans="1:7" x14ac:dyDescent="0.25">
      <c r="A9946">
        <v>31</v>
      </c>
      <c r="B9946" t="s">
        <v>9607</v>
      </c>
      <c r="C9946">
        <v>7734</v>
      </c>
      <c r="D9946" t="str">
        <f>"1386-1425"</f>
        <v>1386-1425</v>
      </c>
      <c r="E9946" t="s">
        <v>8</v>
      </c>
      <c r="F9946" t="s">
        <v>9951</v>
      </c>
      <c r="G9946">
        <v>1</v>
      </c>
    </row>
    <row r="9947" spans="1:7" x14ac:dyDescent="0.25">
      <c r="A9947">
        <v>31</v>
      </c>
      <c r="B9947" t="s">
        <v>9607</v>
      </c>
      <c r="C9947">
        <v>13419</v>
      </c>
      <c r="D9947" t="str">
        <f>"0584-8547"</f>
        <v>0584-8547</v>
      </c>
      <c r="E9947" t="s">
        <v>8</v>
      </c>
      <c r="F9947" t="s">
        <v>9952</v>
      </c>
      <c r="G9947">
        <v>1</v>
      </c>
    </row>
    <row r="9948" spans="1:7" x14ac:dyDescent="0.25">
      <c r="A9948">
        <v>31</v>
      </c>
      <c r="B9948" t="s">
        <v>9607</v>
      </c>
      <c r="C9948">
        <v>1864</v>
      </c>
      <c r="D9948" t="str">
        <f>"0887-6703"</f>
        <v>0887-6703</v>
      </c>
      <c r="E9948" t="s">
        <v>8</v>
      </c>
      <c r="F9948" t="s">
        <v>9953</v>
      </c>
      <c r="G9948">
        <v>1</v>
      </c>
    </row>
    <row r="9949" spans="1:7" x14ac:dyDescent="0.25">
      <c r="A9949">
        <v>31</v>
      </c>
      <c r="B9949" t="s">
        <v>9607</v>
      </c>
      <c r="C9949">
        <v>6964</v>
      </c>
      <c r="D9949" t="str">
        <f>"0038-7010"</f>
        <v>0038-7010</v>
      </c>
      <c r="E9949" t="s">
        <v>8</v>
      </c>
      <c r="F9949" t="s">
        <v>9954</v>
      </c>
      <c r="G9949">
        <v>1</v>
      </c>
    </row>
    <row r="9950" spans="1:7" x14ac:dyDescent="0.25">
      <c r="A9950">
        <v>31</v>
      </c>
      <c r="B9950" t="s">
        <v>9607</v>
      </c>
      <c r="C9950">
        <v>12561</v>
      </c>
      <c r="D9950" t="str">
        <f>"1040-0400"</f>
        <v>1040-0400</v>
      </c>
      <c r="E9950" t="s">
        <v>8</v>
      </c>
      <c r="F9950" t="s">
        <v>9955</v>
      </c>
      <c r="G9950">
        <v>1</v>
      </c>
    </row>
    <row r="9951" spans="1:7" x14ac:dyDescent="0.25">
      <c r="A9951">
        <v>31</v>
      </c>
      <c r="B9951" t="s">
        <v>9607</v>
      </c>
      <c r="C9951">
        <v>8521</v>
      </c>
      <c r="D9951" t="str">
        <f>"0081-5993"</f>
        <v>0081-5993</v>
      </c>
      <c r="E9951" t="s">
        <v>15</v>
      </c>
      <c r="F9951" t="s">
        <v>9956</v>
      </c>
      <c r="G9951">
        <v>1</v>
      </c>
    </row>
    <row r="9952" spans="1:7" x14ac:dyDescent="0.25">
      <c r="A9952">
        <v>31</v>
      </c>
      <c r="B9952" t="s">
        <v>9607</v>
      </c>
      <c r="C9952">
        <v>135616</v>
      </c>
      <c r="D9952" t="str">
        <f>"1572-5995"</f>
        <v>1572-5995</v>
      </c>
      <c r="E9952" t="s">
        <v>15</v>
      </c>
      <c r="F9952" t="s">
        <v>9957</v>
      </c>
      <c r="G9952">
        <v>1</v>
      </c>
    </row>
    <row r="9953" spans="1:7" x14ac:dyDescent="0.25">
      <c r="A9953">
        <v>31</v>
      </c>
      <c r="B9953" t="s">
        <v>9607</v>
      </c>
      <c r="C9953">
        <v>2910</v>
      </c>
      <c r="D9953" t="str">
        <f>"1061-0278"</f>
        <v>1061-0278</v>
      </c>
      <c r="E9953" t="s">
        <v>8</v>
      </c>
      <c r="F9953" t="s">
        <v>9958</v>
      </c>
      <c r="G9953">
        <v>1</v>
      </c>
    </row>
    <row r="9954" spans="1:7" x14ac:dyDescent="0.25">
      <c r="A9954">
        <v>31</v>
      </c>
      <c r="B9954" t="s">
        <v>9607</v>
      </c>
      <c r="C9954">
        <v>11199</v>
      </c>
      <c r="D9954" t="str">
        <f>"0142-2421"</f>
        <v>0142-2421</v>
      </c>
      <c r="E9954" t="s">
        <v>8</v>
      </c>
      <c r="F9954" t="s">
        <v>9959</v>
      </c>
      <c r="G9954">
        <v>1</v>
      </c>
    </row>
    <row r="9955" spans="1:7" x14ac:dyDescent="0.25">
      <c r="A9955">
        <v>31</v>
      </c>
      <c r="B9955" t="s">
        <v>9607</v>
      </c>
      <c r="C9955">
        <v>14959</v>
      </c>
      <c r="D9955" t="str">
        <f>"0936-5214"</f>
        <v>0936-5214</v>
      </c>
      <c r="E9955" t="s">
        <v>8</v>
      </c>
      <c r="F9955" t="s">
        <v>9960</v>
      </c>
      <c r="G9955">
        <v>1</v>
      </c>
    </row>
    <row r="9956" spans="1:7" x14ac:dyDescent="0.25">
      <c r="A9956">
        <v>31</v>
      </c>
      <c r="B9956" t="s">
        <v>9607</v>
      </c>
      <c r="C9956">
        <v>1701</v>
      </c>
      <c r="D9956" t="str">
        <f>"0039-7881"</f>
        <v>0039-7881</v>
      </c>
      <c r="E9956" t="s">
        <v>8</v>
      </c>
      <c r="F9956" t="s">
        <v>9961</v>
      </c>
      <c r="G9956">
        <v>1</v>
      </c>
    </row>
    <row r="9957" spans="1:7" x14ac:dyDescent="0.25">
      <c r="A9957">
        <v>31</v>
      </c>
      <c r="B9957" t="s">
        <v>9607</v>
      </c>
      <c r="C9957">
        <v>3616</v>
      </c>
      <c r="D9957" t="str">
        <f>"0039-7911"</f>
        <v>0039-7911</v>
      </c>
      <c r="E9957" t="s">
        <v>8</v>
      </c>
      <c r="F9957" t="s">
        <v>9962</v>
      </c>
      <c r="G9957">
        <v>1</v>
      </c>
    </row>
    <row r="9958" spans="1:7" x14ac:dyDescent="0.25">
      <c r="A9958">
        <v>31</v>
      </c>
      <c r="B9958" t="s">
        <v>9607</v>
      </c>
      <c r="C9958">
        <v>10984</v>
      </c>
      <c r="D9958" t="str">
        <f>"0040-4020"</f>
        <v>0040-4020</v>
      </c>
      <c r="E9958" t="s">
        <v>8</v>
      </c>
      <c r="F9958" t="s">
        <v>9963</v>
      </c>
      <c r="G9958">
        <v>1</v>
      </c>
    </row>
    <row r="9959" spans="1:7" x14ac:dyDescent="0.25">
      <c r="A9959">
        <v>31</v>
      </c>
      <c r="B9959" t="s">
        <v>9607</v>
      </c>
      <c r="C9959">
        <v>2923</v>
      </c>
      <c r="D9959" t="str">
        <f>"0040-4039"</f>
        <v>0040-4039</v>
      </c>
      <c r="E9959" t="s">
        <v>8</v>
      </c>
      <c r="F9959" t="s">
        <v>9964</v>
      </c>
      <c r="G9959">
        <v>1</v>
      </c>
    </row>
    <row r="9960" spans="1:7" x14ac:dyDescent="0.25">
      <c r="A9960">
        <v>31</v>
      </c>
      <c r="B9960" t="s">
        <v>9607</v>
      </c>
      <c r="C9960">
        <v>14566</v>
      </c>
      <c r="D9960" t="str">
        <f>"0957-4166"</f>
        <v>0957-4166</v>
      </c>
      <c r="E9960" t="s">
        <v>8</v>
      </c>
      <c r="F9960" t="s">
        <v>9965</v>
      </c>
      <c r="G9960">
        <v>1</v>
      </c>
    </row>
    <row r="9961" spans="1:7" x14ac:dyDescent="0.25">
      <c r="A9961">
        <v>31</v>
      </c>
      <c r="B9961" t="s">
        <v>9607</v>
      </c>
      <c r="C9961">
        <v>27208</v>
      </c>
      <c r="D9961" t="str">
        <f>"0212-5919"</f>
        <v>0212-5919</v>
      </c>
      <c r="E9961" t="s">
        <v>8</v>
      </c>
      <c r="F9961" t="s">
        <v>9966</v>
      </c>
      <c r="G9961">
        <v>1</v>
      </c>
    </row>
    <row r="9962" spans="1:7" x14ac:dyDescent="0.25">
      <c r="A9962">
        <v>31</v>
      </c>
      <c r="B9962" t="s">
        <v>9607</v>
      </c>
      <c r="C9962">
        <v>15653</v>
      </c>
      <c r="D9962" t="str">
        <f>"1527-8999"</f>
        <v>1527-8999</v>
      </c>
      <c r="E9962" t="s">
        <v>8</v>
      </c>
      <c r="F9962" t="s">
        <v>9967</v>
      </c>
      <c r="G9962">
        <v>1</v>
      </c>
    </row>
    <row r="9963" spans="1:7" x14ac:dyDescent="0.25">
      <c r="A9963">
        <v>31</v>
      </c>
      <c r="B9963" t="s">
        <v>9607</v>
      </c>
      <c r="C9963">
        <v>2306</v>
      </c>
      <c r="D9963" t="str">
        <f>"0022-3263"</f>
        <v>0022-3263</v>
      </c>
      <c r="E9963" t="s">
        <v>8</v>
      </c>
      <c r="F9963" t="s">
        <v>9968</v>
      </c>
      <c r="G9963">
        <v>1</v>
      </c>
    </row>
    <row r="9964" spans="1:7" x14ac:dyDescent="0.25">
      <c r="A9964">
        <v>31</v>
      </c>
      <c r="B9964" t="s">
        <v>9607</v>
      </c>
      <c r="C9964">
        <v>8582</v>
      </c>
      <c r="D9964" t="str">
        <f>"1089-5639"</f>
        <v>1089-5639</v>
      </c>
      <c r="E9964" t="s">
        <v>8</v>
      </c>
      <c r="F9964" t="s">
        <v>9969</v>
      </c>
      <c r="G9964">
        <v>1</v>
      </c>
    </row>
    <row r="9965" spans="1:7" x14ac:dyDescent="0.25">
      <c r="A9965">
        <v>31</v>
      </c>
      <c r="B9965" t="s">
        <v>9607</v>
      </c>
      <c r="C9965">
        <v>4882</v>
      </c>
      <c r="D9965" t="str">
        <f>"1520-6106"</f>
        <v>1520-6106</v>
      </c>
      <c r="E9965" t="s">
        <v>8</v>
      </c>
      <c r="F9965" t="s">
        <v>9970</v>
      </c>
      <c r="G9965">
        <v>1</v>
      </c>
    </row>
    <row r="9966" spans="1:7" x14ac:dyDescent="0.25">
      <c r="A9966">
        <v>31</v>
      </c>
      <c r="B9966" t="s">
        <v>9607</v>
      </c>
      <c r="C9966">
        <v>6431</v>
      </c>
      <c r="D9966" t="str">
        <f>"1932-7447"</f>
        <v>1932-7447</v>
      </c>
      <c r="E9966" t="s">
        <v>8</v>
      </c>
      <c r="F9966" t="s">
        <v>9971</v>
      </c>
      <c r="G9966">
        <v>1</v>
      </c>
    </row>
    <row r="9967" spans="1:7" x14ac:dyDescent="0.25">
      <c r="A9967">
        <v>31</v>
      </c>
      <c r="B9967" t="s">
        <v>9607</v>
      </c>
      <c r="C9967">
        <v>8931</v>
      </c>
      <c r="D9967" t="str">
        <f>"0040-5760"</f>
        <v>0040-5760</v>
      </c>
      <c r="E9967" t="s">
        <v>8</v>
      </c>
      <c r="F9967" t="s">
        <v>9972</v>
      </c>
      <c r="G9967">
        <v>1</v>
      </c>
    </row>
    <row r="9968" spans="1:7" x14ac:dyDescent="0.25">
      <c r="A9968">
        <v>31</v>
      </c>
      <c r="B9968" t="s">
        <v>9607</v>
      </c>
      <c r="C9968">
        <v>4887</v>
      </c>
      <c r="D9968" t="str">
        <f>"1432-881X"</f>
        <v>1432-881X</v>
      </c>
      <c r="E9968" t="s">
        <v>8</v>
      </c>
      <c r="F9968" t="s">
        <v>9973</v>
      </c>
      <c r="G9968">
        <v>1</v>
      </c>
    </row>
    <row r="9969" spans="1:7" x14ac:dyDescent="0.25">
      <c r="A9969">
        <v>31</v>
      </c>
      <c r="B9969" t="s">
        <v>9607</v>
      </c>
      <c r="C9969">
        <v>2968</v>
      </c>
      <c r="D9969" t="str">
        <f>"0040-6031"</f>
        <v>0040-6031</v>
      </c>
      <c r="E9969" t="s">
        <v>8</v>
      </c>
      <c r="F9969" t="s">
        <v>9974</v>
      </c>
      <c r="G9969">
        <v>1</v>
      </c>
    </row>
    <row r="9970" spans="1:7" x14ac:dyDescent="0.25">
      <c r="A9970">
        <v>31</v>
      </c>
      <c r="B9970" t="s">
        <v>9607</v>
      </c>
      <c r="C9970">
        <v>13659</v>
      </c>
      <c r="D9970" t="str">
        <f>"0340-1022"</f>
        <v>0340-1022</v>
      </c>
      <c r="E9970" t="s">
        <v>15</v>
      </c>
      <c r="F9970" t="s">
        <v>9975</v>
      </c>
      <c r="G9970">
        <v>1</v>
      </c>
    </row>
    <row r="9971" spans="1:7" x14ac:dyDescent="0.25">
      <c r="A9971">
        <v>31</v>
      </c>
      <c r="B9971" t="s">
        <v>9607</v>
      </c>
      <c r="C9971">
        <v>8782822</v>
      </c>
      <c r="D9971" t="str">
        <f>"1861-9282"</f>
        <v>1861-9282</v>
      </c>
      <c r="E9971" t="s">
        <v>15</v>
      </c>
      <c r="F9971" t="s">
        <v>9976</v>
      </c>
      <c r="G9971">
        <v>1</v>
      </c>
    </row>
    <row r="9972" spans="1:7" x14ac:dyDescent="0.25">
      <c r="A9972">
        <v>31</v>
      </c>
      <c r="B9972" t="s">
        <v>9607</v>
      </c>
      <c r="C9972">
        <v>12181</v>
      </c>
      <c r="D9972" t="str">
        <f>"1436-6002"</f>
        <v>1436-6002</v>
      </c>
      <c r="E9972" t="s">
        <v>15</v>
      </c>
      <c r="F9972" t="s">
        <v>9977</v>
      </c>
      <c r="G9972">
        <v>1</v>
      </c>
    </row>
    <row r="9973" spans="1:7" x14ac:dyDescent="0.25">
      <c r="A9973">
        <v>31</v>
      </c>
      <c r="B9973" t="s">
        <v>9607</v>
      </c>
      <c r="C9973">
        <v>2175</v>
      </c>
      <c r="D9973" t="str">
        <f>"0340-4285"</f>
        <v>0340-4285</v>
      </c>
      <c r="E9973" t="s">
        <v>8</v>
      </c>
      <c r="F9973" t="s">
        <v>9978</v>
      </c>
      <c r="G9973">
        <v>1</v>
      </c>
    </row>
    <row r="9974" spans="1:7" x14ac:dyDescent="0.25">
      <c r="A9974">
        <v>31</v>
      </c>
      <c r="B9974" t="s">
        <v>9607</v>
      </c>
      <c r="C9974">
        <v>12994</v>
      </c>
      <c r="D9974" t="str">
        <f>"1350-4177"</f>
        <v>1350-4177</v>
      </c>
      <c r="E9974" t="s">
        <v>8</v>
      </c>
      <c r="F9974" t="s">
        <v>9979</v>
      </c>
      <c r="G9974">
        <v>1</v>
      </c>
    </row>
    <row r="9975" spans="1:7" x14ac:dyDescent="0.25">
      <c r="A9975">
        <v>31</v>
      </c>
      <c r="B9975" t="s">
        <v>9607</v>
      </c>
      <c r="C9975">
        <v>8954</v>
      </c>
      <c r="D9975" t="str">
        <f>"0924-2031"</f>
        <v>0924-2031</v>
      </c>
      <c r="E9975" t="s">
        <v>8</v>
      </c>
      <c r="F9975" t="s">
        <v>9980</v>
      </c>
      <c r="G9975">
        <v>1</v>
      </c>
    </row>
    <row r="9976" spans="1:7" x14ac:dyDescent="0.25">
      <c r="A9976">
        <v>31</v>
      </c>
      <c r="B9976" t="s">
        <v>9607</v>
      </c>
      <c r="C9976">
        <v>6329099</v>
      </c>
      <c r="D9976" t="str">
        <f>"1759-0876"</f>
        <v>1759-0876</v>
      </c>
      <c r="E9976" t="s">
        <v>8</v>
      </c>
      <c r="F9976" t="s">
        <v>9981</v>
      </c>
      <c r="G9976">
        <v>1</v>
      </c>
    </row>
    <row r="9977" spans="1:7" x14ac:dyDescent="0.25">
      <c r="A9977">
        <v>31</v>
      </c>
      <c r="B9977" t="s">
        <v>9607</v>
      </c>
      <c r="C9977">
        <v>10756</v>
      </c>
      <c r="D9977" t="str">
        <f>"1000-324X"</f>
        <v>1000-324X</v>
      </c>
      <c r="E9977" t="s">
        <v>8</v>
      </c>
      <c r="F9977" t="s">
        <v>9982</v>
      </c>
      <c r="G9977">
        <v>1</v>
      </c>
    </row>
    <row r="9978" spans="1:7" x14ac:dyDescent="0.25">
      <c r="A9978">
        <v>31</v>
      </c>
      <c r="B9978" t="s">
        <v>9607</v>
      </c>
      <c r="C9978">
        <v>4053</v>
      </c>
      <c r="D9978" t="str">
        <f>"1001-4861"</f>
        <v>1001-4861</v>
      </c>
      <c r="E9978" t="s">
        <v>8</v>
      </c>
      <c r="F9978" t="s">
        <v>9983</v>
      </c>
      <c r="G9978">
        <v>1</v>
      </c>
    </row>
    <row r="9979" spans="1:7" x14ac:dyDescent="0.25">
      <c r="A9979">
        <v>31</v>
      </c>
      <c r="B9979" t="s">
        <v>9607</v>
      </c>
      <c r="C9979">
        <v>6424</v>
      </c>
      <c r="D9979" t="str">
        <f>"1000-6818"</f>
        <v>1000-6818</v>
      </c>
      <c r="E9979" t="s">
        <v>8</v>
      </c>
      <c r="F9979" t="s">
        <v>9984</v>
      </c>
      <c r="G9979">
        <v>1</v>
      </c>
    </row>
    <row r="9980" spans="1:7" x14ac:dyDescent="0.25">
      <c r="A9980">
        <v>31</v>
      </c>
      <c r="B9980" t="s">
        <v>9607</v>
      </c>
      <c r="C9980">
        <v>5018</v>
      </c>
      <c r="D9980" t="str">
        <f>"0049-8246"</f>
        <v>0049-8246</v>
      </c>
      <c r="E9980" t="s">
        <v>8</v>
      </c>
      <c r="F9980" t="s">
        <v>9985</v>
      </c>
      <c r="G9980">
        <v>1</v>
      </c>
    </row>
    <row r="9981" spans="1:7" x14ac:dyDescent="0.25">
      <c r="A9981">
        <v>31</v>
      </c>
      <c r="B9981" t="s">
        <v>9607</v>
      </c>
      <c r="C9981">
        <v>3923</v>
      </c>
      <c r="D9981" t="str">
        <f>"0253-2786"</f>
        <v>0253-2786</v>
      </c>
      <c r="E9981" t="s">
        <v>8</v>
      </c>
      <c r="F9981" t="s">
        <v>9986</v>
      </c>
      <c r="G9981">
        <v>1</v>
      </c>
    </row>
    <row r="9982" spans="1:7" x14ac:dyDescent="0.25">
      <c r="A9982">
        <v>31</v>
      </c>
      <c r="B9982" t="s">
        <v>9607</v>
      </c>
      <c r="C9982">
        <v>11428</v>
      </c>
      <c r="D9982" t="str">
        <f>"0037-9980"</f>
        <v>0037-9980</v>
      </c>
      <c r="E9982" t="s">
        <v>8</v>
      </c>
      <c r="F9982" t="s">
        <v>9987</v>
      </c>
      <c r="G9982">
        <v>1</v>
      </c>
    </row>
    <row r="9983" spans="1:7" x14ac:dyDescent="0.25">
      <c r="A9983">
        <v>31</v>
      </c>
      <c r="B9983" t="s">
        <v>9607</v>
      </c>
      <c r="C9983">
        <v>15524</v>
      </c>
      <c r="D9983" t="str">
        <f>"0044-2313"</f>
        <v>0044-2313</v>
      </c>
      <c r="E9983" t="s">
        <v>8</v>
      </c>
      <c r="F9983" t="s">
        <v>9988</v>
      </c>
      <c r="G9983">
        <v>1</v>
      </c>
    </row>
    <row r="9984" spans="1:7" x14ac:dyDescent="0.25">
      <c r="A9984">
        <v>31</v>
      </c>
      <c r="B9984" t="s">
        <v>9607</v>
      </c>
      <c r="C9984">
        <v>9250</v>
      </c>
      <c r="D9984" t="str">
        <f>"1433-7266"</f>
        <v>1433-7266</v>
      </c>
      <c r="E9984" t="s">
        <v>8</v>
      </c>
      <c r="F9984" t="s">
        <v>9989</v>
      </c>
      <c r="G9984">
        <v>1</v>
      </c>
    </row>
    <row r="9985" spans="1:7" x14ac:dyDescent="0.25">
      <c r="A9985">
        <v>31</v>
      </c>
      <c r="B9985" t="s">
        <v>9607</v>
      </c>
      <c r="C9985">
        <v>5499</v>
      </c>
      <c r="D9985" t="str">
        <f>"0932-0776"</f>
        <v>0932-0776</v>
      </c>
      <c r="E9985" t="s">
        <v>8</v>
      </c>
      <c r="F9985" t="s">
        <v>9990</v>
      </c>
      <c r="G9985">
        <v>1</v>
      </c>
    </row>
    <row r="9986" spans="1:7" x14ac:dyDescent="0.25">
      <c r="A9986">
        <v>31</v>
      </c>
      <c r="B9986" t="s">
        <v>9607</v>
      </c>
      <c r="C9986">
        <v>7599</v>
      </c>
      <c r="D9986" t="str">
        <f>"2194-4946"</f>
        <v>2194-4946</v>
      </c>
      <c r="E9986" t="s">
        <v>8</v>
      </c>
      <c r="F9986" t="s">
        <v>9991</v>
      </c>
      <c r="G9986">
        <v>1</v>
      </c>
    </row>
    <row r="9987" spans="1:7" x14ac:dyDescent="0.25">
      <c r="A9987">
        <v>31</v>
      </c>
      <c r="B9987" t="s">
        <v>9607</v>
      </c>
      <c r="C9987">
        <v>15157</v>
      </c>
      <c r="D9987" t="str">
        <f>"0932-0784"</f>
        <v>0932-0784</v>
      </c>
      <c r="E9987" t="s">
        <v>8</v>
      </c>
      <c r="F9987" t="s">
        <v>9992</v>
      </c>
      <c r="G9987">
        <v>1</v>
      </c>
    </row>
    <row r="9988" spans="1:7" x14ac:dyDescent="0.25">
      <c r="A9988">
        <v>32</v>
      </c>
      <c r="B9988" t="s">
        <v>9993</v>
      </c>
      <c r="C9988">
        <v>11131</v>
      </c>
      <c r="D9988" t="str">
        <f>"0065-2504"</f>
        <v>0065-2504</v>
      </c>
      <c r="E9988" t="s">
        <v>15</v>
      </c>
      <c r="F9988" t="s">
        <v>9994</v>
      </c>
      <c r="G9988">
        <v>2</v>
      </c>
    </row>
    <row r="9989" spans="1:7" x14ac:dyDescent="0.25">
      <c r="A9989">
        <v>32</v>
      </c>
      <c r="B9989" t="s">
        <v>9993</v>
      </c>
      <c r="C9989">
        <v>16572</v>
      </c>
      <c r="D9989" t="str">
        <f>"0065-2806"</f>
        <v>0065-2806</v>
      </c>
      <c r="E9989" t="s">
        <v>8</v>
      </c>
      <c r="F9989" t="s">
        <v>9995</v>
      </c>
      <c r="G9989">
        <v>2</v>
      </c>
    </row>
    <row r="9990" spans="1:7" x14ac:dyDescent="0.25">
      <c r="A9990">
        <v>32</v>
      </c>
      <c r="B9990" t="s">
        <v>9993</v>
      </c>
      <c r="C9990">
        <v>6682</v>
      </c>
      <c r="D9990" t="str">
        <f>"0065-2881"</f>
        <v>0065-2881</v>
      </c>
      <c r="E9990" t="s">
        <v>15</v>
      </c>
      <c r="F9990" t="s">
        <v>9996</v>
      </c>
      <c r="G9990">
        <v>2</v>
      </c>
    </row>
    <row r="9991" spans="1:7" x14ac:dyDescent="0.25">
      <c r="A9991">
        <v>32</v>
      </c>
      <c r="B9991" t="s">
        <v>9993</v>
      </c>
      <c r="C9991">
        <v>11960</v>
      </c>
      <c r="D9991" t="str">
        <f>"0003-3472"</f>
        <v>0003-3472</v>
      </c>
      <c r="E9991" t="s">
        <v>8</v>
      </c>
      <c r="F9991" t="s">
        <v>9997</v>
      </c>
      <c r="G9991">
        <v>2</v>
      </c>
    </row>
    <row r="9992" spans="1:7" x14ac:dyDescent="0.25">
      <c r="A9992">
        <v>32</v>
      </c>
      <c r="B9992" t="s">
        <v>9993</v>
      </c>
      <c r="C9992">
        <v>17382</v>
      </c>
      <c r="D9992" t="str">
        <f>"1543-592X"</f>
        <v>1543-592X</v>
      </c>
      <c r="E9992" t="s">
        <v>8</v>
      </c>
      <c r="F9992" t="s">
        <v>9998</v>
      </c>
      <c r="G9992">
        <v>2</v>
      </c>
    </row>
    <row r="9993" spans="1:7" x14ac:dyDescent="0.25">
      <c r="A9993">
        <v>32</v>
      </c>
      <c r="B9993" t="s">
        <v>9993</v>
      </c>
      <c r="C9993">
        <v>2762</v>
      </c>
      <c r="D9993" t="str">
        <f>"0066-4170"</f>
        <v>0066-4170</v>
      </c>
      <c r="E9993" t="s">
        <v>8</v>
      </c>
      <c r="F9993" t="s">
        <v>9999</v>
      </c>
      <c r="G9993">
        <v>2</v>
      </c>
    </row>
    <row r="9994" spans="1:7" x14ac:dyDescent="0.25">
      <c r="A9994">
        <v>32</v>
      </c>
      <c r="B9994" t="s">
        <v>9993</v>
      </c>
      <c r="C9994">
        <v>14220</v>
      </c>
      <c r="D9994" t="str">
        <f>"0066-4286"</f>
        <v>0066-4286</v>
      </c>
      <c r="E9994" t="s">
        <v>8</v>
      </c>
      <c r="F9994" t="s">
        <v>10000</v>
      </c>
      <c r="G9994">
        <v>2</v>
      </c>
    </row>
    <row r="9995" spans="1:7" x14ac:dyDescent="0.25">
      <c r="A9995">
        <v>32</v>
      </c>
      <c r="B9995" t="s">
        <v>9993</v>
      </c>
      <c r="C9995">
        <v>16331</v>
      </c>
      <c r="D9995" t="str">
        <f>"1543-5008"</f>
        <v>1543-5008</v>
      </c>
      <c r="E9995" t="s">
        <v>8</v>
      </c>
      <c r="F9995" t="s">
        <v>10001</v>
      </c>
      <c r="G9995">
        <v>2</v>
      </c>
    </row>
    <row r="9996" spans="1:7" x14ac:dyDescent="0.25">
      <c r="A9996">
        <v>32</v>
      </c>
      <c r="B9996" t="s">
        <v>9993</v>
      </c>
      <c r="C9996">
        <v>15572</v>
      </c>
      <c r="D9996" t="str">
        <f>"1045-2249"</f>
        <v>1045-2249</v>
      </c>
      <c r="E9996" t="s">
        <v>8</v>
      </c>
      <c r="F9996" t="s">
        <v>10002</v>
      </c>
      <c r="G9996">
        <v>2</v>
      </c>
    </row>
    <row r="9997" spans="1:7" x14ac:dyDescent="0.25">
      <c r="A9997">
        <v>32</v>
      </c>
      <c r="B9997" t="s">
        <v>9993</v>
      </c>
      <c r="C9997">
        <v>8801</v>
      </c>
      <c r="D9997" t="str">
        <f>"0006-3207"</f>
        <v>0006-3207</v>
      </c>
      <c r="E9997" t="s">
        <v>8</v>
      </c>
      <c r="F9997" t="s">
        <v>10003</v>
      </c>
      <c r="G9997">
        <v>2</v>
      </c>
    </row>
    <row r="9998" spans="1:7" x14ac:dyDescent="0.25">
      <c r="A9998">
        <v>32</v>
      </c>
      <c r="B9998" t="s">
        <v>9993</v>
      </c>
      <c r="C9998">
        <v>9686</v>
      </c>
      <c r="D9998" t="str">
        <f>"1464-7931"</f>
        <v>1464-7931</v>
      </c>
      <c r="E9998" t="s">
        <v>8</v>
      </c>
      <c r="F9998" t="s">
        <v>10004</v>
      </c>
      <c r="G9998">
        <v>2</v>
      </c>
    </row>
    <row r="9999" spans="1:7" x14ac:dyDescent="0.25">
      <c r="A9999">
        <v>32</v>
      </c>
      <c r="B9999" t="s">
        <v>9993</v>
      </c>
      <c r="C9999">
        <v>14633</v>
      </c>
      <c r="D9999" t="str">
        <f>"1744-9561"</f>
        <v>1744-9561</v>
      </c>
      <c r="E9999" t="s">
        <v>8</v>
      </c>
      <c r="F9999" t="s">
        <v>10005</v>
      </c>
      <c r="G9999">
        <v>2</v>
      </c>
    </row>
    <row r="10000" spans="1:7" x14ac:dyDescent="0.25">
      <c r="A10000">
        <v>32</v>
      </c>
      <c r="B10000" t="s">
        <v>9993</v>
      </c>
      <c r="C10000">
        <v>14408</v>
      </c>
      <c r="D10000" t="str">
        <f>"0006-3568"</f>
        <v>0006-3568</v>
      </c>
      <c r="E10000" t="s">
        <v>8</v>
      </c>
      <c r="F10000" t="s">
        <v>10006</v>
      </c>
      <c r="G10000">
        <v>2</v>
      </c>
    </row>
    <row r="10001" spans="1:7" x14ac:dyDescent="0.25">
      <c r="A10001">
        <v>32</v>
      </c>
      <c r="B10001" t="s">
        <v>9993</v>
      </c>
      <c r="C10001">
        <v>4381</v>
      </c>
      <c r="E10001" t="s">
        <v>8</v>
      </c>
      <c r="F10001" t="s">
        <v>10007</v>
      </c>
      <c r="G10001">
        <v>2</v>
      </c>
    </row>
    <row r="10002" spans="1:7" x14ac:dyDescent="0.25">
      <c r="A10002">
        <v>32</v>
      </c>
      <c r="B10002" t="s">
        <v>9993</v>
      </c>
      <c r="C10002">
        <v>14096</v>
      </c>
      <c r="E10002" t="s">
        <v>8</v>
      </c>
      <c r="F10002" t="s">
        <v>10008</v>
      </c>
      <c r="G10002">
        <v>2</v>
      </c>
    </row>
    <row r="10003" spans="1:7" x14ac:dyDescent="0.25">
      <c r="A10003">
        <v>32</v>
      </c>
      <c r="B10003" t="s">
        <v>9993</v>
      </c>
      <c r="C10003">
        <v>13982</v>
      </c>
      <c r="D10003" t="str">
        <f>"0748-3007"</f>
        <v>0748-3007</v>
      </c>
      <c r="E10003" t="s">
        <v>8</v>
      </c>
      <c r="F10003" t="s">
        <v>10009</v>
      </c>
      <c r="G10003">
        <v>2</v>
      </c>
    </row>
    <row r="10004" spans="1:7" x14ac:dyDescent="0.25">
      <c r="A10004">
        <v>32</v>
      </c>
      <c r="B10004" t="s">
        <v>9993</v>
      </c>
      <c r="C10004">
        <v>15008</v>
      </c>
      <c r="D10004" t="str">
        <f>"0888-8892"</f>
        <v>0888-8892</v>
      </c>
      <c r="E10004" t="s">
        <v>8</v>
      </c>
      <c r="F10004" t="s">
        <v>10010</v>
      </c>
      <c r="G10004">
        <v>2</v>
      </c>
    </row>
    <row r="10005" spans="1:7" x14ac:dyDescent="0.25">
      <c r="A10005">
        <v>32</v>
      </c>
      <c r="B10005" t="s">
        <v>9993</v>
      </c>
      <c r="C10005">
        <v>8766206</v>
      </c>
      <c r="D10005" t="str">
        <f>"2214-5745"</f>
        <v>2214-5745</v>
      </c>
      <c r="E10005" t="s">
        <v>8</v>
      </c>
      <c r="F10005" t="s">
        <v>10011</v>
      </c>
      <c r="G10005">
        <v>2</v>
      </c>
    </row>
    <row r="10006" spans="1:7" x14ac:dyDescent="0.25">
      <c r="A10006">
        <v>32</v>
      </c>
      <c r="B10006" t="s">
        <v>9993</v>
      </c>
      <c r="C10006">
        <v>13281</v>
      </c>
      <c r="D10006" t="str">
        <f>"1369-5266"</f>
        <v>1369-5266</v>
      </c>
      <c r="E10006" t="s">
        <v>8</v>
      </c>
      <c r="F10006" t="s">
        <v>10012</v>
      </c>
      <c r="G10006">
        <v>2</v>
      </c>
    </row>
    <row r="10007" spans="1:7" x14ac:dyDescent="0.25">
      <c r="A10007">
        <v>32</v>
      </c>
      <c r="B10007" t="s">
        <v>9993</v>
      </c>
      <c r="C10007">
        <v>2764</v>
      </c>
      <c r="D10007" t="str">
        <f>"1366-9516"</f>
        <v>1366-9516</v>
      </c>
      <c r="E10007" t="s">
        <v>8</v>
      </c>
      <c r="F10007" t="s">
        <v>10013</v>
      </c>
      <c r="G10007">
        <v>2</v>
      </c>
    </row>
    <row r="10008" spans="1:7" x14ac:dyDescent="0.25">
      <c r="A10008">
        <v>32</v>
      </c>
      <c r="B10008" t="s">
        <v>9993</v>
      </c>
      <c r="C10008">
        <v>9665</v>
      </c>
      <c r="D10008" t="str">
        <f>"0906-7590"</f>
        <v>0906-7590</v>
      </c>
      <c r="E10008" t="s">
        <v>8</v>
      </c>
      <c r="F10008" t="s">
        <v>10014</v>
      </c>
      <c r="G10008">
        <v>2</v>
      </c>
    </row>
    <row r="10009" spans="1:7" x14ac:dyDescent="0.25">
      <c r="A10009">
        <v>32</v>
      </c>
      <c r="B10009" t="s">
        <v>9993</v>
      </c>
      <c r="C10009">
        <v>4765</v>
      </c>
      <c r="D10009" t="str">
        <f>"1051-0761"</f>
        <v>1051-0761</v>
      </c>
      <c r="E10009" t="s">
        <v>8</v>
      </c>
      <c r="F10009" t="s">
        <v>10015</v>
      </c>
      <c r="G10009">
        <v>2</v>
      </c>
    </row>
    <row r="10010" spans="1:7" x14ac:dyDescent="0.25">
      <c r="A10010">
        <v>32</v>
      </c>
      <c r="B10010" t="s">
        <v>9993</v>
      </c>
      <c r="C10010">
        <v>961</v>
      </c>
      <c r="D10010" t="str">
        <f>"0012-9615"</f>
        <v>0012-9615</v>
      </c>
      <c r="E10010" t="s">
        <v>8</v>
      </c>
      <c r="F10010" t="s">
        <v>10016</v>
      </c>
      <c r="G10010">
        <v>2</v>
      </c>
    </row>
    <row r="10011" spans="1:7" x14ac:dyDescent="0.25">
      <c r="A10011">
        <v>32</v>
      </c>
      <c r="B10011" t="s">
        <v>9993</v>
      </c>
      <c r="C10011">
        <v>13636</v>
      </c>
      <c r="D10011" t="str">
        <f>"0012-9658"</f>
        <v>0012-9658</v>
      </c>
      <c r="E10011" t="s">
        <v>8</v>
      </c>
      <c r="F10011" t="s">
        <v>10017</v>
      </c>
      <c r="G10011">
        <v>2</v>
      </c>
    </row>
    <row r="10012" spans="1:7" x14ac:dyDescent="0.25">
      <c r="A10012">
        <v>32</v>
      </c>
      <c r="B10012" t="s">
        <v>9993</v>
      </c>
      <c r="C10012">
        <v>7282</v>
      </c>
      <c r="D10012" t="str">
        <f>"1461-023X"</f>
        <v>1461-023X</v>
      </c>
      <c r="E10012" t="s">
        <v>8</v>
      </c>
      <c r="F10012" t="s">
        <v>10018</v>
      </c>
      <c r="G10012">
        <v>2</v>
      </c>
    </row>
    <row r="10013" spans="1:7" x14ac:dyDescent="0.25">
      <c r="A10013">
        <v>32</v>
      </c>
      <c r="B10013" t="s">
        <v>9993</v>
      </c>
      <c r="C10013">
        <v>8862</v>
      </c>
      <c r="D10013" t="str">
        <f>"1432-9840"</f>
        <v>1432-9840</v>
      </c>
      <c r="E10013" t="s">
        <v>8</v>
      </c>
      <c r="F10013" t="s">
        <v>10019</v>
      </c>
      <c r="G10013">
        <v>2</v>
      </c>
    </row>
    <row r="10014" spans="1:7" x14ac:dyDescent="0.25">
      <c r="A10014">
        <v>32</v>
      </c>
      <c r="B10014" t="s">
        <v>9993</v>
      </c>
      <c r="C10014">
        <v>6262</v>
      </c>
      <c r="D10014" t="str">
        <f>"0014-3820"</f>
        <v>0014-3820</v>
      </c>
      <c r="E10014" t="s">
        <v>8</v>
      </c>
      <c r="F10014" t="s">
        <v>10020</v>
      </c>
      <c r="G10014">
        <v>2</v>
      </c>
    </row>
    <row r="10015" spans="1:7" x14ac:dyDescent="0.25">
      <c r="A10015">
        <v>32</v>
      </c>
      <c r="B10015" t="s">
        <v>9993</v>
      </c>
      <c r="C10015">
        <v>7651407</v>
      </c>
      <c r="D10015" t="str">
        <f>"1752-4563"</f>
        <v>1752-4563</v>
      </c>
      <c r="E10015" t="s">
        <v>8</v>
      </c>
      <c r="F10015" t="s">
        <v>10021</v>
      </c>
      <c r="G10015">
        <v>2</v>
      </c>
    </row>
    <row r="10016" spans="1:7" x14ac:dyDescent="0.25">
      <c r="A10016">
        <v>32</v>
      </c>
      <c r="B10016" t="s">
        <v>9993</v>
      </c>
      <c r="C10016">
        <v>12287</v>
      </c>
      <c r="D10016" t="str">
        <f>"0046-5070"</f>
        <v>0046-5070</v>
      </c>
      <c r="E10016" t="s">
        <v>8</v>
      </c>
      <c r="F10016" t="s">
        <v>10022</v>
      </c>
      <c r="G10016">
        <v>2</v>
      </c>
    </row>
    <row r="10017" spans="1:7" x14ac:dyDescent="0.25">
      <c r="A10017">
        <v>32</v>
      </c>
      <c r="B10017" t="s">
        <v>9993</v>
      </c>
      <c r="C10017">
        <v>1095</v>
      </c>
      <c r="D10017" t="str">
        <f>"0269-8463"</f>
        <v>0269-8463</v>
      </c>
      <c r="E10017" t="s">
        <v>8</v>
      </c>
      <c r="F10017" t="s">
        <v>10023</v>
      </c>
      <c r="G10017">
        <v>2</v>
      </c>
    </row>
    <row r="10018" spans="1:7" x14ac:dyDescent="0.25">
      <c r="A10018">
        <v>32</v>
      </c>
      <c r="B10018" t="s">
        <v>9993</v>
      </c>
      <c r="C10018">
        <v>13389</v>
      </c>
      <c r="D10018" t="str">
        <f>"1560-2745"</f>
        <v>1560-2745</v>
      </c>
      <c r="E10018" t="s">
        <v>8</v>
      </c>
      <c r="F10018" t="s">
        <v>10024</v>
      </c>
      <c r="G10018">
        <v>2</v>
      </c>
    </row>
    <row r="10019" spans="1:7" x14ac:dyDescent="0.25">
      <c r="A10019">
        <v>32</v>
      </c>
      <c r="B10019" t="s">
        <v>9993</v>
      </c>
      <c r="C10019">
        <v>7354</v>
      </c>
      <c r="D10019" t="str">
        <f>"1354-1013"</f>
        <v>1354-1013</v>
      </c>
      <c r="E10019" t="s">
        <v>8</v>
      </c>
      <c r="F10019" t="s">
        <v>10025</v>
      </c>
      <c r="G10019">
        <v>2</v>
      </c>
    </row>
    <row r="10020" spans="1:7" x14ac:dyDescent="0.25">
      <c r="A10020">
        <v>32</v>
      </c>
      <c r="B10020" t="s">
        <v>9993</v>
      </c>
      <c r="C10020">
        <v>13594</v>
      </c>
      <c r="D10020" t="str">
        <f>"1466-822X"</f>
        <v>1466-822X</v>
      </c>
      <c r="E10020" t="s">
        <v>8</v>
      </c>
      <c r="F10020" t="s">
        <v>10026</v>
      </c>
      <c r="G10020">
        <v>2</v>
      </c>
    </row>
    <row r="10021" spans="1:7" x14ac:dyDescent="0.25">
      <c r="A10021">
        <v>32</v>
      </c>
      <c r="B10021" t="s">
        <v>9993</v>
      </c>
      <c r="C10021">
        <v>7184</v>
      </c>
      <c r="D10021" t="str">
        <f>"0021-8790"</f>
        <v>0021-8790</v>
      </c>
      <c r="E10021" t="s">
        <v>8</v>
      </c>
      <c r="F10021" t="s">
        <v>10027</v>
      </c>
      <c r="G10021">
        <v>2</v>
      </c>
    </row>
    <row r="10022" spans="1:7" x14ac:dyDescent="0.25">
      <c r="A10022">
        <v>32</v>
      </c>
      <c r="B10022" t="s">
        <v>9993</v>
      </c>
      <c r="C10022">
        <v>13319</v>
      </c>
      <c r="D10022" t="str">
        <f>"0021-8901"</f>
        <v>0021-8901</v>
      </c>
      <c r="E10022" t="s">
        <v>8</v>
      </c>
      <c r="F10022" t="s">
        <v>10028</v>
      </c>
      <c r="G10022">
        <v>2</v>
      </c>
    </row>
    <row r="10023" spans="1:7" x14ac:dyDescent="0.25">
      <c r="A10023">
        <v>32</v>
      </c>
      <c r="B10023" t="s">
        <v>9993</v>
      </c>
      <c r="C10023">
        <v>6316</v>
      </c>
      <c r="D10023" t="str">
        <f>"0305-0270"</f>
        <v>0305-0270</v>
      </c>
      <c r="E10023" t="s">
        <v>8</v>
      </c>
      <c r="F10023" t="s">
        <v>10029</v>
      </c>
      <c r="G10023">
        <v>2</v>
      </c>
    </row>
    <row r="10024" spans="1:7" x14ac:dyDescent="0.25">
      <c r="A10024">
        <v>32</v>
      </c>
      <c r="B10024" t="s">
        <v>9993</v>
      </c>
      <c r="C10024">
        <v>7248</v>
      </c>
      <c r="D10024" t="str">
        <f>"0022-0477"</f>
        <v>0022-0477</v>
      </c>
      <c r="E10024" t="s">
        <v>8</v>
      </c>
      <c r="F10024" t="s">
        <v>10030</v>
      </c>
      <c r="G10024">
        <v>2</v>
      </c>
    </row>
    <row r="10025" spans="1:7" x14ac:dyDescent="0.25">
      <c r="A10025">
        <v>32</v>
      </c>
      <c r="B10025" t="s">
        <v>9993</v>
      </c>
      <c r="C10025">
        <v>11805</v>
      </c>
      <c r="D10025" t="str">
        <f>"1010-061X"</f>
        <v>1010-061X</v>
      </c>
      <c r="E10025" t="s">
        <v>8</v>
      </c>
      <c r="F10025" t="s">
        <v>10031</v>
      </c>
      <c r="G10025">
        <v>2</v>
      </c>
    </row>
    <row r="10026" spans="1:7" x14ac:dyDescent="0.25">
      <c r="A10026">
        <v>32</v>
      </c>
      <c r="B10026" t="s">
        <v>9993</v>
      </c>
      <c r="C10026">
        <v>3774</v>
      </c>
      <c r="D10026" t="str">
        <f>"0022-0957"</f>
        <v>0022-0957</v>
      </c>
      <c r="E10026" t="s">
        <v>8</v>
      </c>
      <c r="F10026" t="s">
        <v>10032</v>
      </c>
      <c r="G10026">
        <v>2</v>
      </c>
    </row>
    <row r="10027" spans="1:7" x14ac:dyDescent="0.25">
      <c r="A10027">
        <v>32</v>
      </c>
      <c r="B10027" t="s">
        <v>9993</v>
      </c>
      <c r="C10027">
        <v>7694</v>
      </c>
      <c r="D10027" t="str">
        <f>"0024-3590"</f>
        <v>0024-3590</v>
      </c>
      <c r="E10027" t="s">
        <v>8</v>
      </c>
      <c r="F10027" t="s">
        <v>10033</v>
      </c>
      <c r="G10027">
        <v>2</v>
      </c>
    </row>
    <row r="10028" spans="1:7" x14ac:dyDescent="0.25">
      <c r="A10028">
        <v>32</v>
      </c>
      <c r="B10028" t="s">
        <v>9993</v>
      </c>
      <c r="C10028">
        <v>7720120</v>
      </c>
      <c r="D10028" t="str">
        <f>"2041-210X"</f>
        <v>2041-210X</v>
      </c>
      <c r="E10028" t="s">
        <v>8</v>
      </c>
      <c r="F10028" t="s">
        <v>10034</v>
      </c>
      <c r="G10028">
        <v>2</v>
      </c>
    </row>
    <row r="10029" spans="1:7" x14ac:dyDescent="0.25">
      <c r="A10029">
        <v>32</v>
      </c>
      <c r="B10029" t="s">
        <v>9993</v>
      </c>
      <c r="C10029">
        <v>16825</v>
      </c>
      <c r="D10029" t="str">
        <f>"1055-7903"</f>
        <v>1055-7903</v>
      </c>
      <c r="E10029" t="s">
        <v>8</v>
      </c>
      <c r="F10029" t="s">
        <v>10035</v>
      </c>
      <c r="G10029">
        <v>2</v>
      </c>
    </row>
    <row r="10030" spans="1:7" x14ac:dyDescent="0.25">
      <c r="A10030">
        <v>32</v>
      </c>
      <c r="B10030" t="s">
        <v>9993</v>
      </c>
      <c r="C10030">
        <v>13380</v>
      </c>
      <c r="D10030" t="str">
        <f>"1754-2189"</f>
        <v>1754-2189</v>
      </c>
      <c r="E10030" t="s">
        <v>8</v>
      </c>
      <c r="F10030" t="s">
        <v>10036</v>
      </c>
      <c r="G10030">
        <v>2</v>
      </c>
    </row>
    <row r="10031" spans="1:7" x14ac:dyDescent="0.25">
      <c r="A10031">
        <v>32</v>
      </c>
      <c r="B10031" t="s">
        <v>9993</v>
      </c>
      <c r="C10031">
        <v>7405</v>
      </c>
      <c r="D10031" t="str">
        <f>"0029-8549"</f>
        <v>0029-8549</v>
      </c>
      <c r="E10031" t="s">
        <v>8</v>
      </c>
      <c r="F10031" t="s">
        <v>10037</v>
      </c>
      <c r="G10031">
        <v>2</v>
      </c>
    </row>
    <row r="10032" spans="1:7" x14ac:dyDescent="0.25">
      <c r="A10032">
        <v>32</v>
      </c>
      <c r="B10032" t="s">
        <v>9993</v>
      </c>
      <c r="C10032">
        <v>4529</v>
      </c>
      <c r="D10032" t="str">
        <f>"0030-1299"</f>
        <v>0030-1299</v>
      </c>
      <c r="E10032" t="s">
        <v>8</v>
      </c>
      <c r="F10032" t="s">
        <v>10038</v>
      </c>
      <c r="G10032">
        <v>2</v>
      </c>
    </row>
    <row r="10033" spans="1:7" x14ac:dyDescent="0.25">
      <c r="A10033">
        <v>32</v>
      </c>
      <c r="B10033" t="s">
        <v>9993</v>
      </c>
      <c r="C10033">
        <v>16571</v>
      </c>
      <c r="D10033" t="str">
        <f>"0031-5850"</f>
        <v>0031-5850</v>
      </c>
      <c r="E10033" t="s">
        <v>8</v>
      </c>
      <c r="F10033" t="s">
        <v>10039</v>
      </c>
      <c r="G10033">
        <v>2</v>
      </c>
    </row>
    <row r="10034" spans="1:7" x14ac:dyDescent="0.25">
      <c r="A10034">
        <v>32</v>
      </c>
      <c r="B10034" t="s">
        <v>9993</v>
      </c>
      <c r="C10034">
        <v>9909</v>
      </c>
      <c r="D10034" t="str">
        <f>"1433-8319"</f>
        <v>1433-8319</v>
      </c>
      <c r="E10034" t="s">
        <v>8</v>
      </c>
      <c r="F10034" t="s">
        <v>10040</v>
      </c>
      <c r="G10034">
        <v>2</v>
      </c>
    </row>
    <row r="10035" spans="1:7" x14ac:dyDescent="0.25">
      <c r="A10035">
        <v>32</v>
      </c>
      <c r="B10035" t="s">
        <v>9993</v>
      </c>
      <c r="C10035">
        <v>8550</v>
      </c>
      <c r="D10035" t="str">
        <f>"0962-8436"</f>
        <v>0962-8436</v>
      </c>
      <c r="E10035" t="s">
        <v>8</v>
      </c>
      <c r="F10035" t="s">
        <v>10041</v>
      </c>
      <c r="G10035">
        <v>2</v>
      </c>
    </row>
    <row r="10036" spans="1:7" x14ac:dyDescent="0.25">
      <c r="A10036">
        <v>32</v>
      </c>
      <c r="B10036" t="s">
        <v>9993</v>
      </c>
      <c r="C10036">
        <v>13545</v>
      </c>
      <c r="D10036" t="str">
        <f>"0032-0889"</f>
        <v>0032-0889</v>
      </c>
      <c r="E10036" t="s">
        <v>8</v>
      </c>
      <c r="F10036" t="s">
        <v>10042</v>
      </c>
      <c r="G10036">
        <v>2</v>
      </c>
    </row>
    <row r="10037" spans="1:7" x14ac:dyDescent="0.25">
      <c r="A10037">
        <v>32</v>
      </c>
      <c r="B10037" t="s">
        <v>9993</v>
      </c>
      <c r="C10037">
        <v>6547</v>
      </c>
      <c r="D10037" t="str">
        <f>"1544-9173"</f>
        <v>1544-9173</v>
      </c>
      <c r="E10037" t="s">
        <v>8</v>
      </c>
      <c r="F10037" t="s">
        <v>10043</v>
      </c>
      <c r="G10037">
        <v>2</v>
      </c>
    </row>
    <row r="10038" spans="1:7" x14ac:dyDescent="0.25">
      <c r="A10038">
        <v>32</v>
      </c>
      <c r="B10038" t="s">
        <v>9993</v>
      </c>
      <c r="C10038">
        <v>16062</v>
      </c>
      <c r="D10038" t="str">
        <f>"0962-8452"</f>
        <v>0962-8452</v>
      </c>
      <c r="E10038" t="s">
        <v>8</v>
      </c>
      <c r="F10038" t="s">
        <v>10044</v>
      </c>
      <c r="G10038">
        <v>2</v>
      </c>
    </row>
    <row r="10039" spans="1:7" x14ac:dyDescent="0.25">
      <c r="A10039">
        <v>32</v>
      </c>
      <c r="B10039" t="s">
        <v>9993</v>
      </c>
      <c r="C10039">
        <v>15270</v>
      </c>
      <c r="D10039" t="str">
        <f>"0166-0616"</f>
        <v>0166-0616</v>
      </c>
      <c r="E10039" t="s">
        <v>8</v>
      </c>
      <c r="F10039" t="s">
        <v>10045</v>
      </c>
      <c r="G10039">
        <v>2</v>
      </c>
    </row>
    <row r="10040" spans="1:7" x14ac:dyDescent="0.25">
      <c r="A10040">
        <v>32</v>
      </c>
      <c r="B10040" t="s">
        <v>9993</v>
      </c>
      <c r="C10040">
        <v>16696</v>
      </c>
      <c r="D10040" t="str">
        <f>"1063-5157"</f>
        <v>1063-5157</v>
      </c>
      <c r="E10040" t="s">
        <v>8</v>
      </c>
      <c r="F10040" t="s">
        <v>10046</v>
      </c>
      <c r="G10040">
        <v>2</v>
      </c>
    </row>
    <row r="10041" spans="1:7" x14ac:dyDescent="0.25">
      <c r="A10041">
        <v>32</v>
      </c>
      <c r="B10041" t="s">
        <v>9993</v>
      </c>
      <c r="C10041">
        <v>15939</v>
      </c>
      <c r="D10041" t="str">
        <f>"0307-6970"</f>
        <v>0307-6970</v>
      </c>
      <c r="E10041" t="s">
        <v>8</v>
      </c>
      <c r="F10041" t="s">
        <v>10047</v>
      </c>
      <c r="G10041">
        <v>2</v>
      </c>
    </row>
    <row r="10042" spans="1:7" x14ac:dyDescent="0.25">
      <c r="A10042">
        <v>32</v>
      </c>
      <c r="B10042" t="s">
        <v>9993</v>
      </c>
      <c r="C10042">
        <v>831</v>
      </c>
      <c r="D10042" t="str">
        <f>"0040-0262"</f>
        <v>0040-0262</v>
      </c>
      <c r="E10042" t="s">
        <v>8</v>
      </c>
      <c r="F10042" t="s">
        <v>10048</v>
      </c>
      <c r="G10042">
        <v>2</v>
      </c>
    </row>
    <row r="10043" spans="1:7" x14ac:dyDescent="0.25">
      <c r="A10043">
        <v>32</v>
      </c>
      <c r="B10043" t="s">
        <v>9993</v>
      </c>
      <c r="C10043">
        <v>5</v>
      </c>
      <c r="D10043" t="str">
        <f>"0003-0147"</f>
        <v>0003-0147</v>
      </c>
      <c r="E10043" t="s">
        <v>8</v>
      </c>
      <c r="F10043" t="s">
        <v>10049</v>
      </c>
      <c r="G10043">
        <v>2</v>
      </c>
    </row>
    <row r="10044" spans="1:7" x14ac:dyDescent="0.25">
      <c r="A10044">
        <v>32</v>
      </c>
      <c r="B10044" t="s">
        <v>9993</v>
      </c>
      <c r="C10044">
        <v>17297</v>
      </c>
      <c r="D10044" t="str">
        <f>"1751-7362"</f>
        <v>1751-7362</v>
      </c>
      <c r="E10044" t="s">
        <v>8</v>
      </c>
      <c r="F10044" t="s">
        <v>10050</v>
      </c>
      <c r="G10044">
        <v>2</v>
      </c>
    </row>
    <row r="10045" spans="1:7" x14ac:dyDescent="0.25">
      <c r="A10045">
        <v>32</v>
      </c>
      <c r="B10045" t="s">
        <v>9993</v>
      </c>
      <c r="C10045">
        <v>9993</v>
      </c>
      <c r="D10045" t="str">
        <f>"0022-0949"</f>
        <v>0022-0949</v>
      </c>
      <c r="E10045" t="s">
        <v>8</v>
      </c>
      <c r="F10045" t="s">
        <v>10051</v>
      </c>
      <c r="G10045">
        <v>2</v>
      </c>
    </row>
    <row r="10046" spans="1:7" x14ac:dyDescent="0.25">
      <c r="A10046">
        <v>32</v>
      </c>
      <c r="B10046" t="s">
        <v>9993</v>
      </c>
      <c r="C10046">
        <v>12659</v>
      </c>
      <c r="D10046" t="str">
        <f>"0033-5770"</f>
        <v>0033-5770</v>
      </c>
      <c r="E10046" t="s">
        <v>8</v>
      </c>
      <c r="F10046" t="s">
        <v>10052</v>
      </c>
      <c r="G10046">
        <v>2</v>
      </c>
    </row>
    <row r="10047" spans="1:7" x14ac:dyDescent="0.25">
      <c r="A10047">
        <v>32</v>
      </c>
      <c r="B10047" t="s">
        <v>9993</v>
      </c>
      <c r="C10047">
        <v>15827</v>
      </c>
      <c r="D10047" t="str">
        <f>"0169-5347"</f>
        <v>0169-5347</v>
      </c>
      <c r="E10047" t="s">
        <v>8</v>
      </c>
      <c r="F10047" t="s">
        <v>10053</v>
      </c>
      <c r="G10047">
        <v>2</v>
      </c>
    </row>
    <row r="10048" spans="1:7" x14ac:dyDescent="0.25">
      <c r="A10048">
        <v>32</v>
      </c>
      <c r="B10048" t="s">
        <v>9993</v>
      </c>
      <c r="C10048">
        <v>15176</v>
      </c>
      <c r="D10048" t="str">
        <f>"0001-5296"</f>
        <v>0001-5296</v>
      </c>
      <c r="E10048" t="s">
        <v>8</v>
      </c>
      <c r="F10048" t="s">
        <v>10054</v>
      </c>
      <c r="G10048">
        <v>1</v>
      </c>
    </row>
    <row r="10049" spans="1:7" x14ac:dyDescent="0.25">
      <c r="A10049">
        <v>32</v>
      </c>
      <c r="B10049" t="s">
        <v>9993</v>
      </c>
      <c r="C10049">
        <v>4209</v>
      </c>
      <c r="D10049" t="str">
        <f>"0236-5383"</f>
        <v>0236-5383</v>
      </c>
      <c r="E10049" t="s">
        <v>8</v>
      </c>
      <c r="F10049" t="s">
        <v>10055</v>
      </c>
      <c r="G10049">
        <v>1</v>
      </c>
    </row>
    <row r="10050" spans="1:7" x14ac:dyDescent="0.25">
      <c r="A10050">
        <v>32</v>
      </c>
      <c r="B10050" t="s">
        <v>9993</v>
      </c>
      <c r="C10050">
        <v>1565</v>
      </c>
      <c r="D10050" t="str">
        <f>"0001-5342"</f>
        <v>0001-5342</v>
      </c>
      <c r="E10050" t="s">
        <v>8</v>
      </c>
      <c r="F10050" t="s">
        <v>10056</v>
      </c>
      <c r="G10050">
        <v>1</v>
      </c>
    </row>
    <row r="10051" spans="1:7" x14ac:dyDescent="0.25">
      <c r="A10051">
        <v>32</v>
      </c>
      <c r="B10051" t="s">
        <v>9993</v>
      </c>
      <c r="C10051">
        <v>7753</v>
      </c>
      <c r="D10051" t="str">
        <f>"1508-1109"</f>
        <v>1508-1109</v>
      </c>
      <c r="E10051" t="s">
        <v>8</v>
      </c>
      <c r="F10051" t="s">
        <v>10057</v>
      </c>
      <c r="G10051">
        <v>1</v>
      </c>
    </row>
    <row r="10052" spans="1:7" x14ac:dyDescent="0.25">
      <c r="A10052">
        <v>32</v>
      </c>
      <c r="B10052" t="s">
        <v>9993</v>
      </c>
      <c r="C10052">
        <v>2111</v>
      </c>
      <c r="D10052" t="str">
        <f>"0873-9749"</f>
        <v>0873-9749</v>
      </c>
      <c r="E10052" t="s">
        <v>8</v>
      </c>
      <c r="F10052" t="s">
        <v>10058</v>
      </c>
      <c r="G10052">
        <v>1</v>
      </c>
    </row>
    <row r="10053" spans="1:7" x14ac:dyDescent="0.25">
      <c r="A10053">
        <v>32</v>
      </c>
      <c r="B10053" t="s">
        <v>9993</v>
      </c>
      <c r="C10053">
        <v>11783</v>
      </c>
      <c r="D10053" t="str">
        <f>"1146-609X"</f>
        <v>1146-609X</v>
      </c>
      <c r="E10053" t="s">
        <v>8</v>
      </c>
      <c r="F10053" t="s">
        <v>10059</v>
      </c>
      <c r="G10053">
        <v>1</v>
      </c>
    </row>
    <row r="10054" spans="1:7" x14ac:dyDescent="0.25">
      <c r="A10054">
        <v>32</v>
      </c>
      <c r="B10054" t="s">
        <v>9993</v>
      </c>
      <c r="C10054">
        <v>10360</v>
      </c>
      <c r="D10054" t="str">
        <f>"0001-6454"</f>
        <v>0001-6454</v>
      </c>
      <c r="E10054" t="s">
        <v>8</v>
      </c>
      <c r="F10054" t="s">
        <v>10060</v>
      </c>
      <c r="G10054">
        <v>1</v>
      </c>
    </row>
    <row r="10055" spans="1:7" x14ac:dyDescent="0.25">
      <c r="A10055">
        <v>32</v>
      </c>
      <c r="B10055" t="s">
        <v>9993</v>
      </c>
      <c r="C10055">
        <v>3905</v>
      </c>
      <c r="D10055" t="str">
        <f>"0001-6594"</f>
        <v>0001-6594</v>
      </c>
      <c r="E10055" t="s">
        <v>8</v>
      </c>
      <c r="F10055" t="s">
        <v>10061</v>
      </c>
      <c r="G10055">
        <v>1</v>
      </c>
    </row>
    <row r="10056" spans="1:7" x14ac:dyDescent="0.25">
      <c r="A10056">
        <v>32</v>
      </c>
      <c r="B10056" t="s">
        <v>9993</v>
      </c>
      <c r="C10056">
        <v>12689</v>
      </c>
      <c r="D10056" t="str">
        <f>"0137-5881"</f>
        <v>0137-5881</v>
      </c>
      <c r="E10056" t="s">
        <v>8</v>
      </c>
      <c r="F10056" t="s">
        <v>10062</v>
      </c>
      <c r="G10056">
        <v>1</v>
      </c>
    </row>
    <row r="10057" spans="1:7" x14ac:dyDescent="0.25">
      <c r="A10057">
        <v>32</v>
      </c>
      <c r="B10057" t="s">
        <v>9993</v>
      </c>
      <c r="C10057">
        <v>8026</v>
      </c>
      <c r="D10057" t="str">
        <f>"0065-1583"</f>
        <v>0065-1583</v>
      </c>
      <c r="E10057" t="s">
        <v>8</v>
      </c>
      <c r="F10057" t="s">
        <v>10063</v>
      </c>
      <c r="G10057">
        <v>1</v>
      </c>
    </row>
    <row r="10058" spans="1:7" x14ac:dyDescent="0.25">
      <c r="A10058">
        <v>32</v>
      </c>
      <c r="B10058" t="s">
        <v>9993</v>
      </c>
      <c r="C10058">
        <v>5736</v>
      </c>
      <c r="D10058" t="str">
        <f>"0001-6977"</f>
        <v>0001-6977</v>
      </c>
      <c r="E10058" t="s">
        <v>8</v>
      </c>
      <c r="F10058" t="s">
        <v>10064</v>
      </c>
      <c r="G10058">
        <v>1</v>
      </c>
    </row>
    <row r="10059" spans="1:7" x14ac:dyDescent="0.25">
      <c r="A10059">
        <v>32</v>
      </c>
      <c r="B10059" t="s">
        <v>9993</v>
      </c>
      <c r="C10059">
        <v>8246</v>
      </c>
      <c r="D10059" t="str">
        <f>"0001-7272"</f>
        <v>0001-7272</v>
      </c>
      <c r="E10059" t="s">
        <v>8</v>
      </c>
      <c r="F10059" t="s">
        <v>10065</v>
      </c>
      <c r="G10059">
        <v>1</v>
      </c>
    </row>
    <row r="10060" spans="1:7" x14ac:dyDescent="0.25">
      <c r="A10060">
        <v>32</v>
      </c>
      <c r="B10060" t="s">
        <v>9993</v>
      </c>
      <c r="C10060">
        <v>16760</v>
      </c>
      <c r="D10060" t="str">
        <f>"1217-8837"</f>
        <v>1217-8837</v>
      </c>
      <c r="E10060" t="s">
        <v>8</v>
      </c>
      <c r="F10060" t="s">
        <v>10066</v>
      </c>
      <c r="G10060">
        <v>1</v>
      </c>
    </row>
    <row r="10061" spans="1:7" x14ac:dyDescent="0.25">
      <c r="A10061">
        <v>32</v>
      </c>
      <c r="B10061" t="s">
        <v>9993</v>
      </c>
      <c r="C10061">
        <v>11367</v>
      </c>
      <c r="D10061" t="str">
        <f>"1280-8571"</f>
        <v>1280-8571</v>
      </c>
      <c r="E10061" t="s">
        <v>8</v>
      </c>
      <c r="F10061" t="s">
        <v>10067</v>
      </c>
      <c r="G10061">
        <v>1</v>
      </c>
    </row>
    <row r="10062" spans="1:7" x14ac:dyDescent="0.25">
      <c r="A10062">
        <v>32</v>
      </c>
      <c r="B10062" t="s">
        <v>9993</v>
      </c>
      <c r="C10062">
        <v>14422</v>
      </c>
      <c r="D10062" t="str">
        <f>"0065-2296"</f>
        <v>0065-2296</v>
      </c>
      <c r="E10062" t="s">
        <v>8</v>
      </c>
      <c r="F10062" t="s">
        <v>10068</v>
      </c>
      <c r="G10062">
        <v>1</v>
      </c>
    </row>
    <row r="10063" spans="1:7" x14ac:dyDescent="0.25">
      <c r="A10063">
        <v>32</v>
      </c>
      <c r="B10063" t="s">
        <v>9993</v>
      </c>
      <c r="C10063">
        <v>17143</v>
      </c>
      <c r="D10063" t="str">
        <f>"0393-5965"</f>
        <v>0393-5965</v>
      </c>
      <c r="E10063" t="s">
        <v>8</v>
      </c>
      <c r="F10063" t="s">
        <v>10069</v>
      </c>
      <c r="G10063">
        <v>1</v>
      </c>
    </row>
    <row r="10064" spans="1:7" x14ac:dyDescent="0.25">
      <c r="A10064">
        <v>32</v>
      </c>
      <c r="B10064" t="s">
        <v>9993</v>
      </c>
      <c r="C10064">
        <v>11357</v>
      </c>
      <c r="D10064" t="str">
        <f>"1021-3589"</f>
        <v>1021-3589</v>
      </c>
      <c r="E10064" t="s">
        <v>8</v>
      </c>
      <c r="F10064" t="s">
        <v>10070</v>
      </c>
      <c r="G10064">
        <v>1</v>
      </c>
    </row>
    <row r="10065" spans="1:7" x14ac:dyDescent="0.25">
      <c r="A10065">
        <v>32</v>
      </c>
      <c r="B10065" t="s">
        <v>9993</v>
      </c>
      <c r="C10065">
        <v>8503</v>
      </c>
      <c r="D10065" t="str">
        <f>"1608-5914"</f>
        <v>1608-5914</v>
      </c>
      <c r="E10065" t="s">
        <v>8</v>
      </c>
      <c r="F10065" t="s">
        <v>10071</v>
      </c>
      <c r="G10065">
        <v>1</v>
      </c>
    </row>
    <row r="10066" spans="1:7" x14ac:dyDescent="0.25">
      <c r="A10066">
        <v>32</v>
      </c>
      <c r="B10066" t="s">
        <v>9993</v>
      </c>
      <c r="C10066">
        <v>11688</v>
      </c>
      <c r="D10066" t="str">
        <f>"0141-6707"</f>
        <v>0141-6707</v>
      </c>
      <c r="E10066" t="s">
        <v>8</v>
      </c>
      <c r="F10066" t="s">
        <v>10072</v>
      </c>
      <c r="G10066">
        <v>1</v>
      </c>
    </row>
    <row r="10067" spans="1:7" x14ac:dyDescent="0.25">
      <c r="A10067">
        <v>32</v>
      </c>
      <c r="B10067" t="s">
        <v>9993</v>
      </c>
      <c r="C10067">
        <v>17884</v>
      </c>
      <c r="D10067" t="str">
        <f>"1814-232X"</f>
        <v>1814-232X</v>
      </c>
      <c r="E10067" t="s">
        <v>8</v>
      </c>
      <c r="F10067" t="s">
        <v>10073</v>
      </c>
      <c r="G10067">
        <v>1</v>
      </c>
    </row>
    <row r="10068" spans="1:7" x14ac:dyDescent="0.25">
      <c r="A10068">
        <v>32</v>
      </c>
      <c r="B10068" t="s">
        <v>9993</v>
      </c>
      <c r="C10068">
        <v>12856</v>
      </c>
      <c r="D10068" t="str">
        <f>"1562-7020"</f>
        <v>1562-7020</v>
      </c>
      <c r="E10068" t="s">
        <v>8</v>
      </c>
      <c r="F10068" t="s">
        <v>10074</v>
      </c>
      <c r="G10068">
        <v>1</v>
      </c>
    </row>
    <row r="10069" spans="1:7" x14ac:dyDescent="0.25">
      <c r="A10069">
        <v>32</v>
      </c>
      <c r="B10069" t="s">
        <v>9993</v>
      </c>
      <c r="C10069">
        <v>11006</v>
      </c>
      <c r="E10069" t="s">
        <v>8</v>
      </c>
      <c r="F10069" t="s">
        <v>10075</v>
      </c>
      <c r="G10069">
        <v>1</v>
      </c>
    </row>
    <row r="10070" spans="1:7" x14ac:dyDescent="0.25">
      <c r="A10070">
        <v>32</v>
      </c>
      <c r="B10070" t="s">
        <v>9993</v>
      </c>
      <c r="C10070">
        <v>829</v>
      </c>
      <c r="D10070" t="str">
        <f>"0835-5851"</f>
        <v>0835-5851</v>
      </c>
      <c r="E10070" t="s">
        <v>8</v>
      </c>
      <c r="F10070" t="s">
        <v>10076</v>
      </c>
      <c r="G10070">
        <v>1</v>
      </c>
    </row>
    <row r="10071" spans="1:7" x14ac:dyDescent="0.25">
      <c r="A10071">
        <v>32</v>
      </c>
      <c r="B10071" t="s">
        <v>9993</v>
      </c>
      <c r="C10071">
        <v>26026</v>
      </c>
      <c r="D10071" t="str">
        <f>"0065-6275"</f>
        <v>0065-6275</v>
      </c>
      <c r="E10071" t="s">
        <v>8</v>
      </c>
      <c r="F10071" t="s">
        <v>10077</v>
      </c>
      <c r="G10071">
        <v>1</v>
      </c>
    </row>
    <row r="10072" spans="1:7" x14ac:dyDescent="0.25">
      <c r="A10072">
        <v>32</v>
      </c>
      <c r="B10072" t="s">
        <v>9993</v>
      </c>
      <c r="C10072">
        <v>4071</v>
      </c>
      <c r="D10072" t="str">
        <f>"1664-2201"</f>
        <v>1664-2201</v>
      </c>
      <c r="E10072" t="s">
        <v>8</v>
      </c>
      <c r="F10072" t="s">
        <v>10078</v>
      </c>
      <c r="G10072">
        <v>1</v>
      </c>
    </row>
    <row r="10073" spans="1:7" x14ac:dyDescent="0.25">
      <c r="A10073">
        <v>32</v>
      </c>
      <c r="B10073" t="s">
        <v>9993</v>
      </c>
      <c r="C10073">
        <v>15541</v>
      </c>
      <c r="D10073" t="str">
        <f>"0065-6755"</f>
        <v>0065-6755</v>
      </c>
      <c r="E10073" t="s">
        <v>8</v>
      </c>
      <c r="F10073" t="s">
        <v>10079</v>
      </c>
      <c r="G10073">
        <v>1</v>
      </c>
    </row>
    <row r="10074" spans="1:7" x14ac:dyDescent="0.25">
      <c r="A10074">
        <v>32</v>
      </c>
      <c r="B10074" t="s">
        <v>9993</v>
      </c>
      <c r="C10074">
        <v>7706936</v>
      </c>
      <c r="E10074" t="s">
        <v>8</v>
      </c>
      <c r="F10074" t="s">
        <v>10080</v>
      </c>
      <c r="G10074">
        <v>1</v>
      </c>
    </row>
    <row r="10075" spans="1:7" x14ac:dyDescent="0.25">
      <c r="A10075">
        <v>32</v>
      </c>
      <c r="B10075" t="s">
        <v>9993</v>
      </c>
      <c r="C10075">
        <v>5367</v>
      </c>
      <c r="D10075" t="str">
        <f>"0002-8444"</f>
        <v>0002-8444</v>
      </c>
      <c r="E10075" t="s">
        <v>8</v>
      </c>
      <c r="F10075" t="s">
        <v>10081</v>
      </c>
      <c r="G10075">
        <v>1</v>
      </c>
    </row>
    <row r="10076" spans="1:7" x14ac:dyDescent="0.25">
      <c r="A10076">
        <v>32</v>
      </c>
      <c r="B10076" t="s">
        <v>9993</v>
      </c>
      <c r="C10076">
        <v>8464</v>
      </c>
      <c r="D10076" t="str">
        <f>"0002-9122"</f>
        <v>0002-9122</v>
      </c>
      <c r="E10076" t="s">
        <v>8</v>
      </c>
      <c r="F10076" t="s">
        <v>10082</v>
      </c>
      <c r="G10076">
        <v>1</v>
      </c>
    </row>
    <row r="10077" spans="1:7" x14ac:dyDescent="0.25">
      <c r="A10077">
        <v>32</v>
      </c>
      <c r="B10077" t="s">
        <v>9993</v>
      </c>
      <c r="C10077">
        <v>7705432</v>
      </c>
      <c r="D10077" t="str">
        <f>"2158-2742"</f>
        <v>2158-2742</v>
      </c>
      <c r="E10077" t="s">
        <v>8</v>
      </c>
      <c r="F10077" t="s">
        <v>10083</v>
      </c>
      <c r="G10077">
        <v>1</v>
      </c>
    </row>
    <row r="10078" spans="1:7" x14ac:dyDescent="0.25">
      <c r="A10078">
        <v>32</v>
      </c>
      <c r="B10078" t="s">
        <v>9993</v>
      </c>
      <c r="C10078">
        <v>7075</v>
      </c>
      <c r="D10078" t="str">
        <f>"0275-2565"</f>
        <v>0275-2565</v>
      </c>
      <c r="E10078" t="s">
        <v>8</v>
      </c>
      <c r="F10078" t="s">
        <v>10084</v>
      </c>
      <c r="G10078">
        <v>1</v>
      </c>
    </row>
    <row r="10079" spans="1:7" x14ac:dyDescent="0.25">
      <c r="A10079">
        <v>32</v>
      </c>
      <c r="B10079" t="s">
        <v>9993</v>
      </c>
      <c r="C10079">
        <v>413</v>
      </c>
      <c r="D10079" t="str">
        <f>"0740-2783"</f>
        <v>0740-2783</v>
      </c>
      <c r="E10079" t="s">
        <v>8</v>
      </c>
      <c r="F10079" t="s">
        <v>10085</v>
      </c>
      <c r="G10079">
        <v>1</v>
      </c>
    </row>
    <row r="10080" spans="1:7" x14ac:dyDescent="0.25">
      <c r="A10080">
        <v>32</v>
      </c>
      <c r="B10080" t="s">
        <v>9993</v>
      </c>
      <c r="C10080">
        <v>646</v>
      </c>
      <c r="D10080" t="str">
        <f>"0003-0031"</f>
        <v>0003-0031</v>
      </c>
      <c r="E10080" t="s">
        <v>8</v>
      </c>
      <c r="F10080" t="s">
        <v>10086</v>
      </c>
      <c r="G10080">
        <v>1</v>
      </c>
    </row>
    <row r="10081" spans="1:7" x14ac:dyDescent="0.25">
      <c r="A10081">
        <v>32</v>
      </c>
      <c r="B10081" t="s">
        <v>9993</v>
      </c>
      <c r="C10081">
        <v>2607</v>
      </c>
      <c r="D10081" t="str">
        <f>"0003-0082"</f>
        <v>0003-0082</v>
      </c>
      <c r="E10081" t="s">
        <v>15</v>
      </c>
      <c r="F10081" t="s">
        <v>10087</v>
      </c>
      <c r="G10081">
        <v>1</v>
      </c>
    </row>
    <row r="10082" spans="1:7" x14ac:dyDescent="0.25">
      <c r="A10082">
        <v>32</v>
      </c>
      <c r="B10082" t="s">
        <v>9993</v>
      </c>
      <c r="C10082">
        <v>765</v>
      </c>
      <c r="D10082" t="str">
        <f>"0173-5373"</f>
        <v>0173-5373</v>
      </c>
      <c r="E10082" t="s">
        <v>8</v>
      </c>
      <c r="F10082" t="s">
        <v>10088</v>
      </c>
      <c r="G10082">
        <v>1</v>
      </c>
    </row>
    <row r="10083" spans="1:7" x14ac:dyDescent="0.25">
      <c r="A10083">
        <v>32</v>
      </c>
      <c r="B10083" t="s">
        <v>9993</v>
      </c>
      <c r="C10083">
        <v>13336</v>
      </c>
      <c r="D10083" t="str">
        <f>"1570-7555"</f>
        <v>1570-7555</v>
      </c>
      <c r="E10083" t="s">
        <v>8</v>
      </c>
      <c r="F10083" t="s">
        <v>10089</v>
      </c>
      <c r="G10083">
        <v>1</v>
      </c>
    </row>
    <row r="10084" spans="1:7" x14ac:dyDescent="0.25">
      <c r="A10084">
        <v>32</v>
      </c>
      <c r="B10084" t="s">
        <v>9993</v>
      </c>
      <c r="C10084">
        <v>7744799</v>
      </c>
      <c r="E10084" t="s">
        <v>8</v>
      </c>
      <c r="F10084" t="s">
        <v>10090</v>
      </c>
      <c r="G10084">
        <v>1</v>
      </c>
    </row>
    <row r="10085" spans="1:7" x14ac:dyDescent="0.25">
      <c r="A10085">
        <v>32</v>
      </c>
      <c r="B10085" t="s">
        <v>9993</v>
      </c>
      <c r="C10085">
        <v>16840</v>
      </c>
      <c r="D10085" t="str">
        <f>"0003-3847"</f>
        <v>0003-3847</v>
      </c>
      <c r="E10085" t="s">
        <v>8</v>
      </c>
      <c r="F10085" t="s">
        <v>10091</v>
      </c>
      <c r="G10085">
        <v>1</v>
      </c>
    </row>
    <row r="10086" spans="1:7" x14ac:dyDescent="0.25">
      <c r="A10086">
        <v>32</v>
      </c>
      <c r="B10086" t="s">
        <v>9993</v>
      </c>
      <c r="C10086">
        <v>13623</v>
      </c>
      <c r="D10086" t="str">
        <f>"0037-9271"</f>
        <v>0037-9271</v>
      </c>
      <c r="E10086" t="s">
        <v>8</v>
      </c>
      <c r="F10086" t="s">
        <v>10092</v>
      </c>
      <c r="G10086">
        <v>1</v>
      </c>
    </row>
    <row r="10087" spans="1:7" x14ac:dyDescent="0.25">
      <c r="A10087">
        <v>32</v>
      </c>
      <c r="B10087" t="s">
        <v>9993</v>
      </c>
      <c r="C10087">
        <v>11207</v>
      </c>
      <c r="D10087" t="str">
        <f>"0003-4088"</f>
        <v>0003-4088</v>
      </c>
      <c r="E10087" t="s">
        <v>8</v>
      </c>
      <c r="F10087" t="s">
        <v>10093</v>
      </c>
      <c r="G10087">
        <v>1</v>
      </c>
    </row>
    <row r="10088" spans="1:7" x14ac:dyDescent="0.25">
      <c r="A10088">
        <v>32</v>
      </c>
      <c r="B10088" t="s">
        <v>9993</v>
      </c>
      <c r="C10088">
        <v>6307</v>
      </c>
      <c r="D10088" t="str">
        <f>"0003-4541"</f>
        <v>0003-4541</v>
      </c>
      <c r="E10088" t="s">
        <v>8</v>
      </c>
      <c r="F10088" t="s">
        <v>10094</v>
      </c>
      <c r="G10088">
        <v>1</v>
      </c>
    </row>
    <row r="10089" spans="1:7" x14ac:dyDescent="0.25">
      <c r="A10089">
        <v>32</v>
      </c>
      <c r="B10089" t="s">
        <v>9993</v>
      </c>
      <c r="C10089">
        <v>16693</v>
      </c>
      <c r="D10089" t="str">
        <f>"0003-455X"</f>
        <v>0003-455X</v>
      </c>
      <c r="E10089" t="s">
        <v>8</v>
      </c>
      <c r="F10089" t="s">
        <v>10095</v>
      </c>
      <c r="G10089">
        <v>1</v>
      </c>
    </row>
    <row r="10090" spans="1:7" x14ac:dyDescent="0.25">
      <c r="A10090">
        <v>32</v>
      </c>
      <c r="B10090" t="s">
        <v>9993</v>
      </c>
      <c r="C10090">
        <v>13401</v>
      </c>
      <c r="D10090" t="str">
        <f>"0003-4746"</f>
        <v>0003-4746</v>
      </c>
      <c r="E10090" t="s">
        <v>8</v>
      </c>
      <c r="F10090" t="s">
        <v>10096</v>
      </c>
      <c r="G10090">
        <v>1</v>
      </c>
    </row>
    <row r="10091" spans="1:7" x14ac:dyDescent="0.25">
      <c r="A10091">
        <v>32</v>
      </c>
      <c r="B10091" t="s">
        <v>9993</v>
      </c>
      <c r="C10091">
        <v>12723</v>
      </c>
      <c r="D10091" t="str">
        <f>"0305-7364"</f>
        <v>0305-7364</v>
      </c>
      <c r="E10091" t="s">
        <v>8</v>
      </c>
      <c r="F10091" t="s">
        <v>10097</v>
      </c>
      <c r="G10091">
        <v>1</v>
      </c>
    </row>
    <row r="10092" spans="1:7" x14ac:dyDescent="0.25">
      <c r="A10092">
        <v>32</v>
      </c>
      <c r="B10092" t="s">
        <v>9993</v>
      </c>
      <c r="C10092">
        <v>1072</v>
      </c>
      <c r="D10092" t="str">
        <f>"0013-8746"</f>
        <v>0013-8746</v>
      </c>
      <c r="E10092" t="s">
        <v>8</v>
      </c>
      <c r="F10092" t="s">
        <v>10098</v>
      </c>
      <c r="G10092">
        <v>1</v>
      </c>
    </row>
    <row r="10093" spans="1:7" x14ac:dyDescent="0.25">
      <c r="A10093">
        <v>32</v>
      </c>
      <c r="B10093" t="s">
        <v>9993</v>
      </c>
      <c r="C10093">
        <v>12486</v>
      </c>
      <c r="D10093" t="str">
        <f>"0026-6493"</f>
        <v>0026-6493</v>
      </c>
      <c r="E10093" t="s">
        <v>8</v>
      </c>
      <c r="F10093" t="s">
        <v>10099</v>
      </c>
      <c r="G10093">
        <v>1</v>
      </c>
    </row>
    <row r="10094" spans="1:7" x14ac:dyDescent="0.25">
      <c r="A10094">
        <v>32</v>
      </c>
      <c r="B10094" t="s">
        <v>9993</v>
      </c>
      <c r="C10094">
        <v>13252</v>
      </c>
      <c r="D10094" t="str">
        <f>"0003-6862"</f>
        <v>0003-6862</v>
      </c>
      <c r="E10094" t="s">
        <v>8</v>
      </c>
      <c r="F10094" t="s">
        <v>10100</v>
      </c>
      <c r="G10094">
        <v>1</v>
      </c>
    </row>
    <row r="10095" spans="1:7" x14ac:dyDescent="0.25">
      <c r="A10095">
        <v>32</v>
      </c>
      <c r="B10095" t="s">
        <v>9993</v>
      </c>
      <c r="C10095">
        <v>9453</v>
      </c>
      <c r="D10095" t="str">
        <f>"0929-1393"</f>
        <v>0929-1393</v>
      </c>
      <c r="E10095" t="s">
        <v>8</v>
      </c>
      <c r="F10095" t="s">
        <v>10101</v>
      </c>
      <c r="G10095">
        <v>1</v>
      </c>
    </row>
    <row r="10096" spans="1:7" x14ac:dyDescent="0.25">
      <c r="A10096">
        <v>32</v>
      </c>
      <c r="B10096" t="s">
        <v>9993</v>
      </c>
      <c r="C10096">
        <v>15429</v>
      </c>
      <c r="D10096" t="str">
        <f>"1864-7782"</f>
        <v>1864-7782</v>
      </c>
      <c r="E10096" t="s">
        <v>8</v>
      </c>
      <c r="F10096" t="s">
        <v>10102</v>
      </c>
      <c r="G10096">
        <v>1</v>
      </c>
    </row>
    <row r="10097" spans="1:7" x14ac:dyDescent="0.25">
      <c r="A10097">
        <v>32</v>
      </c>
      <c r="B10097" t="s">
        <v>9993</v>
      </c>
      <c r="C10097">
        <v>3336</v>
      </c>
      <c r="D10097" t="str">
        <f>"0304-3770"</f>
        <v>0304-3770</v>
      </c>
      <c r="E10097" t="s">
        <v>8</v>
      </c>
      <c r="F10097" t="s">
        <v>10103</v>
      </c>
      <c r="G10097">
        <v>1</v>
      </c>
    </row>
    <row r="10098" spans="1:7" x14ac:dyDescent="0.25">
      <c r="A10098">
        <v>32</v>
      </c>
      <c r="B10098" t="s">
        <v>9993</v>
      </c>
      <c r="C10098">
        <v>9286</v>
      </c>
      <c r="D10098" t="str">
        <f>"1386-2588"</f>
        <v>1386-2588</v>
      </c>
      <c r="E10098" t="s">
        <v>8</v>
      </c>
      <c r="F10098" t="s">
        <v>10104</v>
      </c>
      <c r="G10098">
        <v>1</v>
      </c>
    </row>
    <row r="10099" spans="1:7" x14ac:dyDescent="0.25">
      <c r="A10099">
        <v>32</v>
      </c>
      <c r="B10099" t="s">
        <v>9993</v>
      </c>
      <c r="C10099">
        <v>5265</v>
      </c>
      <c r="D10099" t="str">
        <f>"0165-0424"</f>
        <v>0165-0424</v>
      </c>
      <c r="E10099" t="s">
        <v>8</v>
      </c>
      <c r="F10099" t="s">
        <v>10105</v>
      </c>
      <c r="G10099">
        <v>1</v>
      </c>
    </row>
    <row r="10100" spans="1:7" x14ac:dyDescent="0.25">
      <c r="A10100">
        <v>32</v>
      </c>
      <c r="B10100" t="s">
        <v>9993</v>
      </c>
      <c r="C10100">
        <v>1922</v>
      </c>
      <c r="D10100" t="str">
        <f>"0167-5427"</f>
        <v>0167-5427</v>
      </c>
      <c r="E10100" t="s">
        <v>8</v>
      </c>
      <c r="F10100" t="s">
        <v>10106</v>
      </c>
      <c r="G10100">
        <v>1</v>
      </c>
    </row>
    <row r="10101" spans="1:7" x14ac:dyDescent="0.25">
      <c r="A10101">
        <v>32</v>
      </c>
      <c r="B10101" t="s">
        <v>9993</v>
      </c>
      <c r="C10101">
        <v>9851</v>
      </c>
      <c r="D10101" t="str">
        <f>"0948-3055"</f>
        <v>0948-3055</v>
      </c>
      <c r="E10101" t="s">
        <v>8</v>
      </c>
      <c r="F10101" t="s">
        <v>10107</v>
      </c>
      <c r="G10101">
        <v>1</v>
      </c>
    </row>
    <row r="10102" spans="1:7" x14ac:dyDescent="0.25">
      <c r="A10102">
        <v>32</v>
      </c>
      <c r="B10102" t="s">
        <v>9993</v>
      </c>
      <c r="C10102">
        <v>760</v>
      </c>
      <c r="D10102" t="str">
        <f>"1015-1621"</f>
        <v>1015-1621</v>
      </c>
      <c r="E10102" t="s">
        <v>8</v>
      </c>
      <c r="F10102" t="s">
        <v>10108</v>
      </c>
      <c r="G10102">
        <v>1</v>
      </c>
    </row>
    <row r="10103" spans="1:7" x14ac:dyDescent="0.25">
      <c r="A10103">
        <v>32</v>
      </c>
      <c r="B10103" t="s">
        <v>9993</v>
      </c>
      <c r="C10103">
        <v>8782445</v>
      </c>
      <c r="D10103" t="str">
        <f>"0524-4994"</f>
        <v>0524-4994</v>
      </c>
      <c r="E10103" t="s">
        <v>8</v>
      </c>
      <c r="F10103" t="s">
        <v>10109</v>
      </c>
      <c r="G10103">
        <v>1</v>
      </c>
    </row>
    <row r="10104" spans="1:7" x14ac:dyDescent="0.25">
      <c r="A10104">
        <v>32</v>
      </c>
      <c r="B10104" t="s">
        <v>9993</v>
      </c>
      <c r="C10104">
        <v>13179</v>
      </c>
      <c r="D10104" t="str">
        <f>"1472-3646"</f>
        <v>1472-3646</v>
      </c>
      <c r="E10104" t="s">
        <v>8</v>
      </c>
      <c r="F10104" t="s">
        <v>10110</v>
      </c>
      <c r="G10104">
        <v>1</v>
      </c>
    </row>
    <row r="10105" spans="1:7" x14ac:dyDescent="0.25">
      <c r="A10105">
        <v>32</v>
      </c>
      <c r="B10105" t="s">
        <v>9993</v>
      </c>
      <c r="C10105">
        <v>16351</v>
      </c>
      <c r="D10105" t="str">
        <f>"0323-5408"</f>
        <v>0323-5408</v>
      </c>
      <c r="E10105" t="s">
        <v>8</v>
      </c>
      <c r="F10105" t="s">
        <v>10111</v>
      </c>
      <c r="G10105">
        <v>1</v>
      </c>
    </row>
    <row r="10106" spans="1:7" x14ac:dyDescent="0.25">
      <c r="A10106">
        <v>32</v>
      </c>
      <c r="B10106" t="s">
        <v>9993</v>
      </c>
      <c r="C10106">
        <v>7784</v>
      </c>
      <c r="D10106" t="str">
        <f>"0373-2266"</f>
        <v>0373-2266</v>
      </c>
      <c r="E10106" t="s">
        <v>8</v>
      </c>
      <c r="F10106" t="s">
        <v>10112</v>
      </c>
      <c r="G10106">
        <v>1</v>
      </c>
    </row>
    <row r="10107" spans="1:7" x14ac:dyDescent="0.25">
      <c r="A10107">
        <v>32</v>
      </c>
      <c r="B10107" t="s">
        <v>9993</v>
      </c>
      <c r="C10107">
        <v>5718</v>
      </c>
      <c r="D10107" t="str">
        <f>"0570-7358"</f>
        <v>0570-7358</v>
      </c>
      <c r="E10107" t="s">
        <v>8</v>
      </c>
      <c r="F10107" t="s">
        <v>10113</v>
      </c>
      <c r="G10107">
        <v>1</v>
      </c>
    </row>
    <row r="10108" spans="1:7" x14ac:dyDescent="0.25">
      <c r="A10108">
        <v>32</v>
      </c>
      <c r="B10108" t="s">
        <v>9993</v>
      </c>
      <c r="C10108">
        <v>24694</v>
      </c>
      <c r="D10108" t="str">
        <f>"1872-8855"</f>
        <v>1872-8855</v>
      </c>
      <c r="E10108" t="s">
        <v>8</v>
      </c>
      <c r="F10108" t="s">
        <v>10114</v>
      </c>
      <c r="G10108">
        <v>1</v>
      </c>
    </row>
    <row r="10109" spans="1:7" x14ac:dyDescent="0.25">
      <c r="A10109">
        <v>32</v>
      </c>
      <c r="B10109" t="s">
        <v>9993</v>
      </c>
      <c r="C10109">
        <v>16270</v>
      </c>
      <c r="D10109" t="str">
        <f>"1467-8039"</f>
        <v>1467-8039</v>
      </c>
      <c r="E10109" t="s">
        <v>8</v>
      </c>
      <c r="F10109" t="s">
        <v>10115</v>
      </c>
      <c r="G10109">
        <v>1</v>
      </c>
    </row>
    <row r="10110" spans="1:7" x14ac:dyDescent="0.25">
      <c r="A10110">
        <v>32</v>
      </c>
      <c r="B10110" t="s">
        <v>9993</v>
      </c>
      <c r="C10110">
        <v>156103</v>
      </c>
      <c r="D10110" t="str">
        <f>"1985-1944"</f>
        <v>1985-1944</v>
      </c>
      <c r="E10110" t="s">
        <v>8</v>
      </c>
      <c r="F10110" t="s">
        <v>10116</v>
      </c>
      <c r="G10110">
        <v>1</v>
      </c>
    </row>
    <row r="10111" spans="1:7" x14ac:dyDescent="0.25">
      <c r="A10111">
        <v>32</v>
      </c>
      <c r="B10111" t="s">
        <v>9993</v>
      </c>
      <c r="C10111">
        <v>2317</v>
      </c>
      <c r="D10111" t="str">
        <f>"1531-1074"</f>
        <v>1531-1074</v>
      </c>
      <c r="E10111" t="s">
        <v>8</v>
      </c>
      <c r="F10111" t="s">
        <v>10117</v>
      </c>
      <c r="G10111">
        <v>1</v>
      </c>
    </row>
    <row r="10112" spans="1:7" x14ac:dyDescent="0.25">
      <c r="A10112">
        <v>32</v>
      </c>
      <c r="B10112" t="s">
        <v>9993</v>
      </c>
      <c r="C10112">
        <v>14480</v>
      </c>
      <c r="D10112" t="str">
        <f>"1442-9985"</f>
        <v>1442-9985</v>
      </c>
      <c r="E10112" t="s">
        <v>8</v>
      </c>
      <c r="F10112" t="s">
        <v>10118</v>
      </c>
      <c r="G10112">
        <v>1</v>
      </c>
    </row>
    <row r="10113" spans="1:7" x14ac:dyDescent="0.25">
      <c r="A10113">
        <v>32</v>
      </c>
      <c r="B10113" t="s">
        <v>9993</v>
      </c>
      <c r="C10113">
        <v>8782440</v>
      </c>
      <c r="D10113" t="str">
        <f>"2052-174X"</f>
        <v>2052-174X</v>
      </c>
      <c r="E10113" t="s">
        <v>8</v>
      </c>
      <c r="F10113" t="s">
        <v>10119</v>
      </c>
      <c r="G10113">
        <v>1</v>
      </c>
    </row>
    <row r="10114" spans="1:7" x14ac:dyDescent="0.25">
      <c r="A10114">
        <v>32</v>
      </c>
      <c r="B10114" t="s">
        <v>9993</v>
      </c>
      <c r="C10114">
        <v>3914</v>
      </c>
      <c r="D10114" t="str">
        <f>"0815-3191"</f>
        <v>0815-3191</v>
      </c>
      <c r="E10114" t="s">
        <v>8</v>
      </c>
      <c r="F10114" t="s">
        <v>10120</v>
      </c>
      <c r="G10114">
        <v>1</v>
      </c>
    </row>
    <row r="10115" spans="1:7" x14ac:dyDescent="0.25">
      <c r="A10115">
        <v>32</v>
      </c>
      <c r="B10115" t="s">
        <v>9993</v>
      </c>
      <c r="C10115">
        <v>321</v>
      </c>
      <c r="D10115" t="str">
        <f>"0067-1924"</f>
        <v>0067-1924</v>
      </c>
      <c r="E10115" t="s">
        <v>8</v>
      </c>
      <c r="F10115" t="s">
        <v>10121</v>
      </c>
      <c r="G10115">
        <v>1</v>
      </c>
    </row>
    <row r="10116" spans="1:7" x14ac:dyDescent="0.25">
      <c r="A10116">
        <v>32</v>
      </c>
      <c r="B10116" t="s">
        <v>9993</v>
      </c>
      <c r="C10116">
        <v>13208</v>
      </c>
      <c r="D10116" t="str">
        <f>"0004-959X"</f>
        <v>0004-959X</v>
      </c>
      <c r="E10116" t="s">
        <v>8</v>
      </c>
      <c r="F10116" t="s">
        <v>10122</v>
      </c>
      <c r="G10116">
        <v>1</v>
      </c>
    </row>
    <row r="10117" spans="1:7" x14ac:dyDescent="0.25">
      <c r="A10117">
        <v>32</v>
      </c>
      <c r="B10117" t="s">
        <v>9993</v>
      </c>
      <c r="C10117">
        <v>2191</v>
      </c>
      <c r="D10117" t="str">
        <f>"1030-1887"</f>
        <v>1030-1887</v>
      </c>
      <c r="E10117" t="s">
        <v>8</v>
      </c>
      <c r="F10117" t="s">
        <v>10123</v>
      </c>
      <c r="G10117">
        <v>1</v>
      </c>
    </row>
    <row r="10118" spans="1:7" x14ac:dyDescent="0.25">
      <c r="A10118">
        <v>32</v>
      </c>
      <c r="B10118" t="s">
        <v>9993</v>
      </c>
      <c r="C10118">
        <v>13626</v>
      </c>
      <c r="D10118" t="str">
        <f>"0253-5416"</f>
        <v>0253-5416</v>
      </c>
      <c r="E10118" t="s">
        <v>8</v>
      </c>
      <c r="F10118" t="s">
        <v>10124</v>
      </c>
      <c r="G10118">
        <v>1</v>
      </c>
    </row>
    <row r="10119" spans="1:7" x14ac:dyDescent="0.25">
      <c r="A10119">
        <v>32</v>
      </c>
      <c r="B10119" t="s">
        <v>9993</v>
      </c>
      <c r="C10119">
        <v>10603</v>
      </c>
      <c r="D10119" t="str">
        <f>"1439-1791"</f>
        <v>1439-1791</v>
      </c>
      <c r="E10119" t="s">
        <v>8</v>
      </c>
      <c r="F10119" t="s">
        <v>10125</v>
      </c>
      <c r="G10119">
        <v>1</v>
      </c>
    </row>
    <row r="10120" spans="1:7" x14ac:dyDescent="0.25">
      <c r="A10120">
        <v>32</v>
      </c>
      <c r="B10120" t="s">
        <v>9993</v>
      </c>
      <c r="C10120">
        <v>12556</v>
      </c>
      <c r="D10120" t="str">
        <f>"0340-5443"</f>
        <v>0340-5443</v>
      </c>
      <c r="E10120" t="s">
        <v>8</v>
      </c>
      <c r="F10120" t="s">
        <v>10126</v>
      </c>
      <c r="G10120">
        <v>1</v>
      </c>
    </row>
    <row r="10121" spans="1:7" x14ac:dyDescent="0.25">
      <c r="A10121">
        <v>32</v>
      </c>
      <c r="B10121" t="s">
        <v>9993</v>
      </c>
      <c r="C10121">
        <v>1010</v>
      </c>
      <c r="D10121" t="str">
        <f>"0777-6276"</f>
        <v>0777-6276</v>
      </c>
      <c r="E10121" t="s">
        <v>8</v>
      </c>
      <c r="F10121" t="s">
        <v>10127</v>
      </c>
      <c r="G10121">
        <v>1</v>
      </c>
    </row>
    <row r="10122" spans="1:7" x14ac:dyDescent="0.25">
      <c r="A10122">
        <v>32</v>
      </c>
      <c r="B10122" t="s">
        <v>9993</v>
      </c>
      <c r="C10122">
        <v>3202</v>
      </c>
      <c r="D10122" t="str">
        <f>"0952-4622"</f>
        <v>0952-4622</v>
      </c>
      <c r="E10122" t="s">
        <v>8</v>
      </c>
      <c r="F10122" t="s">
        <v>10128</v>
      </c>
      <c r="G10122">
        <v>1</v>
      </c>
    </row>
    <row r="10123" spans="1:7" x14ac:dyDescent="0.25">
      <c r="A10123">
        <v>32</v>
      </c>
      <c r="B10123" t="s">
        <v>9993</v>
      </c>
      <c r="C10123">
        <v>27754</v>
      </c>
      <c r="D10123" t="str">
        <f>"1810-6277"</f>
        <v>1810-6277</v>
      </c>
      <c r="E10123" t="s">
        <v>8</v>
      </c>
      <c r="F10123" t="s">
        <v>10129</v>
      </c>
      <c r="G10123">
        <v>1</v>
      </c>
    </row>
    <row r="10124" spans="1:7" x14ac:dyDescent="0.25">
      <c r="A10124">
        <v>32</v>
      </c>
      <c r="B10124" t="s">
        <v>9993</v>
      </c>
      <c r="C10124">
        <v>19498</v>
      </c>
      <c r="D10124" t="str">
        <f>"1748-3182"</f>
        <v>1748-3182</v>
      </c>
      <c r="E10124" t="s">
        <v>8</v>
      </c>
      <c r="F10124" t="s">
        <v>10130</v>
      </c>
      <c r="G10124">
        <v>1</v>
      </c>
    </row>
    <row r="10125" spans="1:7" x14ac:dyDescent="0.25">
      <c r="A10125">
        <v>32</v>
      </c>
      <c r="B10125" t="s">
        <v>9993</v>
      </c>
      <c r="C10125">
        <v>12389</v>
      </c>
      <c r="D10125" t="str">
        <f>"0006-3088"</f>
        <v>0006-3088</v>
      </c>
      <c r="E10125" t="s">
        <v>8</v>
      </c>
      <c r="F10125" t="s">
        <v>10131</v>
      </c>
      <c r="G10125">
        <v>1</v>
      </c>
    </row>
    <row r="10126" spans="1:7" x14ac:dyDescent="0.25">
      <c r="A10126">
        <v>32</v>
      </c>
      <c r="B10126" t="s">
        <v>9993</v>
      </c>
      <c r="C10126">
        <v>7162</v>
      </c>
      <c r="D10126" t="str">
        <f>"0006-3134"</f>
        <v>0006-3134</v>
      </c>
      <c r="E10126" t="s">
        <v>8</v>
      </c>
      <c r="F10126" t="s">
        <v>10132</v>
      </c>
      <c r="G10126">
        <v>1</v>
      </c>
    </row>
    <row r="10127" spans="1:7" x14ac:dyDescent="0.25">
      <c r="A10127">
        <v>32</v>
      </c>
      <c r="B10127" t="s">
        <v>9993</v>
      </c>
      <c r="C10127">
        <v>1681</v>
      </c>
      <c r="D10127" t="str">
        <f>"0006-3185"</f>
        <v>0006-3185</v>
      </c>
      <c r="E10127" t="s">
        <v>8</v>
      </c>
      <c r="F10127" t="s">
        <v>10133</v>
      </c>
      <c r="G10127">
        <v>1</v>
      </c>
    </row>
    <row r="10128" spans="1:7" x14ac:dyDescent="0.25">
      <c r="A10128">
        <v>32</v>
      </c>
      <c r="B10128" t="s">
        <v>9993</v>
      </c>
      <c r="C10128">
        <v>1418</v>
      </c>
      <c r="D10128" t="str">
        <f>"1387-3547"</f>
        <v>1387-3547</v>
      </c>
      <c r="E10128" t="s">
        <v>8</v>
      </c>
      <c r="F10128" t="s">
        <v>10134</v>
      </c>
      <c r="G10128">
        <v>1</v>
      </c>
    </row>
    <row r="10129" spans="1:7" x14ac:dyDescent="0.25">
      <c r="A10129">
        <v>32</v>
      </c>
      <c r="B10129" t="s">
        <v>9993</v>
      </c>
      <c r="C10129">
        <v>10865</v>
      </c>
      <c r="D10129" t="str">
        <f>"0024-4066"</f>
        <v>0024-4066</v>
      </c>
      <c r="E10129" t="s">
        <v>8</v>
      </c>
      <c r="F10129" t="s">
        <v>10135</v>
      </c>
      <c r="G10129">
        <v>1</v>
      </c>
    </row>
    <row r="10130" spans="1:7" x14ac:dyDescent="0.25">
      <c r="A10130">
        <v>32</v>
      </c>
      <c r="B10130" t="s">
        <v>9993</v>
      </c>
      <c r="C10130">
        <v>15826</v>
      </c>
      <c r="E10130" t="s">
        <v>8</v>
      </c>
      <c r="F10130" t="s">
        <v>10136</v>
      </c>
      <c r="G10130">
        <v>1</v>
      </c>
    </row>
    <row r="10131" spans="1:7" x14ac:dyDescent="0.25">
      <c r="A10131">
        <v>32</v>
      </c>
      <c r="B10131" t="s">
        <v>9993</v>
      </c>
      <c r="C10131">
        <v>8935</v>
      </c>
      <c r="D10131" t="str">
        <f>"0716-9760"</f>
        <v>0716-9760</v>
      </c>
      <c r="E10131" t="s">
        <v>8</v>
      </c>
      <c r="F10131" t="s">
        <v>10137</v>
      </c>
      <c r="G10131">
        <v>1</v>
      </c>
    </row>
    <row r="10132" spans="1:7" x14ac:dyDescent="0.25">
      <c r="A10132">
        <v>32</v>
      </c>
      <c r="B10132" t="s">
        <v>9993</v>
      </c>
      <c r="C10132">
        <v>3066</v>
      </c>
      <c r="D10132" t="str">
        <f>"0929-1016"</f>
        <v>0929-1016</v>
      </c>
      <c r="E10132" t="s">
        <v>8</v>
      </c>
      <c r="F10132" t="s">
        <v>10138</v>
      </c>
      <c r="G10132">
        <v>1</v>
      </c>
    </row>
    <row r="10133" spans="1:7" x14ac:dyDescent="0.25">
      <c r="A10133">
        <v>32</v>
      </c>
      <c r="B10133" t="s">
        <v>9993</v>
      </c>
      <c r="C10133">
        <v>7714444</v>
      </c>
      <c r="E10133" t="s">
        <v>8</v>
      </c>
      <c r="F10133" t="s">
        <v>10139</v>
      </c>
      <c r="G10133">
        <v>1</v>
      </c>
    </row>
    <row r="10134" spans="1:7" x14ac:dyDescent="0.25">
      <c r="A10134">
        <v>32</v>
      </c>
      <c r="B10134" t="s">
        <v>9993</v>
      </c>
      <c r="C10134">
        <v>12694</v>
      </c>
      <c r="D10134" t="str">
        <f>"1062-3590"</f>
        <v>1062-3590</v>
      </c>
      <c r="E10134" t="s">
        <v>8</v>
      </c>
      <c r="F10134" t="s">
        <v>10140</v>
      </c>
      <c r="G10134">
        <v>1</v>
      </c>
    </row>
    <row r="10135" spans="1:7" x14ac:dyDescent="0.25">
      <c r="A10135">
        <v>32</v>
      </c>
      <c r="B10135" t="s">
        <v>9993</v>
      </c>
      <c r="C10135">
        <v>11987</v>
      </c>
      <c r="E10135" t="s">
        <v>8</v>
      </c>
      <c r="F10135" t="s">
        <v>10141</v>
      </c>
      <c r="G10135">
        <v>1</v>
      </c>
    </row>
    <row r="10136" spans="1:7" x14ac:dyDescent="0.25">
      <c r="A10136">
        <v>32</v>
      </c>
      <c r="B10136" t="s">
        <v>9993</v>
      </c>
      <c r="C10136">
        <v>7696</v>
      </c>
      <c r="D10136" t="str">
        <f>"0969-4765"</f>
        <v>0969-4765</v>
      </c>
      <c r="E10136" t="s">
        <v>8</v>
      </c>
      <c r="F10136" t="s">
        <v>10142</v>
      </c>
      <c r="G10136">
        <v>1</v>
      </c>
    </row>
    <row r="10137" spans="1:7" x14ac:dyDescent="0.25">
      <c r="A10137">
        <v>32</v>
      </c>
      <c r="B10137" t="s">
        <v>9993</v>
      </c>
      <c r="C10137">
        <v>6704</v>
      </c>
      <c r="D10137" t="str">
        <f>"1539-2422"</f>
        <v>1539-2422</v>
      </c>
      <c r="E10137" t="s">
        <v>8</v>
      </c>
      <c r="F10137" t="s">
        <v>10143</v>
      </c>
      <c r="G10137">
        <v>1</v>
      </c>
    </row>
    <row r="10138" spans="1:7" x14ac:dyDescent="0.25">
      <c r="A10138">
        <v>32</v>
      </c>
      <c r="B10138" t="s">
        <v>9993</v>
      </c>
      <c r="C10138">
        <v>21938</v>
      </c>
      <c r="D10138" t="str">
        <f>"1875-1342"</f>
        <v>1875-1342</v>
      </c>
      <c r="E10138" t="s">
        <v>8</v>
      </c>
      <c r="F10138" t="s">
        <v>10144</v>
      </c>
      <c r="G10138">
        <v>1</v>
      </c>
    </row>
    <row r="10139" spans="1:7" x14ac:dyDescent="0.25">
      <c r="A10139">
        <v>32</v>
      </c>
      <c r="B10139" t="s">
        <v>9993</v>
      </c>
      <c r="C10139">
        <v>7029</v>
      </c>
      <c r="D10139" t="str">
        <f>"0303-2647"</f>
        <v>0303-2647</v>
      </c>
      <c r="E10139" t="s">
        <v>8</v>
      </c>
      <c r="F10139" t="s">
        <v>10145</v>
      </c>
      <c r="G10139">
        <v>1</v>
      </c>
    </row>
    <row r="10140" spans="1:7" x14ac:dyDescent="0.25">
      <c r="A10140">
        <v>32</v>
      </c>
      <c r="B10140" t="s">
        <v>9993</v>
      </c>
      <c r="C10140">
        <v>13275</v>
      </c>
      <c r="E10140" t="s">
        <v>8</v>
      </c>
      <c r="F10140" t="s">
        <v>10146</v>
      </c>
      <c r="G10140">
        <v>1</v>
      </c>
    </row>
    <row r="10141" spans="1:7" x14ac:dyDescent="0.25">
      <c r="A10141">
        <v>32</v>
      </c>
      <c r="B10141" t="s">
        <v>9993</v>
      </c>
      <c r="C10141">
        <v>15453</v>
      </c>
      <c r="D10141" t="str">
        <f>"0006-3606"</f>
        <v>0006-3606</v>
      </c>
      <c r="E10141" t="s">
        <v>8</v>
      </c>
      <c r="F10141" t="s">
        <v>10147</v>
      </c>
      <c r="G10141">
        <v>1</v>
      </c>
    </row>
    <row r="10142" spans="1:7" x14ac:dyDescent="0.25">
      <c r="A10142">
        <v>32</v>
      </c>
      <c r="B10142" t="s">
        <v>9993</v>
      </c>
      <c r="C10142">
        <v>15959</v>
      </c>
      <c r="D10142" t="str">
        <f>"0959-2709"</f>
        <v>0959-2709</v>
      </c>
      <c r="E10142" t="s">
        <v>8</v>
      </c>
      <c r="F10142" t="s">
        <v>10148</v>
      </c>
      <c r="G10142">
        <v>1</v>
      </c>
    </row>
    <row r="10143" spans="1:7" x14ac:dyDescent="0.25">
      <c r="A10143">
        <v>32</v>
      </c>
      <c r="B10143" t="s">
        <v>9993</v>
      </c>
      <c r="C10143">
        <v>4303</v>
      </c>
      <c r="D10143" t="str">
        <f>"0006-3657"</f>
        <v>0006-3657</v>
      </c>
      <c r="E10143" t="s">
        <v>8</v>
      </c>
      <c r="F10143" t="s">
        <v>10149</v>
      </c>
      <c r="G10143">
        <v>1</v>
      </c>
    </row>
    <row r="10144" spans="1:7" x14ac:dyDescent="0.25">
      <c r="A10144">
        <v>32</v>
      </c>
      <c r="B10144" t="s">
        <v>9993</v>
      </c>
      <c r="C10144">
        <v>8225</v>
      </c>
      <c r="D10144" t="str">
        <f>"0006-5196"</f>
        <v>0006-5196</v>
      </c>
      <c r="E10144" t="s">
        <v>8</v>
      </c>
      <c r="F10144" t="s">
        <v>10150</v>
      </c>
      <c r="G10144">
        <v>1</v>
      </c>
    </row>
    <row r="10145" spans="1:7" x14ac:dyDescent="0.25">
      <c r="A10145">
        <v>32</v>
      </c>
      <c r="B10145" t="s">
        <v>9993</v>
      </c>
      <c r="C10145">
        <v>8811</v>
      </c>
      <c r="E10145" t="s">
        <v>8</v>
      </c>
      <c r="F10145" t="s">
        <v>10151</v>
      </c>
      <c r="G10145">
        <v>1</v>
      </c>
    </row>
    <row r="10146" spans="1:7" x14ac:dyDescent="0.25">
      <c r="A10146">
        <v>32</v>
      </c>
      <c r="B10146" t="s">
        <v>9993</v>
      </c>
      <c r="C10146">
        <v>27469</v>
      </c>
      <c r="E10146" t="s">
        <v>8</v>
      </c>
      <c r="F10146" t="s">
        <v>10152</v>
      </c>
      <c r="G10146">
        <v>1</v>
      </c>
    </row>
    <row r="10147" spans="1:7" x14ac:dyDescent="0.25">
      <c r="A10147">
        <v>32</v>
      </c>
      <c r="B10147" t="s">
        <v>9993</v>
      </c>
      <c r="C10147">
        <v>3701</v>
      </c>
      <c r="E10147" t="s">
        <v>8</v>
      </c>
      <c r="F10147" t="s">
        <v>10153</v>
      </c>
      <c r="G10147">
        <v>1</v>
      </c>
    </row>
    <row r="10148" spans="1:7" x14ac:dyDescent="0.25">
      <c r="A10148">
        <v>32</v>
      </c>
      <c r="B10148" t="s">
        <v>9993</v>
      </c>
      <c r="C10148">
        <v>25631</v>
      </c>
      <c r="D10148" t="str">
        <f>"0006-579X"</f>
        <v>0006-579X</v>
      </c>
      <c r="E10148" t="s">
        <v>8</v>
      </c>
      <c r="F10148" t="s">
        <v>10154</v>
      </c>
      <c r="G10148">
        <v>1</v>
      </c>
    </row>
    <row r="10149" spans="1:7" x14ac:dyDescent="0.25">
      <c r="A10149">
        <v>32</v>
      </c>
      <c r="B10149" t="s">
        <v>9993</v>
      </c>
      <c r="C10149">
        <v>2236</v>
      </c>
      <c r="D10149" t="str">
        <f>"0006-8055"</f>
        <v>0006-8055</v>
      </c>
      <c r="E10149" t="s">
        <v>8</v>
      </c>
      <c r="F10149" t="s">
        <v>10155</v>
      </c>
      <c r="G10149">
        <v>1</v>
      </c>
    </row>
    <row r="10150" spans="1:7" x14ac:dyDescent="0.25">
      <c r="A10150">
        <v>32</v>
      </c>
      <c r="B10150" t="s">
        <v>9993</v>
      </c>
      <c r="C10150">
        <v>984</v>
      </c>
      <c r="D10150" t="str">
        <f>"0024-4074"</f>
        <v>0024-4074</v>
      </c>
      <c r="E10150" t="s">
        <v>8</v>
      </c>
      <c r="F10150" t="s">
        <v>10156</v>
      </c>
      <c r="G10150">
        <v>1</v>
      </c>
    </row>
    <row r="10151" spans="1:7" x14ac:dyDescent="0.25">
      <c r="A10151">
        <v>32</v>
      </c>
      <c r="B10151" t="s">
        <v>9993</v>
      </c>
      <c r="C10151">
        <v>18125</v>
      </c>
      <c r="D10151" t="str">
        <f>"1817-406X"</f>
        <v>1817-406X</v>
      </c>
      <c r="E10151" t="s">
        <v>8</v>
      </c>
      <c r="F10151" t="s">
        <v>10157</v>
      </c>
      <c r="G10151">
        <v>1</v>
      </c>
    </row>
    <row r="10152" spans="1:7" x14ac:dyDescent="0.25">
      <c r="A10152">
        <v>32</v>
      </c>
      <c r="B10152" t="s">
        <v>9993</v>
      </c>
      <c r="C10152">
        <v>2287</v>
      </c>
      <c r="D10152" t="str">
        <f>"1916-2790"</f>
        <v>1916-2790</v>
      </c>
      <c r="E10152" t="s">
        <v>8</v>
      </c>
      <c r="F10152" t="s">
        <v>10158</v>
      </c>
      <c r="G10152">
        <v>1</v>
      </c>
    </row>
    <row r="10153" spans="1:7" x14ac:dyDescent="0.25">
      <c r="A10153">
        <v>32</v>
      </c>
      <c r="B10153" t="s">
        <v>9993</v>
      </c>
      <c r="C10153">
        <v>8782444</v>
      </c>
      <c r="D10153" t="str">
        <f>"0006-8241"</f>
        <v>0006-8241</v>
      </c>
      <c r="E10153" t="s">
        <v>8</v>
      </c>
      <c r="F10153" t="s">
        <v>10159</v>
      </c>
      <c r="G10153">
        <v>1</v>
      </c>
    </row>
    <row r="10154" spans="1:7" x14ac:dyDescent="0.25">
      <c r="A10154">
        <v>32</v>
      </c>
      <c r="B10154" t="s">
        <v>9993</v>
      </c>
      <c r="C10154">
        <v>5021</v>
      </c>
      <c r="D10154" t="str">
        <f>"1516-8913"</f>
        <v>1516-8913</v>
      </c>
      <c r="E10154" t="s">
        <v>8</v>
      </c>
      <c r="F10154" t="s">
        <v>10160</v>
      </c>
      <c r="G10154">
        <v>1</v>
      </c>
    </row>
    <row r="10155" spans="1:7" x14ac:dyDescent="0.25">
      <c r="A10155">
        <v>32</v>
      </c>
      <c r="B10155" t="s">
        <v>9993</v>
      </c>
      <c r="C10155">
        <v>1395</v>
      </c>
      <c r="D10155" t="str">
        <f>"0007-196X"</f>
        <v>0007-196X</v>
      </c>
      <c r="E10155" t="s">
        <v>8</v>
      </c>
      <c r="F10155" t="s">
        <v>10161</v>
      </c>
      <c r="G10155">
        <v>1</v>
      </c>
    </row>
    <row r="10156" spans="1:7" x14ac:dyDescent="0.25">
      <c r="A10156">
        <v>32</v>
      </c>
      <c r="B10156" t="s">
        <v>9993</v>
      </c>
      <c r="C10156">
        <v>9466</v>
      </c>
      <c r="D10156" t="str">
        <f>"0007-2745"</f>
        <v>0007-2745</v>
      </c>
      <c r="E10156" t="s">
        <v>8</v>
      </c>
      <c r="F10156" t="s">
        <v>10162</v>
      </c>
      <c r="G10156">
        <v>1</v>
      </c>
    </row>
    <row r="10157" spans="1:7" x14ac:dyDescent="0.25">
      <c r="A10157">
        <v>32</v>
      </c>
      <c r="B10157" t="s">
        <v>9993</v>
      </c>
      <c r="C10157">
        <v>16019</v>
      </c>
      <c r="D10157" t="str">
        <f>"0007-4853"</f>
        <v>0007-4853</v>
      </c>
      <c r="E10157" t="s">
        <v>8</v>
      </c>
      <c r="F10157" t="s">
        <v>10163</v>
      </c>
      <c r="G10157">
        <v>1</v>
      </c>
    </row>
    <row r="10158" spans="1:7" x14ac:dyDescent="0.25">
      <c r="A10158">
        <v>32</v>
      </c>
      <c r="B10158" t="s">
        <v>9993</v>
      </c>
      <c r="C10158">
        <v>10606</v>
      </c>
      <c r="D10158" t="str">
        <f>"0007-9723"</f>
        <v>0007-9723</v>
      </c>
      <c r="E10158" t="s">
        <v>8</v>
      </c>
      <c r="F10158" t="s">
        <v>10164</v>
      </c>
      <c r="G10158">
        <v>1</v>
      </c>
    </row>
    <row r="10159" spans="1:7" x14ac:dyDescent="0.25">
      <c r="A10159">
        <v>32</v>
      </c>
      <c r="B10159" t="s">
        <v>9993</v>
      </c>
      <c r="C10159">
        <v>13353</v>
      </c>
      <c r="D10159" t="str">
        <f>"0008-347X"</f>
        <v>0008-347X</v>
      </c>
      <c r="E10159" t="s">
        <v>8</v>
      </c>
      <c r="F10159" t="s">
        <v>10165</v>
      </c>
      <c r="G10159">
        <v>1</v>
      </c>
    </row>
    <row r="10160" spans="1:7" x14ac:dyDescent="0.25">
      <c r="A10160">
        <v>32</v>
      </c>
      <c r="B10160" t="s">
        <v>9993</v>
      </c>
      <c r="C10160">
        <v>5558</v>
      </c>
      <c r="D10160" t="str">
        <f>"0008-4301"</f>
        <v>0008-4301</v>
      </c>
      <c r="E10160" t="s">
        <v>8</v>
      </c>
      <c r="F10160" t="s">
        <v>10166</v>
      </c>
      <c r="G10160">
        <v>1</v>
      </c>
    </row>
    <row r="10161" spans="1:7" x14ac:dyDescent="0.25">
      <c r="A10161">
        <v>32</v>
      </c>
      <c r="B10161" t="s">
        <v>9993</v>
      </c>
      <c r="C10161">
        <v>16334</v>
      </c>
      <c r="D10161" t="str">
        <f>"0373-2967"</f>
        <v>0373-2967</v>
      </c>
      <c r="E10161" t="s">
        <v>8</v>
      </c>
      <c r="F10161" t="s">
        <v>10167</v>
      </c>
      <c r="G10161">
        <v>1</v>
      </c>
    </row>
    <row r="10162" spans="1:7" x14ac:dyDescent="0.25">
      <c r="A10162">
        <v>32</v>
      </c>
      <c r="B10162" t="s">
        <v>9993</v>
      </c>
      <c r="C10162">
        <v>6370</v>
      </c>
      <c r="D10162" t="str">
        <f>"0008-6452"</f>
        <v>0008-6452</v>
      </c>
      <c r="E10162" t="s">
        <v>8</v>
      </c>
      <c r="F10162" t="s">
        <v>10168</v>
      </c>
      <c r="G10162">
        <v>1</v>
      </c>
    </row>
    <row r="10163" spans="1:7" x14ac:dyDescent="0.25">
      <c r="A10163">
        <v>32</v>
      </c>
      <c r="B10163" t="s">
        <v>9993</v>
      </c>
      <c r="C10163">
        <v>6058679</v>
      </c>
      <c r="E10163" t="s">
        <v>8</v>
      </c>
      <c r="F10163" t="s">
        <v>10169</v>
      </c>
      <c r="G10163">
        <v>1</v>
      </c>
    </row>
    <row r="10164" spans="1:7" x14ac:dyDescent="0.25">
      <c r="A10164">
        <v>32</v>
      </c>
      <c r="B10164" t="s">
        <v>9993</v>
      </c>
      <c r="C10164">
        <v>7714445</v>
      </c>
      <c r="E10164" t="s">
        <v>8</v>
      </c>
      <c r="F10164" t="s">
        <v>10170</v>
      </c>
      <c r="G10164">
        <v>1</v>
      </c>
    </row>
    <row r="10165" spans="1:7" x14ac:dyDescent="0.25">
      <c r="A10165">
        <v>32</v>
      </c>
      <c r="B10165" t="s">
        <v>9993</v>
      </c>
      <c r="C10165">
        <v>12975</v>
      </c>
      <c r="D10165" t="str">
        <f>"0091-7451"</f>
        <v>0091-7451</v>
      </c>
      <c r="E10165" t="s">
        <v>15</v>
      </c>
      <c r="F10165" t="s">
        <v>10171</v>
      </c>
      <c r="G10165">
        <v>1</v>
      </c>
    </row>
    <row r="10166" spans="1:7" x14ac:dyDescent="0.25">
      <c r="A10166">
        <v>32</v>
      </c>
      <c r="B10166" t="s">
        <v>9993</v>
      </c>
      <c r="C10166">
        <v>6069553</v>
      </c>
      <c r="E10166" t="s">
        <v>8</v>
      </c>
      <c r="F10166" t="s">
        <v>10172</v>
      </c>
      <c r="G10166">
        <v>1</v>
      </c>
    </row>
    <row r="10167" spans="1:7" x14ac:dyDescent="0.25">
      <c r="A10167">
        <v>32</v>
      </c>
      <c r="B10167" t="s">
        <v>9993</v>
      </c>
      <c r="C10167">
        <v>2705</v>
      </c>
      <c r="D10167" t="str">
        <f>"1095-6433"</f>
        <v>1095-6433</v>
      </c>
      <c r="E10167" t="s">
        <v>8</v>
      </c>
      <c r="F10167" t="s">
        <v>10173</v>
      </c>
      <c r="G10167">
        <v>1</v>
      </c>
    </row>
    <row r="10168" spans="1:7" x14ac:dyDescent="0.25">
      <c r="A10168">
        <v>32</v>
      </c>
      <c r="B10168" t="s">
        <v>9993</v>
      </c>
      <c r="C10168">
        <v>12376</v>
      </c>
      <c r="D10168" t="str">
        <f>"1525-2647"</f>
        <v>1525-2647</v>
      </c>
      <c r="E10168" t="s">
        <v>8</v>
      </c>
      <c r="F10168" t="s">
        <v>10174</v>
      </c>
      <c r="G10168">
        <v>1</v>
      </c>
    </row>
    <row r="10169" spans="1:7" x14ac:dyDescent="0.25">
      <c r="A10169">
        <v>32</v>
      </c>
      <c r="B10169" t="s">
        <v>9993</v>
      </c>
      <c r="C10169">
        <v>11623</v>
      </c>
      <c r="D10169" t="str">
        <f>"1631-0691"</f>
        <v>1631-0691</v>
      </c>
      <c r="E10169" t="s">
        <v>8</v>
      </c>
      <c r="F10169" t="s">
        <v>10175</v>
      </c>
      <c r="G10169">
        <v>1</v>
      </c>
    </row>
    <row r="10170" spans="1:7" x14ac:dyDescent="0.25">
      <c r="A10170">
        <v>32</v>
      </c>
      <c r="B10170" t="s">
        <v>9993</v>
      </c>
      <c r="C10170">
        <v>4215</v>
      </c>
      <c r="D10170" t="str">
        <f>"1476-9271"</f>
        <v>1476-9271</v>
      </c>
      <c r="E10170" t="s">
        <v>8</v>
      </c>
      <c r="F10170" t="s">
        <v>10176</v>
      </c>
      <c r="G10170">
        <v>1</v>
      </c>
    </row>
    <row r="10171" spans="1:7" x14ac:dyDescent="0.25">
      <c r="A10171">
        <v>32</v>
      </c>
      <c r="B10171" t="s">
        <v>9993</v>
      </c>
      <c r="C10171">
        <v>11894</v>
      </c>
      <c r="D10171" t="str">
        <f>"1383-4517"</f>
        <v>1383-4517</v>
      </c>
      <c r="E10171" t="s">
        <v>8</v>
      </c>
      <c r="F10171" t="s">
        <v>10177</v>
      </c>
      <c r="G10171">
        <v>1</v>
      </c>
    </row>
    <row r="10172" spans="1:7" x14ac:dyDescent="0.25">
      <c r="A10172">
        <v>32</v>
      </c>
      <c r="B10172" t="s">
        <v>9993</v>
      </c>
      <c r="C10172">
        <v>1053</v>
      </c>
      <c r="D10172" t="str">
        <f>"0045-8511"</f>
        <v>0045-8511</v>
      </c>
      <c r="E10172" t="s">
        <v>8</v>
      </c>
      <c r="F10172" t="s">
        <v>10178</v>
      </c>
      <c r="G10172">
        <v>1</v>
      </c>
    </row>
    <row r="10173" spans="1:7" x14ac:dyDescent="0.25">
      <c r="A10173">
        <v>32</v>
      </c>
      <c r="B10173" t="s">
        <v>9993</v>
      </c>
      <c r="C10173">
        <v>8901</v>
      </c>
      <c r="D10173" t="str">
        <f>"0722-4028"</f>
        <v>0722-4028</v>
      </c>
      <c r="E10173" t="s">
        <v>8</v>
      </c>
      <c r="F10173" t="s">
        <v>10179</v>
      </c>
      <c r="G10173">
        <v>1</v>
      </c>
    </row>
    <row r="10174" spans="1:7" x14ac:dyDescent="0.25">
      <c r="A10174">
        <v>32</v>
      </c>
      <c r="B10174" t="s">
        <v>9993</v>
      </c>
      <c r="C10174">
        <v>1172</v>
      </c>
      <c r="D10174" t="str">
        <f>"1836-0947"</f>
        <v>1836-0947</v>
      </c>
      <c r="E10174" t="s">
        <v>8</v>
      </c>
      <c r="F10174" t="s">
        <v>10180</v>
      </c>
      <c r="G10174">
        <v>1</v>
      </c>
    </row>
    <row r="10175" spans="1:7" x14ac:dyDescent="0.25">
      <c r="A10175">
        <v>32</v>
      </c>
      <c r="B10175" t="s">
        <v>9993</v>
      </c>
      <c r="C10175">
        <v>11560</v>
      </c>
      <c r="D10175" t="str">
        <f>"0011-216X"</f>
        <v>0011-216X</v>
      </c>
      <c r="E10175" t="s">
        <v>8</v>
      </c>
      <c r="F10175" t="s">
        <v>10181</v>
      </c>
      <c r="G10175">
        <v>1</v>
      </c>
    </row>
    <row r="10176" spans="1:7" x14ac:dyDescent="0.25">
      <c r="A10176">
        <v>32</v>
      </c>
      <c r="B10176" t="s">
        <v>9993</v>
      </c>
      <c r="C10176">
        <v>9806</v>
      </c>
      <c r="D10176" t="str">
        <f>"0011-2240"</f>
        <v>0011-2240</v>
      </c>
      <c r="E10176" t="s">
        <v>8</v>
      </c>
      <c r="F10176" t="s">
        <v>10182</v>
      </c>
      <c r="G10176">
        <v>1</v>
      </c>
    </row>
    <row r="10177" spans="1:7" x14ac:dyDescent="0.25">
      <c r="A10177">
        <v>32</v>
      </c>
      <c r="B10177" t="s">
        <v>9993</v>
      </c>
      <c r="C10177">
        <v>1943</v>
      </c>
      <c r="D10177" t="str">
        <f>"0181-1568"</f>
        <v>0181-1568</v>
      </c>
      <c r="E10177" t="s">
        <v>8</v>
      </c>
      <c r="F10177" t="s">
        <v>10183</v>
      </c>
      <c r="G10177">
        <v>1</v>
      </c>
    </row>
    <row r="10178" spans="1:7" x14ac:dyDescent="0.25">
      <c r="A10178">
        <v>32</v>
      </c>
      <c r="B10178" t="s">
        <v>9993</v>
      </c>
      <c r="C10178">
        <v>13560</v>
      </c>
      <c r="D10178" t="str">
        <f>"1290-0796"</f>
        <v>1290-0796</v>
      </c>
      <c r="E10178" t="s">
        <v>8</v>
      </c>
      <c r="F10178" t="s">
        <v>10184</v>
      </c>
      <c r="G10178">
        <v>1</v>
      </c>
    </row>
    <row r="10179" spans="1:7" x14ac:dyDescent="0.25">
      <c r="A10179">
        <v>32</v>
      </c>
      <c r="B10179" t="s">
        <v>9993</v>
      </c>
      <c r="C10179">
        <v>2953</v>
      </c>
      <c r="D10179" t="str">
        <f>"0181-1584"</f>
        <v>0181-1584</v>
      </c>
      <c r="E10179" t="s">
        <v>8</v>
      </c>
      <c r="F10179" t="s">
        <v>10185</v>
      </c>
      <c r="G10179">
        <v>1</v>
      </c>
    </row>
    <row r="10180" spans="1:7" x14ac:dyDescent="0.25">
      <c r="A10180">
        <v>32</v>
      </c>
      <c r="B10180" t="s">
        <v>9993</v>
      </c>
      <c r="C10180">
        <v>152417</v>
      </c>
      <c r="D10180" t="str">
        <f>"1674-5507"</f>
        <v>1674-5507</v>
      </c>
      <c r="E10180" t="s">
        <v>8</v>
      </c>
      <c r="F10180" t="s">
        <v>10186</v>
      </c>
      <c r="G10180">
        <v>1</v>
      </c>
    </row>
    <row r="10181" spans="1:7" x14ac:dyDescent="0.25">
      <c r="A10181">
        <v>32</v>
      </c>
      <c r="B10181" t="s">
        <v>9993</v>
      </c>
      <c r="C10181">
        <v>15947</v>
      </c>
      <c r="D10181" t="str">
        <f>"0399-0974"</f>
        <v>0399-0974</v>
      </c>
      <c r="E10181" t="s">
        <v>8</v>
      </c>
      <c r="F10181" t="s">
        <v>10187</v>
      </c>
      <c r="G10181">
        <v>1</v>
      </c>
    </row>
    <row r="10182" spans="1:7" x14ac:dyDescent="0.25">
      <c r="A10182">
        <v>32</v>
      </c>
      <c r="B10182" t="s">
        <v>9993</v>
      </c>
      <c r="C10182">
        <v>39686</v>
      </c>
      <c r="D10182" t="str">
        <f>"0011-6394"</f>
        <v>0011-6394</v>
      </c>
      <c r="E10182" t="s">
        <v>8</v>
      </c>
      <c r="F10182" t="s">
        <v>10188</v>
      </c>
      <c r="G10182">
        <v>1</v>
      </c>
    </row>
    <row r="10183" spans="1:7" x14ac:dyDescent="0.25">
      <c r="A10183">
        <v>32</v>
      </c>
      <c r="B10183" t="s">
        <v>9993</v>
      </c>
      <c r="C10183">
        <v>154556</v>
      </c>
      <c r="E10183" t="s">
        <v>8</v>
      </c>
      <c r="F10183" t="s">
        <v>10189</v>
      </c>
      <c r="G10183">
        <v>1</v>
      </c>
    </row>
    <row r="10184" spans="1:7" x14ac:dyDescent="0.25">
      <c r="A10184">
        <v>32</v>
      </c>
      <c r="B10184" t="s">
        <v>9993</v>
      </c>
      <c r="C10184">
        <v>9193</v>
      </c>
      <c r="D10184" t="str">
        <f>"0967-0645"</f>
        <v>0967-0645</v>
      </c>
      <c r="E10184" t="s">
        <v>8</v>
      </c>
      <c r="F10184" t="s">
        <v>10190</v>
      </c>
      <c r="G10184">
        <v>1</v>
      </c>
    </row>
    <row r="10185" spans="1:7" x14ac:dyDescent="0.25">
      <c r="A10185">
        <v>32</v>
      </c>
      <c r="B10185" t="s">
        <v>9993</v>
      </c>
      <c r="C10185">
        <v>3321</v>
      </c>
      <c r="D10185" t="str">
        <f>"1641-1307"</f>
        <v>1641-1307</v>
      </c>
      <c r="E10185" t="s">
        <v>8</v>
      </c>
      <c r="F10185" t="s">
        <v>10191</v>
      </c>
      <c r="G10185">
        <v>1</v>
      </c>
    </row>
    <row r="10186" spans="1:7" x14ac:dyDescent="0.25">
      <c r="A10186">
        <v>32</v>
      </c>
      <c r="B10186" t="s">
        <v>9993</v>
      </c>
      <c r="C10186">
        <v>10033</v>
      </c>
      <c r="D10186" t="str">
        <f>"1125-7865"</f>
        <v>1125-7865</v>
      </c>
      <c r="E10186" t="s">
        <v>8</v>
      </c>
      <c r="F10186" t="s">
        <v>10192</v>
      </c>
      <c r="G10186">
        <v>1</v>
      </c>
    </row>
    <row r="10187" spans="1:7" x14ac:dyDescent="0.25">
      <c r="A10187">
        <v>32</v>
      </c>
      <c r="B10187" t="s">
        <v>9993</v>
      </c>
      <c r="C10187">
        <v>3254</v>
      </c>
      <c r="D10187" t="str">
        <f>"1435-1951"</f>
        <v>1435-1951</v>
      </c>
      <c r="E10187" t="s">
        <v>8</v>
      </c>
      <c r="F10187" t="s">
        <v>10193</v>
      </c>
      <c r="G10187">
        <v>1</v>
      </c>
    </row>
    <row r="10188" spans="1:7" x14ac:dyDescent="0.25">
      <c r="A10188">
        <v>32</v>
      </c>
      <c r="B10188" t="s">
        <v>9993</v>
      </c>
      <c r="C10188">
        <v>13279</v>
      </c>
      <c r="D10188" t="str">
        <f>"0145-305X"</f>
        <v>0145-305X</v>
      </c>
      <c r="E10188" t="s">
        <v>8</v>
      </c>
      <c r="F10188" t="s">
        <v>10194</v>
      </c>
      <c r="G10188">
        <v>1</v>
      </c>
    </row>
    <row r="10189" spans="1:7" x14ac:dyDescent="0.25">
      <c r="A10189">
        <v>32</v>
      </c>
      <c r="B10189" t="s">
        <v>9993</v>
      </c>
      <c r="C10189">
        <v>7163</v>
      </c>
      <c r="D10189" t="str">
        <f>"0269-249X"</f>
        <v>0269-249X</v>
      </c>
      <c r="E10189" t="s">
        <v>8</v>
      </c>
      <c r="F10189" t="s">
        <v>10195</v>
      </c>
      <c r="G10189">
        <v>1</v>
      </c>
    </row>
    <row r="10190" spans="1:7" x14ac:dyDescent="0.25">
      <c r="A10190">
        <v>32</v>
      </c>
      <c r="B10190" t="s">
        <v>9993</v>
      </c>
      <c r="C10190">
        <v>6090468</v>
      </c>
      <c r="D10190" t="str">
        <f>"1424-2818"</f>
        <v>1424-2818</v>
      </c>
      <c r="E10190" t="s">
        <v>8</v>
      </c>
      <c r="F10190" t="s">
        <v>10196</v>
      </c>
      <c r="G10190">
        <v>1</v>
      </c>
    </row>
    <row r="10191" spans="1:7" x14ac:dyDescent="0.25">
      <c r="A10191">
        <v>32</v>
      </c>
      <c r="B10191" t="s">
        <v>9993</v>
      </c>
      <c r="C10191">
        <v>1238</v>
      </c>
      <c r="D10191" t="str">
        <f>"0012-4966"</f>
        <v>0012-4966</v>
      </c>
      <c r="E10191" t="s">
        <v>8</v>
      </c>
      <c r="F10191" t="s">
        <v>10197</v>
      </c>
      <c r="G10191">
        <v>1</v>
      </c>
    </row>
    <row r="10192" spans="1:7" x14ac:dyDescent="0.25">
      <c r="A10192">
        <v>32</v>
      </c>
      <c r="B10192" t="s">
        <v>9993</v>
      </c>
      <c r="C10192">
        <v>7638478</v>
      </c>
      <c r="D10192" t="str">
        <f>"1936-0584"</f>
        <v>1936-0584</v>
      </c>
      <c r="E10192" t="s">
        <v>8</v>
      </c>
      <c r="F10192" t="s">
        <v>10198</v>
      </c>
      <c r="G10192">
        <v>1</v>
      </c>
    </row>
    <row r="10193" spans="1:7" x14ac:dyDescent="0.25">
      <c r="A10193">
        <v>32</v>
      </c>
      <c r="B10193" t="s">
        <v>9993</v>
      </c>
      <c r="C10193">
        <v>3915</v>
      </c>
      <c r="D10193" t="str">
        <f>"1476-945X "</f>
        <v xml:space="preserve">1476-945X </v>
      </c>
      <c r="E10193" t="s">
        <v>8</v>
      </c>
      <c r="F10193" t="s">
        <v>10199</v>
      </c>
      <c r="G10193">
        <v>1</v>
      </c>
    </row>
    <row r="10194" spans="1:7" x14ac:dyDescent="0.25">
      <c r="A10194">
        <v>32</v>
      </c>
      <c r="B10194" t="s">
        <v>9993</v>
      </c>
      <c r="C10194">
        <v>13239</v>
      </c>
      <c r="D10194" t="str">
        <f>"0912-3814"</f>
        <v>0912-3814</v>
      </c>
      <c r="E10194" t="s">
        <v>8</v>
      </c>
      <c r="F10194" t="s">
        <v>10200</v>
      </c>
      <c r="G10194">
        <v>1</v>
      </c>
    </row>
    <row r="10195" spans="1:7" x14ac:dyDescent="0.25">
      <c r="A10195">
        <v>32</v>
      </c>
      <c r="B10195" t="s">
        <v>9993</v>
      </c>
      <c r="C10195">
        <v>170358</v>
      </c>
      <c r="E10195" t="s">
        <v>8</v>
      </c>
      <c r="F10195" t="s">
        <v>10201</v>
      </c>
      <c r="G10195">
        <v>1</v>
      </c>
    </row>
    <row r="10196" spans="1:7" x14ac:dyDescent="0.25">
      <c r="A10196">
        <v>32</v>
      </c>
      <c r="B10196" t="s">
        <v>9993</v>
      </c>
      <c r="C10196">
        <v>7930</v>
      </c>
      <c r="D10196" t="str">
        <f>"0013-0001"</f>
        <v>0013-0001</v>
      </c>
      <c r="E10196" t="s">
        <v>8</v>
      </c>
      <c r="F10196" t="s">
        <v>10202</v>
      </c>
      <c r="G10196">
        <v>1</v>
      </c>
    </row>
    <row r="10197" spans="1:7" x14ac:dyDescent="0.25">
      <c r="A10197">
        <v>32</v>
      </c>
      <c r="B10197" t="s">
        <v>9993</v>
      </c>
      <c r="C10197">
        <v>2002</v>
      </c>
      <c r="D10197" t="str">
        <f>"1195-6860"</f>
        <v>1195-6860</v>
      </c>
      <c r="E10197" t="s">
        <v>8</v>
      </c>
      <c r="F10197" t="s">
        <v>10203</v>
      </c>
      <c r="G10197">
        <v>1</v>
      </c>
    </row>
    <row r="10198" spans="1:7" x14ac:dyDescent="0.25">
      <c r="A10198">
        <v>32</v>
      </c>
      <c r="B10198" t="s">
        <v>9993</v>
      </c>
      <c r="C10198">
        <v>3856</v>
      </c>
      <c r="D10198" t="str">
        <f>"0960-4286"</f>
        <v>0960-4286</v>
      </c>
      <c r="E10198" t="s">
        <v>8</v>
      </c>
      <c r="F10198" t="s">
        <v>10204</v>
      </c>
      <c r="G10198">
        <v>1</v>
      </c>
    </row>
    <row r="10199" spans="1:7" x14ac:dyDescent="0.25">
      <c r="A10199">
        <v>32</v>
      </c>
      <c r="B10199" t="s">
        <v>9993</v>
      </c>
      <c r="C10199">
        <v>395</v>
      </c>
      <c r="D10199" t="str">
        <f>"1335-342X"</f>
        <v>1335-342X</v>
      </c>
      <c r="E10199" t="s">
        <v>8</v>
      </c>
      <c r="F10199" t="s">
        <v>10205</v>
      </c>
      <c r="G10199">
        <v>1</v>
      </c>
    </row>
    <row r="10200" spans="1:7" x14ac:dyDescent="0.25">
      <c r="A10200">
        <v>32</v>
      </c>
      <c r="B10200" t="s">
        <v>9993</v>
      </c>
      <c r="C10200">
        <v>14697</v>
      </c>
      <c r="D10200" t="str">
        <f>"0158-4197"</f>
        <v>0158-4197</v>
      </c>
      <c r="E10200" t="s">
        <v>8</v>
      </c>
      <c r="F10200" t="s">
        <v>10206</v>
      </c>
      <c r="G10200">
        <v>1</v>
      </c>
    </row>
    <row r="10201" spans="1:7" x14ac:dyDescent="0.25">
      <c r="A10201">
        <v>32</v>
      </c>
      <c r="B10201" t="s">
        <v>9993</v>
      </c>
      <c r="C10201">
        <v>12700</v>
      </c>
      <c r="D10201" t="str">
        <f>"0171-8177"</f>
        <v>0171-8177</v>
      </c>
      <c r="E10201" t="s">
        <v>8</v>
      </c>
      <c r="F10201" t="s">
        <v>10207</v>
      </c>
      <c r="G10201">
        <v>1</v>
      </c>
    </row>
    <row r="10202" spans="1:7" x14ac:dyDescent="0.25">
      <c r="A10202">
        <v>32</v>
      </c>
      <c r="B10202" t="s">
        <v>9993</v>
      </c>
      <c r="C10202">
        <v>10415</v>
      </c>
      <c r="D10202" t="str">
        <f>"0785-8760"</f>
        <v>0785-8760</v>
      </c>
      <c r="E10202" t="s">
        <v>8</v>
      </c>
      <c r="F10202" t="s">
        <v>10208</v>
      </c>
      <c r="G10202">
        <v>1</v>
      </c>
    </row>
    <row r="10203" spans="1:7" x14ac:dyDescent="0.25">
      <c r="A10203">
        <v>32</v>
      </c>
      <c r="B10203" t="s">
        <v>9993</v>
      </c>
      <c r="C10203">
        <v>9870</v>
      </c>
      <c r="D10203" t="str">
        <f>"0013-872X"</f>
        <v>0013-872X</v>
      </c>
      <c r="E10203" t="s">
        <v>8</v>
      </c>
      <c r="F10203" t="s">
        <v>10209</v>
      </c>
      <c r="G10203">
        <v>1</v>
      </c>
    </row>
    <row r="10204" spans="1:7" x14ac:dyDescent="0.25">
      <c r="A10204">
        <v>32</v>
      </c>
      <c r="B10204" t="s">
        <v>9993</v>
      </c>
      <c r="C10204">
        <v>3463</v>
      </c>
      <c r="D10204" t="str">
        <f>"1343-8786"</f>
        <v>1343-8786</v>
      </c>
      <c r="E10204" t="s">
        <v>8</v>
      </c>
      <c r="F10204" t="s">
        <v>10210</v>
      </c>
      <c r="G10204">
        <v>1</v>
      </c>
    </row>
    <row r="10205" spans="1:7" x14ac:dyDescent="0.25">
      <c r="A10205">
        <v>32</v>
      </c>
      <c r="B10205" t="s">
        <v>9993</v>
      </c>
      <c r="C10205">
        <v>36069</v>
      </c>
      <c r="D10205" t="str">
        <f>"0013-8851"</f>
        <v>0013-8851</v>
      </c>
      <c r="E10205" t="s">
        <v>8</v>
      </c>
      <c r="F10205" t="s">
        <v>10211</v>
      </c>
      <c r="G10205">
        <v>1</v>
      </c>
    </row>
    <row r="10206" spans="1:7" x14ac:dyDescent="0.25">
      <c r="A10206">
        <v>32</v>
      </c>
      <c r="B10206" t="s">
        <v>9993</v>
      </c>
      <c r="C10206">
        <v>5140</v>
      </c>
      <c r="D10206" t="str">
        <f>"0378-1909"</f>
        <v>0378-1909</v>
      </c>
      <c r="E10206" t="s">
        <v>8</v>
      </c>
      <c r="F10206" t="s">
        <v>10212</v>
      </c>
      <c r="G10206">
        <v>1</v>
      </c>
    </row>
    <row r="10207" spans="1:7" x14ac:dyDescent="0.25">
      <c r="A10207">
        <v>32</v>
      </c>
      <c r="B10207" t="s">
        <v>9993</v>
      </c>
      <c r="C10207">
        <v>8783330</v>
      </c>
      <c r="E10207" t="s">
        <v>8</v>
      </c>
      <c r="F10207" t="s">
        <v>10213</v>
      </c>
      <c r="G10207">
        <v>1</v>
      </c>
    </row>
    <row r="10208" spans="1:7" x14ac:dyDescent="0.25">
      <c r="A10208">
        <v>32</v>
      </c>
      <c r="B10208" t="s">
        <v>9993</v>
      </c>
      <c r="C10208">
        <v>154517</v>
      </c>
      <c r="E10208" t="s">
        <v>8</v>
      </c>
      <c r="F10208" t="s">
        <v>10214</v>
      </c>
      <c r="G10208">
        <v>1</v>
      </c>
    </row>
    <row r="10209" spans="1:7" x14ac:dyDescent="0.25">
      <c r="A10209">
        <v>32</v>
      </c>
      <c r="B10209" t="s">
        <v>9993</v>
      </c>
      <c r="C10209">
        <v>4454</v>
      </c>
      <c r="D10209" t="str">
        <f>"0250-8052"</f>
        <v>0250-8052</v>
      </c>
      <c r="E10209" t="s">
        <v>8</v>
      </c>
      <c r="F10209" t="s">
        <v>10215</v>
      </c>
      <c r="G10209">
        <v>1</v>
      </c>
    </row>
    <row r="10210" spans="1:7" x14ac:dyDescent="0.25">
      <c r="A10210">
        <v>32</v>
      </c>
      <c r="B10210" t="s">
        <v>9993</v>
      </c>
      <c r="C10210">
        <v>18043</v>
      </c>
      <c r="D10210" t="str">
        <f>"1559-2723"</f>
        <v>1559-2723</v>
      </c>
      <c r="E10210" t="s">
        <v>8</v>
      </c>
      <c r="F10210" t="s">
        <v>10216</v>
      </c>
      <c r="G10210">
        <v>1</v>
      </c>
    </row>
    <row r="10211" spans="1:7" x14ac:dyDescent="0.25">
      <c r="A10211">
        <v>32</v>
      </c>
      <c r="B10211" t="s">
        <v>9993</v>
      </c>
      <c r="C10211">
        <v>128542</v>
      </c>
      <c r="D10211" t="str">
        <f>"1547-3465"</f>
        <v>1547-3465</v>
      </c>
      <c r="E10211" t="s">
        <v>8</v>
      </c>
      <c r="F10211" t="s">
        <v>10217</v>
      </c>
      <c r="G10211">
        <v>1</v>
      </c>
    </row>
    <row r="10212" spans="1:7" x14ac:dyDescent="0.25">
      <c r="A10212">
        <v>32</v>
      </c>
      <c r="B10212" t="s">
        <v>9993</v>
      </c>
      <c r="C10212">
        <v>1904</v>
      </c>
      <c r="D10212" t="str">
        <f>"0179-1613"</f>
        <v>0179-1613</v>
      </c>
      <c r="E10212" t="s">
        <v>8</v>
      </c>
      <c r="F10212" t="s">
        <v>10218</v>
      </c>
      <c r="G10212">
        <v>1</v>
      </c>
    </row>
    <row r="10213" spans="1:7" x14ac:dyDescent="0.25">
      <c r="A10213">
        <v>32</v>
      </c>
      <c r="B10213" t="s">
        <v>9993</v>
      </c>
      <c r="C10213">
        <v>10012</v>
      </c>
      <c r="D10213" t="str">
        <f>"0394-9370"</f>
        <v>0394-9370</v>
      </c>
      <c r="E10213" t="s">
        <v>8</v>
      </c>
      <c r="F10213" t="s">
        <v>10219</v>
      </c>
      <c r="G10213">
        <v>1</v>
      </c>
    </row>
    <row r="10214" spans="1:7" x14ac:dyDescent="0.25">
      <c r="A10214">
        <v>32</v>
      </c>
      <c r="B10214" t="s">
        <v>9993</v>
      </c>
      <c r="C10214">
        <v>12543</v>
      </c>
      <c r="D10214" t="str">
        <f>"1478-0917"</f>
        <v>1478-0917</v>
      </c>
      <c r="E10214" t="s">
        <v>8</v>
      </c>
      <c r="F10214" t="s">
        <v>10220</v>
      </c>
      <c r="G10214">
        <v>1</v>
      </c>
    </row>
    <row r="10215" spans="1:7" x14ac:dyDescent="0.25">
      <c r="A10215">
        <v>32</v>
      </c>
      <c r="B10215" t="s">
        <v>9993</v>
      </c>
      <c r="C10215">
        <v>13397</v>
      </c>
      <c r="D10215" t="str">
        <f>"1210-5759"</f>
        <v>1210-5759</v>
      </c>
      <c r="E10215" t="s">
        <v>8</v>
      </c>
      <c r="F10215" t="s">
        <v>10221</v>
      </c>
      <c r="G10215">
        <v>1</v>
      </c>
    </row>
    <row r="10216" spans="1:7" x14ac:dyDescent="0.25">
      <c r="A10216">
        <v>32</v>
      </c>
      <c r="B10216" t="s">
        <v>9993</v>
      </c>
      <c r="C10216">
        <v>5686</v>
      </c>
      <c r="D10216" t="str">
        <f>"0967-0262"</f>
        <v>0967-0262</v>
      </c>
      <c r="E10216" t="s">
        <v>8</v>
      </c>
      <c r="F10216" t="s">
        <v>10222</v>
      </c>
      <c r="G10216">
        <v>1</v>
      </c>
    </row>
    <row r="10217" spans="1:7" x14ac:dyDescent="0.25">
      <c r="A10217">
        <v>32</v>
      </c>
      <c r="B10217" t="s">
        <v>9993</v>
      </c>
      <c r="C10217">
        <v>16900</v>
      </c>
      <c r="D10217" t="str">
        <f>"1612-4642"</f>
        <v>1612-4642</v>
      </c>
      <c r="E10217" t="s">
        <v>8</v>
      </c>
      <c r="F10217" t="s">
        <v>10223</v>
      </c>
      <c r="G10217">
        <v>1</v>
      </c>
    </row>
    <row r="10218" spans="1:7" x14ac:dyDescent="0.25">
      <c r="A10218">
        <v>32</v>
      </c>
      <c r="B10218" t="s">
        <v>9993</v>
      </c>
      <c r="C10218">
        <v>7700452</v>
      </c>
      <c r="E10218" t="s">
        <v>8</v>
      </c>
      <c r="F10218" t="s">
        <v>10224</v>
      </c>
      <c r="G10218">
        <v>1</v>
      </c>
    </row>
    <row r="10219" spans="1:7" x14ac:dyDescent="0.25">
      <c r="A10219">
        <v>32</v>
      </c>
      <c r="B10219" t="s">
        <v>9993</v>
      </c>
      <c r="C10219">
        <v>11299</v>
      </c>
      <c r="D10219" t="str">
        <f>"0269-7653"</f>
        <v>0269-7653</v>
      </c>
      <c r="E10219" t="s">
        <v>8</v>
      </c>
      <c r="F10219" t="s">
        <v>10225</v>
      </c>
      <c r="G10219">
        <v>1</v>
      </c>
    </row>
    <row r="10220" spans="1:7" x14ac:dyDescent="0.25">
      <c r="A10220">
        <v>32</v>
      </c>
      <c r="B10220" t="s">
        <v>9993</v>
      </c>
      <c r="C10220">
        <v>11110</v>
      </c>
      <c r="D10220" t="str">
        <f>"0168-8162"</f>
        <v>0168-8162</v>
      </c>
      <c r="E10220" t="s">
        <v>8</v>
      </c>
      <c r="F10220" t="s">
        <v>10226</v>
      </c>
      <c r="G10220">
        <v>1</v>
      </c>
    </row>
    <row r="10221" spans="1:7" x14ac:dyDescent="0.25">
      <c r="A10221">
        <v>32</v>
      </c>
      <c r="B10221" t="s">
        <v>9993</v>
      </c>
      <c r="C10221">
        <v>788</v>
      </c>
      <c r="D10221" t="str">
        <f>"0014-4894"</f>
        <v>0014-4894</v>
      </c>
      <c r="E10221" t="s">
        <v>8</v>
      </c>
      <c r="F10221" t="s">
        <v>10227</v>
      </c>
      <c r="G10221">
        <v>1</v>
      </c>
    </row>
    <row r="10222" spans="1:7" x14ac:dyDescent="0.25">
      <c r="A10222">
        <v>32</v>
      </c>
      <c r="B10222" t="s">
        <v>9993</v>
      </c>
      <c r="C10222">
        <v>2488</v>
      </c>
      <c r="D10222" t="str">
        <f>"0106-8377"</f>
        <v>0106-8377</v>
      </c>
      <c r="E10222" t="s">
        <v>15</v>
      </c>
      <c r="F10222" t="s">
        <v>10228</v>
      </c>
      <c r="G10222">
        <v>1</v>
      </c>
    </row>
    <row r="10223" spans="1:7" x14ac:dyDescent="0.25">
      <c r="A10223">
        <v>32</v>
      </c>
      <c r="B10223" t="s">
        <v>9993</v>
      </c>
      <c r="C10223">
        <v>7010</v>
      </c>
      <c r="D10223" t="str">
        <f>"1502-4873"</f>
        <v>1502-4873</v>
      </c>
      <c r="E10223" t="s">
        <v>15</v>
      </c>
      <c r="F10223" t="s">
        <v>10229</v>
      </c>
      <c r="G10223">
        <v>1</v>
      </c>
    </row>
    <row r="10224" spans="1:7" x14ac:dyDescent="0.25">
      <c r="A10224">
        <v>32</v>
      </c>
      <c r="B10224" t="s">
        <v>9993</v>
      </c>
      <c r="C10224">
        <v>11738</v>
      </c>
      <c r="D10224" t="str">
        <f>"1050-4648"</f>
        <v>1050-4648</v>
      </c>
      <c r="E10224" t="s">
        <v>8</v>
      </c>
      <c r="F10224" t="s">
        <v>10230</v>
      </c>
      <c r="G10224">
        <v>1</v>
      </c>
    </row>
    <row r="10225" spans="1:7" x14ac:dyDescent="0.25">
      <c r="A10225">
        <v>32</v>
      </c>
      <c r="B10225" t="s">
        <v>9993</v>
      </c>
      <c r="C10225">
        <v>72782</v>
      </c>
      <c r="D10225" t="str">
        <f>"1546-5098"</f>
        <v>1546-5098</v>
      </c>
      <c r="E10225" t="s">
        <v>15</v>
      </c>
      <c r="F10225" t="s">
        <v>10231</v>
      </c>
      <c r="G10225">
        <v>1</v>
      </c>
    </row>
    <row r="10226" spans="1:7" x14ac:dyDescent="0.25">
      <c r="A10226">
        <v>32</v>
      </c>
      <c r="B10226" t="s">
        <v>9993</v>
      </c>
      <c r="C10226">
        <v>6332</v>
      </c>
      <c r="D10226" t="str">
        <f>"0920-1742"</f>
        <v>0920-1742</v>
      </c>
      <c r="E10226" t="s">
        <v>8</v>
      </c>
      <c r="F10226" t="s">
        <v>10232</v>
      </c>
      <c r="G10226">
        <v>1</v>
      </c>
    </row>
    <row r="10227" spans="1:7" x14ac:dyDescent="0.25">
      <c r="A10227">
        <v>32</v>
      </c>
      <c r="B10227" t="s">
        <v>9993</v>
      </c>
      <c r="C10227">
        <v>6939</v>
      </c>
      <c r="D10227" t="str">
        <f>"0367-2530"</f>
        <v>0367-2530</v>
      </c>
      <c r="E10227" t="s">
        <v>8</v>
      </c>
      <c r="F10227" t="s">
        <v>10233</v>
      </c>
      <c r="G10227">
        <v>1</v>
      </c>
    </row>
    <row r="10228" spans="1:7" x14ac:dyDescent="0.25">
      <c r="A10228">
        <v>32</v>
      </c>
      <c r="B10228" t="s">
        <v>9993</v>
      </c>
      <c r="C10228">
        <v>16396</v>
      </c>
      <c r="D10228" t="str">
        <f>"0347-8742"</f>
        <v>0347-8742</v>
      </c>
      <c r="E10228" t="s">
        <v>15</v>
      </c>
      <c r="F10228" t="s">
        <v>10234</v>
      </c>
      <c r="G10228">
        <v>1</v>
      </c>
    </row>
    <row r="10229" spans="1:7" x14ac:dyDescent="0.25">
      <c r="A10229">
        <v>32</v>
      </c>
      <c r="B10229" t="s">
        <v>9993</v>
      </c>
      <c r="C10229">
        <v>4082</v>
      </c>
      <c r="D10229" t="str">
        <f>"0015-4040"</f>
        <v>0015-4040</v>
      </c>
      <c r="E10229" t="s">
        <v>8</v>
      </c>
      <c r="F10229" t="s">
        <v>10235</v>
      </c>
      <c r="G10229">
        <v>1</v>
      </c>
    </row>
    <row r="10230" spans="1:7" x14ac:dyDescent="0.25">
      <c r="A10230">
        <v>32</v>
      </c>
      <c r="B10230" t="s">
        <v>9993</v>
      </c>
      <c r="C10230">
        <v>141793</v>
      </c>
      <c r="D10230" t="str">
        <f>"1933-6934"</f>
        <v>1933-6934</v>
      </c>
      <c r="E10230" t="s">
        <v>8</v>
      </c>
      <c r="F10230" t="s">
        <v>10236</v>
      </c>
      <c r="G10230">
        <v>1</v>
      </c>
    </row>
    <row r="10231" spans="1:7" x14ac:dyDescent="0.25">
      <c r="A10231">
        <v>32</v>
      </c>
      <c r="B10231" t="s">
        <v>9993</v>
      </c>
      <c r="C10231">
        <v>12807</v>
      </c>
      <c r="D10231" t="str">
        <f>"0015-5497"</f>
        <v>0015-5497</v>
      </c>
      <c r="E10231" t="s">
        <v>8</v>
      </c>
      <c r="F10231" t="s">
        <v>10237</v>
      </c>
      <c r="G10231">
        <v>1</v>
      </c>
    </row>
    <row r="10232" spans="1:7" x14ac:dyDescent="0.25">
      <c r="A10232">
        <v>32</v>
      </c>
      <c r="B10232" t="s">
        <v>9993</v>
      </c>
      <c r="C10232">
        <v>12284</v>
      </c>
      <c r="D10232" t="str">
        <f>"1211-9520"</f>
        <v>1211-9520</v>
      </c>
      <c r="E10232" t="s">
        <v>8</v>
      </c>
      <c r="F10232" t="s">
        <v>10238</v>
      </c>
      <c r="G10232">
        <v>1</v>
      </c>
    </row>
    <row r="10233" spans="1:7" x14ac:dyDescent="0.25">
      <c r="A10233">
        <v>32</v>
      </c>
      <c r="B10233" t="s">
        <v>9993</v>
      </c>
      <c r="C10233">
        <v>7277</v>
      </c>
      <c r="D10233" t="str">
        <f>"0015-5713"</f>
        <v>0015-5713</v>
      </c>
      <c r="E10233" t="s">
        <v>8</v>
      </c>
      <c r="F10233" t="s">
        <v>10239</v>
      </c>
      <c r="G10233">
        <v>1</v>
      </c>
    </row>
    <row r="10234" spans="1:7" x14ac:dyDescent="0.25">
      <c r="A10234">
        <v>32</v>
      </c>
      <c r="B10234" t="s">
        <v>9993</v>
      </c>
      <c r="C10234">
        <v>16322</v>
      </c>
      <c r="D10234" t="str">
        <f>"0139-7893"</f>
        <v>0139-7893</v>
      </c>
      <c r="E10234" t="s">
        <v>8</v>
      </c>
      <c r="F10234" t="s">
        <v>10240</v>
      </c>
      <c r="G10234">
        <v>1</v>
      </c>
    </row>
    <row r="10235" spans="1:7" x14ac:dyDescent="0.25">
      <c r="A10235">
        <v>32</v>
      </c>
      <c r="B10235" t="s">
        <v>9993</v>
      </c>
      <c r="C10235">
        <v>1854</v>
      </c>
      <c r="D10235" t="str">
        <f>"0740-0020"</f>
        <v>0740-0020</v>
      </c>
      <c r="E10235" t="s">
        <v>8</v>
      </c>
      <c r="F10235" t="s">
        <v>10241</v>
      </c>
      <c r="G10235">
        <v>1</v>
      </c>
    </row>
    <row r="10236" spans="1:7" x14ac:dyDescent="0.25">
      <c r="A10236">
        <v>32</v>
      </c>
      <c r="B10236" t="s">
        <v>9993</v>
      </c>
      <c r="C10236">
        <v>8758245</v>
      </c>
      <c r="D10236" t="str">
        <f>"2352-2496"</f>
        <v>2352-2496</v>
      </c>
      <c r="E10236" t="s">
        <v>8</v>
      </c>
      <c r="F10236" t="s">
        <v>10242</v>
      </c>
      <c r="G10236">
        <v>1</v>
      </c>
    </row>
    <row r="10237" spans="1:7" x14ac:dyDescent="0.25">
      <c r="A10237">
        <v>32</v>
      </c>
      <c r="B10237" t="s">
        <v>9993</v>
      </c>
      <c r="C10237">
        <v>10876</v>
      </c>
      <c r="D10237" t="str">
        <f>"2161-9549"</f>
        <v>2161-9549</v>
      </c>
      <c r="E10237" t="s">
        <v>8</v>
      </c>
      <c r="F10237" t="s">
        <v>10243</v>
      </c>
      <c r="G10237">
        <v>1</v>
      </c>
    </row>
    <row r="10238" spans="1:7" x14ac:dyDescent="0.25">
      <c r="A10238">
        <v>32</v>
      </c>
      <c r="B10238" t="s">
        <v>9993</v>
      </c>
      <c r="C10238">
        <v>180093</v>
      </c>
      <c r="E10238" t="s">
        <v>8</v>
      </c>
      <c r="F10238" t="s">
        <v>10244</v>
      </c>
      <c r="G10238">
        <v>1</v>
      </c>
    </row>
    <row r="10239" spans="1:7" x14ac:dyDescent="0.25">
      <c r="A10239">
        <v>32</v>
      </c>
      <c r="B10239" t="s">
        <v>9993</v>
      </c>
      <c r="C10239">
        <v>180095</v>
      </c>
      <c r="E10239" t="s">
        <v>8</v>
      </c>
      <c r="F10239" t="s">
        <v>10245</v>
      </c>
      <c r="G10239">
        <v>1</v>
      </c>
    </row>
    <row r="10240" spans="1:7" x14ac:dyDescent="0.25">
      <c r="A10240">
        <v>32</v>
      </c>
      <c r="B10240" t="s">
        <v>9993</v>
      </c>
      <c r="C10240">
        <v>7708512</v>
      </c>
      <c r="E10240" t="s">
        <v>8</v>
      </c>
      <c r="F10240" t="s">
        <v>10246</v>
      </c>
      <c r="G10240">
        <v>1</v>
      </c>
    </row>
    <row r="10241" spans="1:7" x14ac:dyDescent="0.25">
      <c r="A10241">
        <v>32</v>
      </c>
      <c r="B10241" t="s">
        <v>9993</v>
      </c>
      <c r="C10241">
        <v>7694583</v>
      </c>
      <c r="E10241" t="s">
        <v>8</v>
      </c>
      <c r="F10241" t="s">
        <v>10247</v>
      </c>
      <c r="G10241">
        <v>1</v>
      </c>
    </row>
    <row r="10242" spans="1:7" x14ac:dyDescent="0.25">
      <c r="A10242">
        <v>32</v>
      </c>
      <c r="B10242" t="s">
        <v>9993</v>
      </c>
      <c r="C10242">
        <v>7714933</v>
      </c>
      <c r="E10242" t="s">
        <v>8</v>
      </c>
      <c r="F10242" t="s">
        <v>10248</v>
      </c>
      <c r="G10242">
        <v>1</v>
      </c>
    </row>
    <row r="10243" spans="1:7" x14ac:dyDescent="0.25">
      <c r="A10243">
        <v>32</v>
      </c>
      <c r="B10243" t="s">
        <v>9993</v>
      </c>
      <c r="C10243">
        <v>140187</v>
      </c>
      <c r="E10243" t="s">
        <v>8</v>
      </c>
      <c r="F10243" t="s">
        <v>10249</v>
      </c>
      <c r="G10243">
        <v>1</v>
      </c>
    </row>
    <row r="10244" spans="1:7" x14ac:dyDescent="0.25">
      <c r="A10244">
        <v>32</v>
      </c>
      <c r="B10244" t="s">
        <v>9993</v>
      </c>
      <c r="C10244">
        <v>16689</v>
      </c>
      <c r="D10244" t="str">
        <f>"1445-4408"</f>
        <v>1445-4408</v>
      </c>
      <c r="E10244" t="s">
        <v>8</v>
      </c>
      <c r="F10244" t="s">
        <v>10250</v>
      </c>
      <c r="G10244">
        <v>1</v>
      </c>
    </row>
    <row r="10245" spans="1:7" x14ac:dyDescent="0.25">
      <c r="A10245">
        <v>32</v>
      </c>
      <c r="B10245" t="s">
        <v>9993</v>
      </c>
      <c r="C10245">
        <v>9874</v>
      </c>
      <c r="D10245" t="str">
        <f>"1878-6146"</f>
        <v>1878-6146</v>
      </c>
      <c r="E10245" t="s">
        <v>8</v>
      </c>
      <c r="F10245" t="s">
        <v>10251</v>
      </c>
      <c r="G10245">
        <v>1</v>
      </c>
    </row>
    <row r="10246" spans="1:7" x14ac:dyDescent="0.25">
      <c r="A10246">
        <v>32</v>
      </c>
      <c r="B10246" t="s">
        <v>9993</v>
      </c>
      <c r="C10246">
        <v>8774031</v>
      </c>
      <c r="E10246" t="s">
        <v>8</v>
      </c>
      <c r="F10246" t="s">
        <v>10252</v>
      </c>
      <c r="G10246">
        <v>1</v>
      </c>
    </row>
    <row r="10247" spans="1:7" x14ac:dyDescent="0.25">
      <c r="A10247">
        <v>32</v>
      </c>
      <c r="B10247" t="s">
        <v>9993</v>
      </c>
      <c r="C10247">
        <v>15912</v>
      </c>
      <c r="D10247" t="str">
        <f>"1749-4613"</f>
        <v>1749-4613</v>
      </c>
      <c r="E10247" t="s">
        <v>8</v>
      </c>
      <c r="F10247" t="s">
        <v>10253</v>
      </c>
      <c r="G10247">
        <v>1</v>
      </c>
    </row>
    <row r="10248" spans="1:7" x14ac:dyDescent="0.25">
      <c r="A10248">
        <v>32</v>
      </c>
      <c r="B10248" t="s">
        <v>9993</v>
      </c>
      <c r="C10248">
        <v>123577</v>
      </c>
      <c r="D10248" t="str">
        <f>"1754-5048"</f>
        <v>1754-5048</v>
      </c>
      <c r="E10248" t="s">
        <v>8</v>
      </c>
      <c r="F10248" t="s">
        <v>10254</v>
      </c>
      <c r="G10248">
        <v>1</v>
      </c>
    </row>
    <row r="10249" spans="1:7" x14ac:dyDescent="0.25">
      <c r="A10249">
        <v>32</v>
      </c>
      <c r="B10249" t="s">
        <v>9993</v>
      </c>
      <c r="C10249">
        <v>10610</v>
      </c>
      <c r="E10249" t="s">
        <v>8</v>
      </c>
      <c r="F10249" t="s">
        <v>10255</v>
      </c>
      <c r="G10249">
        <v>1</v>
      </c>
    </row>
    <row r="10250" spans="1:7" x14ac:dyDescent="0.25">
      <c r="A10250">
        <v>32</v>
      </c>
      <c r="B10250" t="s">
        <v>9993</v>
      </c>
      <c r="C10250">
        <v>16245</v>
      </c>
      <c r="D10250" t="str">
        <f>"0016-6480"</f>
        <v>0016-6480</v>
      </c>
      <c r="E10250" t="s">
        <v>8</v>
      </c>
      <c r="F10250" t="s">
        <v>10256</v>
      </c>
      <c r="G10250">
        <v>1</v>
      </c>
    </row>
    <row r="10251" spans="1:7" x14ac:dyDescent="0.25">
      <c r="A10251">
        <v>32</v>
      </c>
      <c r="B10251" t="s">
        <v>9993</v>
      </c>
      <c r="C10251">
        <v>180097</v>
      </c>
      <c r="E10251" t="s">
        <v>8</v>
      </c>
      <c r="F10251" t="s">
        <v>10257</v>
      </c>
      <c r="G10251">
        <v>1</v>
      </c>
    </row>
    <row r="10252" spans="1:7" x14ac:dyDescent="0.25">
      <c r="A10252">
        <v>32</v>
      </c>
      <c r="B10252" t="s">
        <v>9993</v>
      </c>
      <c r="C10252">
        <v>268</v>
      </c>
      <c r="D10252" t="str">
        <f>"0017-3134"</f>
        <v>0017-3134</v>
      </c>
      <c r="E10252" t="s">
        <v>8</v>
      </c>
      <c r="F10252" t="s">
        <v>10258</v>
      </c>
      <c r="G10252">
        <v>1</v>
      </c>
    </row>
    <row r="10253" spans="1:7" x14ac:dyDescent="0.25">
      <c r="A10253">
        <v>32</v>
      </c>
      <c r="B10253" t="s">
        <v>9993</v>
      </c>
      <c r="C10253">
        <v>6132273</v>
      </c>
      <c r="D10253" t="str">
        <f>"1949-0976"</f>
        <v>1949-0976</v>
      </c>
      <c r="E10253" t="s">
        <v>8</v>
      </c>
      <c r="F10253" t="s">
        <v>10259</v>
      </c>
      <c r="G10253">
        <v>1</v>
      </c>
    </row>
    <row r="10254" spans="1:7" x14ac:dyDescent="0.25">
      <c r="A10254">
        <v>32</v>
      </c>
      <c r="B10254" t="s">
        <v>9993</v>
      </c>
      <c r="C10254">
        <v>8783470</v>
      </c>
      <c r="E10254" t="s">
        <v>15</v>
      </c>
      <c r="F10254" t="s">
        <v>10260</v>
      </c>
      <c r="G10254">
        <v>1</v>
      </c>
    </row>
    <row r="10255" spans="1:7" x14ac:dyDescent="0.25">
      <c r="A10255">
        <v>32</v>
      </c>
      <c r="B10255" t="s">
        <v>9993</v>
      </c>
      <c r="C10255">
        <v>15418</v>
      </c>
      <c r="D10255" t="str">
        <f>"1070-0048"</f>
        <v>1070-0048</v>
      </c>
      <c r="E10255" t="s">
        <v>8</v>
      </c>
      <c r="F10255" t="s">
        <v>10261</v>
      </c>
      <c r="G10255">
        <v>1</v>
      </c>
    </row>
    <row r="10256" spans="1:7" x14ac:dyDescent="0.25">
      <c r="A10256">
        <v>32</v>
      </c>
      <c r="B10256" t="s">
        <v>9993</v>
      </c>
      <c r="C10256">
        <v>10516</v>
      </c>
      <c r="D10256" t="str">
        <f>"0018-0831"</f>
        <v>0018-0831</v>
      </c>
      <c r="E10256" t="s">
        <v>8</v>
      </c>
      <c r="F10256" t="s">
        <v>10262</v>
      </c>
      <c r="G10256">
        <v>1</v>
      </c>
    </row>
    <row r="10257" spans="1:7" x14ac:dyDescent="0.25">
      <c r="A10257">
        <v>32</v>
      </c>
      <c r="B10257" t="s">
        <v>9993</v>
      </c>
      <c r="C10257">
        <v>11785</v>
      </c>
      <c r="D10257" t="str">
        <f>"0268-0130"</f>
        <v>0268-0130</v>
      </c>
      <c r="E10257" t="s">
        <v>8</v>
      </c>
      <c r="F10257" t="s">
        <v>10263</v>
      </c>
      <c r="G10257">
        <v>1</v>
      </c>
    </row>
    <row r="10258" spans="1:7" x14ac:dyDescent="0.25">
      <c r="A10258">
        <v>32</v>
      </c>
      <c r="B10258" t="s">
        <v>9993</v>
      </c>
      <c r="C10258">
        <v>8780</v>
      </c>
      <c r="D10258" t="str">
        <f>"0733-1347"</f>
        <v>0733-1347</v>
      </c>
      <c r="E10258" t="s">
        <v>15</v>
      </c>
      <c r="F10258" t="s">
        <v>10264</v>
      </c>
      <c r="G10258">
        <v>1</v>
      </c>
    </row>
    <row r="10259" spans="1:7" x14ac:dyDescent="0.25">
      <c r="A10259">
        <v>32</v>
      </c>
      <c r="B10259" t="s">
        <v>9993</v>
      </c>
      <c r="C10259">
        <v>22270</v>
      </c>
      <c r="D10259" t="str">
        <f>"0018-084X"</f>
        <v>0018-084X</v>
      </c>
      <c r="E10259" t="s">
        <v>8</v>
      </c>
      <c r="F10259" t="s">
        <v>10265</v>
      </c>
      <c r="G10259">
        <v>1</v>
      </c>
    </row>
    <row r="10260" spans="1:7" x14ac:dyDescent="0.25">
      <c r="A10260">
        <v>32</v>
      </c>
      <c r="B10260" t="s">
        <v>9993</v>
      </c>
      <c r="C10260">
        <v>16302</v>
      </c>
      <c r="D10260" t="str">
        <f>"0891-2963"</f>
        <v>0891-2963</v>
      </c>
      <c r="E10260" t="s">
        <v>8</v>
      </c>
      <c r="F10260" t="s">
        <v>10266</v>
      </c>
      <c r="G10260">
        <v>1</v>
      </c>
    </row>
    <row r="10261" spans="1:7" x14ac:dyDescent="0.25">
      <c r="A10261">
        <v>32</v>
      </c>
      <c r="B10261" t="s">
        <v>9993</v>
      </c>
      <c r="C10261">
        <v>6493</v>
      </c>
      <c r="D10261" t="str">
        <f>"1074-4827"</f>
        <v>1074-4827</v>
      </c>
      <c r="E10261" t="s">
        <v>8</v>
      </c>
      <c r="F10261" t="s">
        <v>10267</v>
      </c>
      <c r="G10261">
        <v>1</v>
      </c>
    </row>
    <row r="10262" spans="1:7" x14ac:dyDescent="0.25">
      <c r="A10262">
        <v>32</v>
      </c>
      <c r="B10262" t="s">
        <v>9993</v>
      </c>
      <c r="C10262">
        <v>5589</v>
      </c>
      <c r="D10262" t="str">
        <f>"0018-8158"</f>
        <v>0018-8158</v>
      </c>
      <c r="E10262" t="s">
        <v>8</v>
      </c>
      <c r="F10262" t="s">
        <v>10268</v>
      </c>
      <c r="G10262">
        <v>1</v>
      </c>
    </row>
    <row r="10263" spans="1:7" x14ac:dyDescent="0.25">
      <c r="A10263">
        <v>32</v>
      </c>
      <c r="B10263" t="s">
        <v>9993</v>
      </c>
      <c r="C10263">
        <v>2911</v>
      </c>
      <c r="D10263" t="str">
        <f>"0019-1019"</f>
        <v>0019-1019</v>
      </c>
      <c r="E10263" t="s">
        <v>8</v>
      </c>
      <c r="F10263" t="s">
        <v>10269</v>
      </c>
      <c r="G10263">
        <v>1</v>
      </c>
    </row>
    <row r="10264" spans="1:7" x14ac:dyDescent="0.25">
      <c r="A10264">
        <v>32</v>
      </c>
      <c r="B10264" t="s">
        <v>9993</v>
      </c>
      <c r="C10264">
        <v>11705</v>
      </c>
      <c r="D10264" t="str">
        <f>"1042-0940"</f>
        <v>1042-0940</v>
      </c>
      <c r="E10264" t="s">
        <v>8</v>
      </c>
      <c r="F10264" t="s">
        <v>10270</v>
      </c>
      <c r="G10264">
        <v>1</v>
      </c>
    </row>
    <row r="10265" spans="1:7" x14ac:dyDescent="0.25">
      <c r="A10265">
        <v>32</v>
      </c>
      <c r="B10265" t="s">
        <v>9993</v>
      </c>
      <c r="C10265">
        <v>8655</v>
      </c>
      <c r="D10265" t="str">
        <f>"1341-8998"</f>
        <v>1341-8998</v>
      </c>
      <c r="E10265" t="s">
        <v>8</v>
      </c>
      <c r="F10265" t="s">
        <v>10271</v>
      </c>
      <c r="G10265">
        <v>1</v>
      </c>
    </row>
    <row r="10266" spans="1:7" x14ac:dyDescent="0.25">
      <c r="A10266">
        <v>32</v>
      </c>
      <c r="B10266" t="s">
        <v>9993</v>
      </c>
      <c r="C10266">
        <v>7693</v>
      </c>
      <c r="D10266" t="str">
        <f>"1386-6338"</f>
        <v>1386-6338</v>
      </c>
      <c r="E10266" t="s">
        <v>8</v>
      </c>
      <c r="F10266" t="s">
        <v>10272</v>
      </c>
      <c r="G10266">
        <v>1</v>
      </c>
    </row>
    <row r="10267" spans="1:7" x14ac:dyDescent="0.25">
      <c r="A10267">
        <v>32</v>
      </c>
      <c r="B10267" t="s">
        <v>9993</v>
      </c>
      <c r="C10267">
        <v>7716149</v>
      </c>
      <c r="D10267" t="str">
        <f>"2044-2041"</f>
        <v>2044-2041</v>
      </c>
      <c r="E10267" t="s">
        <v>8</v>
      </c>
      <c r="F10267" t="s">
        <v>10273</v>
      </c>
      <c r="G10267">
        <v>1</v>
      </c>
    </row>
    <row r="10268" spans="1:7" x14ac:dyDescent="0.25">
      <c r="A10268">
        <v>32</v>
      </c>
      <c r="B10268" t="s">
        <v>9993</v>
      </c>
      <c r="C10268">
        <v>23223</v>
      </c>
      <c r="D10268" t="str">
        <f>"1752-458X"</f>
        <v>1752-458X</v>
      </c>
      <c r="E10268" t="s">
        <v>8</v>
      </c>
      <c r="F10268" t="s">
        <v>10274</v>
      </c>
      <c r="G10268">
        <v>1</v>
      </c>
    </row>
    <row r="10269" spans="1:7" x14ac:dyDescent="0.25">
      <c r="A10269">
        <v>32</v>
      </c>
      <c r="B10269" t="s">
        <v>9993</v>
      </c>
      <c r="C10269">
        <v>14333</v>
      </c>
      <c r="D10269" t="str">
        <f>"1399-560X"</f>
        <v>1399-560X</v>
      </c>
      <c r="E10269" t="s">
        <v>8</v>
      </c>
      <c r="F10269" t="s">
        <v>10275</v>
      </c>
      <c r="G10269">
        <v>1</v>
      </c>
    </row>
    <row r="10270" spans="1:7" x14ac:dyDescent="0.25">
      <c r="A10270">
        <v>32</v>
      </c>
      <c r="B10270" t="s">
        <v>9993</v>
      </c>
      <c r="C10270">
        <v>1042</v>
      </c>
      <c r="D10270" t="str">
        <f>"0020-1812"</f>
        <v>0020-1812</v>
      </c>
      <c r="E10270" t="s">
        <v>8</v>
      </c>
      <c r="F10270" t="s">
        <v>10276</v>
      </c>
      <c r="G10270">
        <v>1</v>
      </c>
    </row>
    <row r="10271" spans="1:7" x14ac:dyDescent="0.25">
      <c r="A10271">
        <v>32</v>
      </c>
      <c r="B10271" t="s">
        <v>9993</v>
      </c>
      <c r="C10271">
        <v>7699620</v>
      </c>
      <c r="D10271" t="str">
        <f>"2075-4450"</f>
        <v>2075-4450</v>
      </c>
      <c r="E10271" t="s">
        <v>8</v>
      </c>
      <c r="F10271" t="s">
        <v>10277</v>
      </c>
      <c r="G10271">
        <v>1</v>
      </c>
    </row>
    <row r="10272" spans="1:7" x14ac:dyDescent="0.25">
      <c r="A10272">
        <v>32</v>
      </c>
      <c r="B10272" t="s">
        <v>9993</v>
      </c>
      <c r="C10272">
        <v>15907</v>
      </c>
      <c r="D10272" t="str">
        <f>"1540-7063"</f>
        <v>1540-7063</v>
      </c>
      <c r="E10272" t="s">
        <v>8</v>
      </c>
      <c r="F10272" t="s">
        <v>10278</v>
      </c>
      <c r="G10272">
        <v>1</v>
      </c>
    </row>
    <row r="10273" spans="1:7" x14ac:dyDescent="0.25">
      <c r="A10273">
        <v>32</v>
      </c>
      <c r="B10273" t="s">
        <v>9993</v>
      </c>
      <c r="C10273">
        <v>7155</v>
      </c>
      <c r="D10273" t="str">
        <f>"0164-7954"</f>
        <v>0164-7954</v>
      </c>
      <c r="E10273" t="s">
        <v>8</v>
      </c>
      <c r="F10273" t="s">
        <v>10279</v>
      </c>
      <c r="G10273">
        <v>1</v>
      </c>
    </row>
    <row r="10274" spans="1:7" x14ac:dyDescent="0.25">
      <c r="A10274">
        <v>32</v>
      </c>
      <c r="B10274" t="s">
        <v>9993</v>
      </c>
      <c r="C10274">
        <v>6904</v>
      </c>
      <c r="D10274" t="str">
        <f>"1473-5504"</f>
        <v>1473-5504</v>
      </c>
      <c r="E10274" t="s">
        <v>8</v>
      </c>
      <c r="F10274" t="s">
        <v>10280</v>
      </c>
      <c r="G10274">
        <v>1</v>
      </c>
    </row>
    <row r="10275" spans="1:7" x14ac:dyDescent="0.25">
      <c r="A10275">
        <v>32</v>
      </c>
      <c r="B10275" t="s">
        <v>9993</v>
      </c>
      <c r="C10275">
        <v>1972</v>
      </c>
      <c r="D10275" t="str">
        <f>"0020-7128"</f>
        <v>0020-7128</v>
      </c>
      <c r="E10275" t="s">
        <v>8</v>
      </c>
      <c r="F10275" t="s">
        <v>10281</v>
      </c>
      <c r="G10275">
        <v>1</v>
      </c>
    </row>
    <row r="10276" spans="1:7" x14ac:dyDescent="0.25">
      <c r="A10276">
        <v>32</v>
      </c>
      <c r="B10276" t="s">
        <v>9993</v>
      </c>
      <c r="C10276">
        <v>14852</v>
      </c>
      <c r="D10276" t="str">
        <f>"1058-5893"</f>
        <v>1058-5893</v>
      </c>
      <c r="E10276" t="s">
        <v>8</v>
      </c>
      <c r="F10276" t="s">
        <v>10282</v>
      </c>
      <c r="G10276">
        <v>1</v>
      </c>
    </row>
    <row r="10277" spans="1:7" x14ac:dyDescent="0.25">
      <c r="A10277">
        <v>32</v>
      </c>
      <c r="B10277" t="s">
        <v>9993</v>
      </c>
      <c r="C10277">
        <v>14993</v>
      </c>
      <c r="D10277" t="str">
        <f>"1742-7584"</f>
        <v>1742-7584</v>
      </c>
      <c r="E10277" t="s">
        <v>8</v>
      </c>
      <c r="F10277" t="s">
        <v>10283</v>
      </c>
      <c r="G10277">
        <v>1</v>
      </c>
    </row>
    <row r="10278" spans="1:7" x14ac:dyDescent="0.25">
      <c r="A10278">
        <v>32</v>
      </c>
      <c r="B10278" t="s">
        <v>9993</v>
      </c>
      <c r="C10278">
        <v>9689</v>
      </c>
      <c r="D10278" t="str">
        <f>"1434-2944"</f>
        <v>1434-2944</v>
      </c>
      <c r="E10278" t="s">
        <v>8</v>
      </c>
      <c r="F10278" t="s">
        <v>10284</v>
      </c>
      <c r="G10278">
        <v>1</v>
      </c>
    </row>
    <row r="10279" spans="1:7" x14ac:dyDescent="0.25">
      <c r="A10279">
        <v>32</v>
      </c>
      <c r="B10279" t="s">
        <v>9993</v>
      </c>
      <c r="C10279">
        <v>9067</v>
      </c>
      <c r="D10279" t="str">
        <f>"1077-8306"</f>
        <v>1077-8306</v>
      </c>
      <c r="E10279" t="s">
        <v>8</v>
      </c>
      <c r="F10279" t="s">
        <v>10285</v>
      </c>
      <c r="G10279">
        <v>1</v>
      </c>
    </row>
    <row r="10280" spans="1:7" x14ac:dyDescent="0.25">
      <c r="A10280">
        <v>32</v>
      </c>
      <c r="B10280" t="s">
        <v>9993</v>
      </c>
      <c r="C10280">
        <v>6710</v>
      </c>
      <c r="D10280" t="str">
        <f>"0792-4259"</f>
        <v>0792-4259</v>
      </c>
      <c r="E10280" t="s">
        <v>8</v>
      </c>
      <c r="F10280" t="s">
        <v>10286</v>
      </c>
      <c r="G10280">
        <v>1</v>
      </c>
    </row>
    <row r="10281" spans="1:7" x14ac:dyDescent="0.25">
      <c r="A10281">
        <v>32</v>
      </c>
      <c r="B10281" t="s">
        <v>9993</v>
      </c>
      <c r="C10281">
        <v>5672</v>
      </c>
      <c r="D10281" t="str">
        <f>"1445-5226"</f>
        <v>1445-5226</v>
      </c>
      <c r="E10281" t="s">
        <v>8</v>
      </c>
      <c r="F10281" t="s">
        <v>10287</v>
      </c>
      <c r="G10281">
        <v>1</v>
      </c>
    </row>
    <row r="10282" spans="1:7" x14ac:dyDescent="0.25">
      <c r="A10282">
        <v>32</v>
      </c>
      <c r="B10282" t="s">
        <v>9993</v>
      </c>
      <c r="C10282">
        <v>11739</v>
      </c>
      <c r="D10282" t="str">
        <f>"1565-9801"</f>
        <v>1565-9801</v>
      </c>
      <c r="E10282" t="s">
        <v>8</v>
      </c>
      <c r="F10282" t="s">
        <v>10288</v>
      </c>
      <c r="G10282">
        <v>1</v>
      </c>
    </row>
    <row r="10283" spans="1:7" x14ac:dyDescent="0.25">
      <c r="A10283">
        <v>32</v>
      </c>
      <c r="B10283" t="s">
        <v>9993</v>
      </c>
      <c r="C10283">
        <v>16102</v>
      </c>
      <c r="D10283" t="str">
        <f>"0792-9978"</f>
        <v>0792-9978</v>
      </c>
      <c r="E10283" t="s">
        <v>8</v>
      </c>
      <c r="F10283" t="s">
        <v>10289</v>
      </c>
      <c r="G10283">
        <v>1</v>
      </c>
    </row>
    <row r="10284" spans="1:7" x14ac:dyDescent="0.25">
      <c r="A10284">
        <v>32</v>
      </c>
      <c r="B10284" t="s">
        <v>9993</v>
      </c>
      <c r="C10284">
        <v>7186</v>
      </c>
      <c r="D10284" t="str">
        <f>"1125-0003"</f>
        <v>1125-0003</v>
      </c>
      <c r="E10284" t="s">
        <v>8</v>
      </c>
      <c r="F10284" t="s">
        <v>10290</v>
      </c>
      <c r="G10284">
        <v>1</v>
      </c>
    </row>
    <row r="10285" spans="1:7" x14ac:dyDescent="0.25">
      <c r="A10285">
        <v>32</v>
      </c>
      <c r="B10285" t="s">
        <v>9993</v>
      </c>
      <c r="C10285">
        <v>16664</v>
      </c>
      <c r="D10285" t="str">
        <f>"1156-5233"</f>
        <v>1156-5233</v>
      </c>
      <c r="E10285" t="s">
        <v>8</v>
      </c>
      <c r="F10285" t="s">
        <v>10291</v>
      </c>
      <c r="G10285">
        <v>1</v>
      </c>
    </row>
    <row r="10286" spans="1:7" x14ac:dyDescent="0.25">
      <c r="A10286">
        <v>32</v>
      </c>
      <c r="B10286" t="s">
        <v>9993</v>
      </c>
      <c r="C10286">
        <v>10418</v>
      </c>
      <c r="D10286" t="str">
        <f>"0253-7214"</f>
        <v>0253-7214</v>
      </c>
      <c r="E10286" t="s">
        <v>8</v>
      </c>
      <c r="F10286" t="s">
        <v>10292</v>
      </c>
      <c r="G10286">
        <v>1</v>
      </c>
    </row>
    <row r="10287" spans="1:7" x14ac:dyDescent="0.25">
      <c r="A10287">
        <v>32</v>
      </c>
      <c r="B10287" t="s">
        <v>9993</v>
      </c>
      <c r="C10287">
        <v>11944</v>
      </c>
      <c r="D10287" t="str">
        <f>"0899-7659"</f>
        <v>0899-7659</v>
      </c>
      <c r="E10287" t="s">
        <v>8</v>
      </c>
      <c r="F10287" t="s">
        <v>10293</v>
      </c>
      <c r="G10287">
        <v>1</v>
      </c>
    </row>
    <row r="10288" spans="1:7" x14ac:dyDescent="0.25">
      <c r="A10288">
        <v>32</v>
      </c>
      <c r="B10288" t="s">
        <v>9993</v>
      </c>
      <c r="C10288">
        <v>11420</v>
      </c>
      <c r="D10288" t="str">
        <f>"0161-8202"</f>
        <v>0161-8202</v>
      </c>
      <c r="E10288" t="s">
        <v>8</v>
      </c>
      <c r="F10288" t="s">
        <v>10294</v>
      </c>
      <c r="G10288">
        <v>1</v>
      </c>
    </row>
    <row r="10289" spans="1:7" x14ac:dyDescent="0.25">
      <c r="A10289">
        <v>32</v>
      </c>
      <c r="B10289" t="s">
        <v>9993</v>
      </c>
      <c r="C10289">
        <v>102363</v>
      </c>
      <c r="D10289" t="str">
        <f>"1226-8615"</f>
        <v>1226-8615</v>
      </c>
      <c r="E10289" t="s">
        <v>8</v>
      </c>
      <c r="F10289" t="s">
        <v>10295</v>
      </c>
      <c r="G10289">
        <v>1</v>
      </c>
    </row>
    <row r="10290" spans="1:7" x14ac:dyDescent="0.25">
      <c r="A10290">
        <v>32</v>
      </c>
      <c r="B10290" t="s">
        <v>9993</v>
      </c>
      <c r="C10290">
        <v>11048</v>
      </c>
      <c r="D10290" t="str">
        <f>"0908-8857"</f>
        <v>0908-8857</v>
      </c>
      <c r="E10290" t="s">
        <v>8</v>
      </c>
      <c r="F10290" t="s">
        <v>10296</v>
      </c>
      <c r="G10290">
        <v>1</v>
      </c>
    </row>
    <row r="10291" spans="1:7" x14ac:dyDescent="0.25">
      <c r="A10291">
        <v>32</v>
      </c>
      <c r="B10291" t="s">
        <v>9993</v>
      </c>
      <c r="C10291">
        <v>8144</v>
      </c>
      <c r="D10291" t="str">
        <f>"1751-3758"</f>
        <v>1751-3758</v>
      </c>
      <c r="E10291" t="s">
        <v>8</v>
      </c>
      <c r="F10291" t="s">
        <v>10297</v>
      </c>
      <c r="G10291">
        <v>1</v>
      </c>
    </row>
    <row r="10292" spans="1:7" x14ac:dyDescent="0.25">
      <c r="A10292">
        <v>32</v>
      </c>
      <c r="B10292" t="s">
        <v>9993</v>
      </c>
      <c r="C10292">
        <v>6168039</v>
      </c>
      <c r="D10292" t="str">
        <f>"1826-8838"</f>
        <v>1826-8838</v>
      </c>
      <c r="E10292" t="s">
        <v>8</v>
      </c>
      <c r="F10292" t="s">
        <v>10298</v>
      </c>
      <c r="G10292">
        <v>1</v>
      </c>
    </row>
    <row r="10293" spans="1:7" x14ac:dyDescent="0.25">
      <c r="A10293">
        <v>32</v>
      </c>
      <c r="B10293" t="s">
        <v>9993</v>
      </c>
      <c r="C10293">
        <v>16751</v>
      </c>
      <c r="D10293" t="str">
        <f>"0218-3390"</f>
        <v>0218-3390</v>
      </c>
      <c r="E10293" t="s">
        <v>8</v>
      </c>
      <c r="F10293" t="s">
        <v>10299</v>
      </c>
      <c r="G10293">
        <v>1</v>
      </c>
    </row>
    <row r="10294" spans="1:7" x14ac:dyDescent="0.25">
      <c r="A10294">
        <v>32</v>
      </c>
      <c r="B10294" t="s">
        <v>9993</v>
      </c>
      <c r="C10294">
        <v>15439</v>
      </c>
      <c r="D10294" t="str">
        <f>"0250-5991"</f>
        <v>0250-5991</v>
      </c>
      <c r="E10294" t="s">
        <v>8</v>
      </c>
      <c r="F10294" t="s">
        <v>10300</v>
      </c>
      <c r="G10294">
        <v>1</v>
      </c>
    </row>
    <row r="10295" spans="1:7" x14ac:dyDescent="0.25">
      <c r="A10295">
        <v>32</v>
      </c>
      <c r="B10295" t="s">
        <v>9993</v>
      </c>
      <c r="C10295">
        <v>10823</v>
      </c>
      <c r="D10295" t="str">
        <f>"0373-6687"</f>
        <v>0373-6687</v>
      </c>
      <c r="E10295" t="s">
        <v>8</v>
      </c>
      <c r="F10295" t="s">
        <v>10301</v>
      </c>
      <c r="G10295">
        <v>1</v>
      </c>
    </row>
    <row r="10296" spans="1:7" x14ac:dyDescent="0.25">
      <c r="A10296">
        <v>32</v>
      </c>
      <c r="B10296" t="s">
        <v>9993</v>
      </c>
      <c r="C10296">
        <v>16171</v>
      </c>
      <c r="D10296" t="str">
        <f>"0174-1578"</f>
        <v>0174-1578</v>
      </c>
      <c r="E10296" t="s">
        <v>8</v>
      </c>
      <c r="F10296" t="s">
        <v>10302</v>
      </c>
      <c r="G10296">
        <v>1</v>
      </c>
    </row>
    <row r="10297" spans="1:7" x14ac:dyDescent="0.25">
      <c r="A10297">
        <v>32</v>
      </c>
      <c r="B10297" t="s">
        <v>9993</v>
      </c>
      <c r="C10297">
        <v>1759</v>
      </c>
      <c r="D10297" t="str">
        <f>"0022-0019"</f>
        <v>0022-0019</v>
      </c>
      <c r="E10297" t="s">
        <v>8</v>
      </c>
      <c r="F10297" t="s">
        <v>10303</v>
      </c>
      <c r="G10297">
        <v>1</v>
      </c>
    </row>
    <row r="10298" spans="1:7" x14ac:dyDescent="0.25">
      <c r="A10298">
        <v>32</v>
      </c>
      <c r="B10298" t="s">
        <v>9993</v>
      </c>
      <c r="C10298">
        <v>1660</v>
      </c>
      <c r="D10298" t="str">
        <f>"0278-0372"</f>
        <v>0278-0372</v>
      </c>
      <c r="E10298" t="s">
        <v>8</v>
      </c>
      <c r="F10298" t="s">
        <v>10304</v>
      </c>
      <c r="G10298">
        <v>1</v>
      </c>
    </row>
    <row r="10299" spans="1:7" x14ac:dyDescent="0.25">
      <c r="A10299">
        <v>32</v>
      </c>
      <c r="B10299" t="s">
        <v>9993</v>
      </c>
      <c r="C10299">
        <v>13750</v>
      </c>
      <c r="D10299" t="str">
        <f>"0749-8004"</f>
        <v>0749-8004</v>
      </c>
      <c r="E10299" t="s">
        <v>8</v>
      </c>
      <c r="F10299" t="s">
        <v>10305</v>
      </c>
      <c r="G10299">
        <v>1</v>
      </c>
    </row>
    <row r="10300" spans="1:7" x14ac:dyDescent="0.25">
      <c r="A10300">
        <v>32</v>
      </c>
      <c r="B10300" t="s">
        <v>9993</v>
      </c>
      <c r="C10300">
        <v>14616</v>
      </c>
      <c r="D10300" t="str">
        <f>"0289-0771"</f>
        <v>0289-0771</v>
      </c>
      <c r="E10300" t="s">
        <v>8</v>
      </c>
      <c r="F10300" t="s">
        <v>10306</v>
      </c>
      <c r="G10300">
        <v>1</v>
      </c>
    </row>
    <row r="10301" spans="1:7" x14ac:dyDescent="0.25">
      <c r="A10301">
        <v>32</v>
      </c>
      <c r="B10301" t="s">
        <v>9993</v>
      </c>
      <c r="C10301">
        <v>17828</v>
      </c>
      <c r="E10301" t="s">
        <v>8</v>
      </c>
      <c r="F10301" t="s">
        <v>10307</v>
      </c>
      <c r="G10301">
        <v>1</v>
      </c>
    </row>
    <row r="10302" spans="1:7" x14ac:dyDescent="0.25">
      <c r="A10302">
        <v>32</v>
      </c>
      <c r="B10302" t="s">
        <v>9993</v>
      </c>
      <c r="C10302">
        <v>9891</v>
      </c>
      <c r="D10302" t="str">
        <f>"0273-8570"</f>
        <v>0273-8570</v>
      </c>
      <c r="E10302" t="s">
        <v>8</v>
      </c>
      <c r="F10302" t="s">
        <v>10308</v>
      </c>
      <c r="G10302">
        <v>1</v>
      </c>
    </row>
    <row r="10303" spans="1:7" x14ac:dyDescent="0.25">
      <c r="A10303">
        <v>32</v>
      </c>
      <c r="B10303" t="s">
        <v>9993</v>
      </c>
      <c r="C10303">
        <v>1055</v>
      </c>
      <c r="D10303" t="str">
        <f>"0022-1112"</f>
        <v>0022-1112</v>
      </c>
      <c r="E10303" t="s">
        <v>8</v>
      </c>
      <c r="F10303" t="s">
        <v>10309</v>
      </c>
      <c r="G10303">
        <v>1</v>
      </c>
    </row>
    <row r="10304" spans="1:7" x14ac:dyDescent="0.25">
      <c r="A10304">
        <v>32</v>
      </c>
      <c r="B10304" t="s">
        <v>9993</v>
      </c>
      <c r="C10304">
        <v>11180</v>
      </c>
      <c r="D10304" t="str">
        <f>"0270-5060"</f>
        <v>0270-5060</v>
      </c>
      <c r="E10304" t="s">
        <v>8</v>
      </c>
      <c r="F10304" t="s">
        <v>10310</v>
      </c>
      <c r="G10304">
        <v>1</v>
      </c>
    </row>
    <row r="10305" spans="1:7" x14ac:dyDescent="0.25">
      <c r="A10305">
        <v>32</v>
      </c>
      <c r="B10305" t="s">
        <v>9993</v>
      </c>
      <c r="C10305">
        <v>7643</v>
      </c>
      <c r="D10305" t="str">
        <f>"1345-2630"</f>
        <v>1345-2630</v>
      </c>
      <c r="E10305" t="s">
        <v>8</v>
      </c>
      <c r="F10305" t="s">
        <v>10311</v>
      </c>
      <c r="G10305">
        <v>1</v>
      </c>
    </row>
    <row r="10306" spans="1:7" x14ac:dyDescent="0.25">
      <c r="A10306">
        <v>32</v>
      </c>
      <c r="B10306" t="s">
        <v>9993</v>
      </c>
      <c r="C10306">
        <v>11674</v>
      </c>
      <c r="D10306" t="str">
        <f>"0022-149X"</f>
        <v>0022-149X</v>
      </c>
      <c r="E10306" t="s">
        <v>8</v>
      </c>
      <c r="F10306" t="s">
        <v>10312</v>
      </c>
      <c r="G10306">
        <v>1</v>
      </c>
    </row>
    <row r="10307" spans="1:7" x14ac:dyDescent="0.25">
      <c r="A10307">
        <v>32</v>
      </c>
      <c r="B10307" t="s">
        <v>9993</v>
      </c>
      <c r="C10307">
        <v>12973</v>
      </c>
      <c r="D10307" t="str">
        <f>"0022-1511"</f>
        <v>0022-1511</v>
      </c>
      <c r="E10307" t="s">
        <v>8</v>
      </c>
      <c r="F10307" t="s">
        <v>10313</v>
      </c>
      <c r="G10307">
        <v>1</v>
      </c>
    </row>
    <row r="10308" spans="1:7" x14ac:dyDescent="0.25">
      <c r="A10308">
        <v>32</v>
      </c>
      <c r="B10308" t="s">
        <v>9993</v>
      </c>
      <c r="C10308">
        <v>9904</v>
      </c>
      <c r="D10308" t="str">
        <f>"0892-7553"</f>
        <v>0892-7553</v>
      </c>
      <c r="E10308" t="s">
        <v>8</v>
      </c>
      <c r="F10308" t="s">
        <v>10314</v>
      </c>
      <c r="G10308">
        <v>1</v>
      </c>
    </row>
    <row r="10309" spans="1:7" x14ac:dyDescent="0.25">
      <c r="A10309">
        <v>32</v>
      </c>
      <c r="B10309" t="s">
        <v>9993</v>
      </c>
      <c r="C10309">
        <v>2434</v>
      </c>
      <c r="D10309" t="str">
        <f>"1366-638X"</f>
        <v>1366-638X</v>
      </c>
      <c r="E10309" t="s">
        <v>8</v>
      </c>
      <c r="F10309" t="s">
        <v>10315</v>
      </c>
      <c r="G10309">
        <v>1</v>
      </c>
    </row>
    <row r="10310" spans="1:7" x14ac:dyDescent="0.25">
      <c r="A10310">
        <v>32</v>
      </c>
      <c r="B10310" t="s">
        <v>9993</v>
      </c>
      <c r="C10310">
        <v>7763</v>
      </c>
      <c r="D10310" t="str">
        <f>"0022-1910"</f>
        <v>0022-1910</v>
      </c>
      <c r="E10310" t="s">
        <v>8</v>
      </c>
      <c r="F10310" t="s">
        <v>10316</v>
      </c>
      <c r="G10310">
        <v>1</v>
      </c>
    </row>
    <row r="10311" spans="1:7" x14ac:dyDescent="0.25">
      <c r="A10311">
        <v>32</v>
      </c>
      <c r="B10311" t="s">
        <v>9993</v>
      </c>
      <c r="C10311">
        <v>11372</v>
      </c>
      <c r="E10311" t="s">
        <v>8</v>
      </c>
      <c r="F10311" t="s">
        <v>10317</v>
      </c>
      <c r="G10311">
        <v>1</v>
      </c>
    </row>
    <row r="10312" spans="1:7" x14ac:dyDescent="0.25">
      <c r="A10312">
        <v>32</v>
      </c>
      <c r="B10312" t="s">
        <v>9993</v>
      </c>
      <c r="C10312">
        <v>11824</v>
      </c>
      <c r="D10312" t="str">
        <f>"0022-2011"</f>
        <v>0022-2011</v>
      </c>
      <c r="E10312" t="s">
        <v>8</v>
      </c>
      <c r="F10312" t="s">
        <v>10318</v>
      </c>
      <c r="G10312">
        <v>1</v>
      </c>
    </row>
    <row r="10313" spans="1:7" x14ac:dyDescent="0.25">
      <c r="A10313">
        <v>32</v>
      </c>
      <c r="B10313" t="s">
        <v>9993</v>
      </c>
      <c r="C10313">
        <v>2766</v>
      </c>
      <c r="D10313" t="str">
        <f>"1129-5767"</f>
        <v>1129-5767</v>
      </c>
      <c r="E10313" t="s">
        <v>8</v>
      </c>
      <c r="F10313" t="s">
        <v>10319</v>
      </c>
      <c r="G10313">
        <v>1</v>
      </c>
    </row>
    <row r="10314" spans="1:7" x14ac:dyDescent="0.25">
      <c r="A10314">
        <v>32</v>
      </c>
      <c r="B10314" t="s">
        <v>9993</v>
      </c>
      <c r="C10314">
        <v>8229</v>
      </c>
      <c r="D10314" t="str">
        <f>"1064-7554"</f>
        <v>1064-7554</v>
      </c>
      <c r="E10314" t="s">
        <v>8</v>
      </c>
      <c r="F10314" t="s">
        <v>10320</v>
      </c>
      <c r="G10314">
        <v>1</v>
      </c>
    </row>
    <row r="10315" spans="1:7" x14ac:dyDescent="0.25">
      <c r="A10315">
        <v>32</v>
      </c>
      <c r="B10315" t="s">
        <v>9993</v>
      </c>
      <c r="C10315">
        <v>6650</v>
      </c>
      <c r="D10315" t="str">
        <f>"0022-2372"</f>
        <v>0022-2372</v>
      </c>
      <c r="E10315" t="s">
        <v>8</v>
      </c>
      <c r="F10315" t="s">
        <v>10321</v>
      </c>
      <c r="G10315">
        <v>1</v>
      </c>
    </row>
    <row r="10316" spans="1:7" x14ac:dyDescent="0.25">
      <c r="A10316">
        <v>32</v>
      </c>
      <c r="B10316" t="s">
        <v>9993</v>
      </c>
      <c r="C10316">
        <v>9687</v>
      </c>
      <c r="D10316" t="str">
        <f>"1083-3021"</f>
        <v>1083-3021</v>
      </c>
      <c r="E10316" t="s">
        <v>8</v>
      </c>
      <c r="F10316" t="s">
        <v>10322</v>
      </c>
      <c r="G10316">
        <v>1</v>
      </c>
    </row>
    <row r="10317" spans="1:7" x14ac:dyDescent="0.25">
      <c r="A10317">
        <v>32</v>
      </c>
      <c r="B10317" t="s">
        <v>9993</v>
      </c>
      <c r="C10317">
        <v>3651</v>
      </c>
      <c r="D10317" t="str">
        <f>"1935-7877"</f>
        <v>1935-7877</v>
      </c>
      <c r="E10317" t="s">
        <v>8</v>
      </c>
      <c r="F10317" t="s">
        <v>10323</v>
      </c>
      <c r="G10317">
        <v>1</v>
      </c>
    </row>
    <row r="10318" spans="1:7" x14ac:dyDescent="0.25">
      <c r="A10318">
        <v>32</v>
      </c>
      <c r="B10318" t="s">
        <v>9993</v>
      </c>
      <c r="C10318">
        <v>3265</v>
      </c>
      <c r="D10318" t="str">
        <f>"0022-2720"</f>
        <v>0022-2720</v>
      </c>
      <c r="E10318" t="s">
        <v>8</v>
      </c>
      <c r="F10318" t="s">
        <v>10324</v>
      </c>
      <c r="G10318">
        <v>1</v>
      </c>
    </row>
    <row r="10319" spans="1:7" x14ac:dyDescent="0.25">
      <c r="A10319">
        <v>32</v>
      </c>
      <c r="B10319" t="s">
        <v>9993</v>
      </c>
      <c r="C10319">
        <v>12498</v>
      </c>
      <c r="D10319" t="str">
        <f>"0260-1230"</f>
        <v>0260-1230</v>
      </c>
      <c r="E10319" t="s">
        <v>8</v>
      </c>
      <c r="F10319" t="s">
        <v>10325</v>
      </c>
      <c r="G10319">
        <v>1</v>
      </c>
    </row>
    <row r="10320" spans="1:7" x14ac:dyDescent="0.25">
      <c r="A10320">
        <v>32</v>
      </c>
      <c r="B10320" t="s">
        <v>9993</v>
      </c>
      <c r="C10320">
        <v>3256</v>
      </c>
      <c r="D10320" t="str">
        <f>"0022-2933"</f>
        <v>0022-2933</v>
      </c>
      <c r="E10320" t="s">
        <v>8</v>
      </c>
      <c r="F10320" t="s">
        <v>10326</v>
      </c>
      <c r="G10320">
        <v>1</v>
      </c>
    </row>
    <row r="10321" spans="1:7" x14ac:dyDescent="0.25">
      <c r="A10321">
        <v>32</v>
      </c>
      <c r="B10321" t="s">
        <v>9993</v>
      </c>
      <c r="C10321">
        <v>14527</v>
      </c>
      <c r="D10321" t="str">
        <f>"0022-300X"</f>
        <v>0022-300X</v>
      </c>
      <c r="E10321" t="s">
        <v>8</v>
      </c>
      <c r="F10321" t="s">
        <v>10327</v>
      </c>
      <c r="G10321">
        <v>1</v>
      </c>
    </row>
    <row r="10322" spans="1:7" x14ac:dyDescent="0.25">
      <c r="A10322">
        <v>32</v>
      </c>
      <c r="B10322" t="s">
        <v>9993</v>
      </c>
      <c r="C10322">
        <v>1163</v>
      </c>
      <c r="D10322" t="str">
        <f>"2193-7192"</f>
        <v>2193-7192</v>
      </c>
      <c r="E10322" t="s">
        <v>8</v>
      </c>
      <c r="F10322" t="s">
        <v>10328</v>
      </c>
      <c r="G10322">
        <v>1</v>
      </c>
    </row>
    <row r="10323" spans="1:7" x14ac:dyDescent="0.25">
      <c r="A10323">
        <v>32</v>
      </c>
      <c r="B10323" t="s">
        <v>9993</v>
      </c>
      <c r="C10323">
        <v>1643</v>
      </c>
      <c r="D10323" t="str">
        <f>"0022-3646"</f>
        <v>0022-3646</v>
      </c>
      <c r="E10323" t="s">
        <v>8</v>
      </c>
      <c r="F10323" t="s">
        <v>10329</v>
      </c>
      <c r="G10323">
        <v>1</v>
      </c>
    </row>
    <row r="10324" spans="1:7" x14ac:dyDescent="0.25">
      <c r="A10324">
        <v>32</v>
      </c>
      <c r="B10324" t="s">
        <v>9993</v>
      </c>
      <c r="C10324">
        <v>44</v>
      </c>
      <c r="D10324" t="str">
        <f>"0931-1785"</f>
        <v>0931-1785</v>
      </c>
      <c r="E10324" t="s">
        <v>8</v>
      </c>
      <c r="F10324" t="s">
        <v>10330</v>
      </c>
      <c r="G10324">
        <v>1</v>
      </c>
    </row>
    <row r="10325" spans="1:7" x14ac:dyDescent="0.25">
      <c r="A10325">
        <v>32</v>
      </c>
      <c r="B10325" t="s">
        <v>9993</v>
      </c>
      <c r="C10325">
        <v>9212</v>
      </c>
      <c r="D10325" t="str">
        <f>"1226-9239"</f>
        <v>1226-9239</v>
      </c>
      <c r="E10325" t="s">
        <v>8</v>
      </c>
      <c r="F10325" t="s">
        <v>10331</v>
      </c>
      <c r="G10325">
        <v>1</v>
      </c>
    </row>
    <row r="10326" spans="1:7" x14ac:dyDescent="0.25">
      <c r="A10326">
        <v>32</v>
      </c>
      <c r="B10326" t="s">
        <v>9993</v>
      </c>
      <c r="C10326">
        <v>8926</v>
      </c>
      <c r="D10326" t="str">
        <f>"1125-4653"</f>
        <v>1125-4653</v>
      </c>
      <c r="E10326" t="s">
        <v>8</v>
      </c>
      <c r="F10326" t="s">
        <v>10332</v>
      </c>
      <c r="G10326">
        <v>1</v>
      </c>
    </row>
    <row r="10327" spans="1:7" x14ac:dyDescent="0.25">
      <c r="A10327">
        <v>32</v>
      </c>
      <c r="B10327" t="s">
        <v>9993</v>
      </c>
      <c r="C10327">
        <v>8652</v>
      </c>
      <c r="D10327" t="str">
        <f>"0176-1617"</f>
        <v>0176-1617</v>
      </c>
      <c r="E10327" t="s">
        <v>8</v>
      </c>
      <c r="F10327" t="s">
        <v>10333</v>
      </c>
      <c r="G10327">
        <v>1</v>
      </c>
    </row>
    <row r="10328" spans="1:7" x14ac:dyDescent="0.25">
      <c r="A10328">
        <v>32</v>
      </c>
      <c r="B10328" t="s">
        <v>9993</v>
      </c>
      <c r="C10328">
        <v>1765</v>
      </c>
      <c r="D10328" t="str">
        <f>"1674-4918"</f>
        <v>1674-4918</v>
      </c>
      <c r="E10328" t="s">
        <v>8</v>
      </c>
      <c r="F10328" t="s">
        <v>10334</v>
      </c>
      <c r="G10328">
        <v>1</v>
      </c>
    </row>
    <row r="10329" spans="1:7" x14ac:dyDescent="0.25">
      <c r="A10329">
        <v>32</v>
      </c>
      <c r="B10329" t="s">
        <v>9993</v>
      </c>
      <c r="C10329">
        <v>286</v>
      </c>
      <c r="D10329" t="str">
        <f>"0022-8567"</f>
        <v>0022-8567</v>
      </c>
      <c r="E10329" t="s">
        <v>8</v>
      </c>
      <c r="F10329" t="s">
        <v>10335</v>
      </c>
      <c r="G10329">
        <v>1</v>
      </c>
    </row>
    <row r="10330" spans="1:7" x14ac:dyDescent="0.25">
      <c r="A10330">
        <v>32</v>
      </c>
      <c r="B10330" t="s">
        <v>9993</v>
      </c>
      <c r="C10330">
        <v>13167</v>
      </c>
      <c r="D10330" t="str">
        <f>"0025-3154"</f>
        <v>0025-3154</v>
      </c>
      <c r="E10330" t="s">
        <v>8</v>
      </c>
      <c r="F10330" t="s">
        <v>10336</v>
      </c>
      <c r="G10330">
        <v>1</v>
      </c>
    </row>
    <row r="10331" spans="1:7" x14ac:dyDescent="0.25">
      <c r="A10331">
        <v>32</v>
      </c>
      <c r="B10331" t="s">
        <v>9993</v>
      </c>
      <c r="C10331">
        <v>14661</v>
      </c>
      <c r="D10331" t="str">
        <f>"1742-5689"</f>
        <v>1742-5689</v>
      </c>
      <c r="E10331" t="s">
        <v>8</v>
      </c>
      <c r="F10331" t="s">
        <v>10337</v>
      </c>
      <c r="G10331">
        <v>1</v>
      </c>
    </row>
    <row r="10332" spans="1:7" x14ac:dyDescent="0.25">
      <c r="A10332">
        <v>32</v>
      </c>
      <c r="B10332" t="s">
        <v>9993</v>
      </c>
      <c r="C10332">
        <v>27877</v>
      </c>
      <c r="D10332" t="str">
        <f>"1095-5674"</f>
        <v>1095-5674</v>
      </c>
      <c r="E10332" t="s">
        <v>8</v>
      </c>
      <c r="F10332" t="s">
        <v>10338</v>
      </c>
      <c r="G10332">
        <v>1</v>
      </c>
    </row>
    <row r="10333" spans="1:7" x14ac:dyDescent="0.25">
      <c r="A10333">
        <v>32</v>
      </c>
      <c r="B10333" t="s">
        <v>9993</v>
      </c>
      <c r="C10333">
        <v>16741</v>
      </c>
      <c r="D10333" t="str">
        <f>"0022-5193"</f>
        <v>0022-5193</v>
      </c>
      <c r="E10333" t="s">
        <v>8</v>
      </c>
      <c r="F10333" t="s">
        <v>10339</v>
      </c>
      <c r="G10333">
        <v>1</v>
      </c>
    </row>
    <row r="10334" spans="1:7" x14ac:dyDescent="0.25">
      <c r="A10334">
        <v>32</v>
      </c>
      <c r="B10334" t="s">
        <v>9993</v>
      </c>
      <c r="C10334">
        <v>2147</v>
      </c>
      <c r="D10334" t="str">
        <f>"0306-4565"</f>
        <v>0306-4565</v>
      </c>
      <c r="E10334" t="s">
        <v>8</v>
      </c>
      <c r="F10334" t="s">
        <v>10340</v>
      </c>
      <c r="G10334">
        <v>1</v>
      </c>
    </row>
    <row r="10335" spans="1:7" x14ac:dyDescent="0.25">
      <c r="A10335">
        <v>32</v>
      </c>
      <c r="B10335" t="s">
        <v>9993</v>
      </c>
      <c r="C10335">
        <v>4741</v>
      </c>
      <c r="D10335" t="str">
        <f>"0266-4674"</f>
        <v>0266-4674</v>
      </c>
      <c r="E10335" t="s">
        <v>8</v>
      </c>
      <c r="F10335" t="s">
        <v>10341</v>
      </c>
      <c r="G10335">
        <v>1</v>
      </c>
    </row>
    <row r="10336" spans="1:7" x14ac:dyDescent="0.25">
      <c r="A10336">
        <v>32</v>
      </c>
      <c r="B10336" t="s">
        <v>9993</v>
      </c>
      <c r="C10336">
        <v>10452</v>
      </c>
      <c r="D10336" t="str">
        <f>"1081-1710"</f>
        <v>1081-1710</v>
      </c>
      <c r="E10336" t="s">
        <v>8</v>
      </c>
      <c r="F10336" t="s">
        <v>10342</v>
      </c>
      <c r="G10336">
        <v>1</v>
      </c>
    </row>
    <row r="10337" spans="1:7" x14ac:dyDescent="0.25">
      <c r="A10337">
        <v>32</v>
      </c>
      <c r="B10337" t="s">
        <v>9993</v>
      </c>
      <c r="C10337">
        <v>5910</v>
      </c>
      <c r="D10337" t="str">
        <f>"1100-9233"</f>
        <v>1100-9233</v>
      </c>
      <c r="E10337" t="s">
        <v>8</v>
      </c>
      <c r="F10337" t="s">
        <v>10343</v>
      </c>
      <c r="G10337">
        <v>1</v>
      </c>
    </row>
    <row r="10338" spans="1:7" x14ac:dyDescent="0.25">
      <c r="A10338">
        <v>32</v>
      </c>
      <c r="B10338" t="s">
        <v>9993</v>
      </c>
      <c r="C10338">
        <v>15616</v>
      </c>
      <c r="D10338" t="str">
        <f>"0947-5745"</f>
        <v>0947-5745</v>
      </c>
      <c r="E10338" t="s">
        <v>8</v>
      </c>
      <c r="F10338" t="s">
        <v>10344</v>
      </c>
      <c r="G10338">
        <v>1</v>
      </c>
    </row>
    <row r="10339" spans="1:7" x14ac:dyDescent="0.25">
      <c r="A10339">
        <v>32</v>
      </c>
      <c r="B10339" t="s">
        <v>9993</v>
      </c>
      <c r="C10339">
        <v>3634</v>
      </c>
      <c r="D10339" t="str">
        <f>"0952-8369"</f>
        <v>0952-8369</v>
      </c>
      <c r="E10339" t="s">
        <v>8</v>
      </c>
      <c r="F10339" t="s">
        <v>10345</v>
      </c>
      <c r="G10339">
        <v>1</v>
      </c>
    </row>
    <row r="10340" spans="1:7" x14ac:dyDescent="0.25">
      <c r="A10340">
        <v>32</v>
      </c>
      <c r="B10340" t="s">
        <v>9993</v>
      </c>
      <c r="C10340">
        <v>7714489</v>
      </c>
      <c r="E10340" t="s">
        <v>8</v>
      </c>
      <c r="F10340" t="s">
        <v>10346</v>
      </c>
      <c r="G10340">
        <v>1</v>
      </c>
    </row>
    <row r="10341" spans="1:7" x14ac:dyDescent="0.25">
      <c r="A10341">
        <v>32</v>
      </c>
      <c r="B10341" t="s">
        <v>9993</v>
      </c>
      <c r="C10341">
        <v>13355</v>
      </c>
      <c r="D10341" t="str">
        <f>"0075-9511"</f>
        <v>0075-9511</v>
      </c>
      <c r="E10341" t="s">
        <v>8</v>
      </c>
      <c r="F10341" t="s">
        <v>10347</v>
      </c>
      <c r="G10341">
        <v>1</v>
      </c>
    </row>
    <row r="10342" spans="1:7" x14ac:dyDescent="0.25">
      <c r="A10342">
        <v>32</v>
      </c>
      <c r="B10342" t="s">
        <v>9993</v>
      </c>
      <c r="C10342">
        <v>5970</v>
      </c>
      <c r="D10342" t="str">
        <f>"1439-8621"</f>
        <v>1439-8621</v>
      </c>
      <c r="E10342" t="s">
        <v>8</v>
      </c>
      <c r="F10342" t="s">
        <v>10348</v>
      </c>
      <c r="G10342">
        <v>1</v>
      </c>
    </row>
    <row r="10343" spans="1:7" x14ac:dyDescent="0.25">
      <c r="A10343">
        <v>32</v>
      </c>
      <c r="B10343" t="s">
        <v>9993</v>
      </c>
      <c r="C10343">
        <v>6079</v>
      </c>
      <c r="D10343" t="str">
        <f>"0105-0761"</f>
        <v>0105-0761</v>
      </c>
      <c r="E10343" t="s">
        <v>8</v>
      </c>
      <c r="F10343" t="s">
        <v>10349</v>
      </c>
      <c r="G10343">
        <v>1</v>
      </c>
    </row>
    <row r="10344" spans="1:7" x14ac:dyDescent="0.25">
      <c r="A10344">
        <v>32</v>
      </c>
      <c r="B10344" t="s">
        <v>9993</v>
      </c>
      <c r="C10344">
        <v>5926</v>
      </c>
      <c r="D10344" t="str">
        <f>"0076-2997"</f>
        <v>0076-2997</v>
      </c>
      <c r="E10344" t="s">
        <v>8</v>
      </c>
      <c r="F10344" t="s">
        <v>10350</v>
      </c>
      <c r="G10344">
        <v>1</v>
      </c>
    </row>
    <row r="10345" spans="1:7" x14ac:dyDescent="0.25">
      <c r="A10345">
        <v>32</v>
      </c>
      <c r="B10345" t="s">
        <v>9993</v>
      </c>
      <c r="C10345">
        <v>6440</v>
      </c>
      <c r="D10345" t="str">
        <f>"2199-2401"</f>
        <v>2199-2401</v>
      </c>
      <c r="E10345" t="s">
        <v>8</v>
      </c>
      <c r="F10345" t="s">
        <v>10351</v>
      </c>
      <c r="G10345">
        <v>1</v>
      </c>
    </row>
    <row r="10346" spans="1:7" x14ac:dyDescent="0.25">
      <c r="A10346">
        <v>32</v>
      </c>
      <c r="B10346" t="s">
        <v>9993</v>
      </c>
      <c r="C10346">
        <v>7382</v>
      </c>
      <c r="D10346" t="str">
        <f>"0305-1838"</f>
        <v>0305-1838</v>
      </c>
      <c r="E10346" t="s">
        <v>8</v>
      </c>
      <c r="F10346" t="s">
        <v>10352</v>
      </c>
      <c r="G10346">
        <v>1</v>
      </c>
    </row>
    <row r="10347" spans="1:7" x14ac:dyDescent="0.25">
      <c r="A10347">
        <v>32</v>
      </c>
      <c r="B10347" t="s">
        <v>9993</v>
      </c>
      <c r="C10347">
        <v>348</v>
      </c>
      <c r="D10347" t="str">
        <f>"0025-1461"</f>
        <v>0025-1461</v>
      </c>
      <c r="E10347" t="s">
        <v>8</v>
      </c>
      <c r="F10347" t="s">
        <v>10353</v>
      </c>
      <c r="G10347">
        <v>1</v>
      </c>
    </row>
    <row r="10348" spans="1:7" x14ac:dyDescent="0.25">
      <c r="A10348">
        <v>32</v>
      </c>
      <c r="B10348" t="s">
        <v>9993</v>
      </c>
      <c r="C10348">
        <v>15739</v>
      </c>
      <c r="D10348" t="str">
        <f>"1616-5047"</f>
        <v>1616-5047</v>
      </c>
      <c r="E10348" t="s">
        <v>8</v>
      </c>
      <c r="F10348" t="s">
        <v>10354</v>
      </c>
      <c r="G10348">
        <v>1</v>
      </c>
    </row>
    <row r="10349" spans="1:7" x14ac:dyDescent="0.25">
      <c r="A10349">
        <v>32</v>
      </c>
      <c r="B10349" t="s">
        <v>9993</v>
      </c>
      <c r="C10349">
        <v>2124</v>
      </c>
      <c r="D10349" t="str">
        <f>"1023-6244"</f>
        <v>1023-6244</v>
      </c>
      <c r="E10349" t="s">
        <v>8</v>
      </c>
      <c r="F10349" t="s">
        <v>10355</v>
      </c>
      <c r="G10349">
        <v>1</v>
      </c>
    </row>
    <row r="10350" spans="1:7" x14ac:dyDescent="0.25">
      <c r="A10350">
        <v>32</v>
      </c>
      <c r="B10350" t="s">
        <v>9993</v>
      </c>
      <c r="C10350">
        <v>7419</v>
      </c>
      <c r="D10350" t="str">
        <f>"1745-1000"</f>
        <v>1745-1000</v>
      </c>
      <c r="E10350" t="s">
        <v>8</v>
      </c>
      <c r="F10350" t="s">
        <v>10356</v>
      </c>
      <c r="G10350">
        <v>1</v>
      </c>
    </row>
    <row r="10351" spans="1:7" x14ac:dyDescent="0.25">
      <c r="A10351">
        <v>32</v>
      </c>
      <c r="B10351" t="s">
        <v>9993</v>
      </c>
      <c r="C10351">
        <v>6244</v>
      </c>
      <c r="D10351" t="str">
        <f>"1436-2228"</f>
        <v>1436-2228</v>
      </c>
      <c r="E10351" t="s">
        <v>8</v>
      </c>
      <c r="F10351" t="s">
        <v>10357</v>
      </c>
      <c r="G10351">
        <v>1</v>
      </c>
    </row>
    <row r="10352" spans="1:7" x14ac:dyDescent="0.25">
      <c r="A10352">
        <v>32</v>
      </c>
      <c r="B10352" t="s">
        <v>9993</v>
      </c>
      <c r="C10352">
        <v>1755</v>
      </c>
      <c r="D10352" t="str">
        <f>"0173-9565"</f>
        <v>0173-9565</v>
      </c>
      <c r="E10352" t="s">
        <v>8</v>
      </c>
      <c r="F10352" t="s">
        <v>10358</v>
      </c>
      <c r="G10352">
        <v>1</v>
      </c>
    </row>
    <row r="10353" spans="1:7" x14ac:dyDescent="0.25">
      <c r="A10353">
        <v>32</v>
      </c>
      <c r="B10353" t="s">
        <v>9993</v>
      </c>
      <c r="C10353">
        <v>1463</v>
      </c>
      <c r="D10353" t="str">
        <f>"0824-0469"</f>
        <v>0824-0469</v>
      </c>
      <c r="E10353" t="s">
        <v>8</v>
      </c>
      <c r="F10353" t="s">
        <v>10359</v>
      </c>
      <c r="G10353">
        <v>1</v>
      </c>
    </row>
    <row r="10354" spans="1:7" x14ac:dyDescent="0.25">
      <c r="A10354">
        <v>32</v>
      </c>
      <c r="B10354" t="s">
        <v>9993</v>
      </c>
      <c r="C10354">
        <v>13186</v>
      </c>
      <c r="D10354" t="str">
        <f>"1018-3337"</f>
        <v>1018-3337</v>
      </c>
      <c r="E10354" t="s">
        <v>8</v>
      </c>
      <c r="F10354" t="s">
        <v>10360</v>
      </c>
      <c r="G10354">
        <v>1</v>
      </c>
    </row>
    <row r="10355" spans="1:7" x14ac:dyDescent="0.25">
      <c r="A10355">
        <v>32</v>
      </c>
      <c r="B10355" t="s">
        <v>9993</v>
      </c>
      <c r="C10355">
        <v>10502</v>
      </c>
      <c r="D10355" t="str">
        <f>"0025-6153"</f>
        <v>0025-6153</v>
      </c>
      <c r="E10355" t="s">
        <v>8</v>
      </c>
      <c r="F10355" t="s">
        <v>10361</v>
      </c>
      <c r="G10355">
        <v>1</v>
      </c>
    </row>
    <row r="10356" spans="1:7" x14ac:dyDescent="0.25">
      <c r="A10356">
        <v>32</v>
      </c>
      <c r="B10356" t="s">
        <v>9993</v>
      </c>
      <c r="C10356">
        <v>7719358</v>
      </c>
      <c r="D10356" t="str">
        <f>"2161-2129"</f>
        <v>2161-2129</v>
      </c>
      <c r="E10356" t="s">
        <v>8</v>
      </c>
      <c r="F10356" t="s">
        <v>10362</v>
      </c>
      <c r="G10356">
        <v>1</v>
      </c>
    </row>
    <row r="10357" spans="1:7" x14ac:dyDescent="0.25">
      <c r="A10357">
        <v>32</v>
      </c>
      <c r="B10357" t="s">
        <v>9993</v>
      </c>
      <c r="C10357">
        <v>124995</v>
      </c>
      <c r="D10357" t="str">
        <f>"1751-7907"</f>
        <v>1751-7907</v>
      </c>
      <c r="E10357" t="s">
        <v>8</v>
      </c>
      <c r="F10357" t="s">
        <v>10363</v>
      </c>
      <c r="G10357">
        <v>1</v>
      </c>
    </row>
    <row r="10358" spans="1:7" x14ac:dyDescent="0.25">
      <c r="A10358">
        <v>32</v>
      </c>
      <c r="B10358" t="s">
        <v>9993</v>
      </c>
      <c r="C10358">
        <v>5959</v>
      </c>
      <c r="D10358" t="str">
        <f>"0095-3628"</f>
        <v>0095-3628</v>
      </c>
      <c r="E10358" t="s">
        <v>8</v>
      </c>
      <c r="F10358" t="s">
        <v>10364</v>
      </c>
      <c r="G10358">
        <v>1</v>
      </c>
    </row>
    <row r="10359" spans="1:7" x14ac:dyDescent="0.25">
      <c r="A10359">
        <v>32</v>
      </c>
      <c r="B10359" t="s">
        <v>9993</v>
      </c>
      <c r="C10359">
        <v>7757192</v>
      </c>
      <c r="E10359" t="s">
        <v>8</v>
      </c>
      <c r="F10359" t="s">
        <v>10365</v>
      </c>
      <c r="G10359">
        <v>1</v>
      </c>
    </row>
    <row r="10360" spans="1:7" x14ac:dyDescent="0.25">
      <c r="A10360">
        <v>32</v>
      </c>
      <c r="B10360" t="s">
        <v>9993</v>
      </c>
      <c r="C10360">
        <v>7714495</v>
      </c>
      <c r="D10360" t="str">
        <f>"2076-2607"</f>
        <v>2076-2607</v>
      </c>
      <c r="E10360" t="s">
        <v>8</v>
      </c>
      <c r="F10360" t="s">
        <v>10366</v>
      </c>
      <c r="G10360">
        <v>1</v>
      </c>
    </row>
    <row r="10361" spans="1:7" x14ac:dyDescent="0.25">
      <c r="A10361">
        <v>32</v>
      </c>
      <c r="B10361" t="s">
        <v>9993</v>
      </c>
      <c r="C10361">
        <v>8163</v>
      </c>
      <c r="D10361" t="str">
        <f>"0026-3648"</f>
        <v>0026-3648</v>
      </c>
      <c r="E10361" t="s">
        <v>8</v>
      </c>
      <c r="F10361" t="s">
        <v>10367</v>
      </c>
      <c r="G10361">
        <v>1</v>
      </c>
    </row>
    <row r="10362" spans="1:7" x14ac:dyDescent="0.25">
      <c r="A10362">
        <v>32</v>
      </c>
      <c r="B10362" t="s">
        <v>9993</v>
      </c>
      <c r="C10362">
        <v>7750839</v>
      </c>
      <c r="E10362" t="s">
        <v>8</v>
      </c>
      <c r="F10362" t="s">
        <v>10368</v>
      </c>
      <c r="G10362">
        <v>1</v>
      </c>
    </row>
    <row r="10363" spans="1:7" x14ac:dyDescent="0.25">
      <c r="A10363">
        <v>32</v>
      </c>
      <c r="B10363" t="s">
        <v>9993</v>
      </c>
      <c r="C10363">
        <v>617</v>
      </c>
      <c r="D10363" t="str">
        <f>"0027-5514"</f>
        <v>0027-5514</v>
      </c>
      <c r="E10363" t="s">
        <v>8</v>
      </c>
      <c r="F10363" t="s">
        <v>10369</v>
      </c>
      <c r="G10363">
        <v>1</v>
      </c>
    </row>
    <row r="10364" spans="1:7" x14ac:dyDescent="0.25">
      <c r="A10364">
        <v>32</v>
      </c>
      <c r="B10364" t="s">
        <v>9993</v>
      </c>
      <c r="C10364">
        <v>15742</v>
      </c>
      <c r="D10364" t="str">
        <f>"1617-416X"</f>
        <v>1617-416X</v>
      </c>
      <c r="E10364" t="s">
        <v>8</v>
      </c>
      <c r="F10364" t="s">
        <v>10370</v>
      </c>
      <c r="G10364">
        <v>1</v>
      </c>
    </row>
    <row r="10365" spans="1:7" x14ac:dyDescent="0.25">
      <c r="A10365">
        <v>32</v>
      </c>
      <c r="B10365" t="s">
        <v>9993</v>
      </c>
      <c r="C10365">
        <v>5426</v>
      </c>
      <c r="D10365" t="str">
        <f>"0301-486X"</f>
        <v>0301-486X</v>
      </c>
      <c r="E10365" t="s">
        <v>8</v>
      </c>
      <c r="F10365" t="s">
        <v>10371</v>
      </c>
      <c r="G10365">
        <v>1</v>
      </c>
    </row>
    <row r="10366" spans="1:7" x14ac:dyDescent="0.25">
      <c r="A10366">
        <v>32</v>
      </c>
      <c r="B10366" t="s">
        <v>9993</v>
      </c>
      <c r="C10366">
        <v>11399</v>
      </c>
      <c r="D10366" t="str">
        <f>"1340-3540"</f>
        <v>1340-3540</v>
      </c>
      <c r="E10366" t="s">
        <v>8</v>
      </c>
      <c r="F10366" t="s">
        <v>10372</v>
      </c>
      <c r="G10366">
        <v>1</v>
      </c>
    </row>
    <row r="10367" spans="1:7" x14ac:dyDescent="0.25">
      <c r="A10367">
        <v>32</v>
      </c>
      <c r="B10367" t="s">
        <v>9993</v>
      </c>
      <c r="C10367">
        <v>15400</v>
      </c>
      <c r="D10367" t="str">
        <f>"0093-4666"</f>
        <v>0093-4666</v>
      </c>
      <c r="E10367" t="s">
        <v>8</v>
      </c>
      <c r="F10367" t="s">
        <v>10373</v>
      </c>
      <c r="G10367">
        <v>1</v>
      </c>
    </row>
    <row r="10368" spans="1:7" x14ac:dyDescent="0.25">
      <c r="A10368">
        <v>32</v>
      </c>
      <c r="B10368" t="s">
        <v>9993</v>
      </c>
      <c r="C10368">
        <v>170359</v>
      </c>
      <c r="D10368" t="str">
        <f>"1994-4136"</f>
        <v>1994-4136</v>
      </c>
      <c r="E10368" t="s">
        <v>8</v>
      </c>
      <c r="F10368" t="s">
        <v>10374</v>
      </c>
      <c r="G10368">
        <v>1</v>
      </c>
    </row>
    <row r="10369" spans="1:7" x14ac:dyDescent="0.25">
      <c r="A10369">
        <v>32</v>
      </c>
      <c r="B10369" t="s">
        <v>9993</v>
      </c>
      <c r="C10369">
        <v>6136</v>
      </c>
      <c r="D10369" t="str">
        <f>"0028-0712"</f>
        <v>0028-0712</v>
      </c>
      <c r="E10369" t="s">
        <v>8</v>
      </c>
      <c r="F10369" t="s">
        <v>10375</v>
      </c>
      <c r="G10369">
        <v>1</v>
      </c>
    </row>
    <row r="10370" spans="1:7" x14ac:dyDescent="0.25">
      <c r="A10370">
        <v>32</v>
      </c>
      <c r="B10370" t="s">
        <v>9993</v>
      </c>
      <c r="C10370">
        <v>8780894</v>
      </c>
      <c r="E10370" t="s">
        <v>8</v>
      </c>
      <c r="F10370" t="s">
        <v>10376</v>
      </c>
      <c r="G10370">
        <v>1</v>
      </c>
    </row>
    <row r="10371" spans="1:7" x14ac:dyDescent="0.25">
      <c r="A10371">
        <v>32</v>
      </c>
      <c r="B10371" t="s">
        <v>9993</v>
      </c>
      <c r="C10371">
        <v>8773992</v>
      </c>
      <c r="E10371" t="s">
        <v>8</v>
      </c>
      <c r="F10371" t="s">
        <v>10377</v>
      </c>
      <c r="G10371">
        <v>1</v>
      </c>
    </row>
    <row r="10372" spans="1:7" x14ac:dyDescent="0.25">
      <c r="A10372">
        <v>32</v>
      </c>
      <c r="B10372" t="s">
        <v>9993</v>
      </c>
      <c r="C10372">
        <v>6367</v>
      </c>
      <c r="D10372" t="str">
        <f>"1388-5545"</f>
        <v>1388-5545</v>
      </c>
      <c r="E10372" t="s">
        <v>8</v>
      </c>
      <c r="F10372" t="s">
        <v>10378</v>
      </c>
      <c r="G10372">
        <v>1</v>
      </c>
    </row>
    <row r="10373" spans="1:7" x14ac:dyDescent="0.25">
      <c r="A10373">
        <v>32</v>
      </c>
      <c r="B10373" t="s">
        <v>9993</v>
      </c>
      <c r="C10373">
        <v>15487</v>
      </c>
      <c r="D10373" t="str">
        <f>"0028-825X"</f>
        <v>0028-825X</v>
      </c>
      <c r="E10373" t="s">
        <v>8</v>
      </c>
      <c r="F10373" t="s">
        <v>10379</v>
      </c>
      <c r="G10373">
        <v>1</v>
      </c>
    </row>
    <row r="10374" spans="1:7" x14ac:dyDescent="0.25">
      <c r="A10374">
        <v>32</v>
      </c>
      <c r="B10374" t="s">
        <v>9993</v>
      </c>
      <c r="C10374">
        <v>10010</v>
      </c>
      <c r="D10374" t="str">
        <f>"0110-6465"</f>
        <v>0110-6465</v>
      </c>
      <c r="E10374" t="s">
        <v>8</v>
      </c>
      <c r="F10374" t="s">
        <v>10380</v>
      </c>
      <c r="G10374">
        <v>1</v>
      </c>
    </row>
    <row r="10375" spans="1:7" x14ac:dyDescent="0.25">
      <c r="A10375">
        <v>32</v>
      </c>
      <c r="B10375" t="s">
        <v>9993</v>
      </c>
      <c r="C10375">
        <v>2178</v>
      </c>
      <c r="D10375" t="str">
        <f>"0301-4223"</f>
        <v>0301-4223</v>
      </c>
      <c r="E10375" t="s">
        <v>8</v>
      </c>
      <c r="F10375" t="s">
        <v>10381</v>
      </c>
      <c r="G10375">
        <v>1</v>
      </c>
    </row>
    <row r="10376" spans="1:7" x14ac:dyDescent="0.25">
      <c r="A10376">
        <v>32</v>
      </c>
      <c r="B10376" t="s">
        <v>9993</v>
      </c>
      <c r="C10376">
        <v>16068</v>
      </c>
      <c r="D10376" t="str">
        <f>"0021-4914"</f>
        <v>0021-4914</v>
      </c>
      <c r="E10376" t="s">
        <v>8</v>
      </c>
      <c r="F10376" t="s">
        <v>10382</v>
      </c>
      <c r="G10376">
        <v>1</v>
      </c>
    </row>
    <row r="10377" spans="1:7" x14ac:dyDescent="0.25">
      <c r="A10377">
        <v>32</v>
      </c>
      <c r="B10377" t="s">
        <v>9993</v>
      </c>
      <c r="C10377">
        <v>8169</v>
      </c>
      <c r="D10377" t="str">
        <f>"0107-055X"</f>
        <v>0107-055X</v>
      </c>
      <c r="E10377" t="s">
        <v>8</v>
      </c>
      <c r="F10377" t="s">
        <v>10383</v>
      </c>
      <c r="G10377">
        <v>1</v>
      </c>
    </row>
    <row r="10378" spans="1:7" x14ac:dyDescent="0.25">
      <c r="A10378">
        <v>32</v>
      </c>
      <c r="B10378" t="s">
        <v>9993</v>
      </c>
      <c r="C10378">
        <v>13846</v>
      </c>
      <c r="D10378" t="str">
        <f>"0029-344X"</f>
        <v>0029-344X</v>
      </c>
      <c r="E10378" t="s">
        <v>8</v>
      </c>
      <c r="F10378" t="s">
        <v>10384</v>
      </c>
      <c r="G10378">
        <v>1</v>
      </c>
    </row>
    <row r="10379" spans="1:7" x14ac:dyDescent="0.25">
      <c r="A10379">
        <v>32</v>
      </c>
      <c r="B10379" t="s">
        <v>9993</v>
      </c>
      <c r="C10379">
        <v>14308</v>
      </c>
      <c r="D10379" t="str">
        <f>"0342-7536"</f>
        <v>0342-7536</v>
      </c>
      <c r="E10379" t="s">
        <v>8</v>
      </c>
      <c r="F10379" t="s">
        <v>10385</v>
      </c>
      <c r="G10379">
        <v>1</v>
      </c>
    </row>
    <row r="10380" spans="1:7" x14ac:dyDescent="0.25">
      <c r="A10380">
        <v>32</v>
      </c>
      <c r="B10380" t="s">
        <v>9993</v>
      </c>
      <c r="C10380">
        <v>7154</v>
      </c>
      <c r="D10380" t="str">
        <f>"0029-5035"</f>
        <v>0029-5035</v>
      </c>
      <c r="E10380" t="s">
        <v>8</v>
      </c>
      <c r="F10380" t="s">
        <v>10386</v>
      </c>
      <c r="G10380">
        <v>1</v>
      </c>
    </row>
    <row r="10381" spans="1:7" x14ac:dyDescent="0.25">
      <c r="A10381">
        <v>32</v>
      </c>
      <c r="B10381" t="s">
        <v>9993</v>
      </c>
      <c r="C10381">
        <v>13818</v>
      </c>
      <c r="D10381" t="str">
        <f>"1055-3177"</f>
        <v>1055-3177</v>
      </c>
      <c r="E10381" t="s">
        <v>8</v>
      </c>
      <c r="F10381" t="s">
        <v>10387</v>
      </c>
      <c r="G10381">
        <v>1</v>
      </c>
    </row>
    <row r="10382" spans="1:7" x14ac:dyDescent="0.25">
      <c r="A10382">
        <v>32</v>
      </c>
      <c r="B10382" t="s">
        <v>9993</v>
      </c>
      <c r="C10382">
        <v>10819</v>
      </c>
      <c r="D10382" t="str">
        <f>"0375-0183"</f>
        <v>0375-0183</v>
      </c>
      <c r="E10382" t="s">
        <v>8</v>
      </c>
      <c r="F10382" t="s">
        <v>10388</v>
      </c>
      <c r="G10382">
        <v>1</v>
      </c>
    </row>
    <row r="10383" spans="1:7" x14ac:dyDescent="0.25">
      <c r="A10383">
        <v>32</v>
      </c>
      <c r="B10383" t="s">
        <v>9993</v>
      </c>
      <c r="C10383">
        <v>7718872</v>
      </c>
      <c r="D10383" t="str">
        <f>"2162-1985"</f>
        <v>2162-1985</v>
      </c>
      <c r="E10383" t="s">
        <v>8</v>
      </c>
      <c r="F10383" t="s">
        <v>10389</v>
      </c>
      <c r="G10383">
        <v>1</v>
      </c>
    </row>
    <row r="10384" spans="1:7" x14ac:dyDescent="0.25">
      <c r="A10384">
        <v>32</v>
      </c>
      <c r="B10384" t="s">
        <v>9993</v>
      </c>
      <c r="C10384">
        <v>10171</v>
      </c>
      <c r="D10384" t="str">
        <f>"1439-6092"</f>
        <v>1439-6092</v>
      </c>
      <c r="E10384" t="s">
        <v>8</v>
      </c>
      <c r="F10384" t="s">
        <v>10390</v>
      </c>
      <c r="G10384">
        <v>1</v>
      </c>
    </row>
    <row r="10385" spans="1:7" x14ac:dyDescent="0.25">
      <c r="A10385">
        <v>32</v>
      </c>
      <c r="B10385" t="s">
        <v>9993</v>
      </c>
      <c r="C10385">
        <v>2941</v>
      </c>
      <c r="D10385" t="str">
        <f>"0030-5316"</f>
        <v>0030-5316</v>
      </c>
      <c r="E10385" t="s">
        <v>8</v>
      </c>
      <c r="F10385" t="s">
        <v>10391</v>
      </c>
      <c r="G10385">
        <v>1</v>
      </c>
    </row>
    <row r="10386" spans="1:7" x14ac:dyDescent="0.25">
      <c r="A10386">
        <v>32</v>
      </c>
      <c r="B10386" t="s">
        <v>9993</v>
      </c>
      <c r="C10386">
        <v>12334</v>
      </c>
      <c r="D10386" t="str">
        <f>"0169-6149"</f>
        <v>0169-6149</v>
      </c>
      <c r="E10386" t="s">
        <v>8</v>
      </c>
      <c r="F10386" t="s">
        <v>10392</v>
      </c>
      <c r="G10386">
        <v>1</v>
      </c>
    </row>
    <row r="10387" spans="1:7" x14ac:dyDescent="0.25">
      <c r="A10387">
        <v>32</v>
      </c>
      <c r="B10387" t="s">
        <v>9993</v>
      </c>
      <c r="C10387">
        <v>1001</v>
      </c>
      <c r="D10387" t="str">
        <f>"0030-5685"</f>
        <v>0030-5685</v>
      </c>
      <c r="E10387" t="s">
        <v>8</v>
      </c>
      <c r="F10387" t="s">
        <v>10393</v>
      </c>
      <c r="G10387">
        <v>1</v>
      </c>
    </row>
    <row r="10388" spans="1:7" x14ac:dyDescent="0.25">
      <c r="A10388">
        <v>32</v>
      </c>
      <c r="B10388" t="s">
        <v>9993</v>
      </c>
      <c r="C10388">
        <v>4674</v>
      </c>
      <c r="D10388" t="str">
        <f>"1502-0878"</f>
        <v>1502-0878</v>
      </c>
      <c r="E10388" t="s">
        <v>8</v>
      </c>
      <c r="F10388" t="s">
        <v>10394</v>
      </c>
      <c r="G10388">
        <v>1</v>
      </c>
    </row>
    <row r="10389" spans="1:7" x14ac:dyDescent="0.25">
      <c r="A10389">
        <v>32</v>
      </c>
      <c r="B10389" t="s">
        <v>9993</v>
      </c>
      <c r="C10389">
        <v>2725</v>
      </c>
      <c r="D10389" t="str">
        <f>"0030-6053"</f>
        <v>0030-6053</v>
      </c>
      <c r="E10389" t="s">
        <v>8</v>
      </c>
      <c r="F10389" t="s">
        <v>10395</v>
      </c>
      <c r="G10389">
        <v>1</v>
      </c>
    </row>
    <row r="10390" spans="1:7" x14ac:dyDescent="0.25">
      <c r="A10390">
        <v>32</v>
      </c>
      <c r="B10390" t="s">
        <v>9993</v>
      </c>
      <c r="C10390">
        <v>15662</v>
      </c>
      <c r="D10390" t="str">
        <f>"0030-6525"</f>
        <v>0030-6525</v>
      </c>
      <c r="E10390" t="s">
        <v>8</v>
      </c>
      <c r="F10390" t="s">
        <v>10396</v>
      </c>
      <c r="G10390">
        <v>1</v>
      </c>
    </row>
    <row r="10391" spans="1:7" x14ac:dyDescent="0.25">
      <c r="A10391">
        <v>32</v>
      </c>
      <c r="B10391" t="s">
        <v>9993</v>
      </c>
      <c r="C10391">
        <v>9562</v>
      </c>
      <c r="D10391" t="str">
        <f>"0556-3321"</f>
        <v>0556-3321</v>
      </c>
      <c r="E10391" t="s">
        <v>8</v>
      </c>
      <c r="F10391" t="s">
        <v>10397</v>
      </c>
      <c r="G10391">
        <v>1</v>
      </c>
    </row>
    <row r="10392" spans="1:7" x14ac:dyDescent="0.25">
      <c r="A10392">
        <v>32</v>
      </c>
      <c r="B10392" t="s">
        <v>9993</v>
      </c>
      <c r="C10392">
        <v>1067</v>
      </c>
      <c r="D10392" t="str">
        <f>"0031-0603"</f>
        <v>0031-0603</v>
      </c>
      <c r="E10392" t="s">
        <v>8</v>
      </c>
      <c r="F10392" t="s">
        <v>10398</v>
      </c>
      <c r="G10392">
        <v>1</v>
      </c>
    </row>
    <row r="10393" spans="1:7" x14ac:dyDescent="0.25">
      <c r="A10393">
        <v>32</v>
      </c>
      <c r="B10393" t="s">
        <v>9993</v>
      </c>
      <c r="C10393">
        <v>5395</v>
      </c>
      <c r="D10393" t="str">
        <f>"1252-607X"</f>
        <v>1252-607X</v>
      </c>
      <c r="E10393" t="s">
        <v>8</v>
      </c>
      <c r="F10393" t="s">
        <v>10399</v>
      </c>
      <c r="G10393">
        <v>1</v>
      </c>
    </row>
    <row r="10394" spans="1:7" x14ac:dyDescent="0.25">
      <c r="A10394">
        <v>32</v>
      </c>
      <c r="B10394" t="s">
        <v>9993</v>
      </c>
      <c r="C10394">
        <v>12141</v>
      </c>
      <c r="D10394" t="str">
        <f>"0031-5362"</f>
        <v>0031-5362</v>
      </c>
      <c r="E10394" t="s">
        <v>8</v>
      </c>
      <c r="F10394" t="s">
        <v>10400</v>
      </c>
      <c r="G10394">
        <v>1</v>
      </c>
    </row>
    <row r="10395" spans="1:7" x14ac:dyDescent="0.25">
      <c r="A10395">
        <v>32</v>
      </c>
      <c r="B10395" t="s">
        <v>9993</v>
      </c>
      <c r="C10395">
        <v>808</v>
      </c>
      <c r="D10395" t="str">
        <f>"0166-8595"</f>
        <v>0166-8595</v>
      </c>
      <c r="E10395" t="s">
        <v>8</v>
      </c>
      <c r="F10395" t="s">
        <v>10401</v>
      </c>
      <c r="G10395">
        <v>1</v>
      </c>
    </row>
    <row r="10396" spans="1:7" x14ac:dyDescent="0.25">
      <c r="A10396">
        <v>32</v>
      </c>
      <c r="B10396" t="s">
        <v>9993</v>
      </c>
      <c r="C10396">
        <v>7768</v>
      </c>
      <c r="D10396" t="str">
        <f>"0300-3604"</f>
        <v>0300-3604</v>
      </c>
      <c r="E10396" t="s">
        <v>8</v>
      </c>
      <c r="F10396" t="s">
        <v>10402</v>
      </c>
      <c r="G10396">
        <v>1</v>
      </c>
    </row>
    <row r="10397" spans="1:7" x14ac:dyDescent="0.25">
      <c r="A10397">
        <v>32</v>
      </c>
      <c r="B10397" t="s">
        <v>9993</v>
      </c>
      <c r="C10397">
        <v>27217</v>
      </c>
      <c r="D10397" t="str">
        <f>"0858-1088"</f>
        <v>0858-1088</v>
      </c>
      <c r="E10397" t="s">
        <v>8</v>
      </c>
      <c r="F10397" t="s">
        <v>10403</v>
      </c>
      <c r="G10397">
        <v>1</v>
      </c>
    </row>
    <row r="10398" spans="1:7" x14ac:dyDescent="0.25">
      <c r="A10398">
        <v>32</v>
      </c>
      <c r="B10398" t="s">
        <v>9993</v>
      </c>
      <c r="C10398">
        <v>1449</v>
      </c>
      <c r="D10398" t="str">
        <f>"0031-8884"</f>
        <v>0031-8884</v>
      </c>
      <c r="E10398" t="s">
        <v>8</v>
      </c>
      <c r="F10398" t="s">
        <v>10404</v>
      </c>
      <c r="G10398">
        <v>1</v>
      </c>
    </row>
    <row r="10399" spans="1:7" x14ac:dyDescent="0.25">
      <c r="A10399">
        <v>32</v>
      </c>
      <c r="B10399" t="s">
        <v>9993</v>
      </c>
      <c r="C10399">
        <v>5915</v>
      </c>
      <c r="D10399" t="str">
        <f>"1322-0829"</f>
        <v>1322-0829</v>
      </c>
      <c r="E10399" t="s">
        <v>8</v>
      </c>
      <c r="F10399" t="s">
        <v>10405</v>
      </c>
      <c r="G10399">
        <v>1</v>
      </c>
    </row>
    <row r="10400" spans="1:7" x14ac:dyDescent="0.25">
      <c r="A10400">
        <v>32</v>
      </c>
      <c r="B10400" t="s">
        <v>9993</v>
      </c>
      <c r="C10400">
        <v>15258</v>
      </c>
      <c r="D10400" t="str">
        <f>"0031-9317"</f>
        <v>0031-9317</v>
      </c>
      <c r="E10400" t="s">
        <v>8</v>
      </c>
      <c r="F10400" t="s">
        <v>10406</v>
      </c>
      <c r="G10400">
        <v>1</v>
      </c>
    </row>
    <row r="10401" spans="1:7" x14ac:dyDescent="0.25">
      <c r="A10401">
        <v>32</v>
      </c>
      <c r="B10401" t="s">
        <v>9993</v>
      </c>
      <c r="C10401">
        <v>4255</v>
      </c>
      <c r="D10401" t="str">
        <f>"1522-2152"</f>
        <v>1522-2152</v>
      </c>
      <c r="E10401" t="s">
        <v>8</v>
      </c>
      <c r="F10401" t="s">
        <v>10407</v>
      </c>
      <c r="G10401">
        <v>1</v>
      </c>
    </row>
    <row r="10402" spans="1:7" x14ac:dyDescent="0.25">
      <c r="A10402">
        <v>32</v>
      </c>
      <c r="B10402" t="s">
        <v>9993</v>
      </c>
      <c r="C10402">
        <v>8653</v>
      </c>
      <c r="D10402" t="str">
        <f>"0307-6962"</f>
        <v>0307-6962</v>
      </c>
      <c r="E10402" t="s">
        <v>8</v>
      </c>
      <c r="F10402" t="s">
        <v>10408</v>
      </c>
      <c r="G10402">
        <v>1</v>
      </c>
    </row>
    <row r="10403" spans="1:7" x14ac:dyDescent="0.25">
      <c r="A10403">
        <v>32</v>
      </c>
      <c r="B10403" t="s">
        <v>9993</v>
      </c>
      <c r="C10403">
        <v>2160</v>
      </c>
      <c r="D10403" t="str">
        <f>"0340-269X"</f>
        <v>0340-269X</v>
      </c>
      <c r="E10403" t="s">
        <v>8</v>
      </c>
      <c r="F10403" t="s">
        <v>10409</v>
      </c>
      <c r="G10403">
        <v>1</v>
      </c>
    </row>
    <row r="10404" spans="1:7" x14ac:dyDescent="0.25">
      <c r="A10404">
        <v>32</v>
      </c>
      <c r="B10404" t="s">
        <v>9993</v>
      </c>
      <c r="C10404">
        <v>3218</v>
      </c>
      <c r="D10404" t="str">
        <f>"0079-2047"</f>
        <v>0079-2047</v>
      </c>
      <c r="E10404" t="s">
        <v>8</v>
      </c>
      <c r="F10404" t="s">
        <v>10410</v>
      </c>
      <c r="G10404">
        <v>1</v>
      </c>
    </row>
    <row r="10405" spans="1:7" x14ac:dyDescent="0.25">
      <c r="A10405">
        <v>32</v>
      </c>
      <c r="B10405" t="s">
        <v>9993</v>
      </c>
      <c r="C10405">
        <v>10495</v>
      </c>
      <c r="D10405" t="str">
        <f>"0334-2123"</f>
        <v>0334-2123</v>
      </c>
      <c r="E10405" t="s">
        <v>8</v>
      </c>
      <c r="F10405" t="s">
        <v>10411</v>
      </c>
      <c r="G10405">
        <v>1</v>
      </c>
    </row>
    <row r="10406" spans="1:7" x14ac:dyDescent="0.25">
      <c r="A10406">
        <v>32</v>
      </c>
      <c r="B10406" t="s">
        <v>9993</v>
      </c>
      <c r="C10406">
        <v>7211</v>
      </c>
      <c r="D10406" t="str">
        <f>"0031-949X"</f>
        <v>0031-949X</v>
      </c>
      <c r="E10406" t="s">
        <v>8</v>
      </c>
      <c r="F10406" t="s">
        <v>10412</v>
      </c>
      <c r="G10406">
        <v>1</v>
      </c>
    </row>
    <row r="10407" spans="1:7" x14ac:dyDescent="0.25">
      <c r="A10407">
        <v>32</v>
      </c>
      <c r="B10407" t="s">
        <v>9993</v>
      </c>
      <c r="C10407">
        <v>16306</v>
      </c>
      <c r="D10407" t="str">
        <f>"1435-8603"</f>
        <v>1435-8603</v>
      </c>
      <c r="E10407" t="s">
        <v>8</v>
      </c>
      <c r="F10407" t="s">
        <v>10413</v>
      </c>
      <c r="G10407">
        <v>1</v>
      </c>
    </row>
    <row r="10408" spans="1:7" x14ac:dyDescent="0.25">
      <c r="A10408">
        <v>32</v>
      </c>
      <c r="B10408" t="s">
        <v>9993</v>
      </c>
      <c r="C10408">
        <v>16260</v>
      </c>
      <c r="D10408" t="str">
        <f>"1126-3504"</f>
        <v>1126-3504</v>
      </c>
      <c r="E10408" t="s">
        <v>8</v>
      </c>
      <c r="F10408" t="s">
        <v>10414</v>
      </c>
      <c r="G10408">
        <v>1</v>
      </c>
    </row>
    <row r="10409" spans="1:7" x14ac:dyDescent="0.25">
      <c r="A10409">
        <v>32</v>
      </c>
      <c r="B10409" t="s">
        <v>9993</v>
      </c>
      <c r="C10409">
        <v>14809</v>
      </c>
      <c r="D10409" t="str">
        <f>"2032-3913"</f>
        <v>2032-3913</v>
      </c>
      <c r="E10409" t="s">
        <v>8</v>
      </c>
      <c r="F10409" t="s">
        <v>10415</v>
      </c>
      <c r="G10409">
        <v>1</v>
      </c>
    </row>
    <row r="10410" spans="1:7" x14ac:dyDescent="0.25">
      <c r="A10410">
        <v>32</v>
      </c>
      <c r="B10410" t="s">
        <v>9993</v>
      </c>
      <c r="C10410">
        <v>12153</v>
      </c>
      <c r="D10410" t="str">
        <f>"1479-2621"</f>
        <v>1479-2621</v>
      </c>
      <c r="E10410" t="s">
        <v>8</v>
      </c>
      <c r="F10410" t="s">
        <v>10416</v>
      </c>
      <c r="G10410">
        <v>1</v>
      </c>
    </row>
    <row r="10411" spans="1:7" x14ac:dyDescent="0.25">
      <c r="A10411">
        <v>32</v>
      </c>
      <c r="B10411" t="s">
        <v>9993</v>
      </c>
      <c r="C10411">
        <v>27572</v>
      </c>
      <c r="E10411" t="s">
        <v>8</v>
      </c>
      <c r="F10411" t="s">
        <v>10417</v>
      </c>
      <c r="G10411">
        <v>1</v>
      </c>
    </row>
    <row r="10412" spans="1:7" x14ac:dyDescent="0.25">
      <c r="A10412">
        <v>32</v>
      </c>
      <c r="B10412" t="s">
        <v>9993</v>
      </c>
      <c r="C10412">
        <v>13427</v>
      </c>
      <c r="D10412" t="str">
        <f>"2194-7953"</f>
        <v>2194-7953</v>
      </c>
      <c r="E10412" t="s">
        <v>8</v>
      </c>
      <c r="F10412" t="s">
        <v>10418</v>
      </c>
      <c r="G10412">
        <v>1</v>
      </c>
    </row>
    <row r="10413" spans="1:7" x14ac:dyDescent="0.25">
      <c r="A10413">
        <v>32</v>
      </c>
      <c r="B10413" t="s">
        <v>9993</v>
      </c>
      <c r="C10413">
        <v>5239</v>
      </c>
      <c r="D10413" t="str">
        <f>"0168-9452"</f>
        <v>0168-9452</v>
      </c>
      <c r="E10413" t="s">
        <v>8</v>
      </c>
      <c r="F10413" t="s">
        <v>10419</v>
      </c>
      <c r="G10413">
        <v>1</v>
      </c>
    </row>
    <row r="10414" spans="1:7" x14ac:dyDescent="0.25">
      <c r="A10414">
        <v>32</v>
      </c>
      <c r="B10414" t="s">
        <v>9993</v>
      </c>
      <c r="C10414">
        <v>63769</v>
      </c>
      <c r="D10414" t="str">
        <f>"1559-2316"</f>
        <v>1559-2316</v>
      </c>
      <c r="E10414" t="s">
        <v>8</v>
      </c>
      <c r="F10414" t="s">
        <v>10420</v>
      </c>
      <c r="G10414">
        <v>1</v>
      </c>
    </row>
    <row r="10415" spans="1:7" x14ac:dyDescent="0.25">
      <c r="A10415">
        <v>32</v>
      </c>
      <c r="B10415" t="s">
        <v>9993</v>
      </c>
      <c r="C10415">
        <v>8383</v>
      </c>
      <c r="D10415" t="str">
        <f>"0913-557X"</f>
        <v>0913-557X</v>
      </c>
      <c r="E10415" t="s">
        <v>8</v>
      </c>
      <c r="F10415" t="s">
        <v>10421</v>
      </c>
      <c r="G10415">
        <v>1</v>
      </c>
    </row>
    <row r="10416" spans="1:7" x14ac:dyDescent="0.25">
      <c r="A10416">
        <v>32</v>
      </c>
      <c r="B10416" t="s">
        <v>9993</v>
      </c>
      <c r="C10416">
        <v>2578</v>
      </c>
      <c r="D10416" t="str">
        <f>"0378-2697"</f>
        <v>0378-2697</v>
      </c>
      <c r="E10416" t="s">
        <v>8</v>
      </c>
      <c r="F10416" t="s">
        <v>10422</v>
      </c>
      <c r="G10416">
        <v>1</v>
      </c>
    </row>
    <row r="10417" spans="1:7" x14ac:dyDescent="0.25">
      <c r="A10417">
        <v>32</v>
      </c>
      <c r="B10417" t="s">
        <v>9993</v>
      </c>
      <c r="C10417">
        <v>410</v>
      </c>
      <c r="D10417" t="str">
        <f>"0032-0935"</f>
        <v>0032-0935</v>
      </c>
      <c r="E10417" t="s">
        <v>8</v>
      </c>
      <c r="F10417" t="s">
        <v>10423</v>
      </c>
      <c r="G10417">
        <v>1</v>
      </c>
    </row>
    <row r="10418" spans="1:7" x14ac:dyDescent="0.25">
      <c r="A10418">
        <v>32</v>
      </c>
      <c r="B10418" t="s">
        <v>9993</v>
      </c>
      <c r="C10418">
        <v>7731138</v>
      </c>
      <c r="E10418" t="s">
        <v>8</v>
      </c>
      <c r="F10418" t="s">
        <v>10424</v>
      </c>
      <c r="G10418">
        <v>1</v>
      </c>
    </row>
    <row r="10419" spans="1:7" x14ac:dyDescent="0.25">
      <c r="A10419">
        <v>32</v>
      </c>
      <c r="B10419" t="s">
        <v>9993</v>
      </c>
      <c r="C10419">
        <v>6178</v>
      </c>
      <c r="D10419" t="str">
        <f>"0722-4060"</f>
        <v>0722-4060</v>
      </c>
      <c r="E10419" t="s">
        <v>8</v>
      </c>
      <c r="F10419" t="s">
        <v>10425</v>
      </c>
      <c r="G10419">
        <v>1</v>
      </c>
    </row>
    <row r="10420" spans="1:7" x14ac:dyDescent="0.25">
      <c r="A10420">
        <v>32</v>
      </c>
      <c r="B10420" t="s">
        <v>9993</v>
      </c>
      <c r="C10420">
        <v>9399</v>
      </c>
      <c r="D10420" t="str">
        <f>"1505-2249"</f>
        <v>1505-2249</v>
      </c>
      <c r="E10420" t="s">
        <v>8</v>
      </c>
      <c r="F10420" t="s">
        <v>10426</v>
      </c>
      <c r="G10420">
        <v>1</v>
      </c>
    </row>
    <row r="10421" spans="1:7" x14ac:dyDescent="0.25">
      <c r="A10421">
        <v>32</v>
      </c>
      <c r="B10421" t="s">
        <v>9993</v>
      </c>
      <c r="C10421">
        <v>11609</v>
      </c>
      <c r="D10421" t="str">
        <f>"1438-3896"</f>
        <v>1438-3896</v>
      </c>
      <c r="E10421" t="s">
        <v>8</v>
      </c>
      <c r="F10421" t="s">
        <v>10427</v>
      </c>
      <c r="G10421">
        <v>1</v>
      </c>
    </row>
    <row r="10422" spans="1:7" x14ac:dyDescent="0.25">
      <c r="A10422">
        <v>32</v>
      </c>
      <c r="B10422" t="s">
        <v>9993</v>
      </c>
      <c r="C10422">
        <v>16799</v>
      </c>
      <c r="D10422" t="str">
        <f>"0032-7786"</f>
        <v>0032-7786</v>
      </c>
      <c r="E10422" t="s">
        <v>8</v>
      </c>
      <c r="F10422" t="s">
        <v>10428</v>
      </c>
      <c r="G10422">
        <v>1</v>
      </c>
    </row>
    <row r="10423" spans="1:7" x14ac:dyDescent="0.25">
      <c r="A10423">
        <v>32</v>
      </c>
      <c r="B10423" t="s">
        <v>9993</v>
      </c>
      <c r="C10423">
        <v>15366</v>
      </c>
      <c r="D10423" t="str">
        <f>"0032-8332"</f>
        <v>0032-8332</v>
      </c>
      <c r="E10423" t="s">
        <v>8</v>
      </c>
      <c r="F10423" t="s">
        <v>10429</v>
      </c>
      <c r="G10423">
        <v>1</v>
      </c>
    </row>
    <row r="10424" spans="1:7" x14ac:dyDescent="0.25">
      <c r="A10424">
        <v>32</v>
      </c>
      <c r="B10424" t="s">
        <v>9993</v>
      </c>
      <c r="C10424">
        <v>3443</v>
      </c>
      <c r="D10424" t="str">
        <f>"0097-3157"</f>
        <v>0097-3157</v>
      </c>
      <c r="E10424" t="s">
        <v>8</v>
      </c>
      <c r="F10424" t="s">
        <v>10430</v>
      </c>
      <c r="G10424">
        <v>1</v>
      </c>
    </row>
    <row r="10425" spans="1:7" x14ac:dyDescent="0.25">
      <c r="A10425">
        <v>32</v>
      </c>
      <c r="B10425" t="s">
        <v>9993</v>
      </c>
      <c r="C10425">
        <v>8905</v>
      </c>
      <c r="D10425" t="str">
        <f>"0006-324X"</f>
        <v>0006-324X</v>
      </c>
      <c r="E10425" t="s">
        <v>8</v>
      </c>
      <c r="F10425" t="s">
        <v>10431</v>
      </c>
      <c r="G10425">
        <v>1</v>
      </c>
    </row>
    <row r="10426" spans="1:7" x14ac:dyDescent="0.25">
      <c r="A10426">
        <v>32</v>
      </c>
      <c r="B10426" t="s">
        <v>9993</v>
      </c>
      <c r="C10426">
        <v>12087</v>
      </c>
      <c r="D10426" t="str">
        <f>"0013-8797"</f>
        <v>0013-8797</v>
      </c>
      <c r="E10426" t="s">
        <v>8</v>
      </c>
      <c r="F10426" t="s">
        <v>10432</v>
      </c>
      <c r="G10426">
        <v>1</v>
      </c>
    </row>
    <row r="10427" spans="1:7" x14ac:dyDescent="0.25">
      <c r="A10427">
        <v>32</v>
      </c>
      <c r="B10427" t="s">
        <v>9993</v>
      </c>
      <c r="C10427">
        <v>14057</v>
      </c>
      <c r="D10427" t="str">
        <f>"0370-047X"</f>
        <v>0370-047X</v>
      </c>
      <c r="E10427" t="s">
        <v>8</v>
      </c>
      <c r="F10427" t="s">
        <v>10433</v>
      </c>
      <c r="G10427">
        <v>1</v>
      </c>
    </row>
    <row r="10428" spans="1:7" x14ac:dyDescent="0.25">
      <c r="A10428">
        <v>32</v>
      </c>
      <c r="B10428" t="s">
        <v>9993</v>
      </c>
      <c r="C10428">
        <v>121238</v>
      </c>
      <c r="D10428" t="str">
        <f>"0340-4773"</f>
        <v>0340-4773</v>
      </c>
      <c r="E10428" t="s">
        <v>15</v>
      </c>
      <c r="F10428" t="s">
        <v>10434</v>
      </c>
      <c r="G10428">
        <v>1</v>
      </c>
    </row>
    <row r="10429" spans="1:7" x14ac:dyDescent="0.25">
      <c r="A10429">
        <v>32</v>
      </c>
      <c r="B10429" t="s">
        <v>9993</v>
      </c>
      <c r="C10429">
        <v>1383</v>
      </c>
      <c r="D10429" t="str">
        <f>"1434-4610"</f>
        <v>1434-4610</v>
      </c>
      <c r="E10429" t="s">
        <v>8</v>
      </c>
      <c r="F10429" t="s">
        <v>10435</v>
      </c>
      <c r="G10429">
        <v>1</v>
      </c>
    </row>
    <row r="10430" spans="1:7" x14ac:dyDescent="0.25">
      <c r="A10430">
        <v>32</v>
      </c>
      <c r="B10430" t="s">
        <v>9993</v>
      </c>
      <c r="C10430">
        <v>8809</v>
      </c>
      <c r="D10430" t="str">
        <f>"0033-183X"</f>
        <v>0033-183X</v>
      </c>
      <c r="E10430" t="s">
        <v>8</v>
      </c>
      <c r="F10430" t="s">
        <v>10436</v>
      </c>
      <c r="G10430">
        <v>1</v>
      </c>
    </row>
    <row r="10431" spans="1:7" x14ac:dyDescent="0.25">
      <c r="A10431">
        <v>32</v>
      </c>
      <c r="B10431" t="s">
        <v>9993</v>
      </c>
      <c r="C10431">
        <v>11570</v>
      </c>
      <c r="D10431" t="str">
        <f>"0217-2445"</f>
        <v>0217-2445</v>
      </c>
      <c r="E10431" t="s">
        <v>8</v>
      </c>
      <c r="F10431" t="s">
        <v>10437</v>
      </c>
      <c r="G10431">
        <v>1</v>
      </c>
    </row>
    <row r="10432" spans="1:7" x14ac:dyDescent="0.25">
      <c r="A10432">
        <v>32</v>
      </c>
      <c r="B10432" t="s">
        <v>9993</v>
      </c>
      <c r="C10432">
        <v>3538</v>
      </c>
      <c r="D10432" t="str">
        <f>"1031-3613"</f>
        <v>1031-3613</v>
      </c>
      <c r="E10432" t="s">
        <v>8</v>
      </c>
      <c r="F10432" t="s">
        <v>10438</v>
      </c>
      <c r="G10432">
        <v>1</v>
      </c>
    </row>
    <row r="10433" spans="1:7" x14ac:dyDescent="0.25">
      <c r="A10433">
        <v>32</v>
      </c>
      <c r="B10433" t="s">
        <v>9993</v>
      </c>
      <c r="C10433">
        <v>27234</v>
      </c>
      <c r="D10433" t="str">
        <f>"1687-6768"</f>
        <v>1687-6768</v>
      </c>
      <c r="E10433" t="s">
        <v>8</v>
      </c>
      <c r="F10433" t="s">
        <v>10439</v>
      </c>
      <c r="G10433">
        <v>1</v>
      </c>
    </row>
    <row r="10434" spans="1:7" x14ac:dyDescent="0.25">
      <c r="A10434">
        <v>32</v>
      </c>
      <c r="B10434" t="s">
        <v>9993</v>
      </c>
      <c r="C10434">
        <v>12256</v>
      </c>
      <c r="D10434" t="str">
        <f>"0716-078X"</f>
        <v>0716-078X</v>
      </c>
      <c r="E10434" t="s">
        <v>8</v>
      </c>
      <c r="F10434" t="s">
        <v>10440</v>
      </c>
      <c r="G10434">
        <v>1</v>
      </c>
    </row>
    <row r="10435" spans="1:7" x14ac:dyDescent="0.25">
      <c r="A10435">
        <v>32</v>
      </c>
      <c r="B10435" t="s">
        <v>9993</v>
      </c>
      <c r="C10435">
        <v>13889</v>
      </c>
      <c r="D10435" t="str">
        <f>"0034-7744"</f>
        <v>0034-7744</v>
      </c>
      <c r="E10435" t="s">
        <v>8</v>
      </c>
      <c r="F10435" t="s">
        <v>10441</v>
      </c>
      <c r="G10435">
        <v>1</v>
      </c>
    </row>
    <row r="10436" spans="1:7" x14ac:dyDescent="0.25">
      <c r="A10436">
        <v>32</v>
      </c>
      <c r="B10436" t="s">
        <v>9993</v>
      </c>
      <c r="C10436">
        <v>241</v>
      </c>
      <c r="D10436" t="str">
        <f>"0249-7395"</f>
        <v>0249-7395</v>
      </c>
      <c r="E10436" t="s">
        <v>8</v>
      </c>
      <c r="F10436" t="s">
        <v>10442</v>
      </c>
      <c r="G10436">
        <v>1</v>
      </c>
    </row>
    <row r="10437" spans="1:7" x14ac:dyDescent="0.25">
      <c r="A10437">
        <v>32</v>
      </c>
      <c r="B10437" t="s">
        <v>9993</v>
      </c>
      <c r="C10437">
        <v>12378</v>
      </c>
      <c r="D10437" t="str">
        <f>"0035-418X"</f>
        <v>0035-418X</v>
      </c>
      <c r="E10437" t="s">
        <v>8</v>
      </c>
      <c r="F10437" t="s">
        <v>10443</v>
      </c>
      <c r="G10437">
        <v>1</v>
      </c>
    </row>
    <row r="10438" spans="1:7" x14ac:dyDescent="0.25">
      <c r="A10438">
        <v>32</v>
      </c>
      <c r="B10438" t="s">
        <v>9993</v>
      </c>
      <c r="C10438">
        <v>15864</v>
      </c>
      <c r="D10438" t="str">
        <f>"0035-4902"</f>
        <v>0035-4902</v>
      </c>
      <c r="E10438" t="s">
        <v>8</v>
      </c>
      <c r="F10438" t="s">
        <v>10444</v>
      </c>
      <c r="G10438">
        <v>1</v>
      </c>
    </row>
    <row r="10439" spans="1:7" x14ac:dyDescent="0.25">
      <c r="A10439">
        <v>32</v>
      </c>
      <c r="B10439" t="s">
        <v>9993</v>
      </c>
      <c r="C10439">
        <v>12614</v>
      </c>
      <c r="D10439" t="str">
        <f>"0035-6050"</f>
        <v>0035-6050</v>
      </c>
      <c r="E10439" t="s">
        <v>8</v>
      </c>
      <c r="F10439" t="s">
        <v>10445</v>
      </c>
      <c r="G10439">
        <v>1</v>
      </c>
    </row>
    <row r="10440" spans="1:7" x14ac:dyDescent="0.25">
      <c r="A10440">
        <v>32</v>
      </c>
      <c r="B10440" t="s">
        <v>9993</v>
      </c>
      <c r="C10440">
        <v>9223</v>
      </c>
      <c r="D10440" t="str">
        <f>"1062-3604"</f>
        <v>1062-3604</v>
      </c>
      <c r="E10440" t="s">
        <v>8</v>
      </c>
      <c r="F10440" t="s">
        <v>10446</v>
      </c>
      <c r="G10440">
        <v>1</v>
      </c>
    </row>
    <row r="10441" spans="1:7" x14ac:dyDescent="0.25">
      <c r="A10441">
        <v>32</v>
      </c>
      <c r="B10441" t="s">
        <v>9993</v>
      </c>
      <c r="C10441">
        <v>9255</v>
      </c>
      <c r="D10441" t="str">
        <f>"1067-4136"</f>
        <v>1067-4136</v>
      </c>
      <c r="E10441" t="s">
        <v>8</v>
      </c>
      <c r="F10441" t="s">
        <v>10447</v>
      </c>
      <c r="G10441">
        <v>1</v>
      </c>
    </row>
    <row r="10442" spans="1:7" x14ac:dyDescent="0.25">
      <c r="A10442">
        <v>32</v>
      </c>
      <c r="B10442" t="s">
        <v>9993</v>
      </c>
      <c r="C10442">
        <v>2668</v>
      </c>
      <c r="D10442" t="str">
        <f>"0869-6918"</f>
        <v>0869-6918</v>
      </c>
      <c r="E10442" t="s">
        <v>8</v>
      </c>
      <c r="F10442" t="s">
        <v>10448</v>
      </c>
      <c r="G10442">
        <v>1</v>
      </c>
    </row>
    <row r="10443" spans="1:7" x14ac:dyDescent="0.25">
      <c r="A10443">
        <v>32</v>
      </c>
      <c r="B10443" t="s">
        <v>9993</v>
      </c>
      <c r="C10443">
        <v>2699</v>
      </c>
      <c r="D10443" t="str">
        <f>"1021-4437"</f>
        <v>1021-4437</v>
      </c>
      <c r="E10443" t="s">
        <v>8</v>
      </c>
      <c r="F10443" t="s">
        <v>10449</v>
      </c>
      <c r="G10443">
        <v>1</v>
      </c>
    </row>
    <row r="10444" spans="1:7" x14ac:dyDescent="0.25">
      <c r="A10444">
        <v>32</v>
      </c>
      <c r="B10444" t="s">
        <v>9993</v>
      </c>
      <c r="C10444">
        <v>8758548</v>
      </c>
      <c r="D10444" t="str">
        <f>"1674-7305"</f>
        <v>1674-7305</v>
      </c>
      <c r="E10444" t="s">
        <v>8</v>
      </c>
      <c r="F10444" t="s">
        <v>10450</v>
      </c>
      <c r="G10444">
        <v>1</v>
      </c>
    </row>
    <row r="10445" spans="1:7" x14ac:dyDescent="0.25">
      <c r="A10445">
        <v>32</v>
      </c>
      <c r="B10445" t="s">
        <v>9993</v>
      </c>
      <c r="C10445">
        <v>8781982</v>
      </c>
      <c r="D10445" t="str">
        <f>"1904-5484"</f>
        <v>1904-5484</v>
      </c>
      <c r="E10445" t="s">
        <v>15</v>
      </c>
      <c r="F10445" t="s">
        <v>10451</v>
      </c>
      <c r="G10445">
        <v>1</v>
      </c>
    </row>
    <row r="10446" spans="1:7" x14ac:dyDescent="0.25">
      <c r="A10446">
        <v>32</v>
      </c>
      <c r="B10446" t="s">
        <v>9993</v>
      </c>
      <c r="C10446">
        <v>8782784</v>
      </c>
      <c r="D10446" t="str">
        <f>"1867-9048"</f>
        <v>1867-9048</v>
      </c>
      <c r="E10446" t="s">
        <v>15</v>
      </c>
      <c r="F10446" t="s">
        <v>10452</v>
      </c>
      <c r="G10446">
        <v>1</v>
      </c>
    </row>
    <row r="10447" spans="1:7" x14ac:dyDescent="0.25">
      <c r="A10447">
        <v>32</v>
      </c>
      <c r="B10447" t="s">
        <v>9993</v>
      </c>
      <c r="C10447">
        <v>2680</v>
      </c>
      <c r="D10447" t="str">
        <f>"0361-6525"</f>
        <v>0361-6525</v>
      </c>
      <c r="E10447" t="s">
        <v>8</v>
      </c>
      <c r="F10447" t="s">
        <v>10453</v>
      </c>
      <c r="G10447">
        <v>1</v>
      </c>
    </row>
    <row r="10448" spans="1:7" x14ac:dyDescent="0.25">
      <c r="A10448">
        <v>32</v>
      </c>
      <c r="B10448" t="s">
        <v>9993</v>
      </c>
      <c r="C10448">
        <v>9680</v>
      </c>
      <c r="D10448" t="str">
        <f>"0254-6299"</f>
        <v>0254-6299</v>
      </c>
      <c r="E10448" t="s">
        <v>8</v>
      </c>
      <c r="F10448" t="s">
        <v>10454</v>
      </c>
      <c r="G10448">
        <v>1</v>
      </c>
    </row>
    <row r="10449" spans="1:7" x14ac:dyDescent="0.25">
      <c r="A10449">
        <v>32</v>
      </c>
      <c r="B10449" t="s">
        <v>9993</v>
      </c>
      <c r="C10449">
        <v>7408</v>
      </c>
      <c r="D10449" t="str">
        <f>"0341-8391"</f>
        <v>0341-8391</v>
      </c>
      <c r="E10449" t="s">
        <v>8</v>
      </c>
      <c r="F10449" t="s">
        <v>10455</v>
      </c>
      <c r="G10449">
        <v>1</v>
      </c>
    </row>
    <row r="10450" spans="1:7" x14ac:dyDescent="0.25">
      <c r="A10450">
        <v>32</v>
      </c>
      <c r="B10450" t="s">
        <v>9993</v>
      </c>
      <c r="C10450">
        <v>7744777</v>
      </c>
      <c r="D10450" t="str">
        <f>"2212-6120"</f>
        <v>2212-6120</v>
      </c>
      <c r="E10450" t="s">
        <v>8</v>
      </c>
      <c r="F10450" t="s">
        <v>10456</v>
      </c>
      <c r="G10450">
        <v>1</v>
      </c>
    </row>
    <row r="10451" spans="1:7" x14ac:dyDescent="0.25">
      <c r="A10451">
        <v>32</v>
      </c>
      <c r="B10451" t="s">
        <v>9993</v>
      </c>
      <c r="C10451">
        <v>13507</v>
      </c>
      <c r="D10451" t="str">
        <f>"0039-646X"</f>
        <v>0039-646X</v>
      </c>
      <c r="E10451" t="s">
        <v>8</v>
      </c>
      <c r="F10451" t="s">
        <v>10457</v>
      </c>
      <c r="G10451">
        <v>1</v>
      </c>
    </row>
    <row r="10452" spans="1:7" x14ac:dyDescent="0.25">
      <c r="A10452">
        <v>32</v>
      </c>
      <c r="B10452" t="s">
        <v>9993</v>
      </c>
      <c r="C10452">
        <v>14856</v>
      </c>
      <c r="D10452" t="str">
        <f>"0082-0598"</f>
        <v>0082-0598</v>
      </c>
      <c r="E10452" t="s">
        <v>8</v>
      </c>
      <c r="F10452" t="s">
        <v>10458</v>
      </c>
      <c r="G10452">
        <v>1</v>
      </c>
    </row>
    <row r="10453" spans="1:7" x14ac:dyDescent="0.25">
      <c r="A10453">
        <v>32</v>
      </c>
      <c r="B10453" t="s">
        <v>9993</v>
      </c>
      <c r="C10453">
        <v>7783</v>
      </c>
      <c r="D10453" t="str">
        <f>"0363-6445"</f>
        <v>0363-6445</v>
      </c>
      <c r="E10453" t="s">
        <v>8</v>
      </c>
      <c r="F10453" t="s">
        <v>10459</v>
      </c>
      <c r="G10453">
        <v>1</v>
      </c>
    </row>
    <row r="10454" spans="1:7" x14ac:dyDescent="0.25">
      <c r="A10454">
        <v>32</v>
      </c>
      <c r="B10454" t="s">
        <v>9993</v>
      </c>
      <c r="C10454">
        <v>16651</v>
      </c>
      <c r="D10454" t="str">
        <f>"1477-2000"</f>
        <v>1477-2000</v>
      </c>
      <c r="E10454" t="s">
        <v>8</v>
      </c>
      <c r="F10454" t="s">
        <v>10460</v>
      </c>
      <c r="G10454">
        <v>1</v>
      </c>
    </row>
    <row r="10455" spans="1:7" x14ac:dyDescent="0.25">
      <c r="A10455">
        <v>32</v>
      </c>
      <c r="B10455" t="s">
        <v>9993</v>
      </c>
      <c r="C10455">
        <v>4663</v>
      </c>
      <c r="D10455" t="str">
        <f>"0004-8038"</f>
        <v>0004-8038</v>
      </c>
      <c r="E10455" t="s">
        <v>8</v>
      </c>
      <c r="F10455" t="s">
        <v>10461</v>
      </c>
      <c r="G10455">
        <v>1</v>
      </c>
    </row>
    <row r="10456" spans="1:7" x14ac:dyDescent="0.25">
      <c r="A10456">
        <v>32</v>
      </c>
      <c r="B10456" t="s">
        <v>9993</v>
      </c>
      <c r="C10456">
        <v>12459</v>
      </c>
      <c r="D10456" t="str">
        <f>"0006-8101"</f>
        <v>0006-8101</v>
      </c>
      <c r="E10456" t="s">
        <v>8</v>
      </c>
      <c r="F10456" t="s">
        <v>10462</v>
      </c>
      <c r="G10456">
        <v>1</v>
      </c>
    </row>
    <row r="10457" spans="1:7" x14ac:dyDescent="0.25">
      <c r="A10457">
        <v>32</v>
      </c>
      <c r="B10457" t="s">
        <v>9993</v>
      </c>
      <c r="C10457">
        <v>13827</v>
      </c>
      <c r="D10457" t="str">
        <f>"0010-065X"</f>
        <v>0010-065X</v>
      </c>
      <c r="E10457" t="s">
        <v>8</v>
      </c>
      <c r="F10457" t="s">
        <v>10463</v>
      </c>
      <c r="G10457">
        <v>1</v>
      </c>
    </row>
    <row r="10458" spans="1:7" x14ac:dyDescent="0.25">
      <c r="A10458">
        <v>32</v>
      </c>
      <c r="B10458" t="s">
        <v>9993</v>
      </c>
      <c r="C10458">
        <v>764</v>
      </c>
      <c r="D10458" t="str">
        <f>"0010-5422"</f>
        <v>0010-5422</v>
      </c>
      <c r="E10458" t="s">
        <v>8</v>
      </c>
      <c r="F10458" t="s">
        <v>10464</v>
      </c>
      <c r="G10458">
        <v>1</v>
      </c>
    </row>
    <row r="10459" spans="1:7" x14ac:dyDescent="0.25">
      <c r="A10459">
        <v>32</v>
      </c>
      <c r="B10459" t="s">
        <v>9993</v>
      </c>
      <c r="C10459">
        <v>5441</v>
      </c>
      <c r="D10459" t="str">
        <f>"0022-3395"</f>
        <v>0022-3395</v>
      </c>
      <c r="E10459" t="s">
        <v>8</v>
      </c>
      <c r="F10459" t="s">
        <v>10465</v>
      </c>
      <c r="G10459">
        <v>1</v>
      </c>
    </row>
    <row r="10460" spans="1:7" x14ac:dyDescent="0.25">
      <c r="A10460">
        <v>32</v>
      </c>
      <c r="B10460" t="s">
        <v>9993</v>
      </c>
      <c r="C10460">
        <v>10521</v>
      </c>
      <c r="D10460" t="str">
        <f>"0892-1016"</f>
        <v>0892-1016</v>
      </c>
      <c r="E10460" t="s">
        <v>8</v>
      </c>
      <c r="F10460" t="s">
        <v>10466</v>
      </c>
      <c r="G10460">
        <v>1</v>
      </c>
    </row>
    <row r="10461" spans="1:7" x14ac:dyDescent="0.25">
      <c r="A10461">
        <v>32</v>
      </c>
      <c r="B10461" t="s">
        <v>9993</v>
      </c>
      <c r="C10461">
        <v>11681</v>
      </c>
      <c r="D10461" t="str">
        <f>"0024-2829"</f>
        <v>0024-2829</v>
      </c>
      <c r="E10461" t="s">
        <v>8</v>
      </c>
      <c r="F10461" t="s">
        <v>10467</v>
      </c>
      <c r="G10461">
        <v>1</v>
      </c>
    </row>
    <row r="10462" spans="1:7" x14ac:dyDescent="0.25">
      <c r="A10462">
        <v>32</v>
      </c>
      <c r="B10462" t="s">
        <v>9993</v>
      </c>
      <c r="C10462">
        <v>98721</v>
      </c>
      <c r="D10462" t="str">
        <f>"1874-2858"</f>
        <v>1874-2858</v>
      </c>
      <c r="E10462" t="s">
        <v>8</v>
      </c>
      <c r="F10462" t="s">
        <v>10468</v>
      </c>
      <c r="G10462">
        <v>1</v>
      </c>
    </row>
    <row r="10463" spans="1:7" x14ac:dyDescent="0.25">
      <c r="A10463">
        <v>32</v>
      </c>
      <c r="B10463" t="s">
        <v>9993</v>
      </c>
      <c r="C10463">
        <v>108789</v>
      </c>
      <c r="D10463" t="str">
        <f>"1874-2947"</f>
        <v>1874-2947</v>
      </c>
      <c r="E10463" t="s">
        <v>8</v>
      </c>
      <c r="F10463" t="s">
        <v>10469</v>
      </c>
      <c r="G10463">
        <v>1</v>
      </c>
    </row>
    <row r="10464" spans="1:7" x14ac:dyDescent="0.25">
      <c r="A10464">
        <v>32</v>
      </c>
      <c r="B10464" t="s">
        <v>9993</v>
      </c>
      <c r="C10464">
        <v>3097</v>
      </c>
      <c r="D10464" t="str">
        <f>"2356-6140"</f>
        <v>2356-6140</v>
      </c>
      <c r="E10464" t="s">
        <v>8</v>
      </c>
      <c r="F10464" t="s">
        <v>10470</v>
      </c>
      <c r="G10464">
        <v>1</v>
      </c>
    </row>
    <row r="10465" spans="1:7" x14ac:dyDescent="0.25">
      <c r="A10465">
        <v>32</v>
      </c>
      <c r="B10465" t="s">
        <v>9993</v>
      </c>
      <c r="C10465">
        <v>17023</v>
      </c>
      <c r="D10465" t="str">
        <f>"1559-4491"</f>
        <v>1559-4491</v>
      </c>
      <c r="E10465" t="s">
        <v>8</v>
      </c>
      <c r="F10465" t="s">
        <v>10471</v>
      </c>
      <c r="G10465">
        <v>1</v>
      </c>
    </row>
    <row r="10466" spans="1:7" x14ac:dyDescent="0.25">
      <c r="A10466">
        <v>32</v>
      </c>
      <c r="B10466" t="s">
        <v>9993</v>
      </c>
      <c r="C10466">
        <v>20639</v>
      </c>
      <c r="D10466" t="str">
        <f>"1874-1738"</f>
        <v>1874-1738</v>
      </c>
      <c r="E10466" t="s">
        <v>8</v>
      </c>
      <c r="F10466" t="s">
        <v>10472</v>
      </c>
      <c r="G10466">
        <v>1</v>
      </c>
    </row>
    <row r="10467" spans="1:7" x14ac:dyDescent="0.25">
      <c r="A10467">
        <v>32</v>
      </c>
      <c r="B10467" t="s">
        <v>9993</v>
      </c>
      <c r="C10467">
        <v>7703582</v>
      </c>
      <c r="D10467" t="str">
        <f>"1877-959X"</f>
        <v>1877-959X</v>
      </c>
      <c r="E10467" t="s">
        <v>8</v>
      </c>
      <c r="F10467" t="s">
        <v>10473</v>
      </c>
      <c r="G10467">
        <v>1</v>
      </c>
    </row>
    <row r="10468" spans="1:7" x14ac:dyDescent="0.25">
      <c r="A10468">
        <v>32</v>
      </c>
      <c r="B10468" t="s">
        <v>9993</v>
      </c>
      <c r="C10468">
        <v>7695603</v>
      </c>
      <c r="D10468" t="str">
        <f>"2072-6651"</f>
        <v>2072-6651</v>
      </c>
      <c r="E10468" t="s">
        <v>8</v>
      </c>
      <c r="F10468" t="s">
        <v>10474</v>
      </c>
      <c r="G10468">
        <v>1</v>
      </c>
    </row>
    <row r="10469" spans="1:7" x14ac:dyDescent="0.25">
      <c r="A10469">
        <v>32</v>
      </c>
      <c r="B10469" t="s">
        <v>9993</v>
      </c>
      <c r="C10469">
        <v>15448</v>
      </c>
      <c r="D10469" t="str">
        <f>"0002-8320"</f>
        <v>0002-8320</v>
      </c>
      <c r="E10469" t="s">
        <v>8</v>
      </c>
      <c r="F10469" t="s">
        <v>10475</v>
      </c>
      <c r="G10469">
        <v>1</v>
      </c>
    </row>
    <row r="10470" spans="1:7" x14ac:dyDescent="0.25">
      <c r="A10470">
        <v>32</v>
      </c>
      <c r="B10470" t="s">
        <v>9993</v>
      </c>
      <c r="C10470">
        <v>8783471</v>
      </c>
      <c r="E10470" t="s">
        <v>15</v>
      </c>
      <c r="F10470" t="s">
        <v>10476</v>
      </c>
      <c r="G10470">
        <v>1</v>
      </c>
    </row>
    <row r="10471" spans="1:7" x14ac:dyDescent="0.25">
      <c r="A10471">
        <v>32</v>
      </c>
      <c r="B10471" t="s">
        <v>9993</v>
      </c>
      <c r="C10471">
        <v>16598</v>
      </c>
      <c r="D10471" t="str">
        <f>"0394-6975"</f>
        <v>0394-6975</v>
      </c>
      <c r="E10471" t="s">
        <v>8</v>
      </c>
      <c r="F10471" t="s">
        <v>10477</v>
      </c>
      <c r="G10471">
        <v>1</v>
      </c>
    </row>
    <row r="10472" spans="1:7" x14ac:dyDescent="0.25">
      <c r="A10472">
        <v>32</v>
      </c>
      <c r="B10472" t="s">
        <v>9993</v>
      </c>
      <c r="C10472">
        <v>2329</v>
      </c>
      <c r="D10472" t="str">
        <f>"0882-5165"</f>
        <v>0882-5165</v>
      </c>
      <c r="E10472" t="s">
        <v>15</v>
      </c>
      <c r="F10472" t="s">
        <v>10478</v>
      </c>
      <c r="G10472">
        <v>1</v>
      </c>
    </row>
    <row r="10473" spans="1:7" x14ac:dyDescent="0.25">
      <c r="A10473">
        <v>32</v>
      </c>
      <c r="B10473" t="s">
        <v>9993</v>
      </c>
      <c r="C10473">
        <v>7311</v>
      </c>
      <c r="D10473" t="str">
        <f>"0240-8759"</f>
        <v>0240-8759</v>
      </c>
      <c r="E10473" t="s">
        <v>8</v>
      </c>
      <c r="F10473" t="s">
        <v>10479</v>
      </c>
      <c r="G10473">
        <v>1</v>
      </c>
    </row>
    <row r="10474" spans="1:7" x14ac:dyDescent="0.25">
      <c r="A10474">
        <v>32</v>
      </c>
      <c r="B10474" t="s">
        <v>9993</v>
      </c>
      <c r="C10474">
        <v>20110</v>
      </c>
      <c r="D10474" t="str">
        <f>"1728-4414"</f>
        <v>1728-4414</v>
      </c>
      <c r="E10474" t="s">
        <v>8</v>
      </c>
      <c r="F10474" t="s">
        <v>10480</v>
      </c>
      <c r="G10474">
        <v>1</v>
      </c>
    </row>
    <row r="10475" spans="1:7" x14ac:dyDescent="0.25">
      <c r="A10475">
        <v>32</v>
      </c>
      <c r="B10475" t="s">
        <v>9993</v>
      </c>
      <c r="C10475">
        <v>1534</v>
      </c>
      <c r="D10475" t="str">
        <f>"1524-4695"</f>
        <v>1524-4695</v>
      </c>
      <c r="E10475" t="s">
        <v>8</v>
      </c>
      <c r="F10475" t="s">
        <v>10481</v>
      </c>
      <c r="G10475">
        <v>1</v>
      </c>
    </row>
    <row r="10476" spans="1:7" x14ac:dyDescent="0.25">
      <c r="A10476">
        <v>32</v>
      </c>
      <c r="B10476" t="s">
        <v>9993</v>
      </c>
      <c r="C10476">
        <v>3440</v>
      </c>
      <c r="D10476" t="str">
        <f>"2193-3081"</f>
        <v>2193-3081</v>
      </c>
      <c r="E10476" t="s">
        <v>8</v>
      </c>
      <c r="F10476" t="s">
        <v>10482</v>
      </c>
      <c r="G10476">
        <v>1</v>
      </c>
    </row>
    <row r="10477" spans="1:7" x14ac:dyDescent="0.25">
      <c r="A10477">
        <v>32</v>
      </c>
      <c r="B10477" t="s">
        <v>9993</v>
      </c>
      <c r="C10477">
        <v>22776</v>
      </c>
      <c r="D10477" t="str">
        <f>"0083-7792"</f>
        <v>0083-7792</v>
      </c>
      <c r="E10477" t="s">
        <v>8</v>
      </c>
      <c r="F10477" t="s">
        <v>10483</v>
      </c>
      <c r="G10477">
        <v>1</v>
      </c>
    </row>
    <row r="10478" spans="1:7" x14ac:dyDescent="0.25">
      <c r="A10478">
        <v>32</v>
      </c>
      <c r="B10478" t="s">
        <v>9993</v>
      </c>
      <c r="C10478">
        <v>9021</v>
      </c>
      <c r="D10478" t="str">
        <f>"0511-9618"</f>
        <v>0511-9618</v>
      </c>
      <c r="E10478" t="s">
        <v>8</v>
      </c>
      <c r="F10478" t="s">
        <v>10484</v>
      </c>
      <c r="G10478">
        <v>1</v>
      </c>
    </row>
    <row r="10479" spans="1:7" x14ac:dyDescent="0.25">
      <c r="A10479">
        <v>32</v>
      </c>
      <c r="B10479" t="s">
        <v>9993</v>
      </c>
      <c r="C10479">
        <v>18022</v>
      </c>
      <c r="D10479" t="str">
        <f>"1336-4561"</f>
        <v>1336-4561</v>
      </c>
      <c r="E10479" t="s">
        <v>8</v>
      </c>
      <c r="F10479" t="s">
        <v>10485</v>
      </c>
      <c r="G10479">
        <v>1</v>
      </c>
    </row>
    <row r="10480" spans="1:7" x14ac:dyDescent="0.25">
      <c r="A10480">
        <v>32</v>
      </c>
      <c r="B10480" t="s">
        <v>9993</v>
      </c>
      <c r="C10480">
        <v>7988</v>
      </c>
      <c r="D10480" t="str">
        <f>"0044-4596"</f>
        <v>0044-4596</v>
      </c>
      <c r="E10480" t="s">
        <v>8</v>
      </c>
      <c r="F10480" t="s">
        <v>10486</v>
      </c>
      <c r="G10480">
        <v>1</v>
      </c>
    </row>
    <row r="10481" spans="1:7" x14ac:dyDescent="0.25">
      <c r="A10481">
        <v>32</v>
      </c>
      <c r="B10481" t="s">
        <v>9993</v>
      </c>
      <c r="C10481">
        <v>15574</v>
      </c>
      <c r="D10481" t="str">
        <f>"0733-3188"</f>
        <v>0733-3188</v>
      </c>
      <c r="E10481" t="s">
        <v>8</v>
      </c>
      <c r="F10481" t="s">
        <v>10487</v>
      </c>
      <c r="G10481">
        <v>1</v>
      </c>
    </row>
    <row r="10482" spans="1:7" x14ac:dyDescent="0.25">
      <c r="A10482">
        <v>32</v>
      </c>
      <c r="B10482" t="s">
        <v>9993</v>
      </c>
      <c r="C10482">
        <v>2393</v>
      </c>
      <c r="D10482" t="str">
        <f>"0300-3256"</f>
        <v>0300-3256</v>
      </c>
      <c r="E10482" t="s">
        <v>8</v>
      </c>
      <c r="F10482" t="s">
        <v>10488</v>
      </c>
      <c r="G10482">
        <v>1</v>
      </c>
    </row>
    <row r="10483" spans="1:7" x14ac:dyDescent="0.25">
      <c r="A10483">
        <v>32</v>
      </c>
      <c r="B10483" t="s">
        <v>9993</v>
      </c>
      <c r="C10483">
        <v>7721</v>
      </c>
      <c r="D10483" t="str">
        <f>"0024-4082"</f>
        <v>0024-4082</v>
      </c>
      <c r="E10483" t="s">
        <v>8</v>
      </c>
      <c r="F10483" t="s">
        <v>10489</v>
      </c>
      <c r="G10483">
        <v>1</v>
      </c>
    </row>
    <row r="10484" spans="1:7" x14ac:dyDescent="0.25">
      <c r="A10484">
        <v>32</v>
      </c>
      <c r="B10484" t="s">
        <v>9993</v>
      </c>
      <c r="C10484">
        <v>1856</v>
      </c>
      <c r="D10484" t="str">
        <f>"0289-0003"</f>
        <v>0289-0003</v>
      </c>
      <c r="E10484" t="s">
        <v>8</v>
      </c>
      <c r="F10484" t="s">
        <v>10490</v>
      </c>
      <c r="G10484">
        <v>1</v>
      </c>
    </row>
    <row r="10485" spans="1:7" x14ac:dyDescent="0.25">
      <c r="A10485">
        <v>32</v>
      </c>
      <c r="B10485" t="s">
        <v>9993</v>
      </c>
      <c r="C10485">
        <v>851</v>
      </c>
      <c r="D10485" t="str">
        <f>"1021-5506"</f>
        <v>1021-5506</v>
      </c>
      <c r="E10485" t="s">
        <v>8</v>
      </c>
      <c r="F10485" t="s">
        <v>10491</v>
      </c>
      <c r="G10485">
        <v>1</v>
      </c>
    </row>
    <row r="10486" spans="1:7" x14ac:dyDescent="0.25">
      <c r="A10486">
        <v>32</v>
      </c>
      <c r="B10486" t="s">
        <v>9993</v>
      </c>
      <c r="C10486">
        <v>9971</v>
      </c>
      <c r="D10486" t="str">
        <f>"0044-5134"</f>
        <v>0044-5134</v>
      </c>
      <c r="E10486" t="s">
        <v>8</v>
      </c>
      <c r="F10486" t="s">
        <v>10492</v>
      </c>
      <c r="G10486">
        <v>1</v>
      </c>
    </row>
    <row r="10487" spans="1:7" x14ac:dyDescent="0.25">
      <c r="A10487">
        <v>32</v>
      </c>
      <c r="B10487" t="s">
        <v>9993</v>
      </c>
      <c r="C10487">
        <v>151</v>
      </c>
      <c r="D10487" t="str">
        <f>"0044-5231"</f>
        <v>0044-5231</v>
      </c>
      <c r="E10487" t="s">
        <v>8</v>
      </c>
      <c r="F10487" t="s">
        <v>10493</v>
      </c>
      <c r="G10487">
        <v>1</v>
      </c>
    </row>
    <row r="10488" spans="1:7" x14ac:dyDescent="0.25">
      <c r="A10488">
        <v>32</v>
      </c>
      <c r="B10488" t="s">
        <v>9993</v>
      </c>
      <c r="C10488">
        <v>8555</v>
      </c>
      <c r="D10488" t="str">
        <f>"0944-2006"</f>
        <v>0944-2006</v>
      </c>
      <c r="E10488" t="s">
        <v>8</v>
      </c>
      <c r="F10488" t="s">
        <v>10494</v>
      </c>
      <c r="G10488">
        <v>1</v>
      </c>
    </row>
    <row r="10489" spans="1:7" x14ac:dyDescent="0.25">
      <c r="A10489">
        <v>32</v>
      </c>
      <c r="B10489" t="s">
        <v>9993</v>
      </c>
      <c r="C10489">
        <v>4137</v>
      </c>
      <c r="D10489" t="str">
        <f>"0720-213X"</f>
        <v>0720-213X</v>
      </c>
      <c r="E10489" t="s">
        <v>8</v>
      </c>
      <c r="F10489" t="s">
        <v>10495</v>
      </c>
      <c r="G10489">
        <v>1</v>
      </c>
    </row>
    <row r="10490" spans="1:7" x14ac:dyDescent="0.25">
      <c r="A10490">
        <v>32</v>
      </c>
      <c r="B10490" t="s">
        <v>9993</v>
      </c>
      <c r="C10490">
        <v>2838</v>
      </c>
      <c r="D10490" t="str">
        <f>"1280-9551"</f>
        <v>1280-9551</v>
      </c>
      <c r="E10490" t="s">
        <v>8</v>
      </c>
      <c r="F10490" t="s">
        <v>10496</v>
      </c>
      <c r="G10490">
        <v>1</v>
      </c>
    </row>
    <row r="10491" spans="1:7" x14ac:dyDescent="0.25">
      <c r="A10491">
        <v>32</v>
      </c>
      <c r="B10491" t="s">
        <v>9993</v>
      </c>
      <c r="C10491">
        <v>15190</v>
      </c>
      <c r="D10491" t="str">
        <f>"1175-5326"</f>
        <v>1175-5326</v>
      </c>
      <c r="E10491" t="s">
        <v>8</v>
      </c>
      <c r="F10491" t="s">
        <v>10497</v>
      </c>
      <c r="G10491">
        <v>1</v>
      </c>
    </row>
    <row r="10492" spans="1:7" x14ac:dyDescent="0.25">
      <c r="A10492">
        <v>33</v>
      </c>
      <c r="B10492" t="s">
        <v>10498</v>
      </c>
      <c r="C10492">
        <v>13099</v>
      </c>
      <c r="D10492" t="str">
        <f>"0167-8809"</f>
        <v>0167-8809</v>
      </c>
      <c r="E10492" t="s">
        <v>8</v>
      </c>
      <c r="F10492" t="s">
        <v>10499</v>
      </c>
      <c r="G10492">
        <v>2</v>
      </c>
    </row>
    <row r="10493" spans="1:7" x14ac:dyDescent="0.25">
      <c r="A10493">
        <v>33</v>
      </c>
      <c r="B10493" t="s">
        <v>10498</v>
      </c>
      <c r="C10493">
        <v>3144</v>
      </c>
      <c r="D10493" t="str">
        <f>"1751-7311"</f>
        <v>1751-7311</v>
      </c>
      <c r="E10493" t="s">
        <v>8</v>
      </c>
      <c r="F10493" t="s">
        <v>10500</v>
      </c>
      <c r="G10493">
        <v>2</v>
      </c>
    </row>
    <row r="10494" spans="1:7" x14ac:dyDescent="0.25">
      <c r="A10494">
        <v>33</v>
      </c>
      <c r="B10494" t="s">
        <v>10498</v>
      </c>
      <c r="C10494">
        <v>15125</v>
      </c>
      <c r="D10494" t="str">
        <f>"0377-8401"</f>
        <v>0377-8401</v>
      </c>
      <c r="E10494" t="s">
        <v>8</v>
      </c>
      <c r="F10494" t="s">
        <v>10501</v>
      </c>
      <c r="G10494">
        <v>2</v>
      </c>
    </row>
    <row r="10495" spans="1:7" x14ac:dyDescent="0.25">
      <c r="A10495">
        <v>33</v>
      </c>
      <c r="B10495" t="s">
        <v>10498</v>
      </c>
      <c r="C10495">
        <v>10323</v>
      </c>
      <c r="D10495" t="str">
        <f>"0099-2240"</f>
        <v>0099-2240</v>
      </c>
      <c r="E10495" t="s">
        <v>8</v>
      </c>
      <c r="F10495" t="s">
        <v>10502</v>
      </c>
      <c r="G10495">
        <v>2</v>
      </c>
    </row>
    <row r="10496" spans="1:7" x14ac:dyDescent="0.25">
      <c r="A10496">
        <v>33</v>
      </c>
      <c r="B10496" t="s">
        <v>10498</v>
      </c>
      <c r="C10496">
        <v>8157</v>
      </c>
      <c r="D10496" t="str">
        <f>"0169-1317"</f>
        <v>0169-1317</v>
      </c>
      <c r="E10496" t="s">
        <v>8</v>
      </c>
      <c r="F10496" t="s">
        <v>10503</v>
      </c>
      <c r="G10496">
        <v>2</v>
      </c>
    </row>
    <row r="10497" spans="1:7" x14ac:dyDescent="0.25">
      <c r="A10497">
        <v>33</v>
      </c>
      <c r="B10497" t="s">
        <v>10498</v>
      </c>
      <c r="C10497">
        <v>11064</v>
      </c>
      <c r="D10497" t="str">
        <f>"0044-8486"</f>
        <v>0044-8486</v>
      </c>
      <c r="E10497" t="s">
        <v>8</v>
      </c>
      <c r="F10497" t="s">
        <v>10504</v>
      </c>
      <c r="G10497">
        <v>2</v>
      </c>
    </row>
    <row r="10498" spans="1:7" x14ac:dyDescent="0.25">
      <c r="A10498">
        <v>33</v>
      </c>
      <c r="B10498" t="s">
        <v>10498</v>
      </c>
      <c r="C10498">
        <v>13640</v>
      </c>
      <c r="D10498" t="str">
        <f>"0166-445X"</f>
        <v>0166-445X</v>
      </c>
      <c r="E10498" t="s">
        <v>8</v>
      </c>
      <c r="F10498" t="s">
        <v>10505</v>
      </c>
      <c r="G10498">
        <v>2</v>
      </c>
    </row>
    <row r="10499" spans="1:7" x14ac:dyDescent="0.25">
      <c r="A10499">
        <v>33</v>
      </c>
      <c r="B10499" t="s">
        <v>10498</v>
      </c>
      <c r="C10499">
        <v>15229</v>
      </c>
      <c r="D10499" t="str">
        <f>"0892-7014"</f>
        <v>0892-7014</v>
      </c>
      <c r="E10499" t="s">
        <v>8</v>
      </c>
      <c r="F10499" t="s">
        <v>10506</v>
      </c>
      <c r="G10499">
        <v>2</v>
      </c>
    </row>
    <row r="10500" spans="1:7" x14ac:dyDescent="0.25">
      <c r="A10500">
        <v>33</v>
      </c>
      <c r="B10500" t="s">
        <v>10498</v>
      </c>
      <c r="C10500">
        <v>4530</v>
      </c>
      <c r="D10500" t="str">
        <f>"0960-8524"</f>
        <v>0960-8524</v>
      </c>
      <c r="E10500" t="s">
        <v>8</v>
      </c>
      <c r="F10500" t="s">
        <v>10507</v>
      </c>
      <c r="G10500">
        <v>2</v>
      </c>
    </row>
    <row r="10501" spans="1:7" x14ac:dyDescent="0.25">
      <c r="A10501">
        <v>33</v>
      </c>
      <c r="B10501" t="s">
        <v>10498</v>
      </c>
      <c r="C10501">
        <v>16143</v>
      </c>
      <c r="D10501" t="str">
        <f>"0706-652X"</f>
        <v>0706-652X</v>
      </c>
      <c r="E10501" t="s">
        <v>8</v>
      </c>
      <c r="F10501" t="s">
        <v>10508</v>
      </c>
      <c r="G10501">
        <v>2</v>
      </c>
    </row>
    <row r="10502" spans="1:7" x14ac:dyDescent="0.25">
      <c r="A10502">
        <v>33</v>
      </c>
      <c r="B10502" t="s">
        <v>10498</v>
      </c>
      <c r="C10502">
        <v>653</v>
      </c>
      <c r="D10502" t="str">
        <f>"0045-6535"</f>
        <v>0045-6535</v>
      </c>
      <c r="E10502" t="s">
        <v>8</v>
      </c>
      <c r="F10502" t="s">
        <v>10509</v>
      </c>
      <c r="G10502">
        <v>2</v>
      </c>
    </row>
    <row r="10503" spans="1:7" x14ac:dyDescent="0.25">
      <c r="A10503">
        <v>33</v>
      </c>
      <c r="B10503" t="s">
        <v>10498</v>
      </c>
      <c r="C10503">
        <v>14516</v>
      </c>
      <c r="D10503" t="str">
        <f>"0307-6946"</f>
        <v>0307-6946</v>
      </c>
      <c r="E10503" t="s">
        <v>8</v>
      </c>
      <c r="F10503" t="s">
        <v>10510</v>
      </c>
      <c r="G10503">
        <v>2</v>
      </c>
    </row>
    <row r="10504" spans="1:7" x14ac:dyDescent="0.25">
      <c r="A10504">
        <v>33</v>
      </c>
      <c r="B10504" t="s">
        <v>10498</v>
      </c>
      <c r="C10504">
        <v>359</v>
      </c>
      <c r="D10504" t="str">
        <f>"1470-160X"</f>
        <v>1470-160X</v>
      </c>
      <c r="E10504" t="s">
        <v>8</v>
      </c>
      <c r="F10504" t="s">
        <v>10511</v>
      </c>
      <c r="G10504">
        <v>2</v>
      </c>
    </row>
    <row r="10505" spans="1:7" x14ac:dyDescent="0.25">
      <c r="A10505">
        <v>33</v>
      </c>
      <c r="B10505" t="s">
        <v>10498</v>
      </c>
      <c r="C10505">
        <v>16783</v>
      </c>
      <c r="D10505" t="str">
        <f>"0304-3800"</f>
        <v>0304-3800</v>
      </c>
      <c r="E10505" t="s">
        <v>8</v>
      </c>
      <c r="F10505" t="s">
        <v>10512</v>
      </c>
      <c r="G10505">
        <v>2</v>
      </c>
    </row>
    <row r="10506" spans="1:7" x14ac:dyDescent="0.25">
      <c r="A10506">
        <v>33</v>
      </c>
      <c r="B10506" t="s">
        <v>10498</v>
      </c>
      <c r="C10506">
        <v>3435</v>
      </c>
      <c r="D10506" t="str">
        <f>"0147-6513"</f>
        <v>0147-6513</v>
      </c>
      <c r="E10506" t="s">
        <v>8</v>
      </c>
      <c r="F10506" t="s">
        <v>10513</v>
      </c>
      <c r="G10506">
        <v>2</v>
      </c>
    </row>
    <row r="10507" spans="1:7" x14ac:dyDescent="0.25">
      <c r="A10507">
        <v>33</v>
      </c>
      <c r="B10507" t="s">
        <v>10498</v>
      </c>
      <c r="C10507">
        <v>11346</v>
      </c>
      <c r="D10507" t="str">
        <f>"0160-4120"</f>
        <v>0160-4120</v>
      </c>
      <c r="E10507" t="s">
        <v>8</v>
      </c>
      <c r="F10507" t="s">
        <v>10514</v>
      </c>
      <c r="G10507">
        <v>2</v>
      </c>
    </row>
    <row r="10508" spans="1:7" x14ac:dyDescent="0.25">
      <c r="A10508">
        <v>33</v>
      </c>
      <c r="B10508" t="s">
        <v>10498</v>
      </c>
      <c r="C10508">
        <v>8452</v>
      </c>
      <c r="D10508" t="str">
        <f>"0195-9255"</f>
        <v>0195-9255</v>
      </c>
      <c r="E10508" t="s">
        <v>8</v>
      </c>
      <c r="F10508" t="s">
        <v>10515</v>
      </c>
      <c r="G10508">
        <v>2</v>
      </c>
    </row>
    <row r="10509" spans="1:7" x14ac:dyDescent="0.25">
      <c r="A10509">
        <v>33</v>
      </c>
      <c r="B10509" t="s">
        <v>10498</v>
      </c>
      <c r="C10509">
        <v>12829</v>
      </c>
      <c r="D10509" t="str">
        <f>"1462-2912"</f>
        <v>1462-2912</v>
      </c>
      <c r="E10509" t="s">
        <v>8</v>
      </c>
      <c r="F10509" t="s">
        <v>10516</v>
      </c>
      <c r="G10509">
        <v>2</v>
      </c>
    </row>
    <row r="10510" spans="1:7" x14ac:dyDescent="0.25">
      <c r="A10510">
        <v>33</v>
      </c>
      <c r="B10510" t="s">
        <v>10498</v>
      </c>
      <c r="C10510">
        <v>3595</v>
      </c>
      <c r="D10510" t="str">
        <f>"0269-7491"</f>
        <v>0269-7491</v>
      </c>
      <c r="E10510" t="s">
        <v>8</v>
      </c>
      <c r="F10510" t="s">
        <v>10517</v>
      </c>
      <c r="G10510">
        <v>2</v>
      </c>
    </row>
    <row r="10511" spans="1:7" x14ac:dyDescent="0.25">
      <c r="A10511">
        <v>33</v>
      </c>
      <c r="B10511" t="s">
        <v>10498</v>
      </c>
      <c r="C10511">
        <v>3716</v>
      </c>
      <c r="D10511" t="str">
        <f>"1462-9011"</f>
        <v>1462-9011</v>
      </c>
      <c r="E10511" t="s">
        <v>8</v>
      </c>
      <c r="F10511" t="s">
        <v>10518</v>
      </c>
      <c r="G10511">
        <v>2</v>
      </c>
    </row>
    <row r="10512" spans="1:7" x14ac:dyDescent="0.25">
      <c r="A10512">
        <v>33</v>
      </c>
      <c r="B10512" t="s">
        <v>10498</v>
      </c>
      <c r="C10512">
        <v>2702</v>
      </c>
      <c r="D10512" t="str">
        <f>"0730-7268"</f>
        <v>0730-7268</v>
      </c>
      <c r="E10512" t="s">
        <v>8</v>
      </c>
      <c r="F10512" t="s">
        <v>10519</v>
      </c>
      <c r="G10512">
        <v>2</v>
      </c>
    </row>
    <row r="10513" spans="1:7" x14ac:dyDescent="0.25">
      <c r="A10513">
        <v>33</v>
      </c>
      <c r="B10513" t="s">
        <v>10498</v>
      </c>
      <c r="C10513">
        <v>12154</v>
      </c>
      <c r="D10513" t="str">
        <f>"1161-0301"</f>
        <v>1161-0301</v>
      </c>
      <c r="E10513" t="s">
        <v>8</v>
      </c>
      <c r="F10513" t="s">
        <v>10520</v>
      </c>
      <c r="G10513">
        <v>2</v>
      </c>
    </row>
    <row r="10514" spans="1:7" x14ac:dyDescent="0.25">
      <c r="A10514">
        <v>33</v>
      </c>
      <c r="B10514" t="s">
        <v>10498</v>
      </c>
      <c r="C10514">
        <v>4268</v>
      </c>
      <c r="D10514" t="str">
        <f>"1351-0754"</f>
        <v>1351-0754</v>
      </c>
      <c r="E10514" t="s">
        <v>8</v>
      </c>
      <c r="F10514" t="s">
        <v>10521</v>
      </c>
      <c r="G10514">
        <v>2</v>
      </c>
    </row>
    <row r="10515" spans="1:7" x14ac:dyDescent="0.25">
      <c r="A10515">
        <v>33</v>
      </c>
      <c r="B10515" t="s">
        <v>10498</v>
      </c>
      <c r="C10515">
        <v>12934</v>
      </c>
      <c r="D10515" t="str">
        <f>"1467-2960"</f>
        <v>1467-2960</v>
      </c>
      <c r="E10515" t="s">
        <v>8</v>
      </c>
      <c r="F10515" t="s">
        <v>10522</v>
      </c>
      <c r="G10515">
        <v>2</v>
      </c>
    </row>
    <row r="10516" spans="1:7" x14ac:dyDescent="0.25">
      <c r="A10516">
        <v>33</v>
      </c>
      <c r="B10516" t="s">
        <v>10498</v>
      </c>
      <c r="C10516">
        <v>3203</v>
      </c>
      <c r="D10516" t="str">
        <f>"1054-6006"</f>
        <v>1054-6006</v>
      </c>
      <c r="E10516" t="s">
        <v>8</v>
      </c>
      <c r="F10516" t="s">
        <v>10523</v>
      </c>
      <c r="G10516">
        <v>2</v>
      </c>
    </row>
    <row r="10517" spans="1:7" x14ac:dyDescent="0.25">
      <c r="A10517">
        <v>33</v>
      </c>
      <c r="B10517" t="s">
        <v>10498</v>
      </c>
      <c r="C10517">
        <v>15018</v>
      </c>
      <c r="D10517" t="str">
        <f>"0378-1127"</f>
        <v>0378-1127</v>
      </c>
      <c r="E10517" t="s">
        <v>8</v>
      </c>
      <c r="F10517" t="s">
        <v>10524</v>
      </c>
      <c r="G10517">
        <v>2</v>
      </c>
    </row>
    <row r="10518" spans="1:7" x14ac:dyDescent="0.25">
      <c r="A10518">
        <v>33</v>
      </c>
      <c r="B10518" t="s">
        <v>10498</v>
      </c>
      <c r="C10518">
        <v>5640</v>
      </c>
      <c r="D10518" t="str">
        <f>"0016-7061"</f>
        <v>0016-7061</v>
      </c>
      <c r="E10518" t="s">
        <v>8</v>
      </c>
      <c r="F10518" t="s">
        <v>10525</v>
      </c>
      <c r="G10518">
        <v>2</v>
      </c>
    </row>
    <row r="10519" spans="1:7" x14ac:dyDescent="0.25">
      <c r="A10519">
        <v>33</v>
      </c>
      <c r="B10519" t="s">
        <v>10498</v>
      </c>
      <c r="C10519">
        <v>2046</v>
      </c>
      <c r="D10519" t="str">
        <f>"1568-9883"</f>
        <v>1568-9883</v>
      </c>
      <c r="E10519" t="s">
        <v>8</v>
      </c>
      <c r="F10519" t="s">
        <v>10526</v>
      </c>
      <c r="G10519">
        <v>2</v>
      </c>
    </row>
    <row r="10520" spans="1:7" x14ac:dyDescent="0.25">
      <c r="A10520">
        <v>33</v>
      </c>
      <c r="B10520" t="s">
        <v>10498</v>
      </c>
      <c r="C10520">
        <v>13104</v>
      </c>
      <c r="D10520" t="str">
        <f>"0022-0302"</f>
        <v>0022-0302</v>
      </c>
      <c r="E10520" t="s">
        <v>8</v>
      </c>
      <c r="F10520" t="s">
        <v>10527</v>
      </c>
      <c r="G10520">
        <v>2</v>
      </c>
    </row>
    <row r="10521" spans="1:7" x14ac:dyDescent="0.25">
      <c r="A10521">
        <v>33</v>
      </c>
      <c r="B10521" t="s">
        <v>10498</v>
      </c>
      <c r="C10521">
        <v>14205</v>
      </c>
      <c r="D10521" t="str">
        <f>"0301-4797"</f>
        <v>0301-4797</v>
      </c>
      <c r="E10521" t="s">
        <v>8</v>
      </c>
      <c r="F10521" t="s">
        <v>10528</v>
      </c>
      <c r="G10521">
        <v>2</v>
      </c>
    </row>
    <row r="10522" spans="1:7" x14ac:dyDescent="0.25">
      <c r="A10522">
        <v>33</v>
      </c>
      <c r="B10522" t="s">
        <v>10498</v>
      </c>
      <c r="C10522">
        <v>15</v>
      </c>
      <c r="D10522" t="str">
        <f>"0047-2425"</f>
        <v>0047-2425</v>
      </c>
      <c r="E10522" t="s">
        <v>8</v>
      </c>
      <c r="F10522" t="s">
        <v>10529</v>
      </c>
      <c r="G10522">
        <v>2</v>
      </c>
    </row>
    <row r="10523" spans="1:7" x14ac:dyDescent="0.25">
      <c r="A10523">
        <v>33</v>
      </c>
      <c r="B10523" t="s">
        <v>10498</v>
      </c>
      <c r="C10523">
        <v>12484</v>
      </c>
      <c r="D10523" t="str">
        <f>"0721-7595"</f>
        <v>0721-7595</v>
      </c>
      <c r="E10523" t="s">
        <v>8</v>
      </c>
      <c r="F10523" t="s">
        <v>10530</v>
      </c>
      <c r="G10523">
        <v>2</v>
      </c>
    </row>
    <row r="10524" spans="1:7" x14ac:dyDescent="0.25">
      <c r="A10524">
        <v>33</v>
      </c>
      <c r="B10524" t="s">
        <v>10498</v>
      </c>
      <c r="C10524">
        <v>1523</v>
      </c>
      <c r="D10524" t="str">
        <f>"0264-8377"</f>
        <v>0264-8377</v>
      </c>
      <c r="E10524" t="s">
        <v>8</v>
      </c>
      <c r="F10524" t="s">
        <v>10531</v>
      </c>
      <c r="G10524">
        <v>2</v>
      </c>
    </row>
    <row r="10525" spans="1:7" x14ac:dyDescent="0.25">
      <c r="A10525">
        <v>33</v>
      </c>
      <c r="B10525" t="s">
        <v>10498</v>
      </c>
      <c r="C10525">
        <v>4536</v>
      </c>
      <c r="D10525" t="str">
        <f>"0171-8630"</f>
        <v>0171-8630</v>
      </c>
      <c r="E10525" t="s">
        <v>8</v>
      </c>
      <c r="F10525" t="s">
        <v>10532</v>
      </c>
      <c r="G10525">
        <v>2</v>
      </c>
    </row>
    <row r="10526" spans="1:7" x14ac:dyDescent="0.25">
      <c r="A10526">
        <v>33</v>
      </c>
      <c r="B10526" t="s">
        <v>10498</v>
      </c>
      <c r="C10526">
        <v>15804</v>
      </c>
      <c r="D10526" t="str">
        <f>"0308-597X"</f>
        <v>0308-597X</v>
      </c>
      <c r="E10526" t="s">
        <v>8</v>
      </c>
      <c r="F10526" t="s">
        <v>10533</v>
      </c>
      <c r="G10526">
        <v>2</v>
      </c>
    </row>
    <row r="10527" spans="1:7" x14ac:dyDescent="0.25">
      <c r="A10527">
        <v>33</v>
      </c>
      <c r="B10527" t="s">
        <v>10498</v>
      </c>
      <c r="C10527">
        <v>13660</v>
      </c>
      <c r="D10527" t="str">
        <f>"0025-326X"</f>
        <v>0025-326X</v>
      </c>
      <c r="E10527" t="s">
        <v>8</v>
      </c>
      <c r="F10527" t="s">
        <v>10534</v>
      </c>
      <c r="G10527">
        <v>2</v>
      </c>
    </row>
    <row r="10528" spans="1:7" x14ac:dyDescent="0.25">
      <c r="A10528">
        <v>33</v>
      </c>
      <c r="B10528" t="s">
        <v>10498</v>
      </c>
      <c r="C10528">
        <v>6266</v>
      </c>
      <c r="D10528" t="str">
        <f>"0078-3218"</f>
        <v>0078-3218</v>
      </c>
      <c r="E10528" t="s">
        <v>15</v>
      </c>
      <c r="F10528" t="s">
        <v>10535</v>
      </c>
      <c r="G10528">
        <v>2</v>
      </c>
    </row>
    <row r="10529" spans="1:7" x14ac:dyDescent="0.25">
      <c r="A10529">
        <v>33</v>
      </c>
      <c r="B10529" t="s">
        <v>10498</v>
      </c>
      <c r="C10529">
        <v>12505</v>
      </c>
      <c r="D10529" t="str">
        <f>"1526-498X"</f>
        <v>1526-498X</v>
      </c>
      <c r="E10529" t="s">
        <v>8</v>
      </c>
      <c r="F10529" t="s">
        <v>10536</v>
      </c>
      <c r="G10529">
        <v>2</v>
      </c>
    </row>
    <row r="10530" spans="1:7" x14ac:dyDescent="0.25">
      <c r="A10530">
        <v>33</v>
      </c>
      <c r="B10530" t="s">
        <v>10498</v>
      </c>
      <c r="C10530">
        <v>2452</v>
      </c>
      <c r="D10530" t="str">
        <f>"0032-079X"</f>
        <v>0032-079X</v>
      </c>
      <c r="E10530" t="s">
        <v>8</v>
      </c>
      <c r="F10530" t="s">
        <v>10537</v>
      </c>
      <c r="G10530">
        <v>2</v>
      </c>
    </row>
    <row r="10531" spans="1:7" x14ac:dyDescent="0.25">
      <c r="A10531">
        <v>33</v>
      </c>
      <c r="B10531" t="s">
        <v>10498</v>
      </c>
      <c r="C10531">
        <v>15602</v>
      </c>
      <c r="D10531" t="str">
        <f>"0032-0862"</f>
        <v>0032-0862</v>
      </c>
      <c r="E10531" t="s">
        <v>8</v>
      </c>
      <c r="F10531" t="s">
        <v>10538</v>
      </c>
      <c r="G10531">
        <v>2</v>
      </c>
    </row>
    <row r="10532" spans="1:7" x14ac:dyDescent="0.25">
      <c r="A10532">
        <v>33</v>
      </c>
      <c r="B10532" t="s">
        <v>10498</v>
      </c>
      <c r="C10532">
        <v>6154</v>
      </c>
      <c r="D10532" t="str">
        <f>"0079-6611"</f>
        <v>0079-6611</v>
      </c>
      <c r="E10532" t="s">
        <v>8</v>
      </c>
      <c r="F10532" t="s">
        <v>10539</v>
      </c>
      <c r="G10532">
        <v>2</v>
      </c>
    </row>
    <row r="10533" spans="1:7" x14ac:dyDescent="0.25">
      <c r="A10533">
        <v>33</v>
      </c>
      <c r="B10533" t="s">
        <v>10498</v>
      </c>
      <c r="C10533">
        <v>5215</v>
      </c>
      <c r="D10533" t="str">
        <f>"0048-9697"</f>
        <v>0048-9697</v>
      </c>
      <c r="E10533" t="s">
        <v>8</v>
      </c>
      <c r="F10533" t="s">
        <v>10540</v>
      </c>
      <c r="G10533">
        <v>2</v>
      </c>
    </row>
    <row r="10534" spans="1:7" x14ac:dyDescent="0.25">
      <c r="A10534">
        <v>33</v>
      </c>
      <c r="B10534" t="s">
        <v>10498</v>
      </c>
      <c r="C10534">
        <v>1522</v>
      </c>
      <c r="D10534" t="str">
        <f>"0038-0717"</f>
        <v>0038-0717</v>
      </c>
      <c r="E10534" t="s">
        <v>8</v>
      </c>
      <c r="F10534" t="s">
        <v>10541</v>
      </c>
      <c r="G10534">
        <v>2</v>
      </c>
    </row>
    <row r="10535" spans="1:7" x14ac:dyDescent="0.25">
      <c r="A10535">
        <v>33</v>
      </c>
      <c r="B10535" t="s">
        <v>10498</v>
      </c>
      <c r="C10535">
        <v>12488</v>
      </c>
      <c r="D10535" t="str">
        <f>"0361-5995"</f>
        <v>0361-5995</v>
      </c>
      <c r="E10535" t="s">
        <v>8</v>
      </c>
      <c r="F10535" t="s">
        <v>10542</v>
      </c>
      <c r="G10535">
        <v>2</v>
      </c>
    </row>
    <row r="10536" spans="1:7" x14ac:dyDescent="0.25">
      <c r="A10536">
        <v>33</v>
      </c>
      <c r="B10536" t="s">
        <v>10498</v>
      </c>
      <c r="C10536">
        <v>15049</v>
      </c>
      <c r="D10536" t="str">
        <f>"0956-053X"</f>
        <v>0956-053X</v>
      </c>
      <c r="E10536" t="s">
        <v>8</v>
      </c>
      <c r="F10536" t="s">
        <v>10543</v>
      </c>
      <c r="G10536">
        <v>2</v>
      </c>
    </row>
    <row r="10537" spans="1:7" x14ac:dyDescent="0.25">
      <c r="A10537">
        <v>33</v>
      </c>
      <c r="B10537" t="s">
        <v>10498</v>
      </c>
      <c r="C10537">
        <v>4390</v>
      </c>
      <c r="D10537" t="str">
        <f>"0043-1397"</f>
        <v>0043-1397</v>
      </c>
      <c r="E10537" t="s">
        <v>8</v>
      </c>
      <c r="F10537" t="s">
        <v>10544</v>
      </c>
      <c r="G10537">
        <v>2</v>
      </c>
    </row>
    <row r="10538" spans="1:7" x14ac:dyDescent="0.25">
      <c r="A10538">
        <v>33</v>
      </c>
      <c r="B10538" t="s">
        <v>10498</v>
      </c>
      <c r="C10538">
        <v>7733267</v>
      </c>
      <c r="E10538" t="s">
        <v>8</v>
      </c>
      <c r="F10538" t="s">
        <v>10545</v>
      </c>
      <c r="G10538">
        <v>1</v>
      </c>
    </row>
    <row r="10539" spans="1:7" x14ac:dyDescent="0.25">
      <c r="A10539">
        <v>33</v>
      </c>
      <c r="B10539" t="s">
        <v>10498</v>
      </c>
      <c r="C10539">
        <v>596</v>
      </c>
      <c r="D10539" t="str">
        <f>"0906-4702"</f>
        <v>0906-4702</v>
      </c>
      <c r="E10539" t="s">
        <v>8</v>
      </c>
      <c r="F10539" t="s">
        <v>10546</v>
      </c>
      <c r="G10539">
        <v>1</v>
      </c>
    </row>
    <row r="10540" spans="1:7" x14ac:dyDescent="0.25">
      <c r="A10540">
        <v>33</v>
      </c>
      <c r="B10540" t="s">
        <v>10498</v>
      </c>
      <c r="C10540">
        <v>1260</v>
      </c>
      <c r="D10540" t="str">
        <f>"0906-4710"</f>
        <v>0906-4710</v>
      </c>
      <c r="E10540" t="s">
        <v>8</v>
      </c>
      <c r="F10540" t="s">
        <v>10547</v>
      </c>
      <c r="G10540">
        <v>1</v>
      </c>
    </row>
    <row r="10541" spans="1:7" x14ac:dyDescent="0.25">
      <c r="A10541">
        <v>33</v>
      </c>
      <c r="B10541" t="s">
        <v>10498</v>
      </c>
      <c r="C10541">
        <v>4113</v>
      </c>
      <c r="D10541" t="str">
        <f>"0567-7572"</f>
        <v>0567-7572</v>
      </c>
      <c r="E10541" t="s">
        <v>8</v>
      </c>
      <c r="F10541" t="s">
        <v>10548</v>
      </c>
      <c r="G10541">
        <v>1</v>
      </c>
    </row>
    <row r="10542" spans="1:7" x14ac:dyDescent="0.25">
      <c r="A10542">
        <v>33</v>
      </c>
      <c r="B10542" t="s">
        <v>10498</v>
      </c>
      <c r="C10542">
        <v>27609</v>
      </c>
      <c r="D10542" t="str">
        <f>"0137-1592"</f>
        <v>0137-1592</v>
      </c>
      <c r="E10542" t="s">
        <v>8</v>
      </c>
      <c r="F10542" t="s">
        <v>10549</v>
      </c>
      <c r="G10542">
        <v>1</v>
      </c>
    </row>
    <row r="10543" spans="1:7" x14ac:dyDescent="0.25">
      <c r="A10543">
        <v>33</v>
      </c>
      <c r="B10543" t="s">
        <v>10498</v>
      </c>
      <c r="C10543">
        <v>7136</v>
      </c>
      <c r="D10543" t="str">
        <f>"1230-2821"</f>
        <v>1230-2821</v>
      </c>
      <c r="E10543" t="s">
        <v>8</v>
      </c>
      <c r="F10543" t="s">
        <v>10550</v>
      </c>
      <c r="G10543">
        <v>1</v>
      </c>
    </row>
    <row r="10544" spans="1:7" x14ac:dyDescent="0.25">
      <c r="A10544">
        <v>33</v>
      </c>
      <c r="B10544" t="s">
        <v>10498</v>
      </c>
      <c r="C10544">
        <v>16999</v>
      </c>
      <c r="D10544" t="str">
        <f>"0238-1249"</f>
        <v>0238-1249</v>
      </c>
      <c r="E10544" t="s">
        <v>8</v>
      </c>
      <c r="F10544" t="s">
        <v>10551</v>
      </c>
      <c r="G10544">
        <v>1</v>
      </c>
    </row>
    <row r="10545" spans="1:7" x14ac:dyDescent="0.25">
      <c r="A10545">
        <v>33</v>
      </c>
      <c r="B10545" t="s">
        <v>10498</v>
      </c>
      <c r="C10545">
        <v>13315</v>
      </c>
      <c r="D10545" t="str">
        <f>"0065-2113"</f>
        <v>0065-2113</v>
      </c>
      <c r="E10545" t="s">
        <v>15</v>
      </c>
      <c r="F10545" t="s">
        <v>10552</v>
      </c>
      <c r="G10545">
        <v>1</v>
      </c>
    </row>
    <row r="10546" spans="1:7" x14ac:dyDescent="0.25">
      <c r="A10546">
        <v>33</v>
      </c>
      <c r="B10546" t="s">
        <v>10498</v>
      </c>
      <c r="C10546">
        <v>1017</v>
      </c>
      <c r="D10546" t="str">
        <f>"0001-8686"</f>
        <v>0001-8686</v>
      </c>
      <c r="E10546" t="s">
        <v>8</v>
      </c>
      <c r="F10546" t="s">
        <v>10553</v>
      </c>
      <c r="G10546">
        <v>1</v>
      </c>
    </row>
    <row r="10547" spans="1:7" x14ac:dyDescent="0.25">
      <c r="A10547">
        <v>33</v>
      </c>
      <c r="B10547" t="s">
        <v>10498</v>
      </c>
      <c r="C10547">
        <v>7275</v>
      </c>
      <c r="D10547" t="str">
        <f>"1684-5358"</f>
        <v>1684-5358</v>
      </c>
      <c r="E10547" t="s">
        <v>8</v>
      </c>
      <c r="F10547" t="s">
        <v>10554</v>
      </c>
      <c r="G10547">
        <v>1</v>
      </c>
    </row>
    <row r="10548" spans="1:7" x14ac:dyDescent="0.25">
      <c r="A10548">
        <v>33</v>
      </c>
      <c r="B10548" t="s">
        <v>10498</v>
      </c>
      <c r="C10548">
        <v>4222</v>
      </c>
      <c r="D10548" t="str">
        <f>"1022-0119"</f>
        <v>1022-0119</v>
      </c>
      <c r="E10548" t="s">
        <v>8</v>
      </c>
      <c r="F10548" t="s">
        <v>10555</v>
      </c>
      <c r="G10548">
        <v>1</v>
      </c>
    </row>
    <row r="10549" spans="1:7" x14ac:dyDescent="0.25">
      <c r="A10549">
        <v>33</v>
      </c>
      <c r="B10549" t="s">
        <v>10498</v>
      </c>
      <c r="C10549">
        <v>15863</v>
      </c>
      <c r="E10549" t="s">
        <v>8</v>
      </c>
      <c r="F10549" t="s">
        <v>10556</v>
      </c>
      <c r="G10549">
        <v>1</v>
      </c>
    </row>
    <row r="10550" spans="1:7" x14ac:dyDescent="0.25">
      <c r="A10550">
        <v>33</v>
      </c>
      <c r="B10550" t="s">
        <v>10498</v>
      </c>
      <c r="C10550">
        <v>11873</v>
      </c>
      <c r="D10550" t="str">
        <f>"0742-4477"</f>
        <v>0742-4477</v>
      </c>
      <c r="E10550" t="s">
        <v>8</v>
      </c>
      <c r="F10550" t="s">
        <v>10557</v>
      </c>
      <c r="G10550">
        <v>1</v>
      </c>
    </row>
    <row r="10551" spans="1:7" x14ac:dyDescent="0.25">
      <c r="A10551">
        <v>33</v>
      </c>
      <c r="B10551" t="s">
        <v>10498</v>
      </c>
      <c r="C10551">
        <v>9831</v>
      </c>
      <c r="D10551" t="str">
        <f>"1459-6067"</f>
        <v>1459-6067</v>
      </c>
      <c r="E10551" t="s">
        <v>8</v>
      </c>
      <c r="F10551" t="s">
        <v>10558</v>
      </c>
      <c r="G10551">
        <v>1</v>
      </c>
    </row>
    <row r="10552" spans="1:7" x14ac:dyDescent="0.25">
      <c r="A10552">
        <v>33</v>
      </c>
      <c r="B10552" t="s">
        <v>10498</v>
      </c>
      <c r="C10552">
        <v>16606</v>
      </c>
      <c r="D10552" t="str">
        <f>"1461-9555"</f>
        <v>1461-9555</v>
      </c>
      <c r="E10552" t="s">
        <v>8</v>
      </c>
      <c r="F10552" t="s">
        <v>10559</v>
      </c>
      <c r="G10552">
        <v>1</v>
      </c>
    </row>
    <row r="10553" spans="1:7" x14ac:dyDescent="0.25">
      <c r="A10553">
        <v>33</v>
      </c>
      <c r="B10553" t="s">
        <v>10498</v>
      </c>
      <c r="C10553">
        <v>10709</v>
      </c>
      <c r="D10553" t="str">
        <f>"1068-2805"</f>
        <v>1068-2805</v>
      </c>
      <c r="E10553" t="s">
        <v>8</v>
      </c>
      <c r="F10553" t="s">
        <v>10560</v>
      </c>
      <c r="G10553">
        <v>1</v>
      </c>
    </row>
    <row r="10554" spans="1:7" x14ac:dyDescent="0.25">
      <c r="A10554">
        <v>33</v>
      </c>
      <c r="B10554" t="s">
        <v>10498</v>
      </c>
      <c r="C10554">
        <v>15558</v>
      </c>
      <c r="D10554" t="str">
        <f>"0378-3774"</f>
        <v>0378-3774</v>
      </c>
      <c r="E10554" t="s">
        <v>8</v>
      </c>
      <c r="F10554" t="s">
        <v>10561</v>
      </c>
      <c r="G10554">
        <v>1</v>
      </c>
    </row>
    <row r="10555" spans="1:7" x14ac:dyDescent="0.25">
      <c r="A10555">
        <v>33</v>
      </c>
      <c r="B10555" t="s">
        <v>10498</v>
      </c>
      <c r="C10555">
        <v>7714428</v>
      </c>
      <c r="E10555" t="s">
        <v>8</v>
      </c>
      <c r="F10555" t="s">
        <v>10562</v>
      </c>
      <c r="G10555">
        <v>1</v>
      </c>
    </row>
    <row r="10556" spans="1:7" x14ac:dyDescent="0.25">
      <c r="A10556">
        <v>33</v>
      </c>
      <c r="B10556" t="s">
        <v>10498</v>
      </c>
      <c r="C10556">
        <v>7005</v>
      </c>
      <c r="D10556" t="str">
        <f>"0889-048X"</f>
        <v>0889-048X</v>
      </c>
      <c r="E10556" t="s">
        <v>8</v>
      </c>
      <c r="F10556" t="s">
        <v>10563</v>
      </c>
      <c r="G10556">
        <v>1</v>
      </c>
    </row>
    <row r="10557" spans="1:7" x14ac:dyDescent="0.25">
      <c r="A10557">
        <v>33</v>
      </c>
      <c r="B10557" t="s">
        <v>10498</v>
      </c>
      <c r="C10557">
        <v>3191</v>
      </c>
      <c r="D10557" t="str">
        <f>"0002-1857"</f>
        <v>0002-1857</v>
      </c>
      <c r="E10557" t="s">
        <v>8</v>
      </c>
      <c r="F10557" t="s">
        <v>10564</v>
      </c>
      <c r="G10557">
        <v>1</v>
      </c>
    </row>
    <row r="10558" spans="1:7" x14ac:dyDescent="0.25">
      <c r="A10558">
        <v>33</v>
      </c>
      <c r="B10558" t="s">
        <v>10498</v>
      </c>
      <c r="C10558">
        <v>12372</v>
      </c>
      <c r="D10558" t="str">
        <f>"1405-3195"</f>
        <v>1405-3195</v>
      </c>
      <c r="E10558" t="s">
        <v>8</v>
      </c>
      <c r="F10558" t="s">
        <v>10565</v>
      </c>
      <c r="G10558">
        <v>1</v>
      </c>
    </row>
    <row r="10559" spans="1:7" x14ac:dyDescent="0.25">
      <c r="A10559">
        <v>33</v>
      </c>
      <c r="B10559" t="s">
        <v>10498</v>
      </c>
      <c r="C10559">
        <v>1265</v>
      </c>
      <c r="D10559" t="str">
        <f>"2168-3565"</f>
        <v>2168-3565</v>
      </c>
      <c r="E10559" t="s">
        <v>8</v>
      </c>
      <c r="F10559" t="s">
        <v>10566</v>
      </c>
      <c r="G10559">
        <v>1</v>
      </c>
    </row>
    <row r="10560" spans="1:7" x14ac:dyDescent="0.25">
      <c r="A10560">
        <v>33</v>
      </c>
      <c r="B10560" t="s">
        <v>10498</v>
      </c>
      <c r="C10560">
        <v>4148</v>
      </c>
      <c r="D10560" t="str">
        <f>"0167-4366"</f>
        <v>0167-4366</v>
      </c>
      <c r="E10560" t="s">
        <v>8</v>
      </c>
      <c r="F10560" t="s">
        <v>10567</v>
      </c>
      <c r="G10560">
        <v>1</v>
      </c>
    </row>
    <row r="10561" spans="1:7" x14ac:dyDescent="0.25">
      <c r="A10561">
        <v>33</v>
      </c>
      <c r="B10561" t="s">
        <v>10498</v>
      </c>
      <c r="C10561">
        <v>17649</v>
      </c>
      <c r="D10561" t="str">
        <f>"1774-0746"</f>
        <v>1774-0746</v>
      </c>
      <c r="E10561" t="s">
        <v>8</v>
      </c>
      <c r="F10561" t="s">
        <v>10568</v>
      </c>
      <c r="G10561">
        <v>1</v>
      </c>
    </row>
    <row r="10562" spans="1:7" x14ac:dyDescent="0.25">
      <c r="A10562">
        <v>33</v>
      </c>
      <c r="B10562" t="s">
        <v>10498</v>
      </c>
      <c r="C10562">
        <v>9989</v>
      </c>
      <c r="D10562" t="str">
        <f>"0002-1962"</f>
        <v>0002-1962</v>
      </c>
      <c r="E10562" t="s">
        <v>8</v>
      </c>
      <c r="F10562" t="s">
        <v>10569</v>
      </c>
      <c r="G10562">
        <v>1</v>
      </c>
    </row>
    <row r="10563" spans="1:7" x14ac:dyDescent="0.25">
      <c r="A10563">
        <v>33</v>
      </c>
      <c r="B10563" t="s">
        <v>10498</v>
      </c>
      <c r="C10563">
        <v>12613</v>
      </c>
      <c r="D10563" t="str">
        <f>"1406-894X"</f>
        <v>1406-894X</v>
      </c>
      <c r="E10563" t="s">
        <v>15</v>
      </c>
      <c r="F10563" t="s">
        <v>10570</v>
      </c>
      <c r="G10563">
        <v>1</v>
      </c>
    </row>
    <row r="10564" spans="1:7" x14ac:dyDescent="0.25">
      <c r="A10564">
        <v>33</v>
      </c>
      <c r="B10564" t="s">
        <v>10498</v>
      </c>
      <c r="C10564">
        <v>7732230</v>
      </c>
      <c r="D10564" t="str">
        <f>"2211-9264"</f>
        <v>2211-9264</v>
      </c>
      <c r="E10564" t="s">
        <v>8</v>
      </c>
      <c r="F10564" t="s">
        <v>10571</v>
      </c>
      <c r="G10564">
        <v>1</v>
      </c>
    </row>
    <row r="10565" spans="1:7" x14ac:dyDescent="0.25">
      <c r="A10565">
        <v>33</v>
      </c>
      <c r="B10565" t="s">
        <v>10498</v>
      </c>
      <c r="C10565">
        <v>3676</v>
      </c>
      <c r="D10565" t="str">
        <f>"0971-4693"</f>
        <v>0971-4693</v>
      </c>
      <c r="E10565" t="s">
        <v>8</v>
      </c>
      <c r="F10565" t="s">
        <v>10572</v>
      </c>
      <c r="G10565">
        <v>1</v>
      </c>
    </row>
    <row r="10566" spans="1:7" x14ac:dyDescent="0.25">
      <c r="A10566">
        <v>33</v>
      </c>
      <c r="B10566" t="s">
        <v>10498</v>
      </c>
      <c r="C10566">
        <v>6056</v>
      </c>
      <c r="D10566" t="str">
        <f>"0002-5852"</f>
        <v>0002-5852</v>
      </c>
      <c r="E10566" t="s">
        <v>8</v>
      </c>
      <c r="F10566" t="s">
        <v>10573</v>
      </c>
      <c r="G10566">
        <v>1</v>
      </c>
    </row>
    <row r="10567" spans="1:7" x14ac:dyDescent="0.25">
      <c r="A10567">
        <v>33</v>
      </c>
      <c r="B10567" t="s">
        <v>10498</v>
      </c>
      <c r="C10567">
        <v>15310</v>
      </c>
      <c r="D10567" t="str">
        <f>"0044-7447"</f>
        <v>0044-7447</v>
      </c>
      <c r="E10567" t="s">
        <v>8</v>
      </c>
      <c r="F10567" t="s">
        <v>10574</v>
      </c>
      <c r="G10567">
        <v>1</v>
      </c>
    </row>
    <row r="10568" spans="1:7" x14ac:dyDescent="0.25">
      <c r="A10568">
        <v>33</v>
      </c>
      <c r="B10568" t="s">
        <v>10498</v>
      </c>
      <c r="C10568">
        <v>1702</v>
      </c>
      <c r="D10568" t="str">
        <f>"0002-7626"</f>
        <v>0002-7626</v>
      </c>
      <c r="E10568" t="s">
        <v>8</v>
      </c>
      <c r="F10568" t="s">
        <v>10575</v>
      </c>
      <c r="G10568">
        <v>1</v>
      </c>
    </row>
    <row r="10569" spans="1:7" x14ac:dyDescent="0.25">
      <c r="A10569">
        <v>33</v>
      </c>
      <c r="B10569" t="s">
        <v>10498</v>
      </c>
      <c r="C10569">
        <v>13817</v>
      </c>
      <c r="D10569" t="str">
        <f>"1546-9239"</f>
        <v>1546-9239</v>
      </c>
      <c r="E10569" t="s">
        <v>8</v>
      </c>
      <c r="F10569" t="s">
        <v>10576</v>
      </c>
      <c r="G10569">
        <v>1</v>
      </c>
    </row>
    <row r="10570" spans="1:7" x14ac:dyDescent="0.25">
      <c r="A10570">
        <v>33</v>
      </c>
      <c r="B10570" t="s">
        <v>10498</v>
      </c>
      <c r="C10570">
        <v>11912</v>
      </c>
      <c r="D10570" t="str">
        <f>"0002-9254"</f>
        <v>0002-9254</v>
      </c>
      <c r="E10570" t="s">
        <v>8</v>
      </c>
      <c r="F10570" t="s">
        <v>10577</v>
      </c>
      <c r="G10570">
        <v>1</v>
      </c>
    </row>
    <row r="10571" spans="1:7" x14ac:dyDescent="0.25">
      <c r="A10571">
        <v>33</v>
      </c>
      <c r="B10571" t="s">
        <v>10498</v>
      </c>
      <c r="C10571">
        <v>54307</v>
      </c>
      <c r="D10571" t="str">
        <f>"1553-345X"</f>
        <v>1553-345X</v>
      </c>
      <c r="E10571" t="s">
        <v>8</v>
      </c>
      <c r="F10571" t="s">
        <v>10578</v>
      </c>
      <c r="G10571">
        <v>1</v>
      </c>
    </row>
    <row r="10572" spans="1:7" x14ac:dyDescent="0.25">
      <c r="A10572">
        <v>33</v>
      </c>
      <c r="B10572" t="s">
        <v>10498</v>
      </c>
      <c r="C10572">
        <v>12578</v>
      </c>
      <c r="D10572" t="str">
        <f>"1099-209X"</f>
        <v>1099-209X</v>
      </c>
      <c r="E10572" t="s">
        <v>8</v>
      </c>
      <c r="F10572" t="s">
        <v>10579</v>
      </c>
      <c r="G10572">
        <v>1</v>
      </c>
    </row>
    <row r="10573" spans="1:7" x14ac:dyDescent="0.25">
      <c r="A10573">
        <v>33</v>
      </c>
      <c r="B10573" t="s">
        <v>10498</v>
      </c>
      <c r="C10573">
        <v>9201</v>
      </c>
      <c r="D10573" t="str">
        <f>"2151-0032"</f>
        <v>2151-0032</v>
      </c>
      <c r="E10573" t="s">
        <v>8</v>
      </c>
      <c r="F10573" t="s">
        <v>10580</v>
      </c>
      <c r="G10573">
        <v>1</v>
      </c>
    </row>
    <row r="10574" spans="1:7" x14ac:dyDescent="0.25">
      <c r="A10574">
        <v>33</v>
      </c>
      <c r="B10574" t="s">
        <v>10498</v>
      </c>
      <c r="C10574">
        <v>7836</v>
      </c>
      <c r="D10574" t="str">
        <f>"1049-5398"</f>
        <v>1049-5398</v>
      </c>
      <c r="E10574" t="s">
        <v>8</v>
      </c>
      <c r="F10574" t="s">
        <v>10581</v>
      </c>
      <c r="G10574">
        <v>1</v>
      </c>
    </row>
    <row r="10575" spans="1:7" x14ac:dyDescent="0.25">
      <c r="A10575">
        <v>33</v>
      </c>
      <c r="B10575" t="s">
        <v>10498</v>
      </c>
      <c r="C10575">
        <v>2112</v>
      </c>
      <c r="D10575" t="str">
        <f>"1435-9448"</f>
        <v>1435-9448</v>
      </c>
      <c r="E10575" t="s">
        <v>8</v>
      </c>
      <c r="F10575" t="s">
        <v>10582</v>
      </c>
      <c r="G10575">
        <v>1</v>
      </c>
    </row>
    <row r="10576" spans="1:7" x14ac:dyDescent="0.25">
      <c r="A10576">
        <v>33</v>
      </c>
      <c r="B10576" t="s">
        <v>10498</v>
      </c>
      <c r="C10576">
        <v>10382</v>
      </c>
      <c r="D10576" t="str">
        <f>"1367-9430"</f>
        <v>1367-9430</v>
      </c>
      <c r="E10576" t="s">
        <v>8</v>
      </c>
      <c r="F10576" t="s">
        <v>10583</v>
      </c>
      <c r="G10576">
        <v>1</v>
      </c>
    </row>
    <row r="10577" spans="1:7" x14ac:dyDescent="0.25">
      <c r="A10577">
        <v>33</v>
      </c>
      <c r="B10577" t="s">
        <v>10498</v>
      </c>
      <c r="C10577">
        <v>708</v>
      </c>
      <c r="D10577" t="str">
        <f>"0268-9146"</f>
        <v>0268-9146</v>
      </c>
      <c r="E10577" t="s">
        <v>8</v>
      </c>
      <c r="F10577" t="s">
        <v>10584</v>
      </c>
      <c r="G10577">
        <v>1</v>
      </c>
    </row>
    <row r="10578" spans="1:7" x14ac:dyDescent="0.25">
      <c r="A10578">
        <v>33</v>
      </c>
      <c r="B10578" t="s">
        <v>10498</v>
      </c>
      <c r="C10578">
        <v>10333</v>
      </c>
      <c r="D10578" t="str">
        <f>"1836-0939"</f>
        <v>1836-0939</v>
      </c>
      <c r="E10578" t="s">
        <v>8</v>
      </c>
      <c r="F10578" t="s">
        <v>10585</v>
      </c>
      <c r="G10578">
        <v>1</v>
      </c>
    </row>
    <row r="10579" spans="1:7" x14ac:dyDescent="0.25">
      <c r="A10579">
        <v>33</v>
      </c>
      <c r="B10579" t="s">
        <v>10498</v>
      </c>
      <c r="C10579">
        <v>10869</v>
      </c>
      <c r="D10579" t="str">
        <f>"0378-4320"</f>
        <v>0378-4320</v>
      </c>
      <c r="E10579" t="s">
        <v>8</v>
      </c>
      <c r="F10579" t="s">
        <v>10586</v>
      </c>
      <c r="G10579">
        <v>1</v>
      </c>
    </row>
    <row r="10580" spans="1:7" x14ac:dyDescent="0.25">
      <c r="A10580">
        <v>33</v>
      </c>
      <c r="B10580" t="s">
        <v>10498</v>
      </c>
      <c r="C10580">
        <v>4448</v>
      </c>
      <c r="D10580" t="str">
        <f>"1344-3941"</f>
        <v>1344-3941</v>
      </c>
      <c r="E10580" t="s">
        <v>8</v>
      </c>
      <c r="F10580" t="s">
        <v>10587</v>
      </c>
      <c r="G10580">
        <v>1</v>
      </c>
    </row>
    <row r="10581" spans="1:7" x14ac:dyDescent="0.25">
      <c r="A10581">
        <v>33</v>
      </c>
      <c r="B10581" t="s">
        <v>10498</v>
      </c>
      <c r="C10581">
        <v>15945</v>
      </c>
      <c r="D10581" t="str">
        <f>"0860-4037"</f>
        <v>0860-4037</v>
      </c>
      <c r="E10581" t="s">
        <v>8</v>
      </c>
      <c r="F10581" t="s">
        <v>10588</v>
      </c>
      <c r="G10581">
        <v>1</v>
      </c>
    </row>
    <row r="10582" spans="1:7" x14ac:dyDescent="0.25">
      <c r="A10582">
        <v>33</v>
      </c>
      <c r="B10582" t="s">
        <v>10498</v>
      </c>
      <c r="C10582">
        <v>12635</v>
      </c>
      <c r="D10582" t="str">
        <f>"0962-7286"</f>
        <v>0962-7286</v>
      </c>
      <c r="E10582" t="s">
        <v>8</v>
      </c>
      <c r="F10582" t="s">
        <v>10589</v>
      </c>
      <c r="G10582">
        <v>1</v>
      </c>
    </row>
    <row r="10583" spans="1:7" x14ac:dyDescent="0.25">
      <c r="A10583">
        <v>33</v>
      </c>
      <c r="B10583" t="s">
        <v>10498</v>
      </c>
      <c r="C10583">
        <v>7709765</v>
      </c>
      <c r="E10583" t="s">
        <v>8</v>
      </c>
      <c r="F10583" t="s">
        <v>10590</v>
      </c>
      <c r="G10583">
        <v>1</v>
      </c>
    </row>
    <row r="10584" spans="1:7" x14ac:dyDescent="0.25">
      <c r="A10584">
        <v>33</v>
      </c>
      <c r="B10584" t="s">
        <v>10498</v>
      </c>
      <c r="C10584">
        <v>15685</v>
      </c>
      <c r="D10584" t="str">
        <f>"0570-1791"</f>
        <v>0570-1791</v>
      </c>
      <c r="E10584" t="s">
        <v>8</v>
      </c>
      <c r="F10584" t="s">
        <v>10591</v>
      </c>
      <c r="G10584">
        <v>1</v>
      </c>
    </row>
    <row r="10585" spans="1:7" x14ac:dyDescent="0.25">
      <c r="A10585">
        <v>33</v>
      </c>
      <c r="B10585" t="s">
        <v>10498</v>
      </c>
      <c r="C10585">
        <v>7062</v>
      </c>
      <c r="D10585" t="str">
        <f>"1286-4560"</f>
        <v>1286-4560</v>
      </c>
      <c r="E10585" t="s">
        <v>8</v>
      </c>
      <c r="F10585" t="s">
        <v>10592</v>
      </c>
      <c r="G10585">
        <v>1</v>
      </c>
    </row>
    <row r="10586" spans="1:7" x14ac:dyDescent="0.25">
      <c r="A10586">
        <v>33</v>
      </c>
      <c r="B10586" t="s">
        <v>10498</v>
      </c>
      <c r="C10586">
        <v>142995</v>
      </c>
      <c r="D10586" t="str">
        <f>"1460-1494"</f>
        <v>1460-1494</v>
      </c>
      <c r="E10586" t="s">
        <v>15</v>
      </c>
      <c r="F10586" t="s">
        <v>10593</v>
      </c>
      <c r="G10586">
        <v>1</v>
      </c>
    </row>
    <row r="10587" spans="1:7" x14ac:dyDescent="0.25">
      <c r="A10587">
        <v>33</v>
      </c>
      <c r="B10587" t="s">
        <v>10498</v>
      </c>
      <c r="C10587">
        <v>16262</v>
      </c>
      <c r="D10587" t="str">
        <f>"0044-8435"</f>
        <v>0044-8435</v>
      </c>
      <c r="E10587" t="s">
        <v>8</v>
      </c>
      <c r="F10587" t="s">
        <v>10594</v>
      </c>
      <c r="G10587">
        <v>1</v>
      </c>
    </row>
    <row r="10588" spans="1:7" x14ac:dyDescent="0.25">
      <c r="A10588">
        <v>33</v>
      </c>
      <c r="B10588" t="s">
        <v>10498</v>
      </c>
      <c r="C10588">
        <v>2270</v>
      </c>
      <c r="D10588" t="str">
        <f>"0168-1591"</f>
        <v>0168-1591</v>
      </c>
      <c r="E10588" t="s">
        <v>8</v>
      </c>
      <c r="F10588" t="s">
        <v>10595</v>
      </c>
      <c r="G10588">
        <v>1</v>
      </c>
    </row>
    <row r="10589" spans="1:7" x14ac:dyDescent="0.25">
      <c r="A10589">
        <v>33</v>
      </c>
      <c r="B10589" t="s">
        <v>10498</v>
      </c>
      <c r="C10589">
        <v>14983</v>
      </c>
      <c r="D10589" t="str">
        <f>"1589-1623"</f>
        <v>1589-1623</v>
      </c>
      <c r="E10589" t="s">
        <v>8</v>
      </c>
      <c r="F10589" t="s">
        <v>10596</v>
      </c>
      <c r="G10589">
        <v>1</v>
      </c>
    </row>
    <row r="10590" spans="1:7" x14ac:dyDescent="0.25">
      <c r="A10590">
        <v>33</v>
      </c>
      <c r="B10590" t="s">
        <v>10498</v>
      </c>
      <c r="C10590">
        <v>12457</v>
      </c>
      <c r="D10590" t="str">
        <f>"0883-8542"</f>
        <v>0883-8542</v>
      </c>
      <c r="E10590" t="s">
        <v>8</v>
      </c>
      <c r="F10590" t="s">
        <v>10597</v>
      </c>
      <c r="G10590">
        <v>1</v>
      </c>
    </row>
    <row r="10591" spans="1:7" x14ac:dyDescent="0.25">
      <c r="A10591">
        <v>33</v>
      </c>
      <c r="B10591" t="s">
        <v>10498</v>
      </c>
      <c r="C10591">
        <v>15663</v>
      </c>
      <c r="D10591" t="str">
        <f>"0883-2927"</f>
        <v>0883-2927</v>
      </c>
      <c r="E10591" t="s">
        <v>8</v>
      </c>
      <c r="F10591" t="s">
        <v>10598</v>
      </c>
      <c r="G10591">
        <v>1</v>
      </c>
    </row>
    <row r="10592" spans="1:7" x14ac:dyDescent="0.25">
      <c r="A10592">
        <v>33</v>
      </c>
      <c r="B10592" t="s">
        <v>10498</v>
      </c>
      <c r="C10592">
        <v>15252</v>
      </c>
      <c r="D10592" t="str">
        <f>"1402-2001"</f>
        <v>1402-2001</v>
      </c>
      <c r="E10592" t="s">
        <v>8</v>
      </c>
      <c r="F10592" t="s">
        <v>10599</v>
      </c>
      <c r="G10592">
        <v>1</v>
      </c>
    </row>
    <row r="10593" spans="1:7" x14ac:dyDescent="0.25">
      <c r="A10593">
        <v>33</v>
      </c>
      <c r="B10593" t="s">
        <v>10498</v>
      </c>
      <c r="C10593">
        <v>9320</v>
      </c>
      <c r="D10593" t="str">
        <f>"0144-8609"</f>
        <v>0144-8609</v>
      </c>
      <c r="E10593" t="s">
        <v>8</v>
      </c>
      <c r="F10593" t="s">
        <v>10600</v>
      </c>
      <c r="G10593">
        <v>1</v>
      </c>
    </row>
    <row r="10594" spans="1:7" x14ac:dyDescent="0.25">
      <c r="A10594">
        <v>33</v>
      </c>
      <c r="B10594" t="s">
        <v>10498</v>
      </c>
      <c r="C10594">
        <v>5577</v>
      </c>
      <c r="D10594" t="str">
        <f>"1365-7305"</f>
        <v>1365-7305</v>
      </c>
      <c r="E10594" t="s">
        <v>8</v>
      </c>
      <c r="F10594" t="s">
        <v>10601</v>
      </c>
      <c r="G10594">
        <v>1</v>
      </c>
    </row>
    <row r="10595" spans="1:7" x14ac:dyDescent="0.25">
      <c r="A10595">
        <v>33</v>
      </c>
      <c r="B10595" t="s">
        <v>10498</v>
      </c>
      <c r="C10595">
        <v>7710203</v>
      </c>
      <c r="D10595" t="str">
        <f>"1869-215X"</f>
        <v>1869-215X</v>
      </c>
      <c r="E10595" t="s">
        <v>8</v>
      </c>
      <c r="F10595" t="s">
        <v>10602</v>
      </c>
      <c r="G10595">
        <v>1</v>
      </c>
    </row>
    <row r="10596" spans="1:7" x14ac:dyDescent="0.25">
      <c r="A10596">
        <v>33</v>
      </c>
      <c r="B10596" t="s">
        <v>10498</v>
      </c>
      <c r="C10596">
        <v>132</v>
      </c>
      <c r="D10596" t="str">
        <f>"0967-6120"</f>
        <v>0967-6120</v>
      </c>
      <c r="E10596" t="s">
        <v>8</v>
      </c>
      <c r="F10596" t="s">
        <v>10603</v>
      </c>
      <c r="G10596">
        <v>1</v>
      </c>
    </row>
    <row r="10597" spans="1:7" x14ac:dyDescent="0.25">
      <c r="A10597">
        <v>33</v>
      </c>
      <c r="B10597" t="s">
        <v>10498</v>
      </c>
      <c r="C10597">
        <v>9542</v>
      </c>
      <c r="D10597" t="str">
        <f>"1353-5773"</f>
        <v>1353-5773</v>
      </c>
      <c r="E10597" t="s">
        <v>8</v>
      </c>
      <c r="F10597" t="s">
        <v>10604</v>
      </c>
      <c r="G10597">
        <v>1</v>
      </c>
    </row>
    <row r="10598" spans="1:7" x14ac:dyDescent="0.25">
      <c r="A10598">
        <v>33</v>
      </c>
      <c r="B10598" t="s">
        <v>10498</v>
      </c>
      <c r="C10598">
        <v>14225</v>
      </c>
      <c r="D10598" t="str">
        <f>"1355-557X"</f>
        <v>1355-557X</v>
      </c>
      <c r="E10598" t="s">
        <v>8</v>
      </c>
      <c r="F10598" t="s">
        <v>10605</v>
      </c>
      <c r="G10598">
        <v>1</v>
      </c>
    </row>
    <row r="10599" spans="1:7" x14ac:dyDescent="0.25">
      <c r="A10599">
        <v>33</v>
      </c>
      <c r="B10599" t="s">
        <v>10498</v>
      </c>
      <c r="C10599">
        <v>7605783</v>
      </c>
      <c r="D10599" t="str">
        <f>"1052-7613"</f>
        <v>1052-7613</v>
      </c>
      <c r="E10599" t="s">
        <v>8</v>
      </c>
      <c r="F10599" t="s">
        <v>10606</v>
      </c>
      <c r="G10599">
        <v>1</v>
      </c>
    </row>
    <row r="10600" spans="1:7" x14ac:dyDescent="0.25">
      <c r="A10600">
        <v>33</v>
      </c>
      <c r="B10600" t="s">
        <v>10498</v>
      </c>
      <c r="C10600">
        <v>5323</v>
      </c>
      <c r="D10600" t="str">
        <f>"1463-4988"</f>
        <v>1463-4988</v>
      </c>
      <c r="E10600" t="s">
        <v>8</v>
      </c>
      <c r="F10600" t="s">
        <v>10607</v>
      </c>
      <c r="G10600">
        <v>1</v>
      </c>
    </row>
    <row r="10601" spans="1:7" x14ac:dyDescent="0.25">
      <c r="A10601">
        <v>33</v>
      </c>
      <c r="B10601" t="s">
        <v>10498</v>
      </c>
      <c r="C10601">
        <v>27654</v>
      </c>
      <c r="D10601" t="str">
        <f>"1798-6540"</f>
        <v>1798-6540</v>
      </c>
      <c r="E10601" t="s">
        <v>8</v>
      </c>
      <c r="F10601" t="s">
        <v>10608</v>
      </c>
      <c r="G10601">
        <v>1</v>
      </c>
    </row>
    <row r="10602" spans="1:7" x14ac:dyDescent="0.25">
      <c r="A10602">
        <v>33</v>
      </c>
      <c r="B10602" t="s">
        <v>10498</v>
      </c>
      <c r="C10602">
        <v>4443</v>
      </c>
      <c r="D10602" t="str">
        <f>"0990-7440"</f>
        <v>0990-7440</v>
      </c>
      <c r="E10602" t="s">
        <v>8</v>
      </c>
      <c r="F10602" t="s">
        <v>10609</v>
      </c>
      <c r="G10602">
        <v>1</v>
      </c>
    </row>
    <row r="10603" spans="1:7" x14ac:dyDescent="0.25">
      <c r="A10603">
        <v>33</v>
      </c>
      <c r="B10603" t="s">
        <v>10498</v>
      </c>
      <c r="C10603">
        <v>27870</v>
      </c>
      <c r="D10603" t="str">
        <f>"1935-5297"</f>
        <v>1935-5297</v>
      </c>
      <c r="E10603" t="s">
        <v>8</v>
      </c>
      <c r="F10603" t="s">
        <v>10610</v>
      </c>
      <c r="G10603">
        <v>1</v>
      </c>
    </row>
    <row r="10604" spans="1:7" x14ac:dyDescent="0.25">
      <c r="A10604">
        <v>33</v>
      </c>
      <c r="B10604" t="s">
        <v>10498</v>
      </c>
      <c r="C10604">
        <v>8781990</v>
      </c>
      <c r="D10604" t="str">
        <f>"0003-9438"</f>
        <v>0003-9438</v>
      </c>
      <c r="E10604" t="s">
        <v>8</v>
      </c>
      <c r="F10604" t="s">
        <v>10611</v>
      </c>
      <c r="G10604">
        <v>1</v>
      </c>
    </row>
    <row r="10605" spans="1:7" x14ac:dyDescent="0.25">
      <c r="A10605">
        <v>33</v>
      </c>
      <c r="B10605" t="s">
        <v>10498</v>
      </c>
      <c r="C10605">
        <v>14900</v>
      </c>
      <c r="D10605" t="str">
        <f>"0365-0340"</f>
        <v>0365-0340</v>
      </c>
      <c r="E10605" t="s">
        <v>8</v>
      </c>
      <c r="F10605" t="s">
        <v>10612</v>
      </c>
      <c r="G10605">
        <v>1</v>
      </c>
    </row>
    <row r="10606" spans="1:7" x14ac:dyDescent="0.25">
      <c r="A10606">
        <v>33</v>
      </c>
      <c r="B10606" t="s">
        <v>10498</v>
      </c>
      <c r="C10606">
        <v>11658</v>
      </c>
      <c r="D10606" t="str">
        <f>"1745-039X"</f>
        <v>1745-039X</v>
      </c>
      <c r="E10606" t="s">
        <v>8</v>
      </c>
      <c r="F10606" t="s">
        <v>10613</v>
      </c>
      <c r="G10606">
        <v>1</v>
      </c>
    </row>
    <row r="10607" spans="1:7" x14ac:dyDescent="0.25">
      <c r="A10607">
        <v>33</v>
      </c>
      <c r="B10607" t="s">
        <v>10498</v>
      </c>
      <c r="C10607">
        <v>933</v>
      </c>
      <c r="D10607" t="str">
        <f>"0090-4341"</f>
        <v>0090-4341</v>
      </c>
      <c r="E10607" t="s">
        <v>8</v>
      </c>
      <c r="F10607" t="s">
        <v>10614</v>
      </c>
      <c r="G10607">
        <v>1</v>
      </c>
    </row>
    <row r="10608" spans="1:7" x14ac:dyDescent="0.25">
      <c r="A10608">
        <v>33</v>
      </c>
      <c r="B10608" t="s">
        <v>10498</v>
      </c>
      <c r="C10608">
        <v>13498</v>
      </c>
      <c r="D10608" t="str">
        <f>"1523-0430"</f>
        <v>1523-0430</v>
      </c>
      <c r="E10608" t="s">
        <v>8</v>
      </c>
      <c r="F10608" t="s">
        <v>10615</v>
      </c>
      <c r="G10608">
        <v>1</v>
      </c>
    </row>
    <row r="10609" spans="1:7" x14ac:dyDescent="0.25">
      <c r="A10609">
        <v>33</v>
      </c>
      <c r="B10609" t="s">
        <v>10498</v>
      </c>
      <c r="C10609">
        <v>6751</v>
      </c>
      <c r="D10609" t="str">
        <f>"0972-9860"</f>
        <v>0972-9860</v>
      </c>
      <c r="E10609" t="s">
        <v>8</v>
      </c>
      <c r="F10609" t="s">
        <v>10616</v>
      </c>
      <c r="G10609">
        <v>1</v>
      </c>
    </row>
    <row r="10610" spans="1:7" x14ac:dyDescent="0.25">
      <c r="A10610">
        <v>33</v>
      </c>
      <c r="B10610" t="s">
        <v>10498</v>
      </c>
      <c r="C10610">
        <v>2823</v>
      </c>
      <c r="D10610" t="str">
        <f>"1011-2367"</f>
        <v>1011-2367</v>
      </c>
      <c r="E10610" t="s">
        <v>8</v>
      </c>
      <c r="F10610" t="s">
        <v>10617</v>
      </c>
      <c r="G10610">
        <v>1</v>
      </c>
    </row>
    <row r="10611" spans="1:7" x14ac:dyDescent="0.25">
      <c r="A10611">
        <v>33</v>
      </c>
      <c r="B10611" t="s">
        <v>10498</v>
      </c>
      <c r="C10611">
        <v>9496</v>
      </c>
      <c r="D10611" t="str">
        <f>"0265-1491"</f>
        <v>0265-1491</v>
      </c>
      <c r="E10611" t="s">
        <v>15</v>
      </c>
      <c r="F10611" t="s">
        <v>10618</v>
      </c>
      <c r="G10611">
        <v>1</v>
      </c>
    </row>
    <row r="10612" spans="1:7" x14ac:dyDescent="0.25">
      <c r="A10612">
        <v>33</v>
      </c>
      <c r="B10612" t="s">
        <v>10498</v>
      </c>
      <c r="C10612">
        <v>7699389</v>
      </c>
      <c r="E10612" t="s">
        <v>8</v>
      </c>
      <c r="F10612" t="s">
        <v>10619</v>
      </c>
      <c r="G10612">
        <v>1</v>
      </c>
    </row>
    <row r="10613" spans="1:7" x14ac:dyDescent="0.25">
      <c r="A10613">
        <v>33</v>
      </c>
      <c r="B10613" t="s">
        <v>10498</v>
      </c>
      <c r="C10613">
        <v>10163</v>
      </c>
      <c r="D10613" t="str">
        <f>"0169-8095"</f>
        <v>0169-8095</v>
      </c>
      <c r="E10613" t="s">
        <v>8</v>
      </c>
      <c r="F10613" t="s">
        <v>10620</v>
      </c>
      <c r="G10613">
        <v>1</v>
      </c>
    </row>
    <row r="10614" spans="1:7" x14ac:dyDescent="0.25">
      <c r="A10614">
        <v>33</v>
      </c>
      <c r="B10614" t="s">
        <v>10498</v>
      </c>
      <c r="C10614">
        <v>14274</v>
      </c>
      <c r="D10614" t="str">
        <f>"1758-1559"</f>
        <v>1758-1559</v>
      </c>
      <c r="E10614" t="s">
        <v>8</v>
      </c>
      <c r="F10614" t="s">
        <v>10621</v>
      </c>
      <c r="G10614">
        <v>1</v>
      </c>
    </row>
    <row r="10615" spans="1:7" x14ac:dyDescent="0.25">
      <c r="A10615">
        <v>33</v>
      </c>
      <c r="B10615" t="s">
        <v>10498</v>
      </c>
      <c r="C10615">
        <v>17843</v>
      </c>
      <c r="D10615" t="str">
        <f>"1392-1355"</f>
        <v>1392-1355</v>
      </c>
      <c r="E10615" t="s">
        <v>8</v>
      </c>
      <c r="F10615" t="s">
        <v>10622</v>
      </c>
      <c r="G10615">
        <v>1</v>
      </c>
    </row>
    <row r="10616" spans="1:7" x14ac:dyDescent="0.25">
      <c r="A10616">
        <v>33</v>
      </c>
      <c r="B10616" t="s">
        <v>10498</v>
      </c>
      <c r="C10616">
        <v>3307</v>
      </c>
      <c r="D10616" t="str">
        <f>"0005-9080"</f>
        <v>0005-9080</v>
      </c>
      <c r="E10616" t="s">
        <v>8</v>
      </c>
      <c r="F10616" t="s">
        <v>10623</v>
      </c>
      <c r="G10616">
        <v>1</v>
      </c>
    </row>
    <row r="10617" spans="1:7" x14ac:dyDescent="0.25">
      <c r="A10617">
        <v>33</v>
      </c>
      <c r="B10617" t="s">
        <v>10498</v>
      </c>
      <c r="C10617">
        <v>7555</v>
      </c>
      <c r="D10617" t="str">
        <f>"1386-6141"</f>
        <v>1386-6141</v>
      </c>
      <c r="E10617" t="s">
        <v>8</v>
      </c>
      <c r="F10617" t="s">
        <v>10624</v>
      </c>
      <c r="G10617">
        <v>1</v>
      </c>
    </row>
    <row r="10618" spans="1:7" x14ac:dyDescent="0.25">
      <c r="A10618">
        <v>33</v>
      </c>
      <c r="B10618" t="s">
        <v>10498</v>
      </c>
      <c r="C10618">
        <v>10102</v>
      </c>
      <c r="D10618" t="str">
        <f>"0276-5055"</f>
        <v>0276-5055</v>
      </c>
      <c r="E10618" t="s">
        <v>8</v>
      </c>
      <c r="F10618" t="s">
        <v>10625</v>
      </c>
      <c r="G10618">
        <v>1</v>
      </c>
    </row>
    <row r="10619" spans="1:7" x14ac:dyDescent="0.25">
      <c r="A10619">
        <v>33</v>
      </c>
      <c r="B10619" t="s">
        <v>10498</v>
      </c>
      <c r="C10619">
        <v>6639</v>
      </c>
      <c r="D10619" t="str">
        <f>"0923-9820"</f>
        <v>0923-9820</v>
      </c>
      <c r="E10619" t="s">
        <v>8</v>
      </c>
      <c r="F10619" t="s">
        <v>10626</v>
      </c>
      <c r="G10619">
        <v>1</v>
      </c>
    </row>
    <row r="10620" spans="1:7" x14ac:dyDescent="0.25">
      <c r="A10620">
        <v>33</v>
      </c>
      <c r="B10620" t="s">
        <v>10498</v>
      </c>
      <c r="C10620">
        <v>1257</v>
      </c>
      <c r="D10620" t="str">
        <f>"0960-3115"</f>
        <v>0960-3115</v>
      </c>
      <c r="E10620" t="s">
        <v>8</v>
      </c>
      <c r="F10620" t="s">
        <v>10627</v>
      </c>
      <c r="G10620">
        <v>1</v>
      </c>
    </row>
    <row r="10621" spans="1:7" x14ac:dyDescent="0.25">
      <c r="A10621">
        <v>33</v>
      </c>
      <c r="B10621" t="s">
        <v>10498</v>
      </c>
      <c r="C10621">
        <v>2709</v>
      </c>
      <c r="D10621" t="str">
        <f>"0144-8765"</f>
        <v>0144-8765</v>
      </c>
      <c r="E10621" t="s">
        <v>8</v>
      </c>
      <c r="F10621" t="s">
        <v>10628</v>
      </c>
      <c r="G10621">
        <v>1</v>
      </c>
    </row>
    <row r="10622" spans="1:7" x14ac:dyDescent="0.25">
      <c r="A10622">
        <v>33</v>
      </c>
      <c r="B10622" t="s">
        <v>10498</v>
      </c>
      <c r="C10622">
        <v>8559</v>
      </c>
      <c r="D10622" t="str">
        <f>"1049-9644"</f>
        <v>1049-9644</v>
      </c>
      <c r="E10622" t="s">
        <v>8</v>
      </c>
      <c r="F10622" t="s">
        <v>10629</v>
      </c>
      <c r="G10622">
        <v>1</v>
      </c>
    </row>
    <row r="10623" spans="1:7" x14ac:dyDescent="0.25">
      <c r="A10623">
        <v>33</v>
      </c>
      <c r="B10623" t="s">
        <v>10498</v>
      </c>
      <c r="C10623">
        <v>11859</v>
      </c>
      <c r="D10623" t="str">
        <f>"0791-7945"</f>
        <v>0791-7945</v>
      </c>
      <c r="E10623" t="s">
        <v>8</v>
      </c>
      <c r="F10623" t="s">
        <v>10630</v>
      </c>
      <c r="G10623">
        <v>1</v>
      </c>
    </row>
    <row r="10624" spans="1:7" x14ac:dyDescent="0.25">
      <c r="A10624">
        <v>33</v>
      </c>
      <c r="B10624" t="s">
        <v>10498</v>
      </c>
      <c r="C10624">
        <v>8878</v>
      </c>
      <c r="D10624" t="str">
        <f>"0178-2762"</f>
        <v>0178-2762</v>
      </c>
      <c r="E10624" t="s">
        <v>8</v>
      </c>
      <c r="F10624" t="s">
        <v>10631</v>
      </c>
      <c r="G10624">
        <v>1</v>
      </c>
    </row>
    <row r="10625" spans="1:7" x14ac:dyDescent="0.25">
      <c r="A10625">
        <v>33</v>
      </c>
      <c r="B10625" t="s">
        <v>10498</v>
      </c>
      <c r="C10625">
        <v>5437</v>
      </c>
      <c r="D10625" t="str">
        <f>"1354-750X"</f>
        <v>1354-750X</v>
      </c>
      <c r="E10625" t="s">
        <v>8</v>
      </c>
      <c r="F10625" t="s">
        <v>10632</v>
      </c>
      <c r="G10625">
        <v>1</v>
      </c>
    </row>
    <row r="10626" spans="1:7" x14ac:dyDescent="0.25">
      <c r="A10626">
        <v>33</v>
      </c>
      <c r="B10626" t="s">
        <v>10498</v>
      </c>
      <c r="C10626">
        <v>519</v>
      </c>
      <c r="D10626" t="str">
        <f>"1088-9868"</f>
        <v>1088-9868</v>
      </c>
      <c r="E10626" t="s">
        <v>8</v>
      </c>
      <c r="F10626" t="s">
        <v>10633</v>
      </c>
      <c r="G10626">
        <v>1</v>
      </c>
    </row>
    <row r="10627" spans="1:7" x14ac:dyDescent="0.25">
      <c r="A10627">
        <v>33</v>
      </c>
      <c r="B10627" t="s">
        <v>10498</v>
      </c>
      <c r="C10627">
        <v>14054</v>
      </c>
      <c r="D10627" t="str">
        <f>"1537-5110"</f>
        <v>1537-5110</v>
      </c>
      <c r="E10627" t="s">
        <v>8</v>
      </c>
      <c r="F10627" t="s">
        <v>10634</v>
      </c>
      <c r="G10627">
        <v>1</v>
      </c>
    </row>
    <row r="10628" spans="1:7" x14ac:dyDescent="0.25">
      <c r="A10628">
        <v>33</v>
      </c>
      <c r="B10628" t="s">
        <v>10498</v>
      </c>
      <c r="C10628">
        <v>4401</v>
      </c>
      <c r="D10628" t="str">
        <f>"1239-6095"</f>
        <v>1239-6095</v>
      </c>
      <c r="E10628" t="s">
        <v>8</v>
      </c>
      <c r="F10628" t="s">
        <v>10635</v>
      </c>
      <c r="G10628">
        <v>1</v>
      </c>
    </row>
    <row r="10629" spans="1:7" x14ac:dyDescent="0.25">
      <c r="A10629">
        <v>33</v>
      </c>
      <c r="B10629" t="s">
        <v>10498</v>
      </c>
      <c r="C10629">
        <v>773</v>
      </c>
      <c r="D10629" t="str">
        <f>"1344-7610"</f>
        <v>1344-7610</v>
      </c>
      <c r="E10629" t="s">
        <v>8</v>
      </c>
      <c r="F10629" t="s">
        <v>10636</v>
      </c>
      <c r="G10629">
        <v>1</v>
      </c>
    </row>
    <row r="10630" spans="1:7" x14ac:dyDescent="0.25">
      <c r="A10630">
        <v>33</v>
      </c>
      <c r="B10630" t="s">
        <v>10498</v>
      </c>
      <c r="C10630">
        <v>14332</v>
      </c>
      <c r="D10630" t="str">
        <f>"0007-1668"</f>
        <v>0007-1668</v>
      </c>
      <c r="E10630" t="s">
        <v>8</v>
      </c>
      <c r="F10630" t="s">
        <v>10637</v>
      </c>
      <c r="G10630">
        <v>1</v>
      </c>
    </row>
    <row r="10631" spans="1:7" x14ac:dyDescent="0.25">
      <c r="A10631">
        <v>33</v>
      </c>
      <c r="B10631" t="s">
        <v>10498</v>
      </c>
      <c r="C10631">
        <v>13009</v>
      </c>
      <c r="D10631" t="str">
        <f>"0007-4861"</f>
        <v>0007-4861</v>
      </c>
      <c r="E10631" t="s">
        <v>8</v>
      </c>
      <c r="F10631" t="s">
        <v>10638</v>
      </c>
      <c r="G10631">
        <v>1</v>
      </c>
    </row>
    <row r="10632" spans="1:7" x14ac:dyDescent="0.25">
      <c r="A10632">
        <v>33</v>
      </c>
      <c r="B10632" t="s">
        <v>10498</v>
      </c>
      <c r="C10632">
        <v>2445</v>
      </c>
      <c r="D10632" t="str">
        <f>"0007-4977"</f>
        <v>0007-4977</v>
      </c>
      <c r="E10632" t="s">
        <v>8</v>
      </c>
      <c r="F10632" t="s">
        <v>10639</v>
      </c>
      <c r="G10632">
        <v>1</v>
      </c>
    </row>
    <row r="10633" spans="1:7" x14ac:dyDescent="0.25">
      <c r="A10633">
        <v>33</v>
      </c>
      <c r="B10633" t="s">
        <v>10498</v>
      </c>
      <c r="C10633">
        <v>12606</v>
      </c>
      <c r="D10633" t="str">
        <f>"0003-0090"</f>
        <v>0003-0090</v>
      </c>
      <c r="E10633" t="s">
        <v>15</v>
      </c>
      <c r="F10633" t="s">
        <v>10640</v>
      </c>
      <c r="G10633">
        <v>1</v>
      </c>
    </row>
    <row r="10634" spans="1:7" x14ac:dyDescent="0.25">
      <c r="A10634">
        <v>33</v>
      </c>
      <c r="B10634" t="s">
        <v>10498</v>
      </c>
      <c r="C10634">
        <v>15836</v>
      </c>
      <c r="D10634" t="str">
        <f>"0108-0288"</f>
        <v>0108-0288</v>
      </c>
      <c r="E10634" t="s">
        <v>8</v>
      </c>
      <c r="F10634" t="s">
        <v>10641</v>
      </c>
      <c r="G10634">
        <v>1</v>
      </c>
    </row>
    <row r="10635" spans="1:7" x14ac:dyDescent="0.25">
      <c r="A10635">
        <v>33</v>
      </c>
      <c r="B10635" t="s">
        <v>10498</v>
      </c>
      <c r="C10635">
        <v>27460</v>
      </c>
      <c r="E10635" t="s">
        <v>8</v>
      </c>
      <c r="F10635" t="s">
        <v>10642</v>
      </c>
      <c r="G10635">
        <v>1</v>
      </c>
    </row>
    <row r="10636" spans="1:7" x14ac:dyDescent="0.25">
      <c r="A10636">
        <v>33</v>
      </c>
      <c r="B10636" t="s">
        <v>10498</v>
      </c>
      <c r="C10636">
        <v>17171</v>
      </c>
      <c r="D10636" t="str">
        <f>"1166-7699"</f>
        <v>1166-7699</v>
      </c>
      <c r="E10636" t="s">
        <v>8</v>
      </c>
      <c r="F10636" t="s">
        <v>10643</v>
      </c>
      <c r="G10636">
        <v>1</v>
      </c>
    </row>
    <row r="10637" spans="1:7" x14ac:dyDescent="0.25">
      <c r="A10637">
        <v>33</v>
      </c>
      <c r="B10637" t="s">
        <v>10498</v>
      </c>
      <c r="C10637">
        <v>12341</v>
      </c>
      <c r="D10637" t="str">
        <f>"0575-3317"</f>
        <v>0575-3317</v>
      </c>
      <c r="E10637" t="s">
        <v>8</v>
      </c>
      <c r="F10637" t="s">
        <v>10644</v>
      </c>
      <c r="G10637">
        <v>1</v>
      </c>
    </row>
    <row r="10638" spans="1:7" x14ac:dyDescent="0.25">
      <c r="A10638">
        <v>33</v>
      </c>
      <c r="B10638" t="s">
        <v>10498</v>
      </c>
      <c r="C10638">
        <v>8833</v>
      </c>
      <c r="D10638" t="str">
        <f>"0008-1078"</f>
        <v>0008-1078</v>
      </c>
      <c r="E10638" t="s">
        <v>8</v>
      </c>
      <c r="F10638" t="s">
        <v>10645</v>
      </c>
      <c r="G10638">
        <v>1</v>
      </c>
    </row>
    <row r="10639" spans="1:7" x14ac:dyDescent="0.25">
      <c r="A10639">
        <v>33</v>
      </c>
      <c r="B10639" t="s">
        <v>10498</v>
      </c>
      <c r="C10639">
        <v>10331</v>
      </c>
      <c r="D10639" t="str">
        <f>"0008-3984"</f>
        <v>0008-3984</v>
      </c>
      <c r="E10639" t="s">
        <v>8</v>
      </c>
      <c r="F10639" t="s">
        <v>10646</v>
      </c>
      <c r="G10639">
        <v>1</v>
      </c>
    </row>
    <row r="10640" spans="1:7" x14ac:dyDescent="0.25">
      <c r="A10640">
        <v>33</v>
      </c>
      <c r="B10640" t="s">
        <v>10498</v>
      </c>
      <c r="C10640">
        <v>11530</v>
      </c>
      <c r="D10640" t="str">
        <f>"0045-5067"</f>
        <v>0045-5067</v>
      </c>
      <c r="E10640" t="s">
        <v>8</v>
      </c>
      <c r="F10640" t="s">
        <v>10647</v>
      </c>
      <c r="G10640">
        <v>1</v>
      </c>
    </row>
    <row r="10641" spans="1:7" x14ac:dyDescent="0.25">
      <c r="A10641">
        <v>33</v>
      </c>
      <c r="B10641" t="s">
        <v>10498</v>
      </c>
      <c r="C10641">
        <v>16992</v>
      </c>
      <c r="D10641" t="str">
        <f>"0706-0661"</f>
        <v>0706-0661</v>
      </c>
      <c r="E10641" t="s">
        <v>8</v>
      </c>
      <c r="F10641" t="s">
        <v>10648</v>
      </c>
      <c r="G10641">
        <v>1</v>
      </c>
    </row>
    <row r="10642" spans="1:7" x14ac:dyDescent="0.25">
      <c r="A10642">
        <v>33</v>
      </c>
      <c r="B10642" t="s">
        <v>10498</v>
      </c>
      <c r="C10642">
        <v>10149</v>
      </c>
      <c r="D10642" t="str">
        <f>"0008-4220"</f>
        <v>0008-4220</v>
      </c>
      <c r="E10642" t="s">
        <v>8</v>
      </c>
      <c r="F10642" t="s">
        <v>10649</v>
      </c>
      <c r="G10642">
        <v>1</v>
      </c>
    </row>
    <row r="10643" spans="1:7" x14ac:dyDescent="0.25">
      <c r="A10643">
        <v>33</v>
      </c>
      <c r="B10643" t="s">
        <v>10498</v>
      </c>
      <c r="C10643">
        <v>3391</v>
      </c>
      <c r="D10643" t="str">
        <f>"0008-4271"</f>
        <v>0008-4271</v>
      </c>
      <c r="E10643" t="s">
        <v>8</v>
      </c>
      <c r="F10643" t="s">
        <v>10650</v>
      </c>
      <c r="G10643">
        <v>1</v>
      </c>
    </row>
    <row r="10644" spans="1:7" x14ac:dyDescent="0.25">
      <c r="A10644">
        <v>33</v>
      </c>
      <c r="B10644" t="s">
        <v>10498</v>
      </c>
      <c r="C10644">
        <v>104</v>
      </c>
      <c r="D10644" t="str">
        <f>"0341-8162"</f>
        <v>0341-8162</v>
      </c>
      <c r="E10644" t="s">
        <v>8</v>
      </c>
      <c r="F10644" t="s">
        <v>10651</v>
      </c>
      <c r="G10644">
        <v>1</v>
      </c>
    </row>
    <row r="10645" spans="1:7" x14ac:dyDescent="0.25">
      <c r="A10645">
        <v>33</v>
      </c>
      <c r="B10645" t="s">
        <v>10498</v>
      </c>
      <c r="C10645">
        <v>14346</v>
      </c>
      <c r="D10645" t="str">
        <f>"0969-1251"</f>
        <v>0969-1251</v>
      </c>
      <c r="E10645" t="s">
        <v>8</v>
      </c>
      <c r="F10645" t="s">
        <v>10652</v>
      </c>
      <c r="G10645">
        <v>1</v>
      </c>
    </row>
    <row r="10646" spans="1:7" x14ac:dyDescent="0.25">
      <c r="A10646">
        <v>33</v>
      </c>
      <c r="B10646" t="s">
        <v>10498</v>
      </c>
      <c r="C10646">
        <v>4493</v>
      </c>
      <c r="D10646" t="str">
        <f>"1023-4063"</f>
        <v>1023-4063</v>
      </c>
      <c r="E10646" t="s">
        <v>8</v>
      </c>
      <c r="F10646" t="s">
        <v>10653</v>
      </c>
      <c r="G10646">
        <v>1</v>
      </c>
    </row>
    <row r="10647" spans="1:7" x14ac:dyDescent="0.25">
      <c r="A10647">
        <v>33</v>
      </c>
      <c r="B10647" t="s">
        <v>10498</v>
      </c>
      <c r="C10647">
        <v>3840</v>
      </c>
      <c r="D10647" t="str">
        <f>"0009-0352"</f>
        <v>0009-0352</v>
      </c>
      <c r="E10647" t="s">
        <v>8</v>
      </c>
      <c r="F10647" t="s">
        <v>10654</v>
      </c>
      <c r="G10647">
        <v>1</v>
      </c>
    </row>
    <row r="10648" spans="1:7" x14ac:dyDescent="0.25">
      <c r="A10648">
        <v>33</v>
      </c>
      <c r="B10648" t="s">
        <v>10498</v>
      </c>
      <c r="C10648">
        <v>12501</v>
      </c>
      <c r="D10648" t="str">
        <f>"0133-3720"</f>
        <v>0133-3720</v>
      </c>
      <c r="E10648" t="s">
        <v>8</v>
      </c>
      <c r="F10648" t="s">
        <v>10655</v>
      </c>
      <c r="G10648">
        <v>1</v>
      </c>
    </row>
    <row r="10649" spans="1:7" x14ac:dyDescent="0.25">
      <c r="A10649">
        <v>33</v>
      </c>
      <c r="B10649" t="s">
        <v>10498</v>
      </c>
      <c r="C10649">
        <v>13468</v>
      </c>
      <c r="D10649" t="str">
        <f>"0275-7540"</f>
        <v>0275-7540</v>
      </c>
      <c r="E10649" t="s">
        <v>8</v>
      </c>
      <c r="F10649" t="s">
        <v>10656</v>
      </c>
      <c r="G10649">
        <v>1</v>
      </c>
    </row>
    <row r="10650" spans="1:7" x14ac:dyDescent="0.25">
      <c r="A10650">
        <v>33</v>
      </c>
      <c r="B10650" t="s">
        <v>10498</v>
      </c>
      <c r="C10650">
        <v>4661</v>
      </c>
      <c r="D10650" t="str">
        <f>"0009-3130"</f>
        <v>0009-3130</v>
      </c>
      <c r="E10650" t="s">
        <v>8</v>
      </c>
      <c r="F10650" t="s">
        <v>10657</v>
      </c>
      <c r="G10650">
        <v>1</v>
      </c>
    </row>
    <row r="10651" spans="1:7" x14ac:dyDescent="0.25">
      <c r="A10651">
        <v>33</v>
      </c>
      <c r="B10651" t="s">
        <v>10498</v>
      </c>
      <c r="C10651">
        <v>16269</v>
      </c>
      <c r="D10651" t="str">
        <f>"0937-7409"</f>
        <v>0937-7409</v>
      </c>
      <c r="E10651" t="s">
        <v>8</v>
      </c>
      <c r="F10651" t="s">
        <v>10658</v>
      </c>
      <c r="G10651">
        <v>1</v>
      </c>
    </row>
    <row r="10652" spans="1:7" x14ac:dyDescent="0.25">
      <c r="A10652">
        <v>33</v>
      </c>
      <c r="B10652" t="s">
        <v>10498</v>
      </c>
      <c r="C10652">
        <v>14998</v>
      </c>
      <c r="D10652" t="str">
        <f>"0009-8604"</f>
        <v>0009-8604</v>
      </c>
      <c r="E10652" t="s">
        <v>8</v>
      </c>
      <c r="F10652" t="s">
        <v>10659</v>
      </c>
      <c r="G10652">
        <v>1</v>
      </c>
    </row>
    <row r="10653" spans="1:7" x14ac:dyDescent="0.25">
      <c r="A10653">
        <v>33</v>
      </c>
      <c r="B10653" t="s">
        <v>10498</v>
      </c>
      <c r="C10653">
        <v>4286</v>
      </c>
      <c r="D10653" t="str">
        <f>"0892-0753"</f>
        <v>0892-0753</v>
      </c>
      <c r="E10653" t="s">
        <v>8</v>
      </c>
      <c r="F10653" t="s">
        <v>10660</v>
      </c>
      <c r="G10653">
        <v>1</v>
      </c>
    </row>
    <row r="10654" spans="1:7" x14ac:dyDescent="0.25">
      <c r="A10654">
        <v>33</v>
      </c>
      <c r="B10654" t="s">
        <v>10498</v>
      </c>
      <c r="C10654">
        <v>11980</v>
      </c>
      <c r="D10654" t="str">
        <f>"0010-3624"</f>
        <v>0010-3624</v>
      </c>
      <c r="E10654" t="s">
        <v>8</v>
      </c>
      <c r="F10654" t="s">
        <v>10661</v>
      </c>
      <c r="G10654">
        <v>1</v>
      </c>
    </row>
    <row r="10655" spans="1:7" x14ac:dyDescent="0.25">
      <c r="A10655">
        <v>33</v>
      </c>
      <c r="B10655" t="s">
        <v>10498</v>
      </c>
      <c r="C10655">
        <v>7414</v>
      </c>
      <c r="D10655" t="str">
        <f>"1532-0456"</f>
        <v>1532-0456</v>
      </c>
      <c r="E10655" t="s">
        <v>8</v>
      </c>
      <c r="F10655" t="s">
        <v>10662</v>
      </c>
      <c r="G10655">
        <v>1</v>
      </c>
    </row>
    <row r="10656" spans="1:7" x14ac:dyDescent="0.25">
      <c r="A10656">
        <v>33</v>
      </c>
      <c r="B10656" t="s">
        <v>10498</v>
      </c>
      <c r="C10656">
        <v>3130</v>
      </c>
      <c r="D10656" t="str">
        <f>"1065-657X"</f>
        <v>1065-657X</v>
      </c>
      <c r="E10656" t="s">
        <v>8</v>
      </c>
      <c r="F10656" t="s">
        <v>10663</v>
      </c>
      <c r="G10656">
        <v>1</v>
      </c>
    </row>
    <row r="10657" spans="1:7" x14ac:dyDescent="0.25">
      <c r="A10657">
        <v>33</v>
      </c>
      <c r="B10657" t="s">
        <v>10498</v>
      </c>
      <c r="C10657">
        <v>12752</v>
      </c>
      <c r="D10657" t="str">
        <f>"0972-4923"</f>
        <v>0972-4923</v>
      </c>
      <c r="E10657" t="s">
        <v>8</v>
      </c>
      <c r="F10657" t="s">
        <v>10664</v>
      </c>
      <c r="G10657">
        <v>1</v>
      </c>
    </row>
    <row r="10658" spans="1:7" x14ac:dyDescent="0.25">
      <c r="A10658">
        <v>33</v>
      </c>
      <c r="B10658" t="s">
        <v>10498</v>
      </c>
      <c r="C10658">
        <v>7950</v>
      </c>
      <c r="D10658" t="str">
        <f>"1566-0621"</f>
        <v>1566-0621</v>
      </c>
      <c r="E10658" t="s">
        <v>8</v>
      </c>
      <c r="F10658" t="s">
        <v>10665</v>
      </c>
      <c r="G10658">
        <v>1</v>
      </c>
    </row>
    <row r="10659" spans="1:7" x14ac:dyDescent="0.25">
      <c r="A10659">
        <v>33</v>
      </c>
      <c r="B10659" t="s">
        <v>10498</v>
      </c>
      <c r="C10659">
        <v>2151</v>
      </c>
      <c r="D10659" t="str">
        <f>"1064-3389"</f>
        <v>1064-3389</v>
      </c>
      <c r="E10659" t="s">
        <v>8</v>
      </c>
      <c r="F10659" t="s">
        <v>10666</v>
      </c>
      <c r="G10659">
        <v>1</v>
      </c>
    </row>
    <row r="10660" spans="1:7" x14ac:dyDescent="0.25">
      <c r="A10660">
        <v>33</v>
      </c>
      <c r="B10660" t="s">
        <v>10498</v>
      </c>
      <c r="C10660">
        <v>6356</v>
      </c>
      <c r="D10660" t="str">
        <f>"0735-2689"</f>
        <v>0735-2689</v>
      </c>
      <c r="E10660" t="s">
        <v>8</v>
      </c>
      <c r="F10660" t="s">
        <v>10667</v>
      </c>
      <c r="G10660">
        <v>1</v>
      </c>
    </row>
    <row r="10661" spans="1:7" x14ac:dyDescent="0.25">
      <c r="A10661">
        <v>33</v>
      </c>
      <c r="B10661" t="s">
        <v>10498</v>
      </c>
      <c r="C10661">
        <v>12384</v>
      </c>
      <c r="D10661" t="str">
        <f>"0261-2194"</f>
        <v>0261-2194</v>
      </c>
      <c r="E10661" t="s">
        <v>8</v>
      </c>
      <c r="F10661" t="s">
        <v>10668</v>
      </c>
      <c r="G10661">
        <v>1</v>
      </c>
    </row>
    <row r="10662" spans="1:7" x14ac:dyDescent="0.25">
      <c r="A10662">
        <v>33</v>
      </c>
      <c r="B10662" t="s">
        <v>10498</v>
      </c>
      <c r="C10662">
        <v>13313</v>
      </c>
      <c r="D10662" t="str">
        <f>"0011-183X"</f>
        <v>0011-183X</v>
      </c>
      <c r="E10662" t="s">
        <v>8</v>
      </c>
      <c r="F10662" t="s">
        <v>10669</v>
      </c>
      <c r="G10662">
        <v>1</v>
      </c>
    </row>
    <row r="10663" spans="1:7" x14ac:dyDescent="0.25">
      <c r="A10663">
        <v>33</v>
      </c>
      <c r="B10663" t="s">
        <v>10498</v>
      </c>
      <c r="C10663">
        <v>13080</v>
      </c>
      <c r="D10663" t="str">
        <f>"0011-3891"</f>
        <v>0011-3891</v>
      </c>
      <c r="E10663" t="s">
        <v>8</v>
      </c>
      <c r="F10663" t="s">
        <v>10670</v>
      </c>
      <c r="G10663">
        <v>1</v>
      </c>
    </row>
    <row r="10664" spans="1:7" x14ac:dyDescent="0.25">
      <c r="A10664">
        <v>33</v>
      </c>
      <c r="B10664" t="s">
        <v>10498</v>
      </c>
      <c r="C10664">
        <v>4357</v>
      </c>
      <c r="D10664" t="str">
        <f>"1212-1819"</f>
        <v>1212-1819</v>
      </c>
      <c r="E10664" t="s">
        <v>8</v>
      </c>
      <c r="F10664" t="s">
        <v>10671</v>
      </c>
      <c r="G10664">
        <v>1</v>
      </c>
    </row>
    <row r="10665" spans="1:7" x14ac:dyDescent="0.25">
      <c r="A10665">
        <v>33</v>
      </c>
      <c r="B10665" t="s">
        <v>10498</v>
      </c>
      <c r="C10665">
        <v>633</v>
      </c>
      <c r="D10665" t="str">
        <f>"0006-5471"</f>
        <v>0006-5471</v>
      </c>
      <c r="E10665" t="s">
        <v>8</v>
      </c>
      <c r="F10665" t="s">
        <v>10672</v>
      </c>
      <c r="G10665">
        <v>1</v>
      </c>
    </row>
    <row r="10666" spans="1:7" x14ac:dyDescent="0.25">
      <c r="A10666">
        <v>33</v>
      </c>
      <c r="B10666" t="s">
        <v>10498</v>
      </c>
      <c r="C10666">
        <v>881</v>
      </c>
      <c r="D10666" t="str">
        <f>"0739-7240"</f>
        <v>0739-7240</v>
      </c>
      <c r="E10666" t="s">
        <v>8</v>
      </c>
      <c r="F10666" t="s">
        <v>10673</v>
      </c>
      <c r="G10666">
        <v>1</v>
      </c>
    </row>
    <row r="10667" spans="1:7" x14ac:dyDescent="0.25">
      <c r="A10667">
        <v>33</v>
      </c>
      <c r="B10667" t="s">
        <v>10498</v>
      </c>
      <c r="C10667">
        <v>8280</v>
      </c>
      <c r="D10667" t="str">
        <f>"1442-7001"</f>
        <v>1442-7001</v>
      </c>
      <c r="E10667" t="s">
        <v>8</v>
      </c>
      <c r="F10667" t="s">
        <v>10674</v>
      </c>
      <c r="G10667">
        <v>1</v>
      </c>
    </row>
    <row r="10668" spans="1:7" x14ac:dyDescent="0.25">
      <c r="A10668">
        <v>33</v>
      </c>
      <c r="B10668" t="s">
        <v>10498</v>
      </c>
      <c r="C10668">
        <v>6045344</v>
      </c>
      <c r="E10668" t="s">
        <v>15</v>
      </c>
      <c r="F10668" t="s">
        <v>10675</v>
      </c>
      <c r="G10668">
        <v>1</v>
      </c>
    </row>
    <row r="10669" spans="1:7" x14ac:dyDescent="0.25">
      <c r="A10669">
        <v>33</v>
      </c>
      <c r="B10669" t="s">
        <v>10498</v>
      </c>
      <c r="C10669">
        <v>11257</v>
      </c>
      <c r="D10669" t="str">
        <f>"0906-6691"</f>
        <v>0906-6691</v>
      </c>
      <c r="E10669" t="s">
        <v>8</v>
      </c>
      <c r="F10669" t="s">
        <v>10676</v>
      </c>
      <c r="G10669">
        <v>1</v>
      </c>
    </row>
    <row r="10670" spans="1:7" x14ac:dyDescent="0.25">
      <c r="A10670">
        <v>33</v>
      </c>
      <c r="B10670" t="s">
        <v>10498</v>
      </c>
      <c r="C10670">
        <v>4007</v>
      </c>
      <c r="D10670" t="str">
        <f>"0963-9292"</f>
        <v>0963-9292</v>
      </c>
      <c r="E10670" t="s">
        <v>8</v>
      </c>
      <c r="F10670" t="s">
        <v>10677</v>
      </c>
      <c r="G10670">
        <v>1</v>
      </c>
    </row>
    <row r="10671" spans="1:7" x14ac:dyDescent="0.25">
      <c r="A10671">
        <v>33</v>
      </c>
      <c r="B10671" t="s">
        <v>10498</v>
      </c>
      <c r="C10671">
        <v>7008</v>
      </c>
      <c r="D10671" t="str">
        <f>"0013-8703"</f>
        <v>0013-8703</v>
      </c>
      <c r="E10671" t="s">
        <v>8</v>
      </c>
      <c r="F10671" t="s">
        <v>10678</v>
      </c>
      <c r="G10671">
        <v>1</v>
      </c>
    </row>
    <row r="10672" spans="1:7" x14ac:dyDescent="0.25">
      <c r="A10672">
        <v>33</v>
      </c>
      <c r="B10672" t="s">
        <v>10498</v>
      </c>
      <c r="C10672">
        <v>11689</v>
      </c>
      <c r="D10672" t="str">
        <f>"0013-9157"</f>
        <v>0013-9157</v>
      </c>
      <c r="E10672" t="s">
        <v>8</v>
      </c>
      <c r="F10672" t="s">
        <v>10679</v>
      </c>
      <c r="G10672">
        <v>1</v>
      </c>
    </row>
    <row r="10673" spans="1:7" x14ac:dyDescent="0.25">
      <c r="A10673">
        <v>33</v>
      </c>
      <c r="B10673" t="s">
        <v>10498</v>
      </c>
      <c r="C10673">
        <v>12976</v>
      </c>
      <c r="D10673" t="str">
        <f>"1352-8505"</f>
        <v>1352-8505</v>
      </c>
      <c r="E10673" t="s">
        <v>8</v>
      </c>
      <c r="F10673" t="s">
        <v>10680</v>
      </c>
      <c r="G10673">
        <v>1</v>
      </c>
    </row>
    <row r="10674" spans="1:7" x14ac:dyDescent="0.25">
      <c r="A10674">
        <v>33</v>
      </c>
      <c r="B10674" t="s">
        <v>10498</v>
      </c>
      <c r="C10674">
        <v>3148</v>
      </c>
      <c r="D10674" t="str">
        <f>"0098-8472"</f>
        <v>0098-8472</v>
      </c>
      <c r="E10674" t="s">
        <v>8</v>
      </c>
      <c r="F10674" t="s">
        <v>10681</v>
      </c>
      <c r="G10674">
        <v>1</v>
      </c>
    </row>
    <row r="10675" spans="1:7" x14ac:dyDescent="0.25">
      <c r="A10675">
        <v>33</v>
      </c>
      <c r="B10675" t="s">
        <v>10498</v>
      </c>
      <c r="C10675">
        <v>11177</v>
      </c>
      <c r="D10675" t="str">
        <f>"1448-2517"</f>
        <v>1448-2517</v>
      </c>
      <c r="E10675" t="s">
        <v>8</v>
      </c>
      <c r="F10675" t="s">
        <v>10682</v>
      </c>
      <c r="G10675">
        <v>1</v>
      </c>
    </row>
    <row r="10676" spans="1:7" x14ac:dyDescent="0.25">
      <c r="A10676">
        <v>33</v>
      </c>
      <c r="B10676" t="s">
        <v>10498</v>
      </c>
      <c r="C10676">
        <v>1156</v>
      </c>
      <c r="D10676" t="str">
        <f>"0376-8929"</f>
        <v>0376-8929</v>
      </c>
      <c r="E10676" t="s">
        <v>8</v>
      </c>
      <c r="F10676" t="s">
        <v>10683</v>
      </c>
      <c r="G10676">
        <v>1</v>
      </c>
    </row>
    <row r="10677" spans="1:7" x14ac:dyDescent="0.25">
      <c r="A10677">
        <v>33</v>
      </c>
      <c r="B10677" t="s">
        <v>10498</v>
      </c>
      <c r="C10677">
        <v>15728</v>
      </c>
      <c r="D10677" t="str">
        <f>"0046-225X"</f>
        <v>0046-225X</v>
      </c>
      <c r="E10677" t="s">
        <v>8</v>
      </c>
      <c r="F10677" t="s">
        <v>10684</v>
      </c>
      <c r="G10677">
        <v>1</v>
      </c>
    </row>
    <row r="10678" spans="1:7" x14ac:dyDescent="0.25">
      <c r="A10678">
        <v>33</v>
      </c>
      <c r="B10678" t="s">
        <v>10498</v>
      </c>
      <c r="C10678">
        <v>10497</v>
      </c>
      <c r="D10678" t="str">
        <f>"1527-5922"</f>
        <v>1527-5922</v>
      </c>
      <c r="E10678" t="s">
        <v>8</v>
      </c>
      <c r="F10678" t="s">
        <v>10685</v>
      </c>
      <c r="G10678">
        <v>1</v>
      </c>
    </row>
    <row r="10679" spans="1:7" x14ac:dyDescent="0.25">
      <c r="A10679">
        <v>33</v>
      </c>
      <c r="B10679" t="s">
        <v>10498</v>
      </c>
      <c r="C10679">
        <v>9523</v>
      </c>
      <c r="D10679" t="str">
        <f>"0269-4042"</f>
        <v>0269-4042</v>
      </c>
      <c r="E10679" t="s">
        <v>8</v>
      </c>
      <c r="F10679" t="s">
        <v>10686</v>
      </c>
      <c r="G10679">
        <v>1</v>
      </c>
    </row>
    <row r="10680" spans="1:7" x14ac:dyDescent="0.25">
      <c r="A10680">
        <v>33</v>
      </c>
      <c r="B10680" t="s">
        <v>10498</v>
      </c>
      <c r="C10680">
        <v>12398</v>
      </c>
      <c r="D10680" t="str">
        <f>"1747-7891"</f>
        <v>1747-7891</v>
      </c>
      <c r="E10680" t="s">
        <v>8</v>
      </c>
      <c r="F10680" t="s">
        <v>10687</v>
      </c>
      <c r="G10680">
        <v>1</v>
      </c>
    </row>
    <row r="10681" spans="1:7" x14ac:dyDescent="0.25">
      <c r="A10681">
        <v>33</v>
      </c>
      <c r="B10681" t="s">
        <v>10498</v>
      </c>
      <c r="C10681">
        <v>7706680</v>
      </c>
      <c r="D10681" t="str">
        <f>"2210-4224"</f>
        <v>2210-4224</v>
      </c>
      <c r="E10681" t="s">
        <v>8</v>
      </c>
      <c r="F10681" t="s">
        <v>10688</v>
      </c>
      <c r="G10681">
        <v>1</v>
      </c>
    </row>
    <row r="10682" spans="1:7" x14ac:dyDescent="0.25">
      <c r="A10682">
        <v>33</v>
      </c>
      <c r="B10682" t="s">
        <v>10498</v>
      </c>
      <c r="C10682">
        <v>27574</v>
      </c>
      <c r="D10682" t="str">
        <f>"1939-4071"</f>
        <v>1939-4071</v>
      </c>
      <c r="E10682" t="s">
        <v>8</v>
      </c>
      <c r="F10682" t="s">
        <v>10689</v>
      </c>
      <c r="G10682">
        <v>1</v>
      </c>
    </row>
    <row r="10683" spans="1:7" x14ac:dyDescent="0.25">
      <c r="A10683">
        <v>33</v>
      </c>
      <c r="B10683" t="s">
        <v>10498</v>
      </c>
      <c r="C10683">
        <v>7454</v>
      </c>
      <c r="D10683" t="str">
        <f>"1067-6058"</f>
        <v>1067-6058</v>
      </c>
      <c r="E10683" t="s">
        <v>8</v>
      </c>
      <c r="F10683" t="s">
        <v>10690</v>
      </c>
      <c r="G10683">
        <v>1</v>
      </c>
    </row>
    <row r="10684" spans="1:7" x14ac:dyDescent="0.25">
      <c r="A10684">
        <v>33</v>
      </c>
      <c r="B10684" t="s">
        <v>10498</v>
      </c>
      <c r="C10684">
        <v>15030</v>
      </c>
      <c r="D10684" t="str">
        <f>"0364-152X"</f>
        <v>0364-152X</v>
      </c>
      <c r="E10684" t="s">
        <v>8</v>
      </c>
      <c r="F10684" t="s">
        <v>10691</v>
      </c>
      <c r="G10684">
        <v>1</v>
      </c>
    </row>
    <row r="10685" spans="1:7" x14ac:dyDescent="0.25">
      <c r="A10685">
        <v>33</v>
      </c>
      <c r="B10685" t="s">
        <v>10498</v>
      </c>
      <c r="C10685">
        <v>1170</v>
      </c>
      <c r="D10685" t="str">
        <f>"1420-2026"</f>
        <v>1420-2026</v>
      </c>
      <c r="E10685" t="s">
        <v>8</v>
      </c>
      <c r="F10685" t="s">
        <v>10692</v>
      </c>
      <c r="G10685">
        <v>1</v>
      </c>
    </row>
    <row r="10686" spans="1:7" x14ac:dyDescent="0.25">
      <c r="A10686">
        <v>33</v>
      </c>
      <c r="B10686" t="s">
        <v>10498</v>
      </c>
      <c r="C10686">
        <v>14342</v>
      </c>
      <c r="D10686" t="str">
        <f>"0167-6369"</f>
        <v>0167-6369</v>
      </c>
      <c r="E10686" t="s">
        <v>8</v>
      </c>
      <c r="F10686" t="s">
        <v>10693</v>
      </c>
      <c r="G10686">
        <v>1</v>
      </c>
    </row>
    <row r="10687" spans="1:7" x14ac:dyDescent="0.25">
      <c r="A10687">
        <v>33</v>
      </c>
      <c r="B10687" t="s">
        <v>10498</v>
      </c>
      <c r="C10687">
        <v>4013</v>
      </c>
      <c r="D10687" t="str">
        <f>"0378-777X"</f>
        <v>0378-777X</v>
      </c>
      <c r="E10687" t="s">
        <v>8</v>
      </c>
      <c r="F10687" t="s">
        <v>10694</v>
      </c>
      <c r="G10687">
        <v>1</v>
      </c>
    </row>
    <row r="10688" spans="1:7" x14ac:dyDescent="0.25">
      <c r="A10688">
        <v>33</v>
      </c>
      <c r="B10688" t="s">
        <v>10498</v>
      </c>
      <c r="C10688">
        <v>27511</v>
      </c>
      <c r="E10688" t="s">
        <v>8</v>
      </c>
      <c r="F10688" t="s">
        <v>10695</v>
      </c>
      <c r="G10688">
        <v>1</v>
      </c>
    </row>
    <row r="10689" spans="1:7" x14ac:dyDescent="0.25">
      <c r="A10689">
        <v>33</v>
      </c>
      <c r="B10689" t="s">
        <v>10498</v>
      </c>
      <c r="C10689">
        <v>13632</v>
      </c>
      <c r="D10689" t="str">
        <f>"2050-7887"</f>
        <v>2050-7887</v>
      </c>
      <c r="E10689" t="s">
        <v>8</v>
      </c>
      <c r="F10689" t="s">
        <v>10696</v>
      </c>
      <c r="G10689">
        <v>1</v>
      </c>
    </row>
    <row r="10690" spans="1:7" x14ac:dyDescent="0.25">
      <c r="A10690">
        <v>33</v>
      </c>
      <c r="B10690" t="s">
        <v>10498</v>
      </c>
      <c r="C10690">
        <v>886</v>
      </c>
      <c r="D10690" t="str">
        <f>"1382-6689"</f>
        <v>1382-6689</v>
      </c>
      <c r="E10690" t="s">
        <v>8</v>
      </c>
      <c r="F10690" t="s">
        <v>10697</v>
      </c>
      <c r="G10690">
        <v>1</v>
      </c>
    </row>
    <row r="10691" spans="1:7" x14ac:dyDescent="0.25">
      <c r="A10691">
        <v>33</v>
      </c>
      <c r="B10691" t="s">
        <v>10498</v>
      </c>
      <c r="C10691">
        <v>13206</v>
      </c>
      <c r="D10691" t="str">
        <f>"0963-2719"</f>
        <v>0963-2719</v>
      </c>
      <c r="E10691" t="s">
        <v>8</v>
      </c>
      <c r="F10691" t="s">
        <v>10698</v>
      </c>
      <c r="G10691">
        <v>1</v>
      </c>
    </row>
    <row r="10692" spans="1:7" x14ac:dyDescent="0.25">
      <c r="A10692">
        <v>33</v>
      </c>
      <c r="B10692" t="s">
        <v>10498</v>
      </c>
      <c r="C10692">
        <v>16605</v>
      </c>
      <c r="D10692" t="str">
        <f>"0272-7714"</f>
        <v>0272-7714</v>
      </c>
      <c r="E10692" t="s">
        <v>8</v>
      </c>
      <c r="F10692" t="s">
        <v>10699</v>
      </c>
      <c r="G10692">
        <v>1</v>
      </c>
    </row>
    <row r="10693" spans="1:7" x14ac:dyDescent="0.25">
      <c r="A10693">
        <v>33</v>
      </c>
      <c r="B10693" t="s">
        <v>10498</v>
      </c>
      <c r="C10693">
        <v>7527</v>
      </c>
      <c r="D10693" t="str">
        <f>"0014-2336"</f>
        <v>0014-2336</v>
      </c>
      <c r="E10693" t="s">
        <v>8</v>
      </c>
      <c r="F10693" t="s">
        <v>10700</v>
      </c>
      <c r="G10693">
        <v>1</v>
      </c>
    </row>
    <row r="10694" spans="1:7" x14ac:dyDescent="0.25">
      <c r="A10694">
        <v>33</v>
      </c>
      <c r="B10694" t="s">
        <v>10498</v>
      </c>
      <c r="C10694">
        <v>4928</v>
      </c>
      <c r="D10694" t="str">
        <f>"1064-2293"</f>
        <v>1064-2293</v>
      </c>
      <c r="E10694" t="s">
        <v>8</v>
      </c>
      <c r="F10694" t="s">
        <v>10701</v>
      </c>
      <c r="G10694">
        <v>1</v>
      </c>
    </row>
    <row r="10695" spans="1:7" x14ac:dyDescent="0.25">
      <c r="A10695">
        <v>33</v>
      </c>
      <c r="B10695" t="s">
        <v>10498</v>
      </c>
      <c r="C10695">
        <v>10827</v>
      </c>
      <c r="D10695" t="str">
        <f>"0071-2477"</f>
        <v>0071-2477</v>
      </c>
      <c r="E10695" t="s">
        <v>15</v>
      </c>
      <c r="F10695" t="s">
        <v>10702</v>
      </c>
      <c r="G10695">
        <v>1</v>
      </c>
    </row>
    <row r="10696" spans="1:7" x14ac:dyDescent="0.25">
      <c r="A10696">
        <v>33</v>
      </c>
      <c r="B10696" t="s">
        <v>10498</v>
      </c>
      <c r="C10696">
        <v>3605</v>
      </c>
      <c r="D10696" t="str">
        <f>"1612-4669"</f>
        <v>1612-4669</v>
      </c>
      <c r="E10696" t="s">
        <v>8</v>
      </c>
      <c r="F10696" t="s">
        <v>10703</v>
      </c>
      <c r="G10696">
        <v>1</v>
      </c>
    </row>
    <row r="10697" spans="1:7" x14ac:dyDescent="0.25">
      <c r="A10697">
        <v>33</v>
      </c>
      <c r="B10697" t="s">
        <v>10498</v>
      </c>
      <c r="C10697">
        <v>12667</v>
      </c>
      <c r="D10697" t="str">
        <f>"1611-4426"</f>
        <v>1611-4426</v>
      </c>
      <c r="E10697" t="s">
        <v>8</v>
      </c>
      <c r="F10697" t="s">
        <v>10704</v>
      </c>
      <c r="G10697">
        <v>1</v>
      </c>
    </row>
    <row r="10698" spans="1:7" x14ac:dyDescent="0.25">
      <c r="A10698">
        <v>33</v>
      </c>
      <c r="B10698" t="s">
        <v>10498</v>
      </c>
      <c r="C10698">
        <v>9361</v>
      </c>
      <c r="D10698" t="str">
        <f>"0929-1873"</f>
        <v>0929-1873</v>
      </c>
      <c r="E10698" t="s">
        <v>8</v>
      </c>
      <c r="F10698" t="s">
        <v>10705</v>
      </c>
      <c r="G10698">
        <v>1</v>
      </c>
    </row>
    <row r="10699" spans="1:7" x14ac:dyDescent="0.25">
      <c r="A10699">
        <v>33</v>
      </c>
      <c r="B10699" t="s">
        <v>10498</v>
      </c>
      <c r="C10699">
        <v>6317</v>
      </c>
      <c r="D10699" t="str">
        <f>"1164-5563"</f>
        <v>1164-5563</v>
      </c>
      <c r="E10699" t="s">
        <v>8</v>
      </c>
      <c r="F10699" t="s">
        <v>10706</v>
      </c>
      <c r="G10699">
        <v>1</v>
      </c>
    </row>
    <row r="10700" spans="1:7" x14ac:dyDescent="0.25">
      <c r="A10700">
        <v>33</v>
      </c>
      <c r="B10700" t="s">
        <v>10498</v>
      </c>
      <c r="C10700">
        <v>16039</v>
      </c>
      <c r="D10700" t="str">
        <f>"0003-9098"</f>
        <v>0003-9098</v>
      </c>
      <c r="E10700" t="s">
        <v>8</v>
      </c>
      <c r="F10700" t="s">
        <v>10707</v>
      </c>
      <c r="G10700">
        <v>1</v>
      </c>
    </row>
    <row r="10701" spans="1:7" x14ac:dyDescent="0.25">
      <c r="A10701">
        <v>33</v>
      </c>
      <c r="B10701" t="s">
        <v>10498</v>
      </c>
      <c r="C10701">
        <v>14713</v>
      </c>
      <c r="D10701" t="str">
        <f>"1522-0613"</f>
        <v>1522-0613</v>
      </c>
      <c r="E10701" t="s">
        <v>8</v>
      </c>
      <c r="F10701" t="s">
        <v>10708</v>
      </c>
      <c r="G10701">
        <v>1</v>
      </c>
    </row>
    <row r="10702" spans="1:7" x14ac:dyDescent="0.25">
      <c r="A10702">
        <v>33</v>
      </c>
      <c r="B10702" t="s">
        <v>10498</v>
      </c>
      <c r="C10702">
        <v>4904</v>
      </c>
      <c r="D10702" t="str">
        <f>"0014-4797"</f>
        <v>0014-4797</v>
      </c>
      <c r="E10702" t="s">
        <v>8</v>
      </c>
      <c r="F10702" t="s">
        <v>10709</v>
      </c>
      <c r="G10702">
        <v>1</v>
      </c>
    </row>
    <row r="10703" spans="1:7" x14ac:dyDescent="0.25">
      <c r="A10703">
        <v>33</v>
      </c>
      <c r="B10703" t="s">
        <v>10498</v>
      </c>
      <c r="C10703">
        <v>14299</v>
      </c>
      <c r="D10703" t="str">
        <f>"0378-1097"</f>
        <v>0378-1097</v>
      </c>
      <c r="E10703" t="s">
        <v>8</v>
      </c>
      <c r="F10703" t="s">
        <v>10710</v>
      </c>
      <c r="G10703">
        <v>1</v>
      </c>
    </row>
    <row r="10704" spans="1:7" x14ac:dyDescent="0.25">
      <c r="A10704">
        <v>33</v>
      </c>
      <c r="B10704" t="s">
        <v>10498</v>
      </c>
      <c r="C10704">
        <v>3364</v>
      </c>
      <c r="D10704" t="str">
        <f>"0378-4290"</f>
        <v>0378-4290</v>
      </c>
      <c r="E10704" t="s">
        <v>8</v>
      </c>
      <c r="F10704" t="s">
        <v>10711</v>
      </c>
      <c r="G10704">
        <v>1</v>
      </c>
    </row>
    <row r="10705" spans="1:7" x14ac:dyDescent="0.25">
      <c r="A10705">
        <v>33</v>
      </c>
      <c r="B10705" t="s">
        <v>10498</v>
      </c>
      <c r="C10705">
        <v>602</v>
      </c>
      <c r="D10705" t="str">
        <f>"0363-2415"</f>
        <v>0363-2415</v>
      </c>
      <c r="E10705" t="s">
        <v>8</v>
      </c>
      <c r="F10705" t="s">
        <v>10712</v>
      </c>
      <c r="G10705">
        <v>1</v>
      </c>
    </row>
    <row r="10706" spans="1:7" x14ac:dyDescent="0.25">
      <c r="A10706">
        <v>33</v>
      </c>
      <c r="B10706" t="s">
        <v>10498</v>
      </c>
      <c r="C10706">
        <v>10344</v>
      </c>
      <c r="D10706" t="str">
        <f>"0969-997X"</f>
        <v>0969-997X</v>
      </c>
      <c r="E10706" t="s">
        <v>8</v>
      </c>
      <c r="F10706" t="s">
        <v>10713</v>
      </c>
      <c r="G10706">
        <v>1</v>
      </c>
    </row>
    <row r="10707" spans="1:7" x14ac:dyDescent="0.25">
      <c r="A10707">
        <v>33</v>
      </c>
      <c r="B10707" t="s">
        <v>10498</v>
      </c>
      <c r="C10707">
        <v>13261</v>
      </c>
      <c r="D10707" t="str">
        <f>"0165-7836"</f>
        <v>0165-7836</v>
      </c>
      <c r="E10707" t="s">
        <v>8</v>
      </c>
      <c r="F10707" t="s">
        <v>10714</v>
      </c>
      <c r="G10707">
        <v>1</v>
      </c>
    </row>
    <row r="10708" spans="1:7" x14ac:dyDescent="0.25">
      <c r="A10708">
        <v>33</v>
      </c>
      <c r="B10708" t="s">
        <v>10498</v>
      </c>
      <c r="C10708">
        <v>13606</v>
      </c>
      <c r="D10708" t="str">
        <f>"0919-9268"</f>
        <v>0919-9268</v>
      </c>
      <c r="E10708" t="s">
        <v>8</v>
      </c>
      <c r="F10708" t="s">
        <v>10715</v>
      </c>
      <c r="G10708">
        <v>1</v>
      </c>
    </row>
    <row r="10709" spans="1:7" x14ac:dyDescent="0.25">
      <c r="A10709">
        <v>33</v>
      </c>
      <c r="B10709" t="s">
        <v>10498</v>
      </c>
      <c r="C10709">
        <v>9539</v>
      </c>
      <c r="D10709" t="str">
        <f>"0090-0656"</f>
        <v>0090-0656</v>
      </c>
      <c r="E10709" t="s">
        <v>8</v>
      </c>
      <c r="F10709" t="s">
        <v>10716</v>
      </c>
      <c r="G10709">
        <v>1</v>
      </c>
    </row>
    <row r="10710" spans="1:7" x14ac:dyDescent="0.25">
      <c r="A10710">
        <v>33</v>
      </c>
      <c r="B10710" t="s">
        <v>10498</v>
      </c>
      <c r="C10710">
        <v>1360</v>
      </c>
      <c r="D10710" t="str">
        <f>"0015-5683"</f>
        <v>0015-5683</v>
      </c>
      <c r="E10710" t="s">
        <v>8</v>
      </c>
      <c r="F10710" t="s">
        <v>10717</v>
      </c>
      <c r="G10710">
        <v>1</v>
      </c>
    </row>
    <row r="10711" spans="1:7" x14ac:dyDescent="0.25">
      <c r="A10711">
        <v>33</v>
      </c>
      <c r="B10711" t="s">
        <v>10498</v>
      </c>
      <c r="C10711">
        <v>7663</v>
      </c>
      <c r="D10711" t="str">
        <f>"1389-9341"</f>
        <v>1389-9341</v>
      </c>
      <c r="E10711" t="s">
        <v>8</v>
      </c>
      <c r="F10711" t="s">
        <v>10718</v>
      </c>
      <c r="G10711">
        <v>1</v>
      </c>
    </row>
    <row r="10712" spans="1:7" x14ac:dyDescent="0.25">
      <c r="A10712">
        <v>33</v>
      </c>
      <c r="B10712" t="s">
        <v>10498</v>
      </c>
      <c r="C10712">
        <v>6210</v>
      </c>
      <c r="D10712" t="str">
        <f>"0015-7473"</f>
        <v>0015-7473</v>
      </c>
      <c r="E10712" t="s">
        <v>8</v>
      </c>
      <c r="F10712" t="s">
        <v>10719</v>
      </c>
      <c r="G10712">
        <v>1</v>
      </c>
    </row>
    <row r="10713" spans="1:7" x14ac:dyDescent="0.25">
      <c r="A10713">
        <v>33</v>
      </c>
      <c r="B10713" t="s">
        <v>10498</v>
      </c>
      <c r="C10713">
        <v>3328</v>
      </c>
      <c r="D10713" t="str">
        <f>"0015-749X"</f>
        <v>0015-749X</v>
      </c>
      <c r="E10713" t="s">
        <v>8</v>
      </c>
      <c r="F10713" t="s">
        <v>10720</v>
      </c>
      <c r="G10713">
        <v>1</v>
      </c>
    </row>
    <row r="10714" spans="1:7" x14ac:dyDescent="0.25">
      <c r="A10714">
        <v>33</v>
      </c>
      <c r="B10714" t="s">
        <v>10498</v>
      </c>
      <c r="C10714">
        <v>796</v>
      </c>
      <c r="D10714" t="str">
        <f>"0015-752X"</f>
        <v>0015-752X</v>
      </c>
      <c r="E10714" t="s">
        <v>8</v>
      </c>
      <c r="F10714" t="s">
        <v>10721</v>
      </c>
      <c r="G10714">
        <v>1</v>
      </c>
    </row>
    <row r="10715" spans="1:7" x14ac:dyDescent="0.25">
      <c r="A10715">
        <v>33</v>
      </c>
      <c r="B10715" t="s">
        <v>10498</v>
      </c>
      <c r="C10715">
        <v>20931</v>
      </c>
      <c r="D10715" t="str">
        <f>"1472-8028"</f>
        <v>1472-8028</v>
      </c>
      <c r="E10715" t="s">
        <v>8</v>
      </c>
      <c r="F10715" t="s">
        <v>10722</v>
      </c>
      <c r="G10715">
        <v>1</v>
      </c>
    </row>
    <row r="10716" spans="1:7" x14ac:dyDescent="0.25">
      <c r="A10716">
        <v>33</v>
      </c>
      <c r="B10716" t="s">
        <v>10498</v>
      </c>
      <c r="C10716">
        <v>13458</v>
      </c>
      <c r="D10716" t="str">
        <f>"1018-4619"</f>
        <v>1018-4619</v>
      </c>
      <c r="E10716" t="s">
        <v>8</v>
      </c>
      <c r="F10716" t="s">
        <v>10723</v>
      </c>
      <c r="G10716">
        <v>1</v>
      </c>
    </row>
    <row r="10717" spans="1:7" x14ac:dyDescent="0.25">
      <c r="A10717">
        <v>33</v>
      </c>
      <c r="B10717" t="s">
        <v>10498</v>
      </c>
      <c r="C10717">
        <v>17640</v>
      </c>
      <c r="D10717" t="str">
        <f>"1540-9295"</f>
        <v>1540-9295</v>
      </c>
      <c r="E10717" t="s">
        <v>8</v>
      </c>
      <c r="F10717" t="s">
        <v>10724</v>
      </c>
      <c r="G10717">
        <v>1</v>
      </c>
    </row>
    <row r="10718" spans="1:7" x14ac:dyDescent="0.25">
      <c r="A10718">
        <v>33</v>
      </c>
      <c r="B10718" t="s">
        <v>10498</v>
      </c>
      <c r="C10718">
        <v>24529</v>
      </c>
      <c r="D10718" t="str">
        <f>"2095-2201"</f>
        <v>2095-2201</v>
      </c>
      <c r="E10718" t="s">
        <v>8</v>
      </c>
      <c r="F10718" t="s">
        <v>10725</v>
      </c>
      <c r="G10718">
        <v>1</v>
      </c>
    </row>
    <row r="10719" spans="1:7" x14ac:dyDescent="0.25">
      <c r="A10719">
        <v>33</v>
      </c>
      <c r="B10719" t="s">
        <v>10498</v>
      </c>
      <c r="C10719">
        <v>3833</v>
      </c>
      <c r="D10719" t="str">
        <f>"0248-1294"</f>
        <v>0248-1294</v>
      </c>
      <c r="E10719" t="s">
        <v>8</v>
      </c>
      <c r="F10719" t="s">
        <v>10726</v>
      </c>
      <c r="G10719">
        <v>1</v>
      </c>
    </row>
    <row r="10720" spans="1:7" x14ac:dyDescent="0.25">
      <c r="A10720">
        <v>33</v>
      </c>
      <c r="B10720" t="s">
        <v>10498</v>
      </c>
      <c r="C10720">
        <v>17380</v>
      </c>
      <c r="D10720" t="str">
        <f>"1863-9135"</f>
        <v>1863-9135</v>
      </c>
      <c r="E10720" t="s">
        <v>8</v>
      </c>
      <c r="F10720" t="s">
        <v>10727</v>
      </c>
      <c r="G10720">
        <v>1</v>
      </c>
    </row>
    <row r="10721" spans="1:7" x14ac:dyDescent="0.25">
      <c r="A10721">
        <v>33</v>
      </c>
      <c r="B10721" t="s">
        <v>10498</v>
      </c>
      <c r="C10721">
        <v>14076</v>
      </c>
      <c r="D10721" t="str">
        <f>"0925-9864"</f>
        <v>0925-9864</v>
      </c>
      <c r="E10721" t="s">
        <v>8</v>
      </c>
      <c r="F10721" t="s">
        <v>10728</v>
      </c>
      <c r="G10721">
        <v>1</v>
      </c>
    </row>
    <row r="10722" spans="1:7" x14ac:dyDescent="0.25">
      <c r="A10722">
        <v>33</v>
      </c>
      <c r="B10722" t="s">
        <v>10498</v>
      </c>
      <c r="C10722">
        <v>13051</v>
      </c>
      <c r="D10722" t="str">
        <f>"0999-193X"</f>
        <v>0999-193X</v>
      </c>
      <c r="E10722" t="s">
        <v>8</v>
      </c>
      <c r="F10722" t="s">
        <v>10729</v>
      </c>
      <c r="G10722">
        <v>1</v>
      </c>
    </row>
    <row r="10723" spans="1:7" x14ac:dyDescent="0.25">
      <c r="A10723">
        <v>33</v>
      </c>
      <c r="B10723" t="s">
        <v>10498</v>
      </c>
      <c r="C10723">
        <v>2392</v>
      </c>
      <c r="D10723" t="str">
        <f>"0149-0451"</f>
        <v>0149-0451</v>
      </c>
      <c r="E10723" t="s">
        <v>8</v>
      </c>
      <c r="F10723" t="s">
        <v>10730</v>
      </c>
      <c r="G10723">
        <v>1</v>
      </c>
    </row>
    <row r="10724" spans="1:7" x14ac:dyDescent="0.25">
      <c r="A10724">
        <v>33</v>
      </c>
      <c r="B10724" t="s">
        <v>10498</v>
      </c>
      <c r="C10724">
        <v>14040</v>
      </c>
      <c r="D10724" t="str">
        <f>"0367-4223"</f>
        <v>0367-4223</v>
      </c>
      <c r="E10724" t="s">
        <v>8</v>
      </c>
      <c r="F10724" t="s">
        <v>10731</v>
      </c>
      <c r="G10724">
        <v>1</v>
      </c>
    </row>
    <row r="10725" spans="1:7" x14ac:dyDescent="0.25">
      <c r="A10725">
        <v>33</v>
      </c>
      <c r="B10725" t="s">
        <v>10498</v>
      </c>
      <c r="C10725">
        <v>6121645</v>
      </c>
      <c r="D10725" t="str">
        <f>"2164-5698"</f>
        <v>2164-5698</v>
      </c>
      <c r="E10725" t="s">
        <v>8</v>
      </c>
      <c r="F10725" t="s">
        <v>10732</v>
      </c>
      <c r="G10725">
        <v>1</v>
      </c>
    </row>
    <row r="10726" spans="1:7" x14ac:dyDescent="0.25">
      <c r="A10726">
        <v>33</v>
      </c>
      <c r="B10726" t="s">
        <v>10498</v>
      </c>
      <c r="C10726">
        <v>8782704</v>
      </c>
      <c r="E10726" t="s">
        <v>8</v>
      </c>
      <c r="F10726" t="s">
        <v>10733</v>
      </c>
      <c r="G10726">
        <v>1</v>
      </c>
    </row>
    <row r="10727" spans="1:7" x14ac:dyDescent="0.25">
      <c r="A10727">
        <v>33</v>
      </c>
      <c r="B10727" t="s">
        <v>10498</v>
      </c>
      <c r="C10727">
        <v>15790</v>
      </c>
      <c r="D10727" t="str">
        <f>"0142-5242"</f>
        <v>0142-5242</v>
      </c>
      <c r="E10727" t="s">
        <v>8</v>
      </c>
      <c r="F10727" t="s">
        <v>10734</v>
      </c>
      <c r="G10727">
        <v>1</v>
      </c>
    </row>
    <row r="10728" spans="1:7" x14ac:dyDescent="0.25">
      <c r="A10728">
        <v>33</v>
      </c>
      <c r="B10728" t="s">
        <v>10498</v>
      </c>
      <c r="C10728">
        <v>12773</v>
      </c>
      <c r="D10728" t="str">
        <f>"1430-483X"</f>
        <v>1430-483X</v>
      </c>
      <c r="E10728" t="s">
        <v>8</v>
      </c>
      <c r="F10728" t="s">
        <v>10735</v>
      </c>
      <c r="G10728">
        <v>1</v>
      </c>
    </row>
    <row r="10729" spans="1:7" x14ac:dyDescent="0.25">
      <c r="A10729">
        <v>33</v>
      </c>
      <c r="B10729" t="s">
        <v>10498</v>
      </c>
      <c r="C10729">
        <v>16754</v>
      </c>
      <c r="D10729" t="str">
        <f>"0388-788X"</f>
        <v>0388-788X</v>
      </c>
      <c r="E10729" t="s">
        <v>8</v>
      </c>
      <c r="F10729" t="s">
        <v>10736</v>
      </c>
      <c r="G10729">
        <v>1</v>
      </c>
    </row>
    <row r="10730" spans="1:7" x14ac:dyDescent="0.25">
      <c r="A10730">
        <v>33</v>
      </c>
      <c r="B10730" t="s">
        <v>10498</v>
      </c>
      <c r="C10730">
        <v>12540</v>
      </c>
      <c r="D10730" t="str">
        <f>"1438-387X"</f>
        <v>1438-387X</v>
      </c>
      <c r="E10730" t="s">
        <v>8</v>
      </c>
      <c r="F10730" t="s">
        <v>10737</v>
      </c>
      <c r="G10730">
        <v>1</v>
      </c>
    </row>
    <row r="10731" spans="1:7" x14ac:dyDescent="0.25">
      <c r="A10731">
        <v>33</v>
      </c>
      <c r="B10731" t="s">
        <v>10498</v>
      </c>
      <c r="C10731">
        <v>11162</v>
      </c>
      <c r="D10731" t="str">
        <f>"0018-067X"</f>
        <v>0018-067X</v>
      </c>
      <c r="E10731" t="s">
        <v>8</v>
      </c>
      <c r="F10731" t="s">
        <v>10738</v>
      </c>
      <c r="G10731">
        <v>1</v>
      </c>
    </row>
    <row r="10732" spans="1:7" x14ac:dyDescent="0.25">
      <c r="A10732">
        <v>33</v>
      </c>
      <c r="B10732" t="s">
        <v>10498</v>
      </c>
      <c r="C10732">
        <v>9949</v>
      </c>
      <c r="D10732" t="str">
        <f>"0018-5345"</f>
        <v>0018-5345</v>
      </c>
      <c r="E10732" t="s">
        <v>8</v>
      </c>
      <c r="F10732" t="s">
        <v>10739</v>
      </c>
      <c r="G10732">
        <v>1</v>
      </c>
    </row>
    <row r="10733" spans="1:7" x14ac:dyDescent="0.25">
      <c r="A10733">
        <v>33</v>
      </c>
      <c r="B10733" t="s">
        <v>10498</v>
      </c>
      <c r="C10733">
        <v>4181</v>
      </c>
      <c r="D10733" t="str">
        <f>"1063-0198"</f>
        <v>1063-0198</v>
      </c>
      <c r="E10733" t="s">
        <v>8</v>
      </c>
      <c r="F10733" t="s">
        <v>10740</v>
      </c>
      <c r="G10733">
        <v>1</v>
      </c>
    </row>
    <row r="10734" spans="1:7" x14ac:dyDescent="0.25">
      <c r="A10734">
        <v>33</v>
      </c>
      <c r="B10734" t="s">
        <v>10498</v>
      </c>
      <c r="C10734">
        <v>11149</v>
      </c>
      <c r="D10734" t="str">
        <f>"1080-7039"</f>
        <v>1080-7039</v>
      </c>
      <c r="E10734" t="s">
        <v>8</v>
      </c>
      <c r="F10734" t="s">
        <v>10741</v>
      </c>
      <c r="G10734">
        <v>1</v>
      </c>
    </row>
    <row r="10735" spans="1:7" x14ac:dyDescent="0.25">
      <c r="A10735">
        <v>33</v>
      </c>
      <c r="B10735" t="s">
        <v>10498</v>
      </c>
      <c r="C10735">
        <v>4753</v>
      </c>
      <c r="D10735" t="str">
        <f>"1087-1209"</f>
        <v>1087-1209</v>
      </c>
      <c r="E10735" t="s">
        <v>8</v>
      </c>
      <c r="F10735" t="s">
        <v>10742</v>
      </c>
      <c r="G10735">
        <v>1</v>
      </c>
    </row>
    <row r="10736" spans="1:7" x14ac:dyDescent="0.25">
      <c r="A10736">
        <v>33</v>
      </c>
      <c r="B10736" t="s">
        <v>10498</v>
      </c>
      <c r="C10736">
        <v>8082</v>
      </c>
      <c r="D10736" t="str">
        <f>"0928-1541"</f>
        <v>0928-1541</v>
      </c>
      <c r="E10736" t="s">
        <v>8</v>
      </c>
      <c r="F10736" t="s">
        <v>10743</v>
      </c>
      <c r="G10736">
        <v>1</v>
      </c>
    </row>
    <row r="10737" spans="1:7" x14ac:dyDescent="0.25">
      <c r="A10737">
        <v>33</v>
      </c>
      <c r="B10737" t="s">
        <v>10498</v>
      </c>
      <c r="C10737">
        <v>6270</v>
      </c>
      <c r="D10737" t="str">
        <f>"1054-3139"</f>
        <v>1054-3139</v>
      </c>
      <c r="E10737" t="s">
        <v>8</v>
      </c>
      <c r="F10737" t="s">
        <v>10744</v>
      </c>
      <c r="G10737">
        <v>1</v>
      </c>
    </row>
    <row r="10738" spans="1:7" x14ac:dyDescent="0.25">
      <c r="A10738">
        <v>33</v>
      </c>
      <c r="B10738" t="s">
        <v>10498</v>
      </c>
      <c r="C10738">
        <v>16892</v>
      </c>
      <c r="D10738" t="str">
        <f>"1461-5517"</f>
        <v>1461-5517</v>
      </c>
      <c r="E10738" t="s">
        <v>8</v>
      </c>
      <c r="F10738" t="s">
        <v>10745</v>
      </c>
      <c r="G10738">
        <v>1</v>
      </c>
    </row>
    <row r="10739" spans="1:7" x14ac:dyDescent="0.25">
      <c r="A10739">
        <v>33</v>
      </c>
      <c r="B10739" t="s">
        <v>10498</v>
      </c>
      <c r="C10739">
        <v>3839</v>
      </c>
      <c r="D10739" t="str">
        <f>"0537-197X"</f>
        <v>0537-197X</v>
      </c>
      <c r="E10739" t="s">
        <v>8</v>
      </c>
      <c r="F10739" t="s">
        <v>10746</v>
      </c>
      <c r="G10739">
        <v>1</v>
      </c>
    </row>
    <row r="10740" spans="1:7" x14ac:dyDescent="0.25">
      <c r="A10740">
        <v>33</v>
      </c>
      <c r="B10740" t="s">
        <v>10498</v>
      </c>
      <c r="C10740">
        <v>6750</v>
      </c>
      <c r="D10740" t="str">
        <f>"0965-1748"</f>
        <v>0965-1748</v>
      </c>
      <c r="E10740" t="s">
        <v>8</v>
      </c>
      <c r="F10740" t="s">
        <v>10747</v>
      </c>
      <c r="G10740">
        <v>1</v>
      </c>
    </row>
    <row r="10741" spans="1:7" x14ac:dyDescent="0.25">
      <c r="A10741">
        <v>33</v>
      </c>
      <c r="B10741" t="s">
        <v>10498</v>
      </c>
      <c r="C10741">
        <v>6942</v>
      </c>
      <c r="D10741" t="str">
        <f>"0962-1075"</f>
        <v>0962-1075</v>
      </c>
      <c r="E10741" t="s">
        <v>8</v>
      </c>
      <c r="F10741" t="s">
        <v>10748</v>
      </c>
      <c r="G10741">
        <v>1</v>
      </c>
    </row>
    <row r="10742" spans="1:7" x14ac:dyDescent="0.25">
      <c r="A10742">
        <v>33</v>
      </c>
      <c r="B10742" t="s">
        <v>10498</v>
      </c>
      <c r="C10742">
        <v>6818</v>
      </c>
      <c r="D10742" t="str">
        <f>"0964-8305"</f>
        <v>0964-8305</v>
      </c>
      <c r="E10742" t="s">
        <v>8</v>
      </c>
      <c r="F10742" t="s">
        <v>10749</v>
      </c>
      <c r="G10742">
        <v>1</v>
      </c>
    </row>
    <row r="10743" spans="1:7" x14ac:dyDescent="0.25">
      <c r="A10743">
        <v>33</v>
      </c>
      <c r="B10743" t="s">
        <v>10498</v>
      </c>
      <c r="C10743">
        <v>10645</v>
      </c>
      <c r="D10743" t="str">
        <f>"1465-5489"</f>
        <v>1465-5489</v>
      </c>
      <c r="E10743" t="s">
        <v>8</v>
      </c>
      <c r="F10743" t="s">
        <v>10750</v>
      </c>
      <c r="G10743">
        <v>1</v>
      </c>
    </row>
    <row r="10744" spans="1:7" x14ac:dyDescent="0.25">
      <c r="A10744">
        <v>33</v>
      </c>
      <c r="B10744" t="s">
        <v>10498</v>
      </c>
      <c r="C10744">
        <v>16455</v>
      </c>
      <c r="D10744" t="str">
        <f>"1462-4605"</f>
        <v>1462-4605</v>
      </c>
      <c r="E10744" t="s">
        <v>8</v>
      </c>
      <c r="F10744" t="s">
        <v>10751</v>
      </c>
      <c r="G10744">
        <v>1</v>
      </c>
    </row>
    <row r="10745" spans="1:7" x14ac:dyDescent="0.25">
      <c r="A10745">
        <v>33</v>
      </c>
      <c r="B10745" t="s">
        <v>10498</v>
      </c>
      <c r="C10745">
        <v>12258</v>
      </c>
      <c r="D10745" t="str">
        <f>"1473-5903"</f>
        <v>1473-5903</v>
      </c>
      <c r="E10745" t="s">
        <v>8</v>
      </c>
      <c r="F10745" t="s">
        <v>10752</v>
      </c>
      <c r="G10745">
        <v>1</v>
      </c>
    </row>
    <row r="10746" spans="1:7" x14ac:dyDescent="0.25">
      <c r="A10746">
        <v>33</v>
      </c>
      <c r="B10746" t="s">
        <v>10498</v>
      </c>
      <c r="C10746">
        <v>49329</v>
      </c>
      <c r="D10746" t="str">
        <f>"1560-8530"</f>
        <v>1560-8530</v>
      </c>
      <c r="E10746" t="s">
        <v>8</v>
      </c>
      <c r="F10746" t="s">
        <v>10753</v>
      </c>
      <c r="G10746">
        <v>1</v>
      </c>
    </row>
    <row r="10747" spans="1:7" x14ac:dyDescent="0.25">
      <c r="A10747">
        <v>33</v>
      </c>
      <c r="B10747" t="s">
        <v>10498</v>
      </c>
      <c r="C10747">
        <v>50118</v>
      </c>
      <c r="D10747" t="str">
        <f>"2452-5731"</f>
        <v>2452-5731</v>
      </c>
      <c r="E10747" t="s">
        <v>8</v>
      </c>
      <c r="F10747" t="s">
        <v>10754</v>
      </c>
      <c r="G10747">
        <v>1</v>
      </c>
    </row>
    <row r="10748" spans="1:7" x14ac:dyDescent="0.25">
      <c r="A10748">
        <v>33</v>
      </c>
      <c r="B10748" t="s">
        <v>10498</v>
      </c>
      <c r="C10748">
        <v>4324</v>
      </c>
      <c r="D10748" t="str">
        <f>"0972-9984"</f>
        <v>0972-9984</v>
      </c>
      <c r="E10748" t="s">
        <v>8</v>
      </c>
      <c r="F10748" t="s">
        <v>10755</v>
      </c>
      <c r="G10748">
        <v>1</v>
      </c>
    </row>
    <row r="10749" spans="1:7" x14ac:dyDescent="0.25">
      <c r="A10749">
        <v>33</v>
      </c>
      <c r="B10749" t="s">
        <v>10498</v>
      </c>
      <c r="C10749">
        <v>13398</v>
      </c>
      <c r="D10749" t="str">
        <f>"0957-4352"</f>
        <v>0957-4352</v>
      </c>
      <c r="E10749" t="s">
        <v>8</v>
      </c>
      <c r="F10749" t="s">
        <v>10756</v>
      </c>
      <c r="G10749">
        <v>1</v>
      </c>
    </row>
    <row r="10750" spans="1:7" x14ac:dyDescent="0.25">
      <c r="A10750">
        <v>33</v>
      </c>
      <c r="B10750" t="s">
        <v>10498</v>
      </c>
      <c r="C10750">
        <v>5527</v>
      </c>
      <c r="D10750" t="str">
        <f>"0306-7319"</f>
        <v>0306-7319</v>
      </c>
      <c r="E10750" t="s">
        <v>8</v>
      </c>
      <c r="F10750" t="s">
        <v>10757</v>
      </c>
      <c r="G10750">
        <v>1</v>
      </c>
    </row>
    <row r="10751" spans="1:7" x14ac:dyDescent="0.25">
      <c r="A10751">
        <v>33</v>
      </c>
      <c r="B10751" t="s">
        <v>10498</v>
      </c>
      <c r="C10751">
        <v>14589</v>
      </c>
      <c r="D10751" t="str">
        <f>"0020-7233"</f>
        <v>0020-7233</v>
      </c>
      <c r="E10751" t="s">
        <v>8</v>
      </c>
      <c r="F10751" t="s">
        <v>10758</v>
      </c>
      <c r="G10751">
        <v>1</v>
      </c>
    </row>
    <row r="10752" spans="1:7" x14ac:dyDescent="0.25">
      <c r="A10752">
        <v>33</v>
      </c>
      <c r="B10752" t="s">
        <v>10498</v>
      </c>
      <c r="C10752">
        <v>6420</v>
      </c>
      <c r="D10752" t="str">
        <f>"1553-8362"</f>
        <v>1553-8362</v>
      </c>
      <c r="E10752" t="s">
        <v>8</v>
      </c>
      <c r="F10752" t="s">
        <v>10759</v>
      </c>
      <c r="G10752">
        <v>1</v>
      </c>
    </row>
    <row r="10753" spans="1:7" x14ac:dyDescent="0.25">
      <c r="A10753">
        <v>33</v>
      </c>
      <c r="B10753" t="s">
        <v>10498</v>
      </c>
      <c r="C10753">
        <v>5961</v>
      </c>
      <c r="D10753" t="str">
        <f>"1466-6650"</f>
        <v>1466-6650</v>
      </c>
      <c r="E10753" t="s">
        <v>8</v>
      </c>
      <c r="F10753" t="s">
        <v>10760</v>
      </c>
      <c r="G10753">
        <v>1</v>
      </c>
    </row>
    <row r="10754" spans="1:7" x14ac:dyDescent="0.25">
      <c r="A10754">
        <v>33</v>
      </c>
      <c r="B10754" t="s">
        <v>10498</v>
      </c>
      <c r="C10754">
        <v>16814</v>
      </c>
      <c r="D10754" t="str">
        <f>"0967-0874"</f>
        <v>0967-0874</v>
      </c>
      <c r="E10754" t="s">
        <v>8</v>
      </c>
      <c r="F10754" t="s">
        <v>10761</v>
      </c>
      <c r="G10754">
        <v>1</v>
      </c>
    </row>
    <row r="10755" spans="1:7" x14ac:dyDescent="0.25">
      <c r="A10755">
        <v>33</v>
      </c>
      <c r="B10755" t="s">
        <v>10498</v>
      </c>
      <c r="C10755">
        <v>4942</v>
      </c>
      <c r="D10755" t="str">
        <f>"1522-6514"</f>
        <v>1522-6514</v>
      </c>
      <c r="E10755" t="s">
        <v>8</v>
      </c>
      <c r="F10755" t="s">
        <v>10762</v>
      </c>
      <c r="G10755">
        <v>1</v>
      </c>
    </row>
    <row r="10756" spans="1:7" x14ac:dyDescent="0.25">
      <c r="A10756">
        <v>33</v>
      </c>
      <c r="B10756" t="s">
        <v>10498</v>
      </c>
      <c r="C10756">
        <v>3272</v>
      </c>
      <c r="D10756" t="str">
        <f>"1571-5124"</f>
        <v>1571-5124</v>
      </c>
      <c r="E10756" t="s">
        <v>8</v>
      </c>
      <c r="F10756" t="s">
        <v>10763</v>
      </c>
      <c r="G10756">
        <v>1</v>
      </c>
    </row>
    <row r="10757" spans="1:7" x14ac:dyDescent="0.25">
      <c r="A10757">
        <v>33</v>
      </c>
      <c r="B10757" t="s">
        <v>10498</v>
      </c>
      <c r="C10757">
        <v>3672</v>
      </c>
      <c r="D10757" t="str">
        <f>"1466-5026"</f>
        <v>1466-5026</v>
      </c>
      <c r="E10757" t="s">
        <v>8</v>
      </c>
      <c r="F10757" t="s">
        <v>10764</v>
      </c>
      <c r="G10757">
        <v>1</v>
      </c>
    </row>
    <row r="10758" spans="1:7" x14ac:dyDescent="0.25">
      <c r="A10758">
        <v>33</v>
      </c>
      <c r="B10758" t="s">
        <v>10498</v>
      </c>
      <c r="C10758">
        <v>19297</v>
      </c>
      <c r="D10758" t="str">
        <f>"1931-5260"</f>
        <v>1931-5260</v>
      </c>
      <c r="E10758" t="s">
        <v>8</v>
      </c>
      <c r="F10758" t="s">
        <v>10765</v>
      </c>
      <c r="G10758">
        <v>1</v>
      </c>
    </row>
    <row r="10759" spans="1:7" x14ac:dyDescent="0.25">
      <c r="A10759">
        <v>33</v>
      </c>
      <c r="B10759" t="s">
        <v>10498</v>
      </c>
      <c r="C10759">
        <v>8056</v>
      </c>
      <c r="D10759" t="str">
        <f>"2042-6445"</f>
        <v>2042-6445</v>
      </c>
      <c r="E10759" t="s">
        <v>8</v>
      </c>
      <c r="F10759" t="s">
        <v>10766</v>
      </c>
      <c r="G10759">
        <v>1</v>
      </c>
    </row>
    <row r="10760" spans="1:7" x14ac:dyDescent="0.25">
      <c r="A10760">
        <v>33</v>
      </c>
      <c r="B10760" t="s">
        <v>10498</v>
      </c>
      <c r="C10760">
        <v>22369</v>
      </c>
      <c r="D10760" t="str">
        <f>"1939-7291"</f>
        <v>1939-7291</v>
      </c>
      <c r="E10760" t="s">
        <v>8</v>
      </c>
      <c r="F10760" t="s">
        <v>10767</v>
      </c>
      <c r="G10760">
        <v>1</v>
      </c>
    </row>
    <row r="10761" spans="1:7" x14ac:dyDescent="0.25">
      <c r="A10761">
        <v>33</v>
      </c>
      <c r="B10761" t="s">
        <v>10498</v>
      </c>
      <c r="C10761">
        <v>4405</v>
      </c>
      <c r="D10761" t="str">
        <f>"0791-6833"</f>
        <v>0791-6833</v>
      </c>
      <c r="E10761" t="s">
        <v>8</v>
      </c>
      <c r="F10761" t="s">
        <v>10768</v>
      </c>
      <c r="G10761">
        <v>1</v>
      </c>
    </row>
    <row r="10762" spans="1:7" x14ac:dyDescent="0.25">
      <c r="A10762">
        <v>33</v>
      </c>
      <c r="B10762" t="s">
        <v>10498</v>
      </c>
      <c r="C10762">
        <v>12467</v>
      </c>
      <c r="D10762" t="str">
        <f>"1531-0353"</f>
        <v>1531-0353</v>
      </c>
      <c r="E10762" t="s">
        <v>8</v>
      </c>
      <c r="F10762" t="s">
        <v>10769</v>
      </c>
      <c r="G10762">
        <v>1</v>
      </c>
    </row>
    <row r="10763" spans="1:7" x14ac:dyDescent="0.25">
      <c r="A10763">
        <v>33</v>
      </c>
      <c r="B10763" t="s">
        <v>10498</v>
      </c>
      <c r="C10763">
        <v>10550</v>
      </c>
      <c r="D10763" t="str">
        <f>"1125-4718"</f>
        <v>1125-4718</v>
      </c>
      <c r="E10763" t="s">
        <v>8</v>
      </c>
      <c r="F10763" t="s">
        <v>10770</v>
      </c>
      <c r="G10763">
        <v>1</v>
      </c>
    </row>
    <row r="10764" spans="1:7" x14ac:dyDescent="0.25">
      <c r="A10764">
        <v>33</v>
      </c>
      <c r="B10764" t="s">
        <v>10498</v>
      </c>
      <c r="C10764">
        <v>716</v>
      </c>
      <c r="D10764" t="str">
        <f>"1594-4077"</f>
        <v>1594-4077</v>
      </c>
      <c r="E10764" t="s">
        <v>8</v>
      </c>
      <c r="F10764" t="s">
        <v>10771</v>
      </c>
      <c r="G10764">
        <v>1</v>
      </c>
    </row>
    <row r="10765" spans="1:7" x14ac:dyDescent="0.25">
      <c r="A10765">
        <v>33</v>
      </c>
      <c r="B10765" t="s">
        <v>10498</v>
      </c>
      <c r="C10765">
        <v>6869</v>
      </c>
      <c r="D10765" t="str">
        <f>"0021-3551"</f>
        <v>0021-3551</v>
      </c>
      <c r="E10765" t="s">
        <v>8</v>
      </c>
      <c r="F10765" t="s">
        <v>10772</v>
      </c>
      <c r="G10765">
        <v>1</v>
      </c>
    </row>
    <row r="10766" spans="1:7" x14ac:dyDescent="0.25">
      <c r="A10766">
        <v>33</v>
      </c>
      <c r="B10766" t="s">
        <v>10498</v>
      </c>
      <c r="C10766">
        <v>4418</v>
      </c>
      <c r="D10766" t="str">
        <f>"1617-1381"</f>
        <v>1617-1381</v>
      </c>
      <c r="E10766" t="s">
        <v>8</v>
      </c>
      <c r="F10766" t="s">
        <v>10773</v>
      </c>
      <c r="G10766">
        <v>1</v>
      </c>
    </row>
    <row r="10767" spans="1:7" x14ac:dyDescent="0.25">
      <c r="A10767">
        <v>33</v>
      </c>
      <c r="B10767" t="s">
        <v>10498</v>
      </c>
      <c r="C10767">
        <v>10071</v>
      </c>
      <c r="D10767" t="str">
        <f>"1471-0358"</f>
        <v>1471-0358</v>
      </c>
      <c r="E10767" t="s">
        <v>8</v>
      </c>
      <c r="F10767" t="s">
        <v>10774</v>
      </c>
      <c r="G10767">
        <v>1</v>
      </c>
    </row>
    <row r="10768" spans="1:7" x14ac:dyDescent="0.25">
      <c r="A10768">
        <v>33</v>
      </c>
      <c r="B10768" t="s">
        <v>10498</v>
      </c>
      <c r="C10768">
        <v>257</v>
      </c>
      <c r="D10768" t="str">
        <f>"1049-6505"</f>
        <v>1049-6505</v>
      </c>
      <c r="E10768" t="s">
        <v>8</v>
      </c>
      <c r="F10768" t="s">
        <v>10775</v>
      </c>
      <c r="G10768">
        <v>1</v>
      </c>
    </row>
    <row r="10769" spans="1:7" x14ac:dyDescent="0.25">
      <c r="A10769">
        <v>33</v>
      </c>
      <c r="B10769" t="s">
        <v>10498</v>
      </c>
      <c r="C10769">
        <v>11794</v>
      </c>
      <c r="D10769" t="str">
        <f>"1074-0708"</f>
        <v>1074-0708</v>
      </c>
      <c r="E10769" t="s">
        <v>8</v>
      </c>
      <c r="F10769" t="s">
        <v>10776</v>
      </c>
      <c r="G10769">
        <v>1</v>
      </c>
    </row>
    <row r="10770" spans="1:7" x14ac:dyDescent="0.25">
      <c r="A10770">
        <v>33</v>
      </c>
      <c r="B10770" t="s">
        <v>10498</v>
      </c>
      <c r="C10770">
        <v>9097</v>
      </c>
      <c r="D10770" t="str">
        <f>"1187-7863"</f>
        <v>1187-7863</v>
      </c>
      <c r="E10770" t="s">
        <v>8</v>
      </c>
      <c r="F10770" t="s">
        <v>10777</v>
      </c>
      <c r="G10770">
        <v>1</v>
      </c>
    </row>
    <row r="10771" spans="1:7" x14ac:dyDescent="0.25">
      <c r="A10771">
        <v>33</v>
      </c>
      <c r="B10771" t="s">
        <v>10498</v>
      </c>
      <c r="C10771">
        <v>11360</v>
      </c>
      <c r="D10771" t="str">
        <f>"1523-5475"</f>
        <v>1523-5475</v>
      </c>
      <c r="E10771" t="s">
        <v>8</v>
      </c>
      <c r="F10771" t="s">
        <v>10778</v>
      </c>
      <c r="G10771">
        <v>1</v>
      </c>
    </row>
    <row r="10772" spans="1:7" x14ac:dyDescent="0.25">
      <c r="A10772">
        <v>33</v>
      </c>
      <c r="B10772" t="s">
        <v>10498</v>
      </c>
      <c r="C10772">
        <v>16845</v>
      </c>
      <c r="D10772" t="str">
        <f>"1085-7117"</f>
        <v>1085-7117</v>
      </c>
      <c r="E10772" t="s">
        <v>8</v>
      </c>
      <c r="F10772" t="s">
        <v>10779</v>
      </c>
      <c r="G10772">
        <v>1</v>
      </c>
    </row>
    <row r="10773" spans="1:7" x14ac:dyDescent="0.25">
      <c r="A10773">
        <v>33</v>
      </c>
      <c r="B10773" t="s">
        <v>10498</v>
      </c>
      <c r="C10773">
        <v>2736</v>
      </c>
      <c r="D10773" t="str">
        <f>"1612-9830"</f>
        <v>1612-9830</v>
      </c>
      <c r="E10773" t="s">
        <v>8</v>
      </c>
      <c r="F10773" t="s">
        <v>10780</v>
      </c>
      <c r="G10773">
        <v>1</v>
      </c>
    </row>
    <row r="10774" spans="1:7" x14ac:dyDescent="0.25">
      <c r="A10774">
        <v>33</v>
      </c>
      <c r="B10774" t="s">
        <v>10498</v>
      </c>
      <c r="C10774">
        <v>9166</v>
      </c>
      <c r="D10774" t="str">
        <f>"0041-994X"</f>
        <v>0041-994X</v>
      </c>
      <c r="E10774" t="s">
        <v>8</v>
      </c>
      <c r="F10774" t="s">
        <v>10781</v>
      </c>
      <c r="G10774">
        <v>1</v>
      </c>
    </row>
    <row r="10775" spans="1:7" x14ac:dyDescent="0.25">
      <c r="A10775">
        <v>33</v>
      </c>
      <c r="B10775" t="s">
        <v>10498</v>
      </c>
      <c r="C10775">
        <v>3212</v>
      </c>
      <c r="D10775" t="str">
        <f>"1059-924X"</f>
        <v>1059-924X</v>
      </c>
      <c r="E10775" t="s">
        <v>8</v>
      </c>
      <c r="F10775" t="s">
        <v>10782</v>
      </c>
      <c r="G10775">
        <v>1</v>
      </c>
    </row>
    <row r="10776" spans="1:7" x14ac:dyDescent="0.25">
      <c r="A10776">
        <v>33</v>
      </c>
      <c r="B10776" t="s">
        <v>10498</v>
      </c>
      <c r="C10776">
        <v>9169</v>
      </c>
      <c r="D10776" t="str">
        <f>"0931-2250"</f>
        <v>0931-2250</v>
      </c>
      <c r="E10776" t="s">
        <v>8</v>
      </c>
      <c r="F10776" t="s">
        <v>10783</v>
      </c>
      <c r="G10776">
        <v>1</v>
      </c>
    </row>
    <row r="10777" spans="1:7" x14ac:dyDescent="0.25">
      <c r="A10777">
        <v>33</v>
      </c>
      <c r="B10777" t="s">
        <v>10498</v>
      </c>
      <c r="C10777">
        <v>2459</v>
      </c>
      <c r="D10777" t="str">
        <f>"1527-3741"</f>
        <v>1527-3741</v>
      </c>
      <c r="E10777" t="s">
        <v>8</v>
      </c>
      <c r="F10777" t="s">
        <v>10784</v>
      </c>
      <c r="G10777">
        <v>1</v>
      </c>
    </row>
    <row r="10778" spans="1:7" x14ac:dyDescent="0.25">
      <c r="A10778">
        <v>33</v>
      </c>
      <c r="B10778" t="s">
        <v>10498</v>
      </c>
      <c r="C10778">
        <v>11363</v>
      </c>
      <c r="D10778" t="str">
        <f>"1230-1388"</f>
        <v>1230-1388</v>
      </c>
      <c r="E10778" t="s">
        <v>8</v>
      </c>
      <c r="F10778" t="s">
        <v>10785</v>
      </c>
      <c r="G10778">
        <v>1</v>
      </c>
    </row>
    <row r="10779" spans="1:7" x14ac:dyDescent="0.25">
      <c r="A10779">
        <v>33</v>
      </c>
      <c r="B10779" t="s">
        <v>10498</v>
      </c>
      <c r="C10779">
        <v>7232</v>
      </c>
      <c r="D10779" t="str">
        <f>"0931-2668"</f>
        <v>0931-2668</v>
      </c>
      <c r="E10779" t="s">
        <v>8</v>
      </c>
      <c r="F10779" t="s">
        <v>10786</v>
      </c>
      <c r="G10779">
        <v>1</v>
      </c>
    </row>
    <row r="10780" spans="1:7" x14ac:dyDescent="0.25">
      <c r="A10780">
        <v>33</v>
      </c>
      <c r="B10780" t="s">
        <v>10498</v>
      </c>
      <c r="C10780">
        <v>6756</v>
      </c>
      <c r="D10780" t="str">
        <f>"0931-2439"</f>
        <v>0931-2439</v>
      </c>
      <c r="E10780" t="s">
        <v>8</v>
      </c>
      <c r="F10780" t="s">
        <v>10787</v>
      </c>
      <c r="G10780">
        <v>1</v>
      </c>
    </row>
    <row r="10781" spans="1:7" x14ac:dyDescent="0.25">
      <c r="A10781">
        <v>33</v>
      </c>
      <c r="B10781" t="s">
        <v>10498</v>
      </c>
      <c r="C10781">
        <v>5302</v>
      </c>
      <c r="D10781" t="str">
        <f>"0021-8812"</f>
        <v>0021-8812</v>
      </c>
      <c r="E10781" t="s">
        <v>8</v>
      </c>
      <c r="F10781" t="s">
        <v>10788</v>
      </c>
      <c r="G10781">
        <v>1</v>
      </c>
    </row>
    <row r="10782" spans="1:7" x14ac:dyDescent="0.25">
      <c r="A10782">
        <v>33</v>
      </c>
      <c r="B10782" t="s">
        <v>10498</v>
      </c>
      <c r="C10782">
        <v>152099</v>
      </c>
      <c r="D10782" t="str">
        <f>"1751-2891"</f>
        <v>1751-2891</v>
      </c>
      <c r="E10782" t="s">
        <v>8</v>
      </c>
      <c r="F10782" t="s">
        <v>10789</v>
      </c>
      <c r="G10782">
        <v>1</v>
      </c>
    </row>
    <row r="10783" spans="1:7" x14ac:dyDescent="0.25">
      <c r="A10783">
        <v>33</v>
      </c>
      <c r="B10783" t="s">
        <v>10498</v>
      </c>
      <c r="C10783">
        <v>13537</v>
      </c>
      <c r="D10783" t="str">
        <f>"0971-2119"</f>
        <v>0971-2119</v>
      </c>
      <c r="E10783" t="s">
        <v>8</v>
      </c>
      <c r="F10783" t="s">
        <v>10790</v>
      </c>
      <c r="G10783">
        <v>1</v>
      </c>
    </row>
    <row r="10784" spans="1:7" x14ac:dyDescent="0.25">
      <c r="A10784">
        <v>33</v>
      </c>
      <c r="B10784" t="s">
        <v>10498</v>
      </c>
      <c r="C10784">
        <v>266</v>
      </c>
      <c r="D10784" t="str">
        <f>"1088-8705"</f>
        <v>1088-8705</v>
      </c>
      <c r="E10784" t="s">
        <v>8</v>
      </c>
      <c r="F10784" t="s">
        <v>10791</v>
      </c>
      <c r="G10784">
        <v>1</v>
      </c>
    </row>
    <row r="10785" spans="1:7" x14ac:dyDescent="0.25">
      <c r="A10785">
        <v>33</v>
      </c>
      <c r="B10785" t="s">
        <v>10498</v>
      </c>
      <c r="C10785">
        <v>8757</v>
      </c>
      <c r="D10785" t="str">
        <f>"1045-4438"</f>
        <v>1045-4438</v>
      </c>
      <c r="E10785" t="s">
        <v>8</v>
      </c>
      <c r="F10785" t="s">
        <v>10792</v>
      </c>
      <c r="G10785">
        <v>1</v>
      </c>
    </row>
    <row r="10786" spans="1:7" x14ac:dyDescent="0.25">
      <c r="A10786">
        <v>33</v>
      </c>
      <c r="B10786" t="s">
        <v>10498</v>
      </c>
      <c r="C10786">
        <v>5154</v>
      </c>
      <c r="D10786" t="str">
        <f>"1071-2089"</f>
        <v>1071-2089</v>
      </c>
      <c r="E10786" t="s">
        <v>8</v>
      </c>
      <c r="F10786" t="s">
        <v>10793</v>
      </c>
      <c r="G10786">
        <v>1</v>
      </c>
    </row>
    <row r="10787" spans="1:7" x14ac:dyDescent="0.25">
      <c r="A10787">
        <v>33</v>
      </c>
      <c r="B10787" t="s">
        <v>10498</v>
      </c>
      <c r="C10787">
        <v>12987</v>
      </c>
      <c r="D10787" t="str">
        <f>"1613-9216"</f>
        <v>1613-9216</v>
      </c>
      <c r="E10787" t="s">
        <v>8</v>
      </c>
      <c r="F10787" t="s">
        <v>10794</v>
      </c>
      <c r="G10787">
        <v>1</v>
      </c>
    </row>
    <row r="10788" spans="1:7" x14ac:dyDescent="0.25">
      <c r="A10788">
        <v>33</v>
      </c>
      <c r="B10788" t="s">
        <v>10498</v>
      </c>
      <c r="C10788">
        <v>7949</v>
      </c>
      <c r="D10788" t="str">
        <f>"0931-2048"</f>
        <v>0931-2048</v>
      </c>
      <c r="E10788" t="s">
        <v>8</v>
      </c>
      <c r="F10788" t="s">
        <v>10795</v>
      </c>
      <c r="G10788">
        <v>1</v>
      </c>
    </row>
    <row r="10789" spans="1:7" x14ac:dyDescent="0.25">
      <c r="A10789">
        <v>33</v>
      </c>
      <c r="B10789" t="s">
        <v>10498</v>
      </c>
      <c r="C10789">
        <v>6814</v>
      </c>
      <c r="D10789" t="str">
        <f>"0175-8659"</f>
        <v>0175-8659</v>
      </c>
      <c r="E10789" t="s">
        <v>8</v>
      </c>
      <c r="F10789" t="s">
        <v>10796</v>
      </c>
      <c r="G10789">
        <v>1</v>
      </c>
    </row>
    <row r="10790" spans="1:7" x14ac:dyDescent="0.25">
      <c r="A10790">
        <v>33</v>
      </c>
      <c r="B10790" t="s">
        <v>10498</v>
      </c>
      <c r="C10790">
        <v>263</v>
      </c>
      <c r="D10790" t="str">
        <f>"1364-5072"</f>
        <v>1364-5072</v>
      </c>
      <c r="E10790" t="s">
        <v>8</v>
      </c>
      <c r="F10790" t="s">
        <v>10797</v>
      </c>
      <c r="G10790">
        <v>1</v>
      </c>
    </row>
    <row r="10791" spans="1:7" x14ac:dyDescent="0.25">
      <c r="A10791">
        <v>33</v>
      </c>
      <c r="B10791" t="s">
        <v>10498</v>
      </c>
      <c r="C10791">
        <v>41</v>
      </c>
      <c r="D10791" t="str">
        <f>"0146-6623"</f>
        <v>0146-6623</v>
      </c>
      <c r="E10791" t="s">
        <v>8</v>
      </c>
      <c r="F10791" t="s">
        <v>10798</v>
      </c>
      <c r="G10791">
        <v>1</v>
      </c>
    </row>
    <row r="10792" spans="1:7" x14ac:dyDescent="0.25">
      <c r="A10792">
        <v>33</v>
      </c>
      <c r="B10792" t="s">
        <v>10498</v>
      </c>
      <c r="C10792">
        <v>1425</v>
      </c>
      <c r="D10792" t="str">
        <f>"0098-0331"</f>
        <v>0098-0331</v>
      </c>
      <c r="E10792" t="s">
        <v>8</v>
      </c>
      <c r="F10792" t="s">
        <v>10799</v>
      </c>
      <c r="G10792">
        <v>1</v>
      </c>
    </row>
    <row r="10793" spans="1:7" x14ac:dyDescent="0.25">
      <c r="A10793">
        <v>33</v>
      </c>
      <c r="B10793" t="s">
        <v>10498</v>
      </c>
      <c r="C10793">
        <v>14223</v>
      </c>
      <c r="D10793" t="str">
        <f>"0021-9673"</f>
        <v>0021-9673</v>
      </c>
      <c r="E10793" t="s">
        <v>8</v>
      </c>
      <c r="F10793" t="s">
        <v>10800</v>
      </c>
      <c r="G10793">
        <v>1</v>
      </c>
    </row>
    <row r="10794" spans="1:7" x14ac:dyDescent="0.25">
      <c r="A10794">
        <v>33</v>
      </c>
      <c r="B10794" t="s">
        <v>10498</v>
      </c>
      <c r="C10794">
        <v>1251</v>
      </c>
      <c r="D10794" t="str">
        <f>"0749-0208"</f>
        <v>0749-0208</v>
      </c>
      <c r="E10794" t="s">
        <v>8</v>
      </c>
      <c r="F10794" t="s">
        <v>10801</v>
      </c>
      <c r="G10794">
        <v>1</v>
      </c>
    </row>
    <row r="10795" spans="1:7" x14ac:dyDescent="0.25">
      <c r="A10795">
        <v>33</v>
      </c>
      <c r="B10795" t="s">
        <v>10498</v>
      </c>
      <c r="C10795">
        <v>12446</v>
      </c>
      <c r="D10795" t="str">
        <f>"0169-7722"</f>
        <v>0169-7722</v>
      </c>
      <c r="E10795" t="s">
        <v>8</v>
      </c>
      <c r="F10795" t="s">
        <v>10802</v>
      </c>
      <c r="G10795">
        <v>1</v>
      </c>
    </row>
    <row r="10796" spans="1:7" x14ac:dyDescent="0.25">
      <c r="A10796">
        <v>33</v>
      </c>
      <c r="B10796" t="s">
        <v>10498</v>
      </c>
      <c r="C10796">
        <v>256</v>
      </c>
      <c r="D10796" t="str">
        <f>"1523-6919"</f>
        <v>1523-6919</v>
      </c>
      <c r="E10796" t="s">
        <v>8</v>
      </c>
      <c r="F10796" t="s">
        <v>10803</v>
      </c>
      <c r="G10796">
        <v>1</v>
      </c>
    </row>
    <row r="10797" spans="1:7" x14ac:dyDescent="0.25">
      <c r="A10797">
        <v>33</v>
      </c>
      <c r="B10797" t="s">
        <v>10498</v>
      </c>
      <c r="C10797">
        <v>13148</v>
      </c>
      <c r="D10797" t="str">
        <f>"1542-7528"</f>
        <v>1542-7528</v>
      </c>
      <c r="E10797" t="s">
        <v>8</v>
      </c>
      <c r="F10797" t="s">
        <v>10804</v>
      </c>
      <c r="G10797">
        <v>1</v>
      </c>
    </row>
    <row r="10798" spans="1:7" x14ac:dyDescent="0.25">
      <c r="A10798">
        <v>33</v>
      </c>
      <c r="B10798" t="s">
        <v>10498</v>
      </c>
      <c r="C10798">
        <v>1817</v>
      </c>
      <c r="D10798" t="str">
        <f>"0022-0493"</f>
        <v>0022-0493</v>
      </c>
      <c r="E10798" t="s">
        <v>8</v>
      </c>
      <c r="F10798" t="s">
        <v>10805</v>
      </c>
      <c r="G10798">
        <v>1</v>
      </c>
    </row>
    <row r="10799" spans="1:7" x14ac:dyDescent="0.25">
      <c r="A10799">
        <v>33</v>
      </c>
      <c r="B10799" t="s">
        <v>10498</v>
      </c>
      <c r="C10799">
        <v>4978</v>
      </c>
      <c r="D10799" t="str">
        <f>"1093-4529"</f>
        <v>1093-4529</v>
      </c>
      <c r="E10799" t="s">
        <v>8</v>
      </c>
      <c r="F10799" t="s">
        <v>10806</v>
      </c>
      <c r="G10799">
        <v>1</v>
      </c>
    </row>
    <row r="10800" spans="1:7" x14ac:dyDescent="0.25">
      <c r="A10800">
        <v>33</v>
      </c>
      <c r="B10800" t="s">
        <v>10498</v>
      </c>
      <c r="C10800">
        <v>6194</v>
      </c>
      <c r="D10800" t="str">
        <f>"0360-1234"</f>
        <v>0360-1234</v>
      </c>
      <c r="E10800" t="s">
        <v>8</v>
      </c>
      <c r="F10800" t="s">
        <v>10807</v>
      </c>
      <c r="G10800">
        <v>1</v>
      </c>
    </row>
    <row r="10801" spans="1:7" x14ac:dyDescent="0.25">
      <c r="A10801">
        <v>33</v>
      </c>
      <c r="B10801" t="s">
        <v>10498</v>
      </c>
      <c r="C10801">
        <v>12754</v>
      </c>
      <c r="D10801" t="str">
        <f>"1059-0501"</f>
        <v>1059-0501</v>
      </c>
      <c r="E10801" t="s">
        <v>8</v>
      </c>
      <c r="F10801" t="s">
        <v>10808</v>
      </c>
      <c r="G10801">
        <v>1</v>
      </c>
    </row>
    <row r="10802" spans="1:7" x14ac:dyDescent="0.25">
      <c r="A10802">
        <v>33</v>
      </c>
      <c r="B10802" t="s">
        <v>10498</v>
      </c>
      <c r="C10802">
        <v>5907</v>
      </c>
      <c r="D10802" t="str">
        <f>"1001-0742"</f>
        <v>1001-0742</v>
      </c>
      <c r="E10802" t="s">
        <v>8</v>
      </c>
      <c r="F10802" t="s">
        <v>10809</v>
      </c>
      <c r="G10802">
        <v>1</v>
      </c>
    </row>
    <row r="10803" spans="1:7" x14ac:dyDescent="0.25">
      <c r="A10803">
        <v>33</v>
      </c>
      <c r="B10803" t="s">
        <v>10498</v>
      </c>
      <c r="C10803">
        <v>2864</v>
      </c>
      <c r="D10803" t="str">
        <f>"1340-3516"</f>
        <v>1340-3516</v>
      </c>
      <c r="E10803" t="s">
        <v>8</v>
      </c>
      <c r="F10803" t="s">
        <v>10810</v>
      </c>
      <c r="G10803">
        <v>1</v>
      </c>
    </row>
    <row r="10804" spans="1:7" x14ac:dyDescent="0.25">
      <c r="A10804">
        <v>33</v>
      </c>
      <c r="B10804" t="s">
        <v>10498</v>
      </c>
      <c r="C10804">
        <v>11293</v>
      </c>
      <c r="D10804" t="str">
        <f>"0972-060X"</f>
        <v>0972-060X</v>
      </c>
      <c r="E10804" t="s">
        <v>8</v>
      </c>
      <c r="F10804" t="s">
        <v>10811</v>
      </c>
      <c r="G10804">
        <v>1</v>
      </c>
    </row>
    <row r="10805" spans="1:7" x14ac:dyDescent="0.25">
      <c r="A10805">
        <v>33</v>
      </c>
      <c r="B10805" t="s">
        <v>10498</v>
      </c>
      <c r="C10805">
        <v>7771</v>
      </c>
      <c r="D10805" t="str">
        <f>"0022-0981"</f>
        <v>0022-0981</v>
      </c>
      <c r="E10805" t="s">
        <v>8</v>
      </c>
      <c r="F10805" t="s">
        <v>10812</v>
      </c>
      <c r="G10805">
        <v>1</v>
      </c>
    </row>
    <row r="10806" spans="1:7" x14ac:dyDescent="0.25">
      <c r="A10806">
        <v>33</v>
      </c>
      <c r="B10806" t="s">
        <v>10498</v>
      </c>
      <c r="C10806">
        <v>5403</v>
      </c>
      <c r="D10806" t="str">
        <f>"1104-6899"</f>
        <v>1104-6899</v>
      </c>
      <c r="E10806" t="s">
        <v>8</v>
      </c>
      <c r="F10806" t="s">
        <v>10813</v>
      </c>
      <c r="G10806">
        <v>1</v>
      </c>
    </row>
    <row r="10807" spans="1:7" x14ac:dyDescent="0.25">
      <c r="A10807">
        <v>33</v>
      </c>
      <c r="B10807" t="s">
        <v>10498</v>
      </c>
      <c r="C10807">
        <v>6926</v>
      </c>
      <c r="D10807" t="str">
        <f>"1341-6979"</f>
        <v>1341-6979</v>
      </c>
      <c r="E10807" t="s">
        <v>8</v>
      </c>
      <c r="F10807" t="s">
        <v>10814</v>
      </c>
      <c r="G10807">
        <v>1</v>
      </c>
    </row>
    <row r="10808" spans="1:7" x14ac:dyDescent="0.25">
      <c r="A10808">
        <v>33</v>
      </c>
      <c r="B10808" t="s">
        <v>10498</v>
      </c>
      <c r="C10808">
        <v>4400</v>
      </c>
      <c r="D10808" t="str">
        <f>"0022-1201"</f>
        <v>0022-1201</v>
      </c>
      <c r="E10808" t="s">
        <v>8</v>
      </c>
      <c r="F10808" t="s">
        <v>10815</v>
      </c>
      <c r="G10808">
        <v>1</v>
      </c>
    </row>
    <row r="10809" spans="1:7" x14ac:dyDescent="0.25">
      <c r="A10809">
        <v>33</v>
      </c>
      <c r="B10809" t="s">
        <v>10498</v>
      </c>
      <c r="C10809">
        <v>130</v>
      </c>
      <c r="D10809" t="str">
        <f>"1462-0316"</f>
        <v>1462-0316</v>
      </c>
      <c r="E10809" t="s">
        <v>8</v>
      </c>
      <c r="F10809" t="s">
        <v>10816</v>
      </c>
      <c r="G10809">
        <v>1</v>
      </c>
    </row>
    <row r="10810" spans="1:7" x14ac:dyDescent="0.25">
      <c r="A10810">
        <v>33</v>
      </c>
      <c r="B10810" t="s">
        <v>10498</v>
      </c>
      <c r="C10810">
        <v>8758259</v>
      </c>
      <c r="D10810" t="str">
        <f>"2352-4588"</f>
        <v>2352-4588</v>
      </c>
      <c r="E10810" t="s">
        <v>8</v>
      </c>
      <c r="F10810" t="s">
        <v>10817</v>
      </c>
      <c r="G10810">
        <v>1</v>
      </c>
    </row>
    <row r="10811" spans="1:7" x14ac:dyDescent="0.25">
      <c r="A10811">
        <v>33</v>
      </c>
      <c r="B10811" t="s">
        <v>10498</v>
      </c>
      <c r="C10811">
        <v>23769</v>
      </c>
      <c r="D10811" t="str">
        <f>"1747-423X"</f>
        <v>1747-423X</v>
      </c>
      <c r="E10811" t="s">
        <v>8</v>
      </c>
      <c r="F10811" t="s">
        <v>10818</v>
      </c>
      <c r="G10811">
        <v>1</v>
      </c>
    </row>
    <row r="10812" spans="1:7" x14ac:dyDescent="0.25">
      <c r="A10812">
        <v>33</v>
      </c>
      <c r="B10812" t="s">
        <v>10498</v>
      </c>
      <c r="C10812">
        <v>2372</v>
      </c>
      <c r="D10812" t="str">
        <f>"1082-6076"</f>
        <v>1082-6076</v>
      </c>
      <c r="E10812" t="s">
        <v>8</v>
      </c>
      <c r="F10812" t="s">
        <v>10819</v>
      </c>
      <c r="G10812">
        <v>1</v>
      </c>
    </row>
    <row r="10813" spans="1:7" x14ac:dyDescent="0.25">
      <c r="A10813">
        <v>33</v>
      </c>
      <c r="B10813" t="s">
        <v>10498</v>
      </c>
      <c r="C10813">
        <v>9381</v>
      </c>
      <c r="D10813" t="str">
        <f>"0022-2402"</f>
        <v>0022-2402</v>
      </c>
      <c r="E10813" t="s">
        <v>8</v>
      </c>
      <c r="F10813" t="s">
        <v>10820</v>
      </c>
      <c r="G10813">
        <v>1</v>
      </c>
    </row>
    <row r="10814" spans="1:7" x14ac:dyDescent="0.25">
      <c r="A10814">
        <v>33</v>
      </c>
      <c r="B10814" t="s">
        <v>10498</v>
      </c>
      <c r="C10814">
        <v>9685</v>
      </c>
      <c r="D10814" t="str">
        <f>"1076-5174"</f>
        <v>1076-5174</v>
      </c>
      <c r="E10814" t="s">
        <v>8</v>
      </c>
      <c r="F10814" t="s">
        <v>10821</v>
      </c>
      <c r="G10814">
        <v>1</v>
      </c>
    </row>
    <row r="10815" spans="1:7" x14ac:dyDescent="0.25">
      <c r="A10815">
        <v>33</v>
      </c>
      <c r="B10815" t="s">
        <v>10498</v>
      </c>
      <c r="C10815">
        <v>2773</v>
      </c>
      <c r="D10815" t="str">
        <f>"0167-7012"</f>
        <v>0167-7012</v>
      </c>
      <c r="E10815" t="s">
        <v>8</v>
      </c>
      <c r="F10815" t="s">
        <v>10822</v>
      </c>
      <c r="G10815">
        <v>1</v>
      </c>
    </row>
    <row r="10816" spans="1:7" x14ac:dyDescent="0.25">
      <c r="A10816">
        <v>33</v>
      </c>
      <c r="B10816" t="s">
        <v>10498</v>
      </c>
      <c r="C10816">
        <v>148458</v>
      </c>
      <c r="D10816" t="str">
        <f>"0250-6408"</f>
        <v>0250-6408</v>
      </c>
      <c r="E10816" t="s">
        <v>8</v>
      </c>
      <c r="F10816" t="s">
        <v>10823</v>
      </c>
      <c r="G10816">
        <v>1</v>
      </c>
    </row>
    <row r="10817" spans="1:7" x14ac:dyDescent="0.25">
      <c r="A10817">
        <v>33</v>
      </c>
      <c r="B10817" t="s">
        <v>10498</v>
      </c>
      <c r="C10817">
        <v>7754396</v>
      </c>
      <c r="D10817" t="str">
        <f>"2213-0780"</f>
        <v>2213-0780</v>
      </c>
      <c r="E10817" t="s">
        <v>8</v>
      </c>
      <c r="F10817" t="s">
        <v>10824</v>
      </c>
      <c r="G10817">
        <v>1</v>
      </c>
    </row>
    <row r="10818" spans="1:7" x14ac:dyDescent="0.25">
      <c r="A10818">
        <v>33</v>
      </c>
      <c r="B10818" t="s">
        <v>10498</v>
      </c>
      <c r="C10818">
        <v>7706</v>
      </c>
      <c r="D10818" t="str">
        <f>"0921-2728"</f>
        <v>0921-2728</v>
      </c>
      <c r="E10818" t="s">
        <v>8</v>
      </c>
      <c r="F10818" t="s">
        <v>10825</v>
      </c>
      <c r="G10818">
        <v>1</v>
      </c>
    </row>
    <row r="10819" spans="1:7" x14ac:dyDescent="0.25">
      <c r="A10819">
        <v>33</v>
      </c>
      <c r="B10819" t="s">
        <v>10498</v>
      </c>
      <c r="C10819">
        <v>14033</v>
      </c>
      <c r="D10819" t="str">
        <f>"1612-4758"</f>
        <v>1612-4758</v>
      </c>
      <c r="E10819" t="s">
        <v>8</v>
      </c>
      <c r="F10819" t="s">
        <v>10826</v>
      </c>
      <c r="G10819">
        <v>1</v>
      </c>
    </row>
    <row r="10820" spans="1:7" x14ac:dyDescent="0.25">
      <c r="A10820">
        <v>33</v>
      </c>
      <c r="B10820" t="s">
        <v>10498</v>
      </c>
      <c r="C10820">
        <v>5681</v>
      </c>
      <c r="D10820" t="str">
        <f>"1348-589X"</f>
        <v>1348-589X</v>
      </c>
      <c r="E10820" t="s">
        <v>8</v>
      </c>
      <c r="F10820" t="s">
        <v>10827</v>
      </c>
      <c r="G10820">
        <v>1</v>
      </c>
    </row>
    <row r="10821" spans="1:7" x14ac:dyDescent="0.25">
      <c r="A10821">
        <v>33</v>
      </c>
      <c r="B10821" t="s">
        <v>10498</v>
      </c>
      <c r="C10821">
        <v>3521</v>
      </c>
      <c r="D10821" t="str">
        <f>"0142-7873"</f>
        <v>0142-7873</v>
      </c>
      <c r="E10821" t="s">
        <v>8</v>
      </c>
      <c r="F10821" t="s">
        <v>10828</v>
      </c>
      <c r="G10821">
        <v>1</v>
      </c>
    </row>
    <row r="10822" spans="1:7" x14ac:dyDescent="0.25">
      <c r="A10822">
        <v>33</v>
      </c>
      <c r="B10822" t="s">
        <v>10498</v>
      </c>
      <c r="C10822">
        <v>17515</v>
      </c>
      <c r="D10822" t="str">
        <f>"1861-3829"</f>
        <v>1861-3829</v>
      </c>
      <c r="E10822" t="s">
        <v>8</v>
      </c>
      <c r="F10822" t="s">
        <v>10829</v>
      </c>
      <c r="G10822">
        <v>1</v>
      </c>
    </row>
    <row r="10823" spans="1:7" x14ac:dyDescent="0.25">
      <c r="A10823">
        <v>33</v>
      </c>
      <c r="B10823" t="s">
        <v>10498</v>
      </c>
      <c r="C10823">
        <v>2192</v>
      </c>
      <c r="D10823" t="str">
        <f>"0190-4167"</f>
        <v>0190-4167</v>
      </c>
      <c r="E10823" t="s">
        <v>8</v>
      </c>
      <c r="F10823" t="s">
        <v>10830</v>
      </c>
      <c r="G10823">
        <v>1</v>
      </c>
    </row>
    <row r="10824" spans="1:7" x14ac:dyDescent="0.25">
      <c r="A10824">
        <v>33</v>
      </c>
      <c r="B10824" t="s">
        <v>10498</v>
      </c>
      <c r="C10824">
        <v>14047</v>
      </c>
      <c r="D10824" t="str">
        <f>"1436-8730"</f>
        <v>1436-8730</v>
      </c>
      <c r="E10824" t="s">
        <v>8</v>
      </c>
      <c r="F10824" t="s">
        <v>10831</v>
      </c>
      <c r="G10824">
        <v>1</v>
      </c>
    </row>
    <row r="10825" spans="1:7" x14ac:dyDescent="0.25">
      <c r="A10825">
        <v>33</v>
      </c>
      <c r="B10825" t="s">
        <v>10498</v>
      </c>
      <c r="C10825">
        <v>3199</v>
      </c>
      <c r="D10825" t="str">
        <f>"0918-9440"</f>
        <v>0918-9440</v>
      </c>
      <c r="E10825" t="s">
        <v>8</v>
      </c>
      <c r="F10825" t="s">
        <v>10832</v>
      </c>
      <c r="G10825">
        <v>1</v>
      </c>
    </row>
    <row r="10826" spans="1:7" x14ac:dyDescent="0.25">
      <c r="A10826">
        <v>33</v>
      </c>
      <c r="B10826" t="s">
        <v>10498</v>
      </c>
      <c r="C10826">
        <v>14459</v>
      </c>
      <c r="D10826" t="str">
        <f>"1566-2543"</f>
        <v>1566-2543</v>
      </c>
      <c r="E10826" t="s">
        <v>8</v>
      </c>
      <c r="F10826" t="s">
        <v>10833</v>
      </c>
      <c r="G10826">
        <v>1</v>
      </c>
    </row>
    <row r="10827" spans="1:7" x14ac:dyDescent="0.25">
      <c r="A10827">
        <v>33</v>
      </c>
      <c r="B10827" t="s">
        <v>10498</v>
      </c>
      <c r="C10827">
        <v>4906</v>
      </c>
      <c r="D10827" t="str">
        <f>"1385-1101"</f>
        <v>1385-1101</v>
      </c>
      <c r="E10827" t="s">
        <v>8</v>
      </c>
      <c r="F10827" t="s">
        <v>10834</v>
      </c>
      <c r="G10827">
        <v>1</v>
      </c>
    </row>
    <row r="10828" spans="1:7" x14ac:dyDescent="0.25">
      <c r="A10828">
        <v>33</v>
      </c>
      <c r="B10828" t="s">
        <v>10498</v>
      </c>
      <c r="C10828">
        <v>14796</v>
      </c>
      <c r="D10828" t="str">
        <f>"0022-4561"</f>
        <v>0022-4561</v>
      </c>
      <c r="E10828" t="s">
        <v>8</v>
      </c>
      <c r="F10828" t="s">
        <v>10835</v>
      </c>
      <c r="G10828">
        <v>1</v>
      </c>
    </row>
    <row r="10829" spans="1:7" x14ac:dyDescent="0.25">
      <c r="A10829">
        <v>33</v>
      </c>
      <c r="B10829" t="s">
        <v>10498</v>
      </c>
      <c r="C10829">
        <v>14126</v>
      </c>
      <c r="D10829" t="str">
        <f>"1439-0108"</f>
        <v>1439-0108</v>
      </c>
      <c r="E10829" t="s">
        <v>8</v>
      </c>
      <c r="F10829" t="s">
        <v>10836</v>
      </c>
      <c r="G10829">
        <v>1</v>
      </c>
    </row>
    <row r="10830" spans="1:7" x14ac:dyDescent="0.25">
      <c r="A10830">
        <v>33</v>
      </c>
      <c r="B10830" t="s">
        <v>10498</v>
      </c>
      <c r="C10830">
        <v>15668</v>
      </c>
      <c r="D10830" t="str">
        <f>"0022-474X"</f>
        <v>0022-474X</v>
      </c>
      <c r="E10830" t="s">
        <v>8</v>
      </c>
      <c r="F10830" t="s">
        <v>10837</v>
      </c>
      <c r="G10830">
        <v>1</v>
      </c>
    </row>
    <row r="10831" spans="1:7" x14ac:dyDescent="0.25">
      <c r="A10831">
        <v>33</v>
      </c>
      <c r="B10831" t="s">
        <v>10498</v>
      </c>
      <c r="C10831">
        <v>16032</v>
      </c>
      <c r="D10831" t="str">
        <f>"1054-9811"</f>
        <v>1054-9811</v>
      </c>
      <c r="E10831" t="s">
        <v>8</v>
      </c>
      <c r="F10831" t="s">
        <v>10838</v>
      </c>
      <c r="G10831">
        <v>1</v>
      </c>
    </row>
    <row r="10832" spans="1:7" x14ac:dyDescent="0.25">
      <c r="A10832">
        <v>33</v>
      </c>
      <c r="B10832" t="s">
        <v>10498</v>
      </c>
      <c r="C10832">
        <v>9803</v>
      </c>
      <c r="D10832" t="str">
        <f>"1537-209X"</f>
        <v>1537-209X</v>
      </c>
      <c r="E10832" t="s">
        <v>8</v>
      </c>
      <c r="F10832" t="s">
        <v>10839</v>
      </c>
      <c r="G10832">
        <v>1</v>
      </c>
    </row>
    <row r="10833" spans="1:7" x14ac:dyDescent="0.25">
      <c r="A10833">
        <v>33</v>
      </c>
      <c r="B10833" t="s">
        <v>10498</v>
      </c>
      <c r="C10833">
        <v>56654</v>
      </c>
      <c r="D10833" t="str">
        <f>"1096-2247"</f>
        <v>1096-2247</v>
      </c>
      <c r="E10833" t="s">
        <v>8</v>
      </c>
      <c r="F10833" t="s">
        <v>10840</v>
      </c>
      <c r="G10833">
        <v>1</v>
      </c>
    </row>
    <row r="10834" spans="1:7" x14ac:dyDescent="0.25">
      <c r="A10834">
        <v>33</v>
      </c>
      <c r="B10834" t="s">
        <v>10498</v>
      </c>
      <c r="C10834">
        <v>15356</v>
      </c>
      <c r="D10834" t="str">
        <f>"8756-971X"</f>
        <v>8756-971X</v>
      </c>
      <c r="E10834" t="s">
        <v>8</v>
      </c>
      <c r="F10834" t="s">
        <v>10841</v>
      </c>
      <c r="G10834">
        <v>1</v>
      </c>
    </row>
    <row r="10835" spans="1:7" x14ac:dyDescent="0.25">
      <c r="A10835">
        <v>33</v>
      </c>
      <c r="B10835" t="s">
        <v>10498</v>
      </c>
      <c r="C10835">
        <v>12209</v>
      </c>
      <c r="D10835" t="str">
        <f>"0003-1062"</f>
        <v>0003-1062</v>
      </c>
      <c r="E10835" t="s">
        <v>8</v>
      </c>
      <c r="F10835" t="s">
        <v>10842</v>
      </c>
      <c r="G10835">
        <v>1</v>
      </c>
    </row>
    <row r="10836" spans="1:7" x14ac:dyDescent="0.25">
      <c r="A10836">
        <v>33</v>
      </c>
      <c r="B10836" t="s">
        <v>10498</v>
      </c>
      <c r="C10836">
        <v>8112</v>
      </c>
      <c r="D10836" t="str">
        <f>"0023-6152"</f>
        <v>0023-6152</v>
      </c>
      <c r="E10836" t="s">
        <v>8</v>
      </c>
      <c r="F10836" t="s">
        <v>10843</v>
      </c>
      <c r="G10836">
        <v>1</v>
      </c>
    </row>
    <row r="10837" spans="1:7" x14ac:dyDescent="0.25">
      <c r="A10837">
        <v>33</v>
      </c>
      <c r="B10837" t="s">
        <v>10498</v>
      </c>
      <c r="C10837">
        <v>6566</v>
      </c>
      <c r="D10837" t="str">
        <f>"0893-8849"</f>
        <v>0893-8849</v>
      </c>
      <c r="E10837" t="s">
        <v>8</v>
      </c>
      <c r="F10837" t="s">
        <v>10844</v>
      </c>
      <c r="G10837">
        <v>1</v>
      </c>
    </row>
    <row r="10838" spans="1:7" x14ac:dyDescent="0.25">
      <c r="A10838">
        <v>33</v>
      </c>
      <c r="B10838" t="s">
        <v>10498</v>
      </c>
      <c r="C10838">
        <v>2611</v>
      </c>
      <c r="D10838" t="str">
        <f>"1528-7394"</f>
        <v>1528-7394</v>
      </c>
      <c r="E10838" t="s">
        <v>8</v>
      </c>
      <c r="F10838" t="s">
        <v>10845</v>
      </c>
      <c r="G10838">
        <v>1</v>
      </c>
    </row>
    <row r="10839" spans="1:7" x14ac:dyDescent="0.25">
      <c r="A10839">
        <v>33</v>
      </c>
      <c r="B10839" t="s">
        <v>10498</v>
      </c>
      <c r="C10839">
        <v>14034</v>
      </c>
      <c r="D10839" t="str">
        <f>"1093-7404"</f>
        <v>1093-7404</v>
      </c>
      <c r="E10839" t="s">
        <v>8</v>
      </c>
      <c r="F10839" t="s">
        <v>10846</v>
      </c>
      <c r="G10839">
        <v>1</v>
      </c>
    </row>
    <row r="10840" spans="1:7" x14ac:dyDescent="0.25">
      <c r="A10840">
        <v>33</v>
      </c>
      <c r="B10840" t="s">
        <v>10498</v>
      </c>
      <c r="C10840">
        <v>1236</v>
      </c>
      <c r="E10840" t="s">
        <v>8</v>
      </c>
      <c r="F10840" t="s">
        <v>10847</v>
      </c>
      <c r="G10840">
        <v>1</v>
      </c>
    </row>
    <row r="10841" spans="1:7" x14ac:dyDescent="0.25">
      <c r="A10841">
        <v>33</v>
      </c>
      <c r="B10841" t="s">
        <v>10498</v>
      </c>
      <c r="C10841">
        <v>13023</v>
      </c>
      <c r="D10841" t="str">
        <f>"0128-1283"</f>
        <v>0128-1283</v>
      </c>
      <c r="E10841" t="s">
        <v>8</v>
      </c>
      <c r="F10841" t="s">
        <v>10848</v>
      </c>
      <c r="G10841">
        <v>1</v>
      </c>
    </row>
    <row r="10842" spans="1:7" x14ac:dyDescent="0.25">
      <c r="A10842">
        <v>33</v>
      </c>
      <c r="B10842" t="s">
        <v>10498</v>
      </c>
      <c r="C10842">
        <v>1930</v>
      </c>
      <c r="D10842" t="str">
        <f>"1931-4361"</f>
        <v>1931-4361</v>
      </c>
      <c r="E10842" t="s">
        <v>8</v>
      </c>
      <c r="F10842" t="s">
        <v>10849</v>
      </c>
      <c r="G10842">
        <v>1</v>
      </c>
    </row>
    <row r="10843" spans="1:7" x14ac:dyDescent="0.25">
      <c r="A10843">
        <v>33</v>
      </c>
      <c r="B10843" t="s">
        <v>10498</v>
      </c>
      <c r="C10843">
        <v>1065</v>
      </c>
      <c r="D10843" t="str">
        <f>"0957-1264"</f>
        <v>0957-1264</v>
      </c>
      <c r="E10843" t="s">
        <v>8</v>
      </c>
      <c r="F10843" t="s">
        <v>10850</v>
      </c>
      <c r="G10843">
        <v>1</v>
      </c>
    </row>
    <row r="10844" spans="1:7" x14ac:dyDescent="0.25">
      <c r="A10844">
        <v>33</v>
      </c>
      <c r="B10844" t="s">
        <v>10498</v>
      </c>
      <c r="C10844">
        <v>10951</v>
      </c>
      <c r="D10844" t="str">
        <f>"0277-3813"</f>
        <v>0277-3813</v>
      </c>
      <c r="E10844" t="s">
        <v>8</v>
      </c>
      <c r="F10844" t="s">
        <v>10851</v>
      </c>
      <c r="G10844">
        <v>1</v>
      </c>
    </row>
    <row r="10845" spans="1:7" x14ac:dyDescent="0.25">
      <c r="A10845">
        <v>33</v>
      </c>
      <c r="B10845" t="s">
        <v>10498</v>
      </c>
      <c r="C10845">
        <v>4863</v>
      </c>
      <c r="D10845" t="str">
        <f>"0075-5974"</f>
        <v>0075-5974</v>
      </c>
      <c r="E10845" t="s">
        <v>8</v>
      </c>
      <c r="F10845" t="s">
        <v>10852</v>
      </c>
      <c r="G10845">
        <v>1</v>
      </c>
    </row>
    <row r="10846" spans="1:7" x14ac:dyDescent="0.25">
      <c r="A10846">
        <v>33</v>
      </c>
      <c r="B10846" t="s">
        <v>10498</v>
      </c>
      <c r="C10846">
        <v>146288</v>
      </c>
      <c r="D10846" t="str">
        <f>"1961-9502"</f>
        <v>1961-9502</v>
      </c>
      <c r="E10846" t="s">
        <v>8</v>
      </c>
      <c r="F10846" t="s">
        <v>10853</v>
      </c>
      <c r="G10846">
        <v>1</v>
      </c>
    </row>
    <row r="10847" spans="1:7" x14ac:dyDescent="0.25">
      <c r="A10847">
        <v>33</v>
      </c>
      <c r="B10847" t="s">
        <v>10498</v>
      </c>
      <c r="C10847">
        <v>6300</v>
      </c>
      <c r="D10847" t="str">
        <f>"1040-2381"</f>
        <v>1040-2381</v>
      </c>
      <c r="E10847" t="s">
        <v>8</v>
      </c>
      <c r="F10847" t="s">
        <v>10854</v>
      </c>
      <c r="G10847">
        <v>1</v>
      </c>
    </row>
    <row r="10848" spans="1:7" x14ac:dyDescent="0.25">
      <c r="A10848">
        <v>33</v>
      </c>
      <c r="B10848" t="s">
        <v>10498</v>
      </c>
      <c r="C10848">
        <v>14460</v>
      </c>
      <c r="D10848" t="str">
        <f>"1320-5331"</f>
        <v>1320-5331</v>
      </c>
      <c r="E10848" t="s">
        <v>8</v>
      </c>
      <c r="F10848" t="s">
        <v>10855</v>
      </c>
      <c r="G10848">
        <v>1</v>
      </c>
    </row>
    <row r="10849" spans="1:7" x14ac:dyDescent="0.25">
      <c r="A10849">
        <v>33</v>
      </c>
      <c r="B10849" t="s">
        <v>10498</v>
      </c>
      <c r="C10849">
        <v>18974</v>
      </c>
      <c r="D10849" t="str">
        <f>"1860-1871"</f>
        <v>1860-1871</v>
      </c>
      <c r="E10849" t="s">
        <v>8</v>
      </c>
      <c r="F10849" t="s">
        <v>10856</v>
      </c>
      <c r="G10849">
        <v>1</v>
      </c>
    </row>
    <row r="10850" spans="1:7" x14ac:dyDescent="0.25">
      <c r="A10850">
        <v>33</v>
      </c>
      <c r="B10850" t="s">
        <v>10498</v>
      </c>
      <c r="C10850">
        <v>9046</v>
      </c>
      <c r="D10850" t="str">
        <f>"0921-2973"</f>
        <v>0921-2973</v>
      </c>
      <c r="E10850" t="s">
        <v>8</v>
      </c>
      <c r="F10850" t="s">
        <v>10857</v>
      </c>
      <c r="G10850">
        <v>1</v>
      </c>
    </row>
    <row r="10851" spans="1:7" x14ac:dyDescent="0.25">
      <c r="A10851">
        <v>33</v>
      </c>
      <c r="B10851" t="s">
        <v>10498</v>
      </c>
      <c r="C10851">
        <v>3310</v>
      </c>
      <c r="D10851" t="str">
        <f>"1173-3853"</f>
        <v>1173-3853</v>
      </c>
      <c r="E10851" t="s">
        <v>8</v>
      </c>
      <c r="F10851" t="s">
        <v>10858</v>
      </c>
      <c r="G10851">
        <v>1</v>
      </c>
    </row>
    <row r="10852" spans="1:7" x14ac:dyDescent="0.25">
      <c r="A10852">
        <v>33</v>
      </c>
      <c r="B10852" t="s">
        <v>10498</v>
      </c>
      <c r="C10852">
        <v>125290</v>
      </c>
      <c r="D10852" t="str">
        <f>"1539-607X"</f>
        <v>1539-607X</v>
      </c>
      <c r="E10852" t="s">
        <v>8</v>
      </c>
      <c r="F10852" t="s">
        <v>10859</v>
      </c>
      <c r="G10852">
        <v>1</v>
      </c>
    </row>
    <row r="10853" spans="1:7" x14ac:dyDescent="0.25">
      <c r="A10853">
        <v>33</v>
      </c>
      <c r="B10853" t="s">
        <v>10498</v>
      </c>
      <c r="C10853">
        <v>12037</v>
      </c>
      <c r="E10853" t="s">
        <v>8</v>
      </c>
      <c r="F10853" t="s">
        <v>10860</v>
      </c>
      <c r="G10853">
        <v>1</v>
      </c>
    </row>
    <row r="10854" spans="1:7" x14ac:dyDescent="0.25">
      <c r="A10854">
        <v>33</v>
      </c>
      <c r="B10854" t="s">
        <v>10498</v>
      </c>
      <c r="C10854">
        <v>8549</v>
      </c>
      <c r="D10854" t="str">
        <f>"1871-1413"</f>
        <v>1871-1413</v>
      </c>
      <c r="E10854" t="s">
        <v>8</v>
      </c>
      <c r="F10854" t="s">
        <v>10861</v>
      </c>
      <c r="G10854">
        <v>1</v>
      </c>
    </row>
    <row r="10855" spans="1:7" x14ac:dyDescent="0.25">
      <c r="A10855">
        <v>33</v>
      </c>
      <c r="B10855" t="s">
        <v>10498</v>
      </c>
      <c r="C10855">
        <v>2214</v>
      </c>
      <c r="D10855" t="str">
        <f>"1354-9839"</f>
        <v>1354-9839</v>
      </c>
      <c r="E10855" t="s">
        <v>8</v>
      </c>
      <c r="F10855" t="s">
        <v>10862</v>
      </c>
      <c r="G10855">
        <v>1</v>
      </c>
    </row>
    <row r="10856" spans="1:7" x14ac:dyDescent="0.25">
      <c r="A10856">
        <v>33</v>
      </c>
      <c r="B10856" t="s">
        <v>10498</v>
      </c>
      <c r="C10856">
        <v>8781997</v>
      </c>
      <c r="D10856" t="str">
        <f>"1989-8649"</f>
        <v>1989-8649</v>
      </c>
      <c r="E10856" t="s">
        <v>8</v>
      </c>
      <c r="F10856" t="s">
        <v>10863</v>
      </c>
      <c r="G10856">
        <v>1</v>
      </c>
    </row>
    <row r="10857" spans="1:7" x14ac:dyDescent="0.25">
      <c r="A10857">
        <v>33</v>
      </c>
      <c r="B10857" t="s">
        <v>10498</v>
      </c>
      <c r="C10857">
        <v>9650</v>
      </c>
      <c r="D10857" t="str">
        <f>"1477-7835"</f>
        <v>1477-7835</v>
      </c>
      <c r="E10857" t="s">
        <v>8</v>
      </c>
      <c r="F10857" t="s">
        <v>10864</v>
      </c>
      <c r="G10857">
        <v>1</v>
      </c>
    </row>
    <row r="10858" spans="1:7" x14ac:dyDescent="0.25">
      <c r="A10858">
        <v>33</v>
      </c>
      <c r="B10858" t="s">
        <v>10498</v>
      </c>
      <c r="C10858">
        <v>2188</v>
      </c>
      <c r="D10858" t="str">
        <f>"1323-1650"</f>
        <v>1323-1650</v>
      </c>
      <c r="E10858" t="s">
        <v>8</v>
      </c>
      <c r="F10858" t="s">
        <v>10865</v>
      </c>
      <c r="G10858">
        <v>1</v>
      </c>
    </row>
    <row r="10859" spans="1:7" x14ac:dyDescent="0.25">
      <c r="A10859">
        <v>33</v>
      </c>
      <c r="B10859" t="s">
        <v>10498</v>
      </c>
      <c r="C10859">
        <v>8121</v>
      </c>
      <c r="D10859" t="str">
        <f>"0025-3162"</f>
        <v>0025-3162</v>
      </c>
      <c r="E10859" t="s">
        <v>8</v>
      </c>
      <c r="F10859" t="s">
        <v>10866</v>
      </c>
      <c r="G10859">
        <v>1</v>
      </c>
    </row>
    <row r="10860" spans="1:7" x14ac:dyDescent="0.25">
      <c r="A10860">
        <v>33</v>
      </c>
      <c r="B10860" t="s">
        <v>10498</v>
      </c>
      <c r="C10860">
        <v>589</v>
      </c>
      <c r="D10860" t="str">
        <f>"0304-4203"</f>
        <v>0304-4203</v>
      </c>
      <c r="E10860" t="s">
        <v>8</v>
      </c>
      <c r="F10860" t="s">
        <v>10867</v>
      </c>
      <c r="G10860">
        <v>1</v>
      </c>
    </row>
    <row r="10861" spans="1:7" x14ac:dyDescent="0.25">
      <c r="A10861">
        <v>33</v>
      </c>
      <c r="B10861" t="s">
        <v>10498</v>
      </c>
      <c r="C10861">
        <v>9586</v>
      </c>
      <c r="D10861" t="str">
        <f>"0141-1136"</f>
        <v>0141-1136</v>
      </c>
      <c r="E10861" t="s">
        <v>8</v>
      </c>
      <c r="F10861" t="s">
        <v>10868</v>
      </c>
      <c r="G10861">
        <v>1</v>
      </c>
    </row>
    <row r="10862" spans="1:7" x14ac:dyDescent="0.25">
      <c r="A10862">
        <v>33</v>
      </c>
      <c r="B10862" t="s">
        <v>10498</v>
      </c>
      <c r="C10862">
        <v>16547</v>
      </c>
      <c r="D10862" t="str">
        <f>"0738-1360"</f>
        <v>0738-1360</v>
      </c>
      <c r="E10862" t="s">
        <v>8</v>
      </c>
      <c r="F10862" t="s">
        <v>10869</v>
      </c>
      <c r="G10862">
        <v>1</v>
      </c>
    </row>
    <row r="10863" spans="1:7" x14ac:dyDescent="0.25">
      <c r="A10863">
        <v>33</v>
      </c>
      <c r="B10863" t="s">
        <v>10498</v>
      </c>
      <c r="C10863">
        <v>10973</v>
      </c>
      <c r="D10863" t="str">
        <f>"1872-7859"</f>
        <v>1872-7859</v>
      </c>
      <c r="E10863" t="s">
        <v>8</v>
      </c>
      <c r="F10863" t="s">
        <v>10870</v>
      </c>
      <c r="G10863">
        <v>1</v>
      </c>
    </row>
    <row r="10864" spans="1:7" x14ac:dyDescent="0.25">
      <c r="A10864">
        <v>33</v>
      </c>
      <c r="B10864" t="s">
        <v>10498</v>
      </c>
      <c r="C10864">
        <v>5135</v>
      </c>
      <c r="D10864" t="str">
        <f>"1350-0872"</f>
        <v>1350-0872</v>
      </c>
      <c r="E10864" t="s">
        <v>8</v>
      </c>
      <c r="F10864" t="s">
        <v>10871</v>
      </c>
      <c r="G10864">
        <v>1</v>
      </c>
    </row>
    <row r="10865" spans="1:7" x14ac:dyDescent="0.25">
      <c r="A10865">
        <v>33</v>
      </c>
      <c r="B10865" t="s">
        <v>10498</v>
      </c>
      <c r="C10865">
        <v>13885</v>
      </c>
      <c r="D10865" t="str">
        <f>"1380-3743"</f>
        <v>1380-3743</v>
      </c>
      <c r="E10865" t="s">
        <v>8</v>
      </c>
      <c r="F10865" t="s">
        <v>10872</v>
      </c>
      <c r="G10865">
        <v>1</v>
      </c>
    </row>
    <row r="10866" spans="1:7" x14ac:dyDescent="0.25">
      <c r="A10866">
        <v>33</v>
      </c>
      <c r="B10866" t="s">
        <v>10498</v>
      </c>
      <c r="C10866">
        <v>2542</v>
      </c>
      <c r="D10866" t="str">
        <f>"1464-6722"</f>
        <v>1464-6722</v>
      </c>
      <c r="E10866" t="s">
        <v>8</v>
      </c>
      <c r="F10866" t="s">
        <v>10873</v>
      </c>
      <c r="G10866">
        <v>1</v>
      </c>
    </row>
    <row r="10867" spans="1:7" x14ac:dyDescent="0.25">
      <c r="A10867">
        <v>33</v>
      </c>
      <c r="B10867" t="s">
        <v>10498</v>
      </c>
      <c r="C10867">
        <v>4699</v>
      </c>
      <c r="D10867" t="str">
        <f>"1323-5818"</f>
        <v>1323-5818</v>
      </c>
      <c r="E10867" t="s">
        <v>8</v>
      </c>
      <c r="F10867" t="s">
        <v>10874</v>
      </c>
      <c r="G10867">
        <v>1</v>
      </c>
    </row>
    <row r="10868" spans="1:7" x14ac:dyDescent="0.25">
      <c r="A10868">
        <v>33</v>
      </c>
      <c r="B10868" t="s">
        <v>10498</v>
      </c>
      <c r="C10868">
        <v>6287</v>
      </c>
      <c r="D10868" t="str">
        <f>"0276-4741"</f>
        <v>0276-4741</v>
      </c>
      <c r="E10868" t="s">
        <v>8</v>
      </c>
      <c r="F10868" t="s">
        <v>10875</v>
      </c>
      <c r="G10868">
        <v>1</v>
      </c>
    </row>
    <row r="10869" spans="1:7" x14ac:dyDescent="0.25">
      <c r="A10869">
        <v>33</v>
      </c>
      <c r="B10869" t="s">
        <v>10498</v>
      </c>
      <c r="C10869">
        <v>14602</v>
      </c>
      <c r="D10869" t="str">
        <f>"0940-6360"</f>
        <v>0940-6360</v>
      </c>
      <c r="E10869" t="s">
        <v>8</v>
      </c>
      <c r="F10869" t="s">
        <v>10876</v>
      </c>
      <c r="G10869">
        <v>1</v>
      </c>
    </row>
    <row r="10870" spans="1:7" x14ac:dyDescent="0.25">
      <c r="A10870">
        <v>33</v>
      </c>
      <c r="B10870" t="s">
        <v>10498</v>
      </c>
      <c r="C10870">
        <v>1079</v>
      </c>
      <c r="D10870" t="str">
        <f>"1560-2206"</f>
        <v>1560-2206</v>
      </c>
      <c r="E10870" t="s">
        <v>15</v>
      </c>
      <c r="F10870" t="s">
        <v>10877</v>
      </c>
      <c r="G10870">
        <v>1</v>
      </c>
    </row>
    <row r="10871" spans="1:7" x14ac:dyDescent="0.25">
      <c r="A10871">
        <v>33</v>
      </c>
      <c r="B10871" t="s">
        <v>10498</v>
      </c>
      <c r="C10871">
        <v>13250</v>
      </c>
      <c r="D10871" t="str">
        <f>"0885-8608"</f>
        <v>0885-8608</v>
      </c>
      <c r="E10871" t="s">
        <v>8</v>
      </c>
      <c r="F10871" t="s">
        <v>10878</v>
      </c>
      <c r="G10871">
        <v>1</v>
      </c>
    </row>
    <row r="10872" spans="1:7" x14ac:dyDescent="0.25">
      <c r="A10872">
        <v>33</v>
      </c>
      <c r="B10872" t="s">
        <v>10498</v>
      </c>
      <c r="C10872">
        <v>9600</v>
      </c>
      <c r="D10872" t="str">
        <f>"0890-8575"</f>
        <v>0890-8575</v>
      </c>
      <c r="E10872" t="s">
        <v>8</v>
      </c>
      <c r="F10872" t="s">
        <v>10879</v>
      </c>
      <c r="G10872">
        <v>1</v>
      </c>
    </row>
    <row r="10873" spans="1:7" x14ac:dyDescent="0.25">
      <c r="A10873">
        <v>33</v>
      </c>
      <c r="B10873" t="s">
        <v>10498</v>
      </c>
      <c r="C10873">
        <v>6967</v>
      </c>
      <c r="D10873" t="str">
        <f>"0165-0203"</f>
        <v>0165-0203</v>
      </c>
      <c r="E10873" t="s">
        <v>8</v>
      </c>
      <c r="F10873" t="s">
        <v>10880</v>
      </c>
      <c r="G10873">
        <v>1</v>
      </c>
    </row>
    <row r="10874" spans="1:7" x14ac:dyDescent="0.25">
      <c r="A10874">
        <v>33</v>
      </c>
      <c r="B10874" t="s">
        <v>10498</v>
      </c>
      <c r="C10874">
        <v>14319</v>
      </c>
      <c r="D10874" t="str">
        <f>"1520-7439"</f>
        <v>1520-7439</v>
      </c>
      <c r="E10874" t="s">
        <v>8</v>
      </c>
      <c r="F10874" t="s">
        <v>10881</v>
      </c>
      <c r="G10874">
        <v>1</v>
      </c>
    </row>
    <row r="10875" spans="1:7" x14ac:dyDescent="0.25">
      <c r="A10875">
        <v>33</v>
      </c>
      <c r="B10875" t="s">
        <v>10498</v>
      </c>
      <c r="C10875">
        <v>6214877</v>
      </c>
      <c r="D10875" t="str">
        <f>"1758-678X"</f>
        <v>1758-678X</v>
      </c>
      <c r="E10875" t="s">
        <v>8</v>
      </c>
      <c r="F10875" t="s">
        <v>10882</v>
      </c>
      <c r="G10875">
        <v>1</v>
      </c>
    </row>
    <row r="10876" spans="1:7" x14ac:dyDescent="0.25">
      <c r="A10876">
        <v>33</v>
      </c>
      <c r="B10876" t="s">
        <v>10498</v>
      </c>
      <c r="C10876">
        <v>5130</v>
      </c>
      <c r="D10876" t="str">
        <f>"1240-1307"</f>
        <v>1240-1307</v>
      </c>
      <c r="E10876" t="s">
        <v>8</v>
      </c>
      <c r="F10876" t="s">
        <v>10883</v>
      </c>
      <c r="G10876">
        <v>1</v>
      </c>
    </row>
    <row r="10877" spans="1:7" x14ac:dyDescent="0.25">
      <c r="A10877">
        <v>33</v>
      </c>
      <c r="B10877" t="s">
        <v>10498</v>
      </c>
      <c r="C10877">
        <v>7548</v>
      </c>
      <c r="D10877" t="str">
        <f>"0028-1042"</f>
        <v>0028-1042</v>
      </c>
      <c r="E10877" t="s">
        <v>8</v>
      </c>
      <c r="F10877" t="s">
        <v>10884</v>
      </c>
      <c r="G10877">
        <v>1</v>
      </c>
    </row>
    <row r="10878" spans="1:7" x14ac:dyDescent="0.25">
      <c r="A10878">
        <v>33</v>
      </c>
      <c r="B10878" t="s">
        <v>10498</v>
      </c>
      <c r="C10878">
        <v>7992</v>
      </c>
      <c r="D10878" t="str">
        <f>"0169-4286"</f>
        <v>0169-4286</v>
      </c>
      <c r="E10878" t="s">
        <v>8</v>
      </c>
      <c r="F10878" t="s">
        <v>10885</v>
      </c>
      <c r="G10878">
        <v>1</v>
      </c>
    </row>
    <row r="10879" spans="1:7" x14ac:dyDescent="0.25">
      <c r="A10879">
        <v>33</v>
      </c>
      <c r="B10879" t="s">
        <v>10498</v>
      </c>
      <c r="C10879">
        <v>5880</v>
      </c>
      <c r="D10879" t="str">
        <f>"0028-8233"</f>
        <v>0028-8233</v>
      </c>
      <c r="E10879" t="s">
        <v>8</v>
      </c>
      <c r="F10879" t="s">
        <v>10886</v>
      </c>
      <c r="G10879">
        <v>1</v>
      </c>
    </row>
    <row r="10880" spans="1:7" x14ac:dyDescent="0.25">
      <c r="A10880">
        <v>33</v>
      </c>
      <c r="B10880" t="s">
        <v>10498</v>
      </c>
      <c r="C10880">
        <v>2446</v>
      </c>
      <c r="D10880" t="str">
        <f>"0114-0671"</f>
        <v>0114-0671</v>
      </c>
      <c r="E10880" t="s">
        <v>8</v>
      </c>
      <c r="F10880" t="s">
        <v>10887</v>
      </c>
      <c r="G10880">
        <v>1</v>
      </c>
    </row>
    <row r="10881" spans="1:7" x14ac:dyDescent="0.25">
      <c r="A10881">
        <v>33</v>
      </c>
      <c r="B10881" t="s">
        <v>10498</v>
      </c>
      <c r="C10881">
        <v>16135</v>
      </c>
      <c r="D10881" t="str">
        <f>"0028-8330"</f>
        <v>0028-8330</v>
      </c>
      <c r="E10881" t="s">
        <v>8</v>
      </c>
      <c r="F10881" t="s">
        <v>10888</v>
      </c>
      <c r="G10881">
        <v>1</v>
      </c>
    </row>
    <row r="10882" spans="1:7" x14ac:dyDescent="0.25">
      <c r="A10882">
        <v>33</v>
      </c>
      <c r="B10882" t="s">
        <v>10498</v>
      </c>
      <c r="C10882">
        <v>27680</v>
      </c>
      <c r="D10882" t="str">
        <f>"1175-9003"</f>
        <v>1175-9003</v>
      </c>
      <c r="E10882" t="s">
        <v>8</v>
      </c>
      <c r="F10882" t="s">
        <v>10889</v>
      </c>
      <c r="G10882">
        <v>1</v>
      </c>
    </row>
    <row r="10883" spans="1:7" x14ac:dyDescent="0.25">
      <c r="A10883">
        <v>33</v>
      </c>
      <c r="B10883" t="s">
        <v>10498</v>
      </c>
      <c r="C10883">
        <v>17956</v>
      </c>
      <c r="D10883" t="str">
        <f>"1573-5214"</f>
        <v>1573-5214</v>
      </c>
      <c r="E10883" t="s">
        <v>8</v>
      </c>
      <c r="F10883" t="s">
        <v>10890</v>
      </c>
      <c r="G10883">
        <v>1</v>
      </c>
    </row>
    <row r="10884" spans="1:7" x14ac:dyDescent="0.25">
      <c r="A10884">
        <v>33</v>
      </c>
      <c r="B10884" t="s">
        <v>10498</v>
      </c>
      <c r="C10884">
        <v>3154</v>
      </c>
      <c r="D10884" t="str">
        <f>"0283-2631"</f>
        <v>0283-2631</v>
      </c>
      <c r="E10884" t="s">
        <v>8</v>
      </c>
      <c r="F10884" t="s">
        <v>10891</v>
      </c>
      <c r="G10884">
        <v>1</v>
      </c>
    </row>
    <row r="10885" spans="1:7" x14ac:dyDescent="0.25">
      <c r="A10885">
        <v>33</v>
      </c>
      <c r="B10885" t="s">
        <v>10498</v>
      </c>
      <c r="C10885">
        <v>2498</v>
      </c>
      <c r="D10885" t="str">
        <f>"1522-2055"</f>
        <v>1522-2055</v>
      </c>
      <c r="E10885" t="s">
        <v>8</v>
      </c>
      <c r="F10885" t="s">
        <v>10892</v>
      </c>
      <c r="G10885">
        <v>1</v>
      </c>
    </row>
    <row r="10886" spans="1:7" x14ac:dyDescent="0.25">
      <c r="A10886">
        <v>33</v>
      </c>
      <c r="B10886" t="s">
        <v>10498</v>
      </c>
      <c r="C10886">
        <v>13058</v>
      </c>
      <c r="D10886" t="str">
        <f>"0275-5947"</f>
        <v>0275-5947</v>
      </c>
      <c r="E10886" t="s">
        <v>8</v>
      </c>
      <c r="F10886" t="s">
        <v>10893</v>
      </c>
      <c r="G10886">
        <v>1</v>
      </c>
    </row>
    <row r="10887" spans="1:7" x14ac:dyDescent="0.25">
      <c r="A10887">
        <v>33</v>
      </c>
      <c r="B10887" t="s">
        <v>10498</v>
      </c>
      <c r="C10887">
        <v>7975</v>
      </c>
      <c r="D10887" t="str">
        <f>"1385-1314"</f>
        <v>1385-1314</v>
      </c>
      <c r="E10887" t="s">
        <v>8</v>
      </c>
      <c r="F10887" t="s">
        <v>10894</v>
      </c>
      <c r="G10887">
        <v>1</v>
      </c>
    </row>
    <row r="10888" spans="1:7" x14ac:dyDescent="0.25">
      <c r="A10888">
        <v>33</v>
      </c>
      <c r="B10888" t="s">
        <v>10498</v>
      </c>
      <c r="C10888">
        <v>246</v>
      </c>
      <c r="D10888" t="str">
        <f>"0964-5691"</f>
        <v>0964-5691</v>
      </c>
      <c r="E10888" t="s">
        <v>8</v>
      </c>
      <c r="F10888" t="s">
        <v>10895</v>
      </c>
      <c r="G10888">
        <v>1</v>
      </c>
    </row>
    <row r="10889" spans="1:7" x14ac:dyDescent="0.25">
      <c r="A10889">
        <v>33</v>
      </c>
      <c r="B10889" t="s">
        <v>10498</v>
      </c>
      <c r="C10889">
        <v>12377</v>
      </c>
      <c r="D10889" t="str">
        <f>"1463-5003"</f>
        <v>1463-5003</v>
      </c>
      <c r="E10889" t="s">
        <v>8</v>
      </c>
      <c r="F10889" t="s">
        <v>10896</v>
      </c>
      <c r="G10889">
        <v>1</v>
      </c>
    </row>
    <row r="10890" spans="1:7" x14ac:dyDescent="0.25">
      <c r="A10890">
        <v>33</v>
      </c>
      <c r="B10890" t="s">
        <v>10498</v>
      </c>
      <c r="C10890">
        <v>8783324</v>
      </c>
      <c r="E10890" t="s">
        <v>8</v>
      </c>
      <c r="F10890" t="s">
        <v>10897</v>
      </c>
      <c r="G10890">
        <v>1</v>
      </c>
    </row>
    <row r="10891" spans="1:7" x14ac:dyDescent="0.25">
      <c r="A10891">
        <v>33</v>
      </c>
      <c r="B10891" t="s">
        <v>10498</v>
      </c>
      <c r="C10891">
        <v>6231461</v>
      </c>
      <c r="D10891" t="str">
        <f>"1879-4238"</f>
        <v>1879-4238</v>
      </c>
      <c r="E10891" t="s">
        <v>8</v>
      </c>
      <c r="F10891" t="s">
        <v>10898</v>
      </c>
      <c r="G10891">
        <v>1</v>
      </c>
    </row>
    <row r="10892" spans="1:7" x14ac:dyDescent="0.25">
      <c r="A10892">
        <v>33</v>
      </c>
      <c r="B10892" t="s">
        <v>10498</v>
      </c>
      <c r="C10892">
        <v>8605</v>
      </c>
      <c r="D10892" t="str">
        <f>"0030-7270"</f>
        <v>0030-7270</v>
      </c>
      <c r="E10892" t="s">
        <v>8</v>
      </c>
      <c r="F10892" t="s">
        <v>10899</v>
      </c>
      <c r="G10892">
        <v>1</v>
      </c>
    </row>
    <row r="10893" spans="1:7" x14ac:dyDescent="0.25">
      <c r="A10893">
        <v>33</v>
      </c>
      <c r="B10893" t="s">
        <v>10498</v>
      </c>
      <c r="C10893">
        <v>23270</v>
      </c>
      <c r="D10893" t="str">
        <f>"1743-1026"</f>
        <v>1743-1026</v>
      </c>
      <c r="E10893" t="s">
        <v>8</v>
      </c>
      <c r="F10893" t="s">
        <v>10900</v>
      </c>
      <c r="G10893">
        <v>1</v>
      </c>
    </row>
    <row r="10894" spans="1:7" x14ac:dyDescent="0.25">
      <c r="A10894">
        <v>33</v>
      </c>
      <c r="B10894" t="s">
        <v>10498</v>
      </c>
      <c r="C10894">
        <v>11208</v>
      </c>
      <c r="D10894" t="str">
        <f>"1611-2490"</f>
        <v>1611-2490</v>
      </c>
      <c r="E10894" t="s">
        <v>8</v>
      </c>
      <c r="F10894" t="s">
        <v>10901</v>
      </c>
      <c r="G10894">
        <v>1</v>
      </c>
    </row>
    <row r="10895" spans="1:7" x14ac:dyDescent="0.25">
      <c r="A10895">
        <v>33</v>
      </c>
      <c r="B10895" t="s">
        <v>10498</v>
      </c>
      <c r="C10895">
        <v>4249</v>
      </c>
      <c r="D10895" t="str">
        <f>"0932-0113"</f>
        <v>0932-0113</v>
      </c>
      <c r="E10895" t="s">
        <v>8</v>
      </c>
      <c r="F10895" t="s">
        <v>10902</v>
      </c>
      <c r="G10895">
        <v>1</v>
      </c>
    </row>
    <row r="10896" spans="1:7" x14ac:dyDescent="0.25">
      <c r="A10896">
        <v>33</v>
      </c>
      <c r="B10896" t="s">
        <v>10498</v>
      </c>
      <c r="C10896">
        <v>4295</v>
      </c>
      <c r="D10896" t="str">
        <f>"0031-4056"</f>
        <v>0031-4056</v>
      </c>
      <c r="E10896" t="s">
        <v>8</v>
      </c>
      <c r="F10896" t="s">
        <v>10903</v>
      </c>
      <c r="G10896">
        <v>1</v>
      </c>
    </row>
    <row r="10897" spans="1:7" x14ac:dyDescent="0.25">
      <c r="A10897">
        <v>33</v>
      </c>
      <c r="B10897" t="s">
        <v>10498</v>
      </c>
      <c r="C10897">
        <v>6828</v>
      </c>
      <c r="D10897" t="str">
        <f>"1002-0160"</f>
        <v>1002-0160</v>
      </c>
      <c r="E10897" t="s">
        <v>8</v>
      </c>
      <c r="F10897" t="s">
        <v>10904</v>
      </c>
      <c r="G10897">
        <v>1</v>
      </c>
    </row>
    <row r="10898" spans="1:7" x14ac:dyDescent="0.25">
      <c r="A10898">
        <v>33</v>
      </c>
      <c r="B10898" t="s">
        <v>10498</v>
      </c>
      <c r="C10898">
        <v>7964</v>
      </c>
      <c r="D10898" t="str">
        <f>"0031-9384"</f>
        <v>0031-9384</v>
      </c>
      <c r="E10898" t="s">
        <v>8</v>
      </c>
      <c r="F10898" t="s">
        <v>10905</v>
      </c>
      <c r="G10898">
        <v>1</v>
      </c>
    </row>
    <row r="10899" spans="1:7" x14ac:dyDescent="0.25">
      <c r="A10899">
        <v>33</v>
      </c>
      <c r="B10899" t="s">
        <v>10498</v>
      </c>
      <c r="C10899">
        <v>1958</v>
      </c>
      <c r="D10899" t="str">
        <f>"0179-9541"</f>
        <v>0179-9541</v>
      </c>
      <c r="E10899" t="s">
        <v>8</v>
      </c>
      <c r="F10899" t="s">
        <v>10906</v>
      </c>
      <c r="G10899">
        <v>1</v>
      </c>
    </row>
    <row r="10900" spans="1:7" x14ac:dyDescent="0.25">
      <c r="A10900">
        <v>33</v>
      </c>
      <c r="B10900" t="s">
        <v>10498</v>
      </c>
      <c r="C10900">
        <v>12402</v>
      </c>
      <c r="D10900" t="str">
        <f>"0191-2917"</f>
        <v>0191-2917</v>
      </c>
      <c r="E10900" t="s">
        <v>8</v>
      </c>
      <c r="F10900" t="s">
        <v>10907</v>
      </c>
      <c r="G10900">
        <v>1</v>
      </c>
    </row>
    <row r="10901" spans="1:7" x14ac:dyDescent="0.25">
      <c r="A10901">
        <v>33</v>
      </c>
      <c r="B10901" t="s">
        <v>10498</v>
      </c>
      <c r="C10901">
        <v>12071</v>
      </c>
      <c r="D10901" t="str">
        <f>"1385-0237"</f>
        <v>1385-0237</v>
      </c>
      <c r="E10901" t="s">
        <v>8</v>
      </c>
      <c r="F10901" t="s">
        <v>10908</v>
      </c>
      <c r="G10901">
        <v>1</v>
      </c>
    </row>
    <row r="10902" spans="1:7" x14ac:dyDescent="0.25">
      <c r="A10902">
        <v>33</v>
      </c>
      <c r="B10902" t="s">
        <v>10498</v>
      </c>
      <c r="C10902">
        <v>16034</v>
      </c>
      <c r="D10902" t="str">
        <f>"1343-943X"</f>
        <v>1343-943X</v>
      </c>
      <c r="E10902" t="s">
        <v>8</v>
      </c>
      <c r="F10902" t="s">
        <v>10909</v>
      </c>
      <c r="G10902">
        <v>1</v>
      </c>
    </row>
    <row r="10903" spans="1:7" x14ac:dyDescent="0.25">
      <c r="A10903">
        <v>33</v>
      </c>
      <c r="B10903" t="s">
        <v>10498</v>
      </c>
      <c r="C10903">
        <v>6575</v>
      </c>
      <c r="D10903" t="str">
        <f>"1214-1178"</f>
        <v>1214-1178</v>
      </c>
      <c r="E10903" t="s">
        <v>8</v>
      </c>
      <c r="F10903" t="s">
        <v>10910</v>
      </c>
      <c r="G10903">
        <v>1</v>
      </c>
    </row>
    <row r="10904" spans="1:7" x14ac:dyDescent="0.25">
      <c r="A10904">
        <v>33</v>
      </c>
      <c r="B10904" t="s">
        <v>10498</v>
      </c>
      <c r="C10904">
        <v>6640</v>
      </c>
      <c r="D10904" t="str">
        <f>"0032-2474"</f>
        <v>0032-2474</v>
      </c>
      <c r="E10904" t="s">
        <v>8</v>
      </c>
      <c r="F10904" t="s">
        <v>10911</v>
      </c>
      <c r="G10904">
        <v>1</v>
      </c>
    </row>
    <row r="10905" spans="1:7" x14ac:dyDescent="0.25">
      <c r="A10905">
        <v>33</v>
      </c>
      <c r="B10905" t="s">
        <v>10498</v>
      </c>
      <c r="C10905">
        <v>8128</v>
      </c>
      <c r="D10905" t="str">
        <f>"1230-1485"</f>
        <v>1230-1485</v>
      </c>
      <c r="E10905" t="s">
        <v>8</v>
      </c>
      <c r="F10905" t="s">
        <v>10912</v>
      </c>
      <c r="G10905">
        <v>1</v>
      </c>
    </row>
    <row r="10906" spans="1:7" x14ac:dyDescent="0.25">
      <c r="A10906">
        <v>33</v>
      </c>
      <c r="B10906" t="s">
        <v>10498</v>
      </c>
      <c r="C10906">
        <v>13411</v>
      </c>
      <c r="D10906" t="str">
        <f>"0014-3065"</f>
        <v>0014-3065</v>
      </c>
      <c r="E10906" t="s">
        <v>8</v>
      </c>
      <c r="F10906" t="s">
        <v>10913</v>
      </c>
      <c r="G10906">
        <v>1</v>
      </c>
    </row>
    <row r="10907" spans="1:7" x14ac:dyDescent="0.25">
      <c r="A10907">
        <v>33</v>
      </c>
      <c r="B10907" t="s">
        <v>10498</v>
      </c>
      <c r="C10907">
        <v>1015</v>
      </c>
      <c r="D10907" t="str">
        <f>"0032-5791"</f>
        <v>0032-5791</v>
      </c>
      <c r="E10907" t="s">
        <v>8</v>
      </c>
      <c r="F10907" t="s">
        <v>10914</v>
      </c>
      <c r="G10907">
        <v>1</v>
      </c>
    </row>
    <row r="10908" spans="1:7" x14ac:dyDescent="0.25">
      <c r="A10908">
        <v>33</v>
      </c>
      <c r="B10908" t="s">
        <v>10498</v>
      </c>
      <c r="C10908">
        <v>13270</v>
      </c>
      <c r="D10908" t="str">
        <f>"1385-2256"</f>
        <v>1385-2256</v>
      </c>
      <c r="E10908" t="s">
        <v>8</v>
      </c>
      <c r="F10908" t="s">
        <v>10915</v>
      </c>
      <c r="G10908">
        <v>1</v>
      </c>
    </row>
    <row r="10909" spans="1:7" x14ac:dyDescent="0.25">
      <c r="A10909">
        <v>33</v>
      </c>
      <c r="B10909" t="s">
        <v>10498</v>
      </c>
      <c r="C10909">
        <v>8314</v>
      </c>
      <c r="D10909" t="str">
        <f>"0990-0632"</f>
        <v>0990-0632</v>
      </c>
      <c r="E10909" t="s">
        <v>8</v>
      </c>
      <c r="F10909" t="s">
        <v>10916</v>
      </c>
      <c r="G10909">
        <v>1</v>
      </c>
    </row>
    <row r="10910" spans="1:7" x14ac:dyDescent="0.25">
      <c r="A10910">
        <v>33</v>
      </c>
      <c r="B10910" t="s">
        <v>10498</v>
      </c>
      <c r="C10910">
        <v>16475</v>
      </c>
      <c r="D10910" t="str">
        <f>"1550-7424"</f>
        <v>1550-7424</v>
      </c>
      <c r="E10910" t="s">
        <v>8</v>
      </c>
      <c r="F10910" t="s">
        <v>10917</v>
      </c>
      <c r="G10910">
        <v>1</v>
      </c>
    </row>
    <row r="10911" spans="1:7" x14ac:dyDescent="0.25">
      <c r="A10911">
        <v>33</v>
      </c>
      <c r="B10911" t="s">
        <v>10498</v>
      </c>
      <c r="C10911">
        <v>5616</v>
      </c>
      <c r="D10911" t="str">
        <f>"0333-256X"</f>
        <v>0333-256X</v>
      </c>
      <c r="E10911" t="s">
        <v>8</v>
      </c>
      <c r="F10911" t="s">
        <v>10918</v>
      </c>
      <c r="G10911">
        <v>1</v>
      </c>
    </row>
    <row r="10912" spans="1:7" x14ac:dyDescent="0.25">
      <c r="A10912">
        <v>33</v>
      </c>
      <c r="B10912" t="s">
        <v>10498</v>
      </c>
      <c r="C10912">
        <v>2008</v>
      </c>
      <c r="D10912" t="str">
        <f>"1436-3798"</f>
        <v>1436-3798</v>
      </c>
      <c r="E10912" t="s">
        <v>8</v>
      </c>
      <c r="F10912" t="s">
        <v>10919</v>
      </c>
      <c r="G10912">
        <v>1</v>
      </c>
    </row>
    <row r="10913" spans="1:7" x14ac:dyDescent="0.25">
      <c r="A10913">
        <v>33</v>
      </c>
      <c r="B10913" t="s">
        <v>10498</v>
      </c>
      <c r="C10913">
        <v>1050</v>
      </c>
      <c r="D10913" t="str">
        <f>"1051-5658"</f>
        <v>1051-5658</v>
      </c>
      <c r="E10913" t="s">
        <v>8</v>
      </c>
      <c r="F10913" t="s">
        <v>10920</v>
      </c>
      <c r="G10913">
        <v>1</v>
      </c>
    </row>
    <row r="10914" spans="1:7" x14ac:dyDescent="0.25">
      <c r="A10914">
        <v>33</v>
      </c>
      <c r="B10914" t="s">
        <v>10498</v>
      </c>
      <c r="C10914">
        <v>10908</v>
      </c>
      <c r="D10914" t="str">
        <f>"1742-1705"</f>
        <v>1742-1705</v>
      </c>
      <c r="E10914" t="s">
        <v>8</v>
      </c>
      <c r="F10914" t="s">
        <v>10921</v>
      </c>
      <c r="G10914">
        <v>1</v>
      </c>
    </row>
    <row r="10915" spans="1:7" x14ac:dyDescent="0.25">
      <c r="A10915">
        <v>33</v>
      </c>
      <c r="B10915" t="s">
        <v>10498</v>
      </c>
      <c r="C10915">
        <v>9350</v>
      </c>
      <c r="D10915" t="str">
        <f>"0928-7655"</f>
        <v>0928-7655</v>
      </c>
      <c r="E10915" t="s">
        <v>8</v>
      </c>
      <c r="F10915" t="s">
        <v>10922</v>
      </c>
      <c r="G10915">
        <v>1</v>
      </c>
    </row>
    <row r="10916" spans="1:7" x14ac:dyDescent="0.25">
      <c r="A10916">
        <v>33</v>
      </c>
      <c r="B10916" t="s">
        <v>10498</v>
      </c>
      <c r="C10916">
        <v>1378</v>
      </c>
      <c r="D10916" t="str">
        <f>"0921-3449"</f>
        <v>0921-3449</v>
      </c>
      <c r="E10916" t="s">
        <v>8</v>
      </c>
      <c r="F10916" t="s">
        <v>10923</v>
      </c>
      <c r="G10916">
        <v>1</v>
      </c>
    </row>
    <row r="10917" spans="1:7" x14ac:dyDescent="0.25">
      <c r="A10917">
        <v>33</v>
      </c>
      <c r="B10917" t="s">
        <v>10498</v>
      </c>
      <c r="C10917">
        <v>5958</v>
      </c>
      <c r="D10917" t="str">
        <f>"1061-2971"</f>
        <v>1061-2971</v>
      </c>
      <c r="E10917" t="s">
        <v>8</v>
      </c>
      <c r="F10917" t="s">
        <v>10924</v>
      </c>
      <c r="G10917">
        <v>1</v>
      </c>
    </row>
    <row r="10918" spans="1:7" x14ac:dyDescent="0.25">
      <c r="A10918">
        <v>33</v>
      </c>
      <c r="B10918" t="s">
        <v>10498</v>
      </c>
      <c r="C10918">
        <v>25621</v>
      </c>
      <c r="D10918" t="str">
        <f>"1750-6816"</f>
        <v>1750-6816</v>
      </c>
      <c r="E10918" t="s">
        <v>8</v>
      </c>
      <c r="F10918" t="s">
        <v>10925</v>
      </c>
      <c r="G10918">
        <v>1</v>
      </c>
    </row>
    <row r="10919" spans="1:7" x14ac:dyDescent="0.25">
      <c r="A10919">
        <v>33</v>
      </c>
      <c r="B10919" t="s">
        <v>10498</v>
      </c>
      <c r="C10919">
        <v>3177</v>
      </c>
      <c r="D10919" t="str">
        <f>"0960-3166"</f>
        <v>0960-3166</v>
      </c>
      <c r="E10919" t="s">
        <v>8</v>
      </c>
      <c r="F10919" t="s">
        <v>10926</v>
      </c>
      <c r="G10919">
        <v>1</v>
      </c>
    </row>
    <row r="10920" spans="1:7" x14ac:dyDescent="0.25">
      <c r="A10920">
        <v>33</v>
      </c>
      <c r="B10920" t="s">
        <v>10498</v>
      </c>
      <c r="C10920">
        <v>14118</v>
      </c>
      <c r="D10920" t="str">
        <f>"1064-1262"</f>
        <v>1064-1262</v>
      </c>
      <c r="E10920" t="s">
        <v>8</v>
      </c>
      <c r="F10920" t="s">
        <v>10927</v>
      </c>
      <c r="G10920">
        <v>1</v>
      </c>
    </row>
    <row r="10921" spans="1:7" x14ac:dyDescent="0.25">
      <c r="A10921">
        <v>33</v>
      </c>
      <c r="B10921" t="s">
        <v>10498</v>
      </c>
      <c r="C10921">
        <v>7244</v>
      </c>
      <c r="D10921" t="str">
        <f>"0179-5953"</f>
        <v>0179-5953</v>
      </c>
      <c r="E10921" t="s">
        <v>15</v>
      </c>
      <c r="F10921" t="s">
        <v>10928</v>
      </c>
      <c r="G10921">
        <v>1</v>
      </c>
    </row>
    <row r="10922" spans="1:7" x14ac:dyDescent="0.25">
      <c r="A10922">
        <v>33</v>
      </c>
      <c r="B10922" t="s">
        <v>10498</v>
      </c>
      <c r="C10922">
        <v>11143</v>
      </c>
      <c r="D10922" t="str">
        <f>"0307-8698"</f>
        <v>0307-8698</v>
      </c>
      <c r="E10922" t="s">
        <v>8</v>
      </c>
      <c r="F10922" t="s">
        <v>10929</v>
      </c>
      <c r="G10922">
        <v>1</v>
      </c>
    </row>
    <row r="10923" spans="1:7" x14ac:dyDescent="0.25">
      <c r="A10923">
        <v>33</v>
      </c>
      <c r="B10923" t="s">
        <v>10498</v>
      </c>
      <c r="C10923">
        <v>6338</v>
      </c>
      <c r="D10923" t="str">
        <f>"1535-1459"</f>
        <v>1535-1459</v>
      </c>
      <c r="E10923" t="s">
        <v>8</v>
      </c>
      <c r="F10923" t="s">
        <v>10930</v>
      </c>
      <c r="G10923">
        <v>1</v>
      </c>
    </row>
    <row r="10924" spans="1:7" x14ac:dyDescent="0.25">
      <c r="A10924">
        <v>33</v>
      </c>
      <c r="B10924" t="s">
        <v>10498</v>
      </c>
      <c r="C10924">
        <v>8783626</v>
      </c>
      <c r="E10924" t="s">
        <v>15</v>
      </c>
      <c r="F10924" t="s">
        <v>10931</v>
      </c>
      <c r="G10924">
        <v>1</v>
      </c>
    </row>
    <row r="10925" spans="1:7" x14ac:dyDescent="0.25">
      <c r="A10925">
        <v>33</v>
      </c>
      <c r="B10925" t="s">
        <v>10498</v>
      </c>
      <c r="C10925">
        <v>8783627</v>
      </c>
      <c r="E10925" t="s">
        <v>15</v>
      </c>
      <c r="F10925" t="s">
        <v>10932</v>
      </c>
      <c r="G10925">
        <v>1</v>
      </c>
    </row>
    <row r="10926" spans="1:7" x14ac:dyDescent="0.25">
      <c r="A10926">
        <v>33</v>
      </c>
      <c r="B10926" t="s">
        <v>10498</v>
      </c>
      <c r="C10926">
        <v>16528</v>
      </c>
      <c r="D10926" t="str">
        <f>"1062-936X"</f>
        <v>1062-936X</v>
      </c>
      <c r="E10926" t="s">
        <v>8</v>
      </c>
      <c r="F10926" t="s">
        <v>10933</v>
      </c>
      <c r="G10926">
        <v>1</v>
      </c>
    </row>
    <row r="10927" spans="1:7" x14ac:dyDescent="0.25">
      <c r="A10927">
        <v>33</v>
      </c>
      <c r="B10927" t="s">
        <v>10498</v>
      </c>
      <c r="C10927">
        <v>9551</v>
      </c>
      <c r="D10927" t="str">
        <f>"0355-032X"</f>
        <v>0355-032X</v>
      </c>
      <c r="E10927" t="s">
        <v>8</v>
      </c>
      <c r="F10927" t="s">
        <v>10934</v>
      </c>
      <c r="G10927">
        <v>1</v>
      </c>
    </row>
    <row r="10928" spans="1:7" x14ac:dyDescent="0.25">
      <c r="A10928">
        <v>33</v>
      </c>
      <c r="B10928" t="s">
        <v>10498</v>
      </c>
      <c r="C10928">
        <v>4457</v>
      </c>
      <c r="D10928" t="str">
        <f>"0282-7581"</f>
        <v>0282-7581</v>
      </c>
      <c r="E10928" t="s">
        <v>8</v>
      </c>
      <c r="F10928" t="s">
        <v>10935</v>
      </c>
      <c r="G10928">
        <v>1</v>
      </c>
    </row>
    <row r="10929" spans="1:7" x14ac:dyDescent="0.25">
      <c r="A10929">
        <v>33</v>
      </c>
      <c r="B10929" t="s">
        <v>10498</v>
      </c>
      <c r="C10929">
        <v>5669</v>
      </c>
      <c r="D10929" t="str">
        <f>"0036-7818"</f>
        <v>0036-7818</v>
      </c>
      <c r="E10929" t="s">
        <v>8</v>
      </c>
      <c r="F10929" t="s">
        <v>10936</v>
      </c>
      <c r="G10929">
        <v>1</v>
      </c>
    </row>
    <row r="10930" spans="1:7" x14ac:dyDescent="0.25">
      <c r="A10930">
        <v>33</v>
      </c>
      <c r="B10930" t="s">
        <v>10498</v>
      </c>
      <c r="C10930">
        <v>11436</v>
      </c>
      <c r="D10930" t="str">
        <f>"0304-4238"</f>
        <v>0304-4238</v>
      </c>
      <c r="E10930" t="s">
        <v>8</v>
      </c>
      <c r="F10930" t="s">
        <v>10937</v>
      </c>
      <c r="G10930">
        <v>1</v>
      </c>
    </row>
    <row r="10931" spans="1:7" x14ac:dyDescent="0.25">
      <c r="A10931">
        <v>33</v>
      </c>
      <c r="B10931" t="s">
        <v>10498</v>
      </c>
      <c r="C10931">
        <v>4456</v>
      </c>
      <c r="D10931" t="str">
        <f>"0214-8358"</f>
        <v>0214-8358</v>
      </c>
      <c r="E10931" t="s">
        <v>8</v>
      </c>
      <c r="F10931" t="s">
        <v>10938</v>
      </c>
      <c r="G10931">
        <v>1</v>
      </c>
    </row>
    <row r="10932" spans="1:7" x14ac:dyDescent="0.25">
      <c r="A10932">
        <v>33</v>
      </c>
      <c r="B10932" t="s">
        <v>10498</v>
      </c>
      <c r="C10932">
        <v>4659</v>
      </c>
      <c r="D10932" t="str">
        <f>"0036-8733"</f>
        <v>0036-8733</v>
      </c>
      <c r="E10932" t="s">
        <v>8</v>
      </c>
      <c r="F10932" t="s">
        <v>10939</v>
      </c>
      <c r="G10932">
        <v>1</v>
      </c>
    </row>
    <row r="10933" spans="1:7" x14ac:dyDescent="0.25">
      <c r="A10933">
        <v>33</v>
      </c>
      <c r="B10933" t="s">
        <v>10498</v>
      </c>
      <c r="C10933">
        <v>4227</v>
      </c>
      <c r="D10933" t="str">
        <f>"0105-2403"</f>
        <v>0105-2403</v>
      </c>
      <c r="E10933" t="s">
        <v>8</v>
      </c>
      <c r="F10933" t="s">
        <v>10940</v>
      </c>
      <c r="G10933">
        <v>1</v>
      </c>
    </row>
    <row r="10934" spans="1:7" x14ac:dyDescent="0.25">
      <c r="A10934">
        <v>33</v>
      </c>
      <c r="B10934" t="s">
        <v>10498</v>
      </c>
      <c r="C10934">
        <v>9669</v>
      </c>
      <c r="D10934" t="str">
        <f>"0251-0952"</f>
        <v>0251-0952</v>
      </c>
      <c r="E10934" t="s">
        <v>8</v>
      </c>
      <c r="F10934" t="s">
        <v>10941</v>
      </c>
      <c r="G10934">
        <v>1</v>
      </c>
    </row>
    <row r="10935" spans="1:7" x14ac:dyDescent="0.25">
      <c r="A10935">
        <v>33</v>
      </c>
      <c r="B10935" t="s">
        <v>10498</v>
      </c>
      <c r="C10935">
        <v>15608</v>
      </c>
      <c r="D10935" t="str">
        <f>"0960-2585"</f>
        <v>0960-2585</v>
      </c>
      <c r="E10935" t="s">
        <v>8</v>
      </c>
      <c r="F10935" t="s">
        <v>10942</v>
      </c>
      <c r="G10935">
        <v>1</v>
      </c>
    </row>
    <row r="10936" spans="1:7" x14ac:dyDescent="0.25">
      <c r="A10936">
        <v>33</v>
      </c>
      <c r="B10936" t="s">
        <v>10498</v>
      </c>
      <c r="C10936">
        <v>12817</v>
      </c>
      <c r="D10936" t="str">
        <f>"0037-5330"</f>
        <v>0037-5330</v>
      </c>
      <c r="E10936" t="s">
        <v>8</v>
      </c>
      <c r="F10936" t="s">
        <v>10943</v>
      </c>
      <c r="G10936">
        <v>1</v>
      </c>
    </row>
    <row r="10937" spans="1:7" x14ac:dyDescent="0.25">
      <c r="A10937">
        <v>33</v>
      </c>
      <c r="B10937" t="s">
        <v>10498</v>
      </c>
      <c r="C10937">
        <v>6071</v>
      </c>
      <c r="D10937" t="str">
        <f>"0037-5349"</f>
        <v>0037-5349</v>
      </c>
      <c r="E10937" t="s">
        <v>8</v>
      </c>
      <c r="F10937" t="s">
        <v>10944</v>
      </c>
      <c r="G10937">
        <v>1</v>
      </c>
    </row>
    <row r="10938" spans="1:7" x14ac:dyDescent="0.25">
      <c r="A10938">
        <v>33</v>
      </c>
      <c r="B10938" t="s">
        <v>10498</v>
      </c>
      <c r="C10938">
        <v>4068</v>
      </c>
      <c r="D10938" t="str">
        <f>"0921-4488"</f>
        <v>0921-4488</v>
      </c>
      <c r="E10938" t="s">
        <v>8</v>
      </c>
      <c r="F10938" t="s">
        <v>10945</v>
      </c>
      <c r="G10938">
        <v>1</v>
      </c>
    </row>
    <row r="10939" spans="1:7" x14ac:dyDescent="0.25">
      <c r="A10939">
        <v>33</v>
      </c>
      <c r="B10939" t="s">
        <v>10498</v>
      </c>
      <c r="C10939">
        <v>8021</v>
      </c>
      <c r="D10939" t="str">
        <f>"1873-7617"</f>
        <v>1873-7617</v>
      </c>
      <c r="E10939" t="s">
        <v>8</v>
      </c>
      <c r="F10939" t="s">
        <v>10946</v>
      </c>
      <c r="G10939">
        <v>1</v>
      </c>
    </row>
    <row r="10940" spans="1:7" x14ac:dyDescent="0.25">
      <c r="A10940">
        <v>33</v>
      </c>
      <c r="B10940" t="s">
        <v>10498</v>
      </c>
      <c r="C10940">
        <v>598</v>
      </c>
      <c r="D10940" t="str">
        <f>"0894-1920"</f>
        <v>0894-1920</v>
      </c>
      <c r="E10940" t="s">
        <v>8</v>
      </c>
      <c r="F10940" t="s">
        <v>10947</v>
      </c>
      <c r="G10940">
        <v>1</v>
      </c>
    </row>
    <row r="10941" spans="1:7" x14ac:dyDescent="0.25">
      <c r="A10941">
        <v>33</v>
      </c>
      <c r="B10941" t="s">
        <v>10498</v>
      </c>
      <c r="C10941">
        <v>12390</v>
      </c>
      <c r="D10941" t="str">
        <f>"1532-0383"</f>
        <v>1532-0383</v>
      </c>
      <c r="E10941" t="s">
        <v>8</v>
      </c>
      <c r="F10941" t="s">
        <v>10948</v>
      </c>
      <c r="G10941">
        <v>1</v>
      </c>
    </row>
    <row r="10942" spans="1:7" x14ac:dyDescent="0.25">
      <c r="A10942">
        <v>33</v>
      </c>
      <c r="B10942" t="s">
        <v>10498</v>
      </c>
      <c r="C10942">
        <v>10007</v>
      </c>
      <c r="D10942" t="str">
        <f>"0167-1987"</f>
        <v>0167-1987</v>
      </c>
      <c r="E10942" t="s">
        <v>8</v>
      </c>
      <c r="F10942" t="s">
        <v>10949</v>
      </c>
      <c r="G10942">
        <v>1</v>
      </c>
    </row>
    <row r="10943" spans="1:7" x14ac:dyDescent="0.25">
      <c r="A10943">
        <v>33</v>
      </c>
      <c r="B10943" t="s">
        <v>10498</v>
      </c>
      <c r="C10943">
        <v>16131</v>
      </c>
      <c r="D10943" t="str">
        <f>"1838-675X"</f>
        <v>1838-675X</v>
      </c>
      <c r="E10943" t="s">
        <v>8</v>
      </c>
      <c r="F10943" t="s">
        <v>10950</v>
      </c>
      <c r="G10943">
        <v>1</v>
      </c>
    </row>
    <row r="10944" spans="1:7" x14ac:dyDescent="0.25">
      <c r="A10944">
        <v>33</v>
      </c>
      <c r="B10944" t="s">
        <v>10498</v>
      </c>
      <c r="C10944">
        <v>565</v>
      </c>
      <c r="D10944" t="str">
        <f>"0038-075X"</f>
        <v>0038-075X</v>
      </c>
      <c r="E10944" t="s">
        <v>8</v>
      </c>
      <c r="F10944" t="s">
        <v>10951</v>
      </c>
      <c r="G10944">
        <v>1</v>
      </c>
    </row>
    <row r="10945" spans="1:7" x14ac:dyDescent="0.25">
      <c r="A10945">
        <v>33</v>
      </c>
      <c r="B10945" t="s">
        <v>10498</v>
      </c>
      <c r="C10945">
        <v>12432</v>
      </c>
      <c r="D10945" t="str">
        <f>"0038-0768"</f>
        <v>0038-0768</v>
      </c>
      <c r="E10945" t="s">
        <v>8</v>
      </c>
      <c r="F10945" t="s">
        <v>10952</v>
      </c>
      <c r="G10945">
        <v>1</v>
      </c>
    </row>
    <row r="10946" spans="1:7" x14ac:dyDescent="0.25">
      <c r="A10946">
        <v>33</v>
      </c>
      <c r="B10946" t="s">
        <v>10498</v>
      </c>
      <c r="C10946">
        <v>16913</v>
      </c>
      <c r="D10946" t="str">
        <f>"0266-0032"</f>
        <v>0266-0032</v>
      </c>
      <c r="E10946" t="s">
        <v>8</v>
      </c>
      <c r="F10946" t="s">
        <v>10953</v>
      </c>
      <c r="G10946">
        <v>1</v>
      </c>
    </row>
    <row r="10947" spans="1:7" x14ac:dyDescent="0.25">
      <c r="A10947">
        <v>33</v>
      </c>
      <c r="B10947" t="s">
        <v>10498</v>
      </c>
      <c r="C10947">
        <v>5471</v>
      </c>
      <c r="D10947" t="str">
        <f>"0375-1589"</f>
        <v>0375-1589</v>
      </c>
      <c r="E10947" t="s">
        <v>8</v>
      </c>
      <c r="F10947" t="s">
        <v>10954</v>
      </c>
      <c r="G10947">
        <v>1</v>
      </c>
    </row>
    <row r="10948" spans="1:7" x14ac:dyDescent="0.25">
      <c r="A10948">
        <v>33</v>
      </c>
      <c r="B10948" t="s">
        <v>10498</v>
      </c>
      <c r="C10948">
        <v>11628</v>
      </c>
      <c r="D10948" t="str">
        <f>"0379-4369"</f>
        <v>0379-4369</v>
      </c>
      <c r="E10948" t="s">
        <v>8</v>
      </c>
      <c r="F10948" t="s">
        <v>10955</v>
      </c>
      <c r="G10948">
        <v>1</v>
      </c>
    </row>
    <row r="10949" spans="1:7" x14ac:dyDescent="0.25">
      <c r="A10949">
        <v>33</v>
      </c>
      <c r="B10949" t="s">
        <v>10498</v>
      </c>
      <c r="C10949">
        <v>2933</v>
      </c>
      <c r="D10949" t="str">
        <f>"1528-7092"</f>
        <v>1528-7092</v>
      </c>
      <c r="E10949" t="s">
        <v>8</v>
      </c>
      <c r="F10949" t="s">
        <v>10956</v>
      </c>
      <c r="G10949">
        <v>1</v>
      </c>
    </row>
    <row r="10950" spans="1:7" x14ac:dyDescent="0.25">
      <c r="A10950">
        <v>33</v>
      </c>
      <c r="B10950" t="s">
        <v>10498</v>
      </c>
      <c r="C10950">
        <v>1108</v>
      </c>
      <c r="D10950" t="str">
        <f>"2070-2620"</f>
        <v>2070-2620</v>
      </c>
      <c r="E10950" t="s">
        <v>8</v>
      </c>
      <c r="F10950" t="s">
        <v>10957</v>
      </c>
      <c r="G10950">
        <v>1</v>
      </c>
    </row>
    <row r="10951" spans="1:7" x14ac:dyDescent="0.25">
      <c r="A10951">
        <v>33</v>
      </c>
      <c r="B10951" t="s">
        <v>10498</v>
      </c>
      <c r="C10951">
        <v>3730</v>
      </c>
      <c r="D10951" t="str">
        <f>"0038-4909"</f>
        <v>0038-4909</v>
      </c>
      <c r="E10951" t="s">
        <v>8</v>
      </c>
      <c r="F10951" t="s">
        <v>10958</v>
      </c>
      <c r="G10951">
        <v>1</v>
      </c>
    </row>
    <row r="10952" spans="1:7" x14ac:dyDescent="0.25">
      <c r="A10952">
        <v>33</v>
      </c>
      <c r="B10952" t="s">
        <v>10498</v>
      </c>
      <c r="C10952">
        <v>3453</v>
      </c>
      <c r="D10952" t="str">
        <f>"0165-0521"</f>
        <v>0165-0521</v>
      </c>
      <c r="E10952" t="s">
        <v>8</v>
      </c>
      <c r="F10952" t="s">
        <v>10959</v>
      </c>
      <c r="G10952">
        <v>1</v>
      </c>
    </row>
    <row r="10953" spans="1:7" x14ac:dyDescent="0.25">
      <c r="A10953">
        <v>33</v>
      </c>
      <c r="B10953" t="s">
        <v>10498</v>
      </c>
      <c r="C10953">
        <v>46</v>
      </c>
      <c r="D10953" t="str">
        <f>"1862-4065"</f>
        <v>1862-4065</v>
      </c>
      <c r="E10953" t="s">
        <v>8</v>
      </c>
      <c r="F10953" t="s">
        <v>10960</v>
      </c>
      <c r="G10953">
        <v>1</v>
      </c>
    </row>
    <row r="10954" spans="1:7" x14ac:dyDescent="0.25">
      <c r="A10954">
        <v>33</v>
      </c>
      <c r="B10954" t="s">
        <v>10498</v>
      </c>
      <c r="C10954">
        <v>10594</v>
      </c>
      <c r="D10954" t="str">
        <f>"0039-9140"</f>
        <v>0039-9140</v>
      </c>
      <c r="E10954" t="s">
        <v>8</v>
      </c>
      <c r="F10954" t="s">
        <v>10961</v>
      </c>
      <c r="G10954">
        <v>1</v>
      </c>
    </row>
    <row r="10955" spans="1:7" x14ac:dyDescent="0.25">
      <c r="A10955">
        <v>33</v>
      </c>
      <c r="B10955" t="s">
        <v>10498</v>
      </c>
      <c r="C10955">
        <v>27559</v>
      </c>
      <c r="D10955" t="str">
        <f>"1300-7580"</f>
        <v>1300-7580</v>
      </c>
      <c r="E10955" t="s">
        <v>8</v>
      </c>
      <c r="F10955" t="s">
        <v>10962</v>
      </c>
      <c r="G10955">
        <v>1</v>
      </c>
    </row>
    <row r="10956" spans="1:7" x14ac:dyDescent="0.25">
      <c r="A10956">
        <v>33</v>
      </c>
      <c r="B10956" t="s">
        <v>10498</v>
      </c>
      <c r="C10956">
        <v>15643</v>
      </c>
      <c r="D10956" t="str">
        <f>"0040-5175"</f>
        <v>0040-5175</v>
      </c>
      <c r="E10956" t="s">
        <v>8</v>
      </c>
      <c r="F10956" t="s">
        <v>10963</v>
      </c>
      <c r="G10956">
        <v>1</v>
      </c>
    </row>
    <row r="10957" spans="1:7" x14ac:dyDescent="0.25">
      <c r="A10957">
        <v>33</v>
      </c>
      <c r="B10957" t="s">
        <v>10498</v>
      </c>
      <c r="C10957">
        <v>5604</v>
      </c>
      <c r="D10957" t="str">
        <f>"0003-2654"</f>
        <v>0003-2654</v>
      </c>
      <c r="E10957" t="s">
        <v>8</v>
      </c>
      <c r="F10957" t="s">
        <v>10964</v>
      </c>
      <c r="G10957">
        <v>1</v>
      </c>
    </row>
    <row r="10958" spans="1:7" x14ac:dyDescent="0.25">
      <c r="A10958">
        <v>33</v>
      </c>
      <c r="B10958" t="s">
        <v>10498</v>
      </c>
      <c r="C10958">
        <v>12083</v>
      </c>
      <c r="D10958" t="str">
        <f>"0008-3550"</f>
        <v>0008-3550</v>
      </c>
      <c r="E10958" t="s">
        <v>8</v>
      </c>
      <c r="F10958" t="s">
        <v>10965</v>
      </c>
      <c r="G10958">
        <v>1</v>
      </c>
    </row>
    <row r="10959" spans="1:7" x14ac:dyDescent="0.25">
      <c r="A10959">
        <v>33</v>
      </c>
      <c r="B10959" t="s">
        <v>10498</v>
      </c>
      <c r="C10959">
        <v>6694</v>
      </c>
      <c r="D10959" t="str">
        <f>"0015-7546"</f>
        <v>0015-7546</v>
      </c>
      <c r="E10959" t="s">
        <v>8</v>
      </c>
      <c r="F10959" t="s">
        <v>10966</v>
      </c>
      <c r="G10959">
        <v>1</v>
      </c>
    </row>
    <row r="10960" spans="1:7" x14ac:dyDescent="0.25">
      <c r="A10960">
        <v>33</v>
      </c>
      <c r="B10960" t="s">
        <v>10498</v>
      </c>
      <c r="C10960">
        <v>8783628</v>
      </c>
      <c r="D10960" t="str">
        <f>"1867-979X"</f>
        <v>1867-979X</v>
      </c>
      <c r="E10960" t="s">
        <v>15</v>
      </c>
      <c r="F10960" t="s">
        <v>10967</v>
      </c>
      <c r="G10960">
        <v>1</v>
      </c>
    </row>
    <row r="10961" spans="1:7" x14ac:dyDescent="0.25">
      <c r="A10961">
        <v>33</v>
      </c>
      <c r="B10961" t="s">
        <v>10498</v>
      </c>
      <c r="C10961">
        <v>13393</v>
      </c>
      <c r="D10961" t="str">
        <f>"0019-4816"</f>
        <v>0019-4816</v>
      </c>
      <c r="E10961" t="s">
        <v>8</v>
      </c>
      <c r="F10961" t="s">
        <v>10968</v>
      </c>
      <c r="G10961">
        <v>1</v>
      </c>
    </row>
    <row r="10962" spans="1:7" x14ac:dyDescent="0.25">
      <c r="A10962">
        <v>33</v>
      </c>
      <c r="B10962" t="s">
        <v>10498</v>
      </c>
      <c r="C10962">
        <v>5167</v>
      </c>
      <c r="D10962" t="str">
        <f>"0019-5022"</f>
        <v>0019-5022</v>
      </c>
      <c r="E10962" t="s">
        <v>8</v>
      </c>
      <c r="F10962" t="s">
        <v>10969</v>
      </c>
      <c r="G10962">
        <v>1</v>
      </c>
    </row>
    <row r="10963" spans="1:7" x14ac:dyDescent="0.25">
      <c r="A10963">
        <v>33</v>
      </c>
      <c r="B10963" t="s">
        <v>10498</v>
      </c>
      <c r="C10963">
        <v>9641</v>
      </c>
      <c r="D10963" t="str">
        <f>"0367-8318"</f>
        <v>0367-8318</v>
      </c>
      <c r="E10963" t="s">
        <v>8</v>
      </c>
      <c r="F10963" t="s">
        <v>10970</v>
      </c>
      <c r="G10963">
        <v>1</v>
      </c>
    </row>
    <row r="10964" spans="1:7" x14ac:dyDescent="0.25">
      <c r="A10964">
        <v>33</v>
      </c>
      <c r="B10964" t="s">
        <v>10498</v>
      </c>
      <c r="C10964">
        <v>11717</v>
      </c>
      <c r="D10964" t="str">
        <f>"2151-3732"</f>
        <v>2151-3732</v>
      </c>
      <c r="E10964" t="s">
        <v>8</v>
      </c>
      <c r="F10964" t="s">
        <v>10971</v>
      </c>
      <c r="G10964">
        <v>1</v>
      </c>
    </row>
    <row r="10965" spans="1:7" x14ac:dyDescent="0.25">
      <c r="A10965">
        <v>33</v>
      </c>
      <c r="B10965" t="s">
        <v>10498</v>
      </c>
      <c r="C10965">
        <v>702</v>
      </c>
      <c r="D10965" t="str">
        <f>"0021-8596"</f>
        <v>0021-8596</v>
      </c>
      <c r="E10965" t="s">
        <v>8</v>
      </c>
      <c r="F10965" t="s">
        <v>10972</v>
      </c>
      <c r="G10965">
        <v>1</v>
      </c>
    </row>
    <row r="10966" spans="1:7" x14ac:dyDescent="0.25">
      <c r="A10966">
        <v>33</v>
      </c>
      <c r="B10966" t="s">
        <v>10498</v>
      </c>
      <c r="C10966">
        <v>4686</v>
      </c>
      <c r="D10966" t="str">
        <f>"1056-6171"</f>
        <v>1056-6171</v>
      </c>
      <c r="E10966" t="s">
        <v>8</v>
      </c>
      <c r="F10966" t="s">
        <v>10973</v>
      </c>
      <c r="G10966">
        <v>1</v>
      </c>
    </row>
    <row r="10967" spans="1:7" x14ac:dyDescent="0.25">
      <c r="A10967">
        <v>33</v>
      </c>
      <c r="B10967" t="s">
        <v>10498</v>
      </c>
      <c r="C10967">
        <v>4121</v>
      </c>
      <c r="D10967" t="str">
        <f>"0730-8000"</f>
        <v>0730-8000</v>
      </c>
      <c r="E10967" t="s">
        <v>8</v>
      </c>
      <c r="F10967" t="s">
        <v>10974</v>
      </c>
      <c r="G10967">
        <v>1</v>
      </c>
    </row>
    <row r="10968" spans="1:7" x14ac:dyDescent="0.25">
      <c r="A10968">
        <v>33</v>
      </c>
      <c r="B10968" t="s">
        <v>10498</v>
      </c>
      <c r="C10968">
        <v>8388</v>
      </c>
      <c r="D10968" t="str">
        <f>"0031-7454"</f>
        <v>0031-7454</v>
      </c>
      <c r="E10968" t="s">
        <v>8</v>
      </c>
      <c r="F10968" t="s">
        <v>10975</v>
      </c>
      <c r="G10968">
        <v>1</v>
      </c>
    </row>
    <row r="10969" spans="1:7" x14ac:dyDescent="0.25">
      <c r="A10969">
        <v>33</v>
      </c>
      <c r="B10969" t="s">
        <v>10498</v>
      </c>
      <c r="C10969">
        <v>10505</v>
      </c>
      <c r="D10969" t="str">
        <f>"1036-9872"</f>
        <v>1036-9872</v>
      </c>
      <c r="E10969" t="s">
        <v>8</v>
      </c>
      <c r="F10969" t="s">
        <v>10976</v>
      </c>
      <c r="G10969">
        <v>1</v>
      </c>
    </row>
    <row r="10970" spans="1:7" x14ac:dyDescent="0.25">
      <c r="A10970">
        <v>33</v>
      </c>
      <c r="B10970" t="s">
        <v>10498</v>
      </c>
      <c r="C10970">
        <v>13654</v>
      </c>
      <c r="D10970" t="str">
        <f>"0040-5752"</f>
        <v>0040-5752</v>
      </c>
      <c r="E10970" t="s">
        <v>8</v>
      </c>
      <c r="F10970" t="s">
        <v>10977</v>
      </c>
      <c r="G10970">
        <v>1</v>
      </c>
    </row>
    <row r="10971" spans="1:7" x14ac:dyDescent="0.25">
      <c r="A10971">
        <v>33</v>
      </c>
      <c r="B10971" t="s">
        <v>10498</v>
      </c>
      <c r="C10971">
        <v>8694</v>
      </c>
      <c r="D10971" t="str">
        <f>"0040-5809"</f>
        <v>0040-5809</v>
      </c>
      <c r="E10971" t="s">
        <v>8</v>
      </c>
      <c r="F10971" t="s">
        <v>10978</v>
      </c>
      <c r="G10971">
        <v>1</v>
      </c>
    </row>
    <row r="10972" spans="1:7" x14ac:dyDescent="0.25">
      <c r="A10972">
        <v>33</v>
      </c>
      <c r="B10972" t="s">
        <v>10498</v>
      </c>
      <c r="C10972">
        <v>7797</v>
      </c>
      <c r="D10972" t="str">
        <f>"0277-2248"</f>
        <v>0277-2248</v>
      </c>
      <c r="E10972" t="s">
        <v>8</v>
      </c>
      <c r="F10972" t="s">
        <v>10979</v>
      </c>
      <c r="G10972">
        <v>1</v>
      </c>
    </row>
    <row r="10973" spans="1:7" x14ac:dyDescent="0.25">
      <c r="A10973">
        <v>33</v>
      </c>
      <c r="B10973" t="s">
        <v>10498</v>
      </c>
      <c r="C10973">
        <v>6383</v>
      </c>
      <c r="D10973" t="str">
        <f>"0002-8487"</f>
        <v>0002-8487</v>
      </c>
      <c r="E10973" t="s">
        <v>8</v>
      </c>
      <c r="F10973" t="s">
        <v>10980</v>
      </c>
      <c r="G10973">
        <v>1</v>
      </c>
    </row>
    <row r="10974" spans="1:7" x14ac:dyDescent="0.25">
      <c r="A10974">
        <v>33</v>
      </c>
      <c r="B10974" t="s">
        <v>10498</v>
      </c>
      <c r="C10974">
        <v>12963</v>
      </c>
      <c r="D10974" t="str">
        <f>"1614-2942"</f>
        <v>1614-2942</v>
      </c>
      <c r="E10974" t="s">
        <v>8</v>
      </c>
      <c r="F10974" t="s">
        <v>10981</v>
      </c>
      <c r="G10974">
        <v>1</v>
      </c>
    </row>
    <row r="10975" spans="1:7" x14ac:dyDescent="0.25">
      <c r="A10975">
        <v>33</v>
      </c>
      <c r="B10975" t="s">
        <v>10498</v>
      </c>
      <c r="C10975">
        <v>12549</v>
      </c>
      <c r="D10975" t="str">
        <f>"0829-318X"</f>
        <v>0829-318X</v>
      </c>
      <c r="E10975" t="s">
        <v>8</v>
      </c>
      <c r="F10975" t="s">
        <v>10982</v>
      </c>
      <c r="G10975">
        <v>1</v>
      </c>
    </row>
    <row r="10976" spans="1:7" x14ac:dyDescent="0.25">
      <c r="A10976">
        <v>33</v>
      </c>
      <c r="B10976" t="s">
        <v>10498</v>
      </c>
      <c r="C10976">
        <v>13248</v>
      </c>
      <c r="D10976" t="str">
        <f>"0931-1890"</f>
        <v>0931-1890</v>
      </c>
      <c r="E10976" t="s">
        <v>8</v>
      </c>
      <c r="F10976" t="s">
        <v>10983</v>
      </c>
      <c r="G10976">
        <v>1</v>
      </c>
    </row>
    <row r="10977" spans="1:7" x14ac:dyDescent="0.25">
      <c r="A10977">
        <v>33</v>
      </c>
      <c r="B10977" t="s">
        <v>10498</v>
      </c>
      <c r="C10977">
        <v>1266</v>
      </c>
      <c r="D10977" t="str">
        <f>"0041-3216"</f>
        <v>0041-3216</v>
      </c>
      <c r="E10977" t="s">
        <v>8</v>
      </c>
      <c r="F10977" t="s">
        <v>10984</v>
      </c>
      <c r="G10977">
        <v>1</v>
      </c>
    </row>
    <row r="10978" spans="1:7" x14ac:dyDescent="0.25">
      <c r="A10978">
        <v>33</v>
      </c>
      <c r="B10978" t="s">
        <v>10498</v>
      </c>
      <c r="C10978">
        <v>9840</v>
      </c>
      <c r="E10978" t="s">
        <v>8</v>
      </c>
      <c r="F10978" t="s">
        <v>10985</v>
      </c>
      <c r="G10978">
        <v>1</v>
      </c>
    </row>
    <row r="10979" spans="1:7" x14ac:dyDescent="0.25">
      <c r="A10979">
        <v>33</v>
      </c>
      <c r="B10979" t="s">
        <v>10498</v>
      </c>
      <c r="C10979">
        <v>4431</v>
      </c>
      <c r="D10979" t="str">
        <f>"0042-7500"</f>
        <v>0042-7500</v>
      </c>
      <c r="E10979" t="s">
        <v>8</v>
      </c>
      <c r="F10979" t="s">
        <v>10986</v>
      </c>
      <c r="G10979">
        <v>1</v>
      </c>
    </row>
    <row r="10980" spans="1:7" x14ac:dyDescent="0.25">
      <c r="A10980">
        <v>33</v>
      </c>
      <c r="B10980" t="s">
        <v>10498</v>
      </c>
      <c r="C10980">
        <v>13428</v>
      </c>
      <c r="D10980" t="str">
        <f>"1061-4303"</f>
        <v>1061-4303</v>
      </c>
      <c r="E10980" t="s">
        <v>8</v>
      </c>
      <c r="F10980" t="s">
        <v>10987</v>
      </c>
      <c r="G10980">
        <v>1</v>
      </c>
    </row>
    <row r="10981" spans="1:7" x14ac:dyDescent="0.25">
      <c r="A10981">
        <v>33</v>
      </c>
      <c r="B10981" t="s">
        <v>10498</v>
      </c>
      <c r="C10981">
        <v>15783</v>
      </c>
      <c r="D10981" t="str">
        <f>"1201-3080"</f>
        <v>1201-3080</v>
      </c>
      <c r="E10981" t="s">
        <v>8</v>
      </c>
      <c r="F10981" t="s">
        <v>10988</v>
      </c>
      <c r="G10981">
        <v>1</v>
      </c>
    </row>
    <row r="10982" spans="1:7" x14ac:dyDescent="0.25">
      <c r="A10982">
        <v>33</v>
      </c>
      <c r="B10982" t="s">
        <v>10498</v>
      </c>
      <c r="C10982">
        <v>11218</v>
      </c>
      <c r="D10982" t="str">
        <f>"0920-4741"</f>
        <v>0920-4741</v>
      </c>
      <c r="E10982" t="s">
        <v>8</v>
      </c>
      <c r="F10982" t="s">
        <v>10989</v>
      </c>
      <c r="G10982">
        <v>1</v>
      </c>
    </row>
    <row r="10983" spans="1:7" x14ac:dyDescent="0.25">
      <c r="A10983">
        <v>33</v>
      </c>
      <c r="B10983" t="s">
        <v>10498</v>
      </c>
      <c r="C10983">
        <v>13904</v>
      </c>
      <c r="D10983" t="str">
        <f>"0049-6979"</f>
        <v>0049-6979</v>
      </c>
      <c r="E10983" t="s">
        <v>8</v>
      </c>
      <c r="F10983" t="s">
        <v>10990</v>
      </c>
      <c r="G10983">
        <v>1</v>
      </c>
    </row>
    <row r="10984" spans="1:7" x14ac:dyDescent="0.25">
      <c r="A10984">
        <v>33</v>
      </c>
      <c r="B10984" t="s">
        <v>10498</v>
      </c>
      <c r="C10984">
        <v>12781</v>
      </c>
      <c r="D10984" t="str">
        <f>"1444-6162"</f>
        <v>1444-6162</v>
      </c>
      <c r="E10984" t="s">
        <v>8</v>
      </c>
      <c r="F10984" t="s">
        <v>10991</v>
      </c>
      <c r="G10984">
        <v>1</v>
      </c>
    </row>
    <row r="10985" spans="1:7" x14ac:dyDescent="0.25">
      <c r="A10985">
        <v>33</v>
      </c>
      <c r="B10985" t="s">
        <v>10498</v>
      </c>
      <c r="C10985">
        <v>7142</v>
      </c>
      <c r="D10985" t="str">
        <f>"0043-1737"</f>
        <v>0043-1737</v>
      </c>
      <c r="E10985" t="s">
        <v>8</v>
      </c>
      <c r="F10985" t="s">
        <v>10992</v>
      </c>
      <c r="G10985">
        <v>1</v>
      </c>
    </row>
    <row r="10986" spans="1:7" x14ac:dyDescent="0.25">
      <c r="A10986">
        <v>33</v>
      </c>
      <c r="B10986" t="s">
        <v>10498</v>
      </c>
      <c r="C10986">
        <v>1239</v>
      </c>
      <c r="D10986" t="str">
        <f>"0043-1745"</f>
        <v>0043-1745</v>
      </c>
      <c r="E10986" t="s">
        <v>8</v>
      </c>
      <c r="F10986" t="s">
        <v>10993</v>
      </c>
      <c r="G10986">
        <v>1</v>
      </c>
    </row>
    <row r="10987" spans="1:7" x14ac:dyDescent="0.25">
      <c r="A10987">
        <v>33</v>
      </c>
      <c r="B10987" t="s">
        <v>10498</v>
      </c>
      <c r="C10987">
        <v>6923</v>
      </c>
      <c r="D10987" t="str">
        <f>"0890-037X"</f>
        <v>0890-037X</v>
      </c>
      <c r="E10987" t="s">
        <v>8</v>
      </c>
      <c r="F10987" t="s">
        <v>10994</v>
      </c>
      <c r="G10987">
        <v>1</v>
      </c>
    </row>
    <row r="10988" spans="1:7" x14ac:dyDescent="0.25">
      <c r="A10988">
        <v>33</v>
      </c>
      <c r="B10988" t="s">
        <v>10498</v>
      </c>
      <c r="C10988">
        <v>9896</v>
      </c>
      <c r="D10988" t="str">
        <f>"1527-0904"</f>
        <v>1527-0904</v>
      </c>
      <c r="E10988" t="s">
        <v>8</v>
      </c>
      <c r="F10988" t="s">
        <v>10995</v>
      </c>
      <c r="G10988">
        <v>1</v>
      </c>
    </row>
    <row r="10989" spans="1:7" x14ac:dyDescent="0.25">
      <c r="A10989">
        <v>33</v>
      </c>
      <c r="B10989" t="s">
        <v>10498</v>
      </c>
      <c r="C10989">
        <v>1149</v>
      </c>
      <c r="D10989" t="str">
        <f>"0277-5212"</f>
        <v>0277-5212</v>
      </c>
      <c r="E10989" t="s">
        <v>8</v>
      </c>
      <c r="F10989" t="s">
        <v>10996</v>
      </c>
      <c r="G10989">
        <v>1</v>
      </c>
    </row>
    <row r="10990" spans="1:7" x14ac:dyDescent="0.25">
      <c r="A10990">
        <v>33</v>
      </c>
      <c r="B10990" t="s">
        <v>10498</v>
      </c>
      <c r="C10990">
        <v>3654</v>
      </c>
      <c r="D10990" t="str">
        <f>"0923-4861"</f>
        <v>0923-4861</v>
      </c>
      <c r="E10990" t="s">
        <v>8</v>
      </c>
      <c r="F10990" t="s">
        <v>10997</v>
      </c>
      <c r="G10990">
        <v>1</v>
      </c>
    </row>
    <row r="10991" spans="1:7" x14ac:dyDescent="0.25">
      <c r="A10991">
        <v>33</v>
      </c>
      <c r="B10991" t="s">
        <v>10498</v>
      </c>
      <c r="C10991">
        <v>15898</v>
      </c>
      <c r="D10991" t="str">
        <f>"0909-6396"</f>
        <v>0909-6396</v>
      </c>
      <c r="E10991" t="s">
        <v>8</v>
      </c>
      <c r="F10991" t="s">
        <v>10998</v>
      </c>
      <c r="G10991">
        <v>1</v>
      </c>
    </row>
    <row r="10992" spans="1:7" x14ac:dyDescent="0.25">
      <c r="A10992">
        <v>33</v>
      </c>
      <c r="B10992" t="s">
        <v>10498</v>
      </c>
      <c r="C10992">
        <v>13585</v>
      </c>
      <c r="D10992" t="str">
        <f>"0084-0173"</f>
        <v>0084-0173</v>
      </c>
      <c r="E10992" t="s">
        <v>15</v>
      </c>
      <c r="F10992" t="s">
        <v>10999</v>
      </c>
      <c r="G10992">
        <v>1</v>
      </c>
    </row>
    <row r="10993" spans="1:7" x14ac:dyDescent="0.25">
      <c r="A10993">
        <v>33</v>
      </c>
      <c r="B10993" t="s">
        <v>10498</v>
      </c>
      <c r="C10993">
        <v>2020</v>
      </c>
      <c r="D10993" t="str">
        <f>"1035-3712"</f>
        <v>1035-3712</v>
      </c>
      <c r="E10993" t="s">
        <v>8</v>
      </c>
      <c r="F10993" t="s">
        <v>11000</v>
      </c>
      <c r="G10993">
        <v>1</v>
      </c>
    </row>
    <row r="10994" spans="1:7" x14ac:dyDescent="0.25">
      <c r="A10994">
        <v>33</v>
      </c>
      <c r="B10994" t="s">
        <v>10498</v>
      </c>
      <c r="C10994">
        <v>6671</v>
      </c>
      <c r="D10994" t="str">
        <f>"1257-5011"</f>
        <v>1257-5011</v>
      </c>
      <c r="E10994" t="s">
        <v>8</v>
      </c>
      <c r="F10994" t="s">
        <v>11001</v>
      </c>
      <c r="G10994">
        <v>1</v>
      </c>
    </row>
    <row r="10995" spans="1:7" x14ac:dyDescent="0.25">
      <c r="A10995">
        <v>33</v>
      </c>
      <c r="B10995" t="s">
        <v>10498</v>
      </c>
      <c r="C10995">
        <v>12500</v>
      </c>
      <c r="D10995" t="str">
        <f>"0043-9339"</f>
        <v>0043-9339</v>
      </c>
      <c r="E10995" t="s">
        <v>8</v>
      </c>
      <c r="F10995" t="s">
        <v>11002</v>
      </c>
      <c r="G10995">
        <v>1</v>
      </c>
    </row>
    <row r="10996" spans="1:7" x14ac:dyDescent="0.25">
      <c r="A10996">
        <v>33</v>
      </c>
      <c r="B10996" t="s">
        <v>10498</v>
      </c>
      <c r="C10996">
        <v>13394</v>
      </c>
      <c r="D10996" t="str">
        <f>"0049-8254"</f>
        <v>0049-8254</v>
      </c>
      <c r="E10996" t="s">
        <v>8</v>
      </c>
      <c r="F10996" t="s">
        <v>11003</v>
      </c>
      <c r="G10996">
        <v>1</v>
      </c>
    </row>
    <row r="10997" spans="1:7" x14ac:dyDescent="0.25">
      <c r="A10997">
        <v>33</v>
      </c>
      <c r="B10997" t="s">
        <v>10498</v>
      </c>
      <c r="C10997">
        <v>9910</v>
      </c>
      <c r="D10997" t="str">
        <f>"0044-5401"</f>
        <v>0044-5401</v>
      </c>
      <c r="E10997" t="s">
        <v>8</v>
      </c>
      <c r="F10997" t="s">
        <v>11004</v>
      </c>
      <c r="G10997">
        <v>1</v>
      </c>
    </row>
    <row r="10998" spans="1:7" x14ac:dyDescent="0.25">
      <c r="A10998">
        <v>34</v>
      </c>
      <c r="B10998" t="s">
        <v>11005</v>
      </c>
      <c r="C10998">
        <v>3956</v>
      </c>
      <c r="D10998" t="str">
        <f>"0092-8674"</f>
        <v>0092-8674</v>
      </c>
      <c r="E10998" t="s">
        <v>8</v>
      </c>
      <c r="F10998" t="s">
        <v>11006</v>
      </c>
      <c r="G10998">
        <v>3</v>
      </c>
    </row>
    <row r="10999" spans="1:7" x14ac:dyDescent="0.25">
      <c r="A10999">
        <v>34</v>
      </c>
      <c r="B10999" t="s">
        <v>11005</v>
      </c>
      <c r="C10999">
        <v>10635</v>
      </c>
      <c r="D10999" t="str">
        <f>"1550-4131"</f>
        <v>1550-4131</v>
      </c>
      <c r="E10999" t="s">
        <v>8</v>
      </c>
      <c r="F10999" t="s">
        <v>11007</v>
      </c>
      <c r="G10999">
        <v>3</v>
      </c>
    </row>
    <row r="11000" spans="1:7" x14ac:dyDescent="0.25">
      <c r="A11000">
        <v>34</v>
      </c>
      <c r="B11000" t="s">
        <v>11005</v>
      </c>
      <c r="C11000">
        <v>17824</v>
      </c>
      <c r="D11000" t="str">
        <f>"1934-5909"</f>
        <v>1934-5909</v>
      </c>
      <c r="E11000" t="s">
        <v>8</v>
      </c>
      <c r="F11000" t="s">
        <v>11008</v>
      </c>
      <c r="G11000">
        <v>3</v>
      </c>
    </row>
    <row r="11001" spans="1:7" x14ac:dyDescent="0.25">
      <c r="A11001">
        <v>34</v>
      </c>
      <c r="B11001" t="s">
        <v>11005</v>
      </c>
      <c r="C11001">
        <v>6139</v>
      </c>
      <c r="D11001" t="str">
        <f>"1087-0156"</f>
        <v>1087-0156</v>
      </c>
      <c r="E11001" t="s">
        <v>8</v>
      </c>
      <c r="F11001" t="s">
        <v>11009</v>
      </c>
      <c r="G11001">
        <v>3</v>
      </c>
    </row>
    <row r="11002" spans="1:7" x14ac:dyDescent="0.25">
      <c r="A11002">
        <v>34</v>
      </c>
      <c r="B11002" t="s">
        <v>11005</v>
      </c>
      <c r="C11002">
        <v>2790</v>
      </c>
      <c r="D11002" t="str">
        <f>"1465-7392"</f>
        <v>1465-7392</v>
      </c>
      <c r="E11002" t="s">
        <v>8</v>
      </c>
      <c r="F11002" t="s">
        <v>11010</v>
      </c>
      <c r="G11002">
        <v>3</v>
      </c>
    </row>
    <row r="11003" spans="1:7" x14ac:dyDescent="0.25">
      <c r="A11003">
        <v>34</v>
      </c>
      <c r="B11003" t="s">
        <v>11005</v>
      </c>
      <c r="C11003">
        <v>9431</v>
      </c>
      <c r="D11003" t="str">
        <f>"1061-4036"</f>
        <v>1061-4036</v>
      </c>
      <c r="E11003" t="s">
        <v>8</v>
      </c>
      <c r="F11003" t="s">
        <v>11011</v>
      </c>
      <c r="G11003">
        <v>3</v>
      </c>
    </row>
    <row r="11004" spans="1:7" x14ac:dyDescent="0.25">
      <c r="A11004">
        <v>34</v>
      </c>
      <c r="B11004" t="s">
        <v>11005</v>
      </c>
      <c r="C11004">
        <v>15484</v>
      </c>
      <c r="D11004" t="str">
        <f>"0065-2911"</f>
        <v>0065-2911</v>
      </c>
      <c r="E11004" t="s">
        <v>15</v>
      </c>
      <c r="F11004" t="s">
        <v>11012</v>
      </c>
      <c r="G11004">
        <v>2</v>
      </c>
    </row>
    <row r="11005" spans="1:7" x14ac:dyDescent="0.25">
      <c r="A11005">
        <v>34</v>
      </c>
      <c r="B11005" t="s">
        <v>11005</v>
      </c>
      <c r="C11005">
        <v>10314</v>
      </c>
      <c r="D11005" t="str">
        <f>"1474-9718"</f>
        <v>1474-9718</v>
      </c>
      <c r="E11005" t="s">
        <v>8</v>
      </c>
      <c r="F11005" t="s">
        <v>11013</v>
      </c>
      <c r="G11005">
        <v>2</v>
      </c>
    </row>
    <row r="11006" spans="1:7" x14ac:dyDescent="0.25">
      <c r="A11006">
        <v>34</v>
      </c>
      <c r="B11006" t="s">
        <v>11005</v>
      </c>
      <c r="C11006">
        <v>15461</v>
      </c>
      <c r="D11006" t="str">
        <f>"0002-9297"</f>
        <v>0002-9297</v>
      </c>
      <c r="E11006" t="s">
        <v>8</v>
      </c>
      <c r="F11006" t="s">
        <v>11014</v>
      </c>
      <c r="G11006">
        <v>2</v>
      </c>
    </row>
    <row r="11007" spans="1:7" x14ac:dyDescent="0.25">
      <c r="A11007">
        <v>34</v>
      </c>
      <c r="B11007" t="s">
        <v>11005</v>
      </c>
      <c r="C11007">
        <v>7091</v>
      </c>
      <c r="D11007" t="str">
        <f>"0066-4154"</f>
        <v>0066-4154</v>
      </c>
      <c r="E11007" t="s">
        <v>8</v>
      </c>
      <c r="F11007" t="s">
        <v>11015</v>
      </c>
      <c r="G11007">
        <v>2</v>
      </c>
    </row>
    <row r="11008" spans="1:7" x14ac:dyDescent="0.25">
      <c r="A11008">
        <v>34</v>
      </c>
      <c r="B11008" t="s">
        <v>11005</v>
      </c>
      <c r="C11008">
        <v>2499</v>
      </c>
      <c r="D11008" t="str">
        <f>"1936-122X"</f>
        <v>1936-122X</v>
      </c>
      <c r="E11008" t="s">
        <v>8</v>
      </c>
      <c r="F11008" t="s">
        <v>11016</v>
      </c>
      <c r="G11008">
        <v>2</v>
      </c>
    </row>
    <row r="11009" spans="1:7" x14ac:dyDescent="0.25">
      <c r="A11009">
        <v>34</v>
      </c>
      <c r="B11009" t="s">
        <v>11005</v>
      </c>
      <c r="C11009">
        <v>4424</v>
      </c>
      <c r="D11009" t="str">
        <f>"1081-0706"</f>
        <v>1081-0706</v>
      </c>
      <c r="E11009" t="s">
        <v>8</v>
      </c>
      <c r="F11009" t="s">
        <v>11017</v>
      </c>
      <c r="G11009">
        <v>2</v>
      </c>
    </row>
    <row r="11010" spans="1:7" x14ac:dyDescent="0.25">
      <c r="A11010">
        <v>34</v>
      </c>
      <c r="B11010" t="s">
        <v>11005</v>
      </c>
      <c r="C11010">
        <v>1579</v>
      </c>
      <c r="D11010" t="str">
        <f>"0066-4197"</f>
        <v>0066-4197</v>
      </c>
      <c r="E11010" t="s">
        <v>8</v>
      </c>
      <c r="F11010" t="s">
        <v>11018</v>
      </c>
      <c r="G11010">
        <v>2</v>
      </c>
    </row>
    <row r="11011" spans="1:7" x14ac:dyDescent="0.25">
      <c r="A11011">
        <v>34</v>
      </c>
      <c r="B11011" t="s">
        <v>11005</v>
      </c>
      <c r="C11011">
        <v>9497</v>
      </c>
      <c r="D11011" t="str">
        <f>"1527-8204"</f>
        <v>1527-8204</v>
      </c>
      <c r="E11011" t="s">
        <v>8</v>
      </c>
      <c r="F11011" t="s">
        <v>11019</v>
      </c>
      <c r="G11011">
        <v>2</v>
      </c>
    </row>
    <row r="11012" spans="1:7" x14ac:dyDescent="0.25">
      <c r="A11012">
        <v>34</v>
      </c>
      <c r="B11012" t="s">
        <v>11005</v>
      </c>
      <c r="C11012">
        <v>9553</v>
      </c>
      <c r="D11012" t="str">
        <f>"0066-4227"</f>
        <v>0066-4227</v>
      </c>
      <c r="E11012" t="s">
        <v>8</v>
      </c>
      <c r="F11012" t="s">
        <v>11020</v>
      </c>
      <c r="G11012">
        <v>2</v>
      </c>
    </row>
    <row r="11013" spans="1:7" x14ac:dyDescent="0.25">
      <c r="A11013">
        <v>34</v>
      </c>
      <c r="B11013" t="s">
        <v>11005</v>
      </c>
      <c r="C11013">
        <v>15508</v>
      </c>
      <c r="D11013" t="str">
        <f>"0199-9885"</f>
        <v>0199-9885</v>
      </c>
      <c r="E11013" t="s">
        <v>8</v>
      </c>
      <c r="F11013" t="s">
        <v>11021</v>
      </c>
      <c r="G11013">
        <v>2</v>
      </c>
    </row>
    <row r="11014" spans="1:7" x14ac:dyDescent="0.25">
      <c r="A11014">
        <v>34</v>
      </c>
      <c r="B11014" t="s">
        <v>11005</v>
      </c>
      <c r="C11014">
        <v>14662</v>
      </c>
      <c r="D11014" t="str">
        <f>"1523-0864"</f>
        <v>1523-0864</v>
      </c>
      <c r="E11014" t="s">
        <v>8</v>
      </c>
      <c r="F11014" t="s">
        <v>11022</v>
      </c>
      <c r="G11014">
        <v>2</v>
      </c>
    </row>
    <row r="11015" spans="1:7" x14ac:dyDescent="0.25">
      <c r="A11015">
        <v>34</v>
      </c>
      <c r="B11015" t="s">
        <v>11005</v>
      </c>
      <c r="C11015">
        <v>7053</v>
      </c>
      <c r="D11015" t="str">
        <f>"1554-8627"</f>
        <v>1554-8627</v>
      </c>
      <c r="E11015" t="s">
        <v>8</v>
      </c>
      <c r="F11015" t="s">
        <v>11023</v>
      </c>
      <c r="G11015">
        <v>2</v>
      </c>
    </row>
    <row r="11016" spans="1:7" x14ac:dyDescent="0.25">
      <c r="A11016">
        <v>34</v>
      </c>
      <c r="B11016" t="s">
        <v>11005</v>
      </c>
      <c r="C11016">
        <v>14658</v>
      </c>
      <c r="D11016" t="str">
        <f>"0005-2728"</f>
        <v>0005-2728</v>
      </c>
      <c r="E11016" t="s">
        <v>8</v>
      </c>
      <c r="F11016" t="s">
        <v>11024</v>
      </c>
      <c r="G11016">
        <v>2</v>
      </c>
    </row>
    <row r="11017" spans="1:7" x14ac:dyDescent="0.25">
      <c r="A11017">
        <v>34</v>
      </c>
      <c r="B11017" t="s">
        <v>11005</v>
      </c>
      <c r="C11017">
        <v>61145</v>
      </c>
      <c r="D11017" t="str">
        <f>"1874-9399"</f>
        <v>1874-9399</v>
      </c>
      <c r="E11017" t="s">
        <v>8</v>
      </c>
      <c r="F11017" t="s">
        <v>11025</v>
      </c>
      <c r="G11017">
        <v>2</v>
      </c>
    </row>
    <row r="11018" spans="1:7" x14ac:dyDescent="0.25">
      <c r="A11018">
        <v>34</v>
      </c>
      <c r="B11018" t="s">
        <v>11005</v>
      </c>
      <c r="C11018">
        <v>3998</v>
      </c>
      <c r="D11018" t="str">
        <f>"0304-4165"</f>
        <v>0304-4165</v>
      </c>
      <c r="E11018" t="s">
        <v>8</v>
      </c>
      <c r="F11018" t="s">
        <v>11026</v>
      </c>
      <c r="G11018">
        <v>2</v>
      </c>
    </row>
    <row r="11019" spans="1:7" x14ac:dyDescent="0.25">
      <c r="A11019">
        <v>34</v>
      </c>
      <c r="B11019" t="s">
        <v>11005</v>
      </c>
      <c r="C11019">
        <v>14203</v>
      </c>
      <c r="D11019" t="str">
        <f>"0167-4889"</f>
        <v>0167-4889</v>
      </c>
      <c r="E11019" t="s">
        <v>8</v>
      </c>
      <c r="F11019" t="s">
        <v>11027</v>
      </c>
      <c r="G11019">
        <v>2</v>
      </c>
    </row>
    <row r="11020" spans="1:7" x14ac:dyDescent="0.25">
      <c r="A11020">
        <v>34</v>
      </c>
      <c r="B11020" t="s">
        <v>11005</v>
      </c>
      <c r="C11020">
        <v>14670</v>
      </c>
      <c r="D11020" t="str">
        <f>"1367-4803"</f>
        <v>1367-4803</v>
      </c>
      <c r="E11020" t="s">
        <v>8</v>
      </c>
      <c r="F11020" t="s">
        <v>11028</v>
      </c>
      <c r="G11020">
        <v>2</v>
      </c>
    </row>
    <row r="11021" spans="1:7" x14ac:dyDescent="0.25">
      <c r="A11021">
        <v>34</v>
      </c>
      <c r="B11021" t="s">
        <v>11005</v>
      </c>
      <c r="C11021">
        <v>9584</v>
      </c>
      <c r="D11021" t="str">
        <f>"0734-9750"</f>
        <v>0734-9750</v>
      </c>
      <c r="E11021" t="s">
        <v>8</v>
      </c>
      <c r="F11021" t="s">
        <v>11029</v>
      </c>
      <c r="G11021">
        <v>2</v>
      </c>
    </row>
    <row r="11022" spans="1:7" x14ac:dyDescent="0.25">
      <c r="A11022">
        <v>34</v>
      </c>
      <c r="B11022" t="s">
        <v>11005</v>
      </c>
      <c r="C11022">
        <v>27087</v>
      </c>
      <c r="E11022" t="s">
        <v>8</v>
      </c>
      <c r="F11022" t="s">
        <v>11030</v>
      </c>
      <c r="G11022">
        <v>2</v>
      </c>
    </row>
    <row r="11023" spans="1:7" x14ac:dyDescent="0.25">
      <c r="A11023">
        <v>34</v>
      </c>
      <c r="B11023" t="s">
        <v>11005</v>
      </c>
      <c r="C11023">
        <v>6529</v>
      </c>
      <c r="D11023" t="str">
        <f>"1467-5463"</f>
        <v>1467-5463</v>
      </c>
      <c r="E11023" t="s">
        <v>8</v>
      </c>
      <c r="F11023" t="s">
        <v>11031</v>
      </c>
      <c r="G11023">
        <v>2</v>
      </c>
    </row>
    <row r="11024" spans="1:7" x14ac:dyDescent="0.25">
      <c r="A11024">
        <v>34</v>
      </c>
      <c r="B11024" t="s">
        <v>11005</v>
      </c>
      <c r="C11024">
        <v>8781979</v>
      </c>
      <c r="D11024" t="str">
        <f>"2451-9456"</f>
        <v>2451-9456</v>
      </c>
      <c r="E11024" t="s">
        <v>8</v>
      </c>
      <c r="F11024" t="s">
        <v>11032</v>
      </c>
      <c r="G11024">
        <v>2</v>
      </c>
    </row>
    <row r="11025" spans="1:7" x14ac:dyDescent="0.25">
      <c r="A11025">
        <v>34</v>
      </c>
      <c r="B11025" t="s">
        <v>11005</v>
      </c>
      <c r="C11025">
        <v>3559</v>
      </c>
      <c r="D11025" t="str">
        <f>"1350-9047"</f>
        <v>1350-9047</v>
      </c>
      <c r="E11025" t="s">
        <v>8</v>
      </c>
      <c r="F11025" t="s">
        <v>11033</v>
      </c>
      <c r="G11025">
        <v>2</v>
      </c>
    </row>
    <row r="11026" spans="1:7" x14ac:dyDescent="0.25">
      <c r="A11026">
        <v>34</v>
      </c>
      <c r="B11026" t="s">
        <v>11005</v>
      </c>
      <c r="C11026">
        <v>18005</v>
      </c>
      <c r="D11026" t="str">
        <f>"1931-3128"</f>
        <v>1931-3128</v>
      </c>
      <c r="E11026" t="s">
        <v>8</v>
      </c>
      <c r="F11026" t="s">
        <v>11034</v>
      </c>
      <c r="G11026">
        <v>2</v>
      </c>
    </row>
    <row r="11027" spans="1:7" x14ac:dyDescent="0.25">
      <c r="A11027">
        <v>34</v>
      </c>
      <c r="B11027" t="s">
        <v>11005</v>
      </c>
      <c r="C11027">
        <v>170361</v>
      </c>
      <c r="E11027" t="s">
        <v>8</v>
      </c>
      <c r="F11027" t="s">
        <v>11035</v>
      </c>
      <c r="G11027">
        <v>2</v>
      </c>
    </row>
    <row r="11028" spans="1:7" x14ac:dyDescent="0.25">
      <c r="A11028">
        <v>34</v>
      </c>
      <c r="B11028" t="s">
        <v>11005</v>
      </c>
      <c r="C11028">
        <v>12763</v>
      </c>
      <c r="D11028" t="str">
        <f>"1001-0602"</f>
        <v>1001-0602</v>
      </c>
      <c r="E11028" t="s">
        <v>8</v>
      </c>
      <c r="F11028" t="s">
        <v>11036</v>
      </c>
      <c r="G11028">
        <v>2</v>
      </c>
    </row>
    <row r="11029" spans="1:7" x14ac:dyDescent="0.25">
      <c r="A11029">
        <v>34</v>
      </c>
      <c r="B11029" t="s">
        <v>11005</v>
      </c>
      <c r="C11029">
        <v>11532</v>
      </c>
      <c r="D11029" t="str">
        <f>"1420-682X"</f>
        <v>1420-682X</v>
      </c>
      <c r="E11029" t="s">
        <v>8</v>
      </c>
      <c r="F11029" t="s">
        <v>11037</v>
      </c>
      <c r="G11029">
        <v>2</v>
      </c>
    </row>
    <row r="11030" spans="1:7" x14ac:dyDescent="0.25">
      <c r="A11030">
        <v>34</v>
      </c>
      <c r="B11030" t="s">
        <v>11005</v>
      </c>
      <c r="C11030">
        <v>7037</v>
      </c>
      <c r="D11030" t="str">
        <f>"1040-9238"</f>
        <v>1040-9238</v>
      </c>
      <c r="E11030" t="s">
        <v>8</v>
      </c>
      <c r="F11030" t="s">
        <v>11038</v>
      </c>
      <c r="G11030">
        <v>2</v>
      </c>
    </row>
    <row r="11031" spans="1:7" x14ac:dyDescent="0.25">
      <c r="A11031">
        <v>34</v>
      </c>
      <c r="B11031" t="s">
        <v>11005</v>
      </c>
      <c r="C11031">
        <v>7545</v>
      </c>
      <c r="D11031" t="str">
        <f>"0960-9822"</f>
        <v>0960-9822</v>
      </c>
      <c r="E11031" t="s">
        <v>8</v>
      </c>
      <c r="F11031" t="s">
        <v>11039</v>
      </c>
      <c r="G11031">
        <v>2</v>
      </c>
    </row>
    <row r="11032" spans="1:7" x14ac:dyDescent="0.25">
      <c r="A11032">
        <v>34</v>
      </c>
      <c r="B11032" t="s">
        <v>11005</v>
      </c>
      <c r="C11032">
        <v>8069</v>
      </c>
      <c r="D11032" t="str">
        <f>"0958-1669"</f>
        <v>0958-1669</v>
      </c>
      <c r="E11032" t="s">
        <v>8</v>
      </c>
      <c r="F11032" t="s">
        <v>11040</v>
      </c>
      <c r="G11032">
        <v>2</v>
      </c>
    </row>
    <row r="11033" spans="1:7" x14ac:dyDescent="0.25">
      <c r="A11033">
        <v>34</v>
      </c>
      <c r="B11033" t="s">
        <v>11005</v>
      </c>
      <c r="C11033">
        <v>8662</v>
      </c>
      <c r="D11033" t="str">
        <f>"0955-0674"</f>
        <v>0955-0674</v>
      </c>
      <c r="E11033" t="s">
        <v>8</v>
      </c>
      <c r="F11033" t="s">
        <v>11041</v>
      </c>
      <c r="G11033">
        <v>2</v>
      </c>
    </row>
    <row r="11034" spans="1:7" x14ac:dyDescent="0.25">
      <c r="A11034">
        <v>34</v>
      </c>
      <c r="B11034" t="s">
        <v>11005</v>
      </c>
      <c r="C11034">
        <v>13995</v>
      </c>
      <c r="D11034" t="str">
        <f>"1367-5931"</f>
        <v>1367-5931</v>
      </c>
      <c r="E11034" t="s">
        <v>8</v>
      </c>
      <c r="F11034" t="s">
        <v>11042</v>
      </c>
      <c r="G11034">
        <v>2</v>
      </c>
    </row>
    <row r="11035" spans="1:7" x14ac:dyDescent="0.25">
      <c r="A11035">
        <v>34</v>
      </c>
      <c r="B11035" t="s">
        <v>11005</v>
      </c>
      <c r="C11035">
        <v>1038</v>
      </c>
      <c r="D11035" t="str">
        <f>"0959-437X"</f>
        <v>0959-437X</v>
      </c>
      <c r="E11035" t="s">
        <v>8</v>
      </c>
      <c r="F11035" t="s">
        <v>11043</v>
      </c>
      <c r="G11035">
        <v>2</v>
      </c>
    </row>
    <row r="11036" spans="1:7" x14ac:dyDescent="0.25">
      <c r="A11036">
        <v>34</v>
      </c>
      <c r="B11036" t="s">
        <v>11005</v>
      </c>
      <c r="C11036">
        <v>10519</v>
      </c>
      <c r="D11036" t="str">
        <f>"0957-9672"</f>
        <v>0957-9672</v>
      </c>
      <c r="E11036" t="s">
        <v>8</v>
      </c>
      <c r="F11036" t="s">
        <v>11044</v>
      </c>
      <c r="G11036">
        <v>2</v>
      </c>
    </row>
    <row r="11037" spans="1:7" x14ac:dyDescent="0.25">
      <c r="A11037">
        <v>34</v>
      </c>
      <c r="B11037" t="s">
        <v>11005</v>
      </c>
      <c r="C11037">
        <v>2448</v>
      </c>
      <c r="D11037" t="str">
        <f>"1369-5274"</f>
        <v>1369-5274</v>
      </c>
      <c r="E11037" t="s">
        <v>8</v>
      </c>
      <c r="F11037" t="s">
        <v>11045</v>
      </c>
      <c r="G11037">
        <v>2</v>
      </c>
    </row>
    <row r="11038" spans="1:7" x14ac:dyDescent="0.25">
      <c r="A11038">
        <v>34</v>
      </c>
      <c r="B11038" t="s">
        <v>11005</v>
      </c>
      <c r="C11038">
        <v>8711</v>
      </c>
      <c r="D11038" t="str">
        <f>"0959-440X"</f>
        <v>0959-440X</v>
      </c>
      <c r="E11038" t="s">
        <v>8</v>
      </c>
      <c r="F11038" t="s">
        <v>11046</v>
      </c>
      <c r="G11038">
        <v>2</v>
      </c>
    </row>
    <row r="11039" spans="1:7" x14ac:dyDescent="0.25">
      <c r="A11039">
        <v>34</v>
      </c>
      <c r="B11039" t="s">
        <v>11005</v>
      </c>
      <c r="C11039">
        <v>10810</v>
      </c>
      <c r="D11039" t="str">
        <f>"0070-2153"</f>
        <v>0070-2153</v>
      </c>
      <c r="E11039" t="s">
        <v>15</v>
      </c>
      <c r="F11039" t="s">
        <v>11047</v>
      </c>
      <c r="G11039">
        <v>2</v>
      </c>
    </row>
    <row r="11040" spans="1:7" x14ac:dyDescent="0.25">
      <c r="A11040">
        <v>34</v>
      </c>
      <c r="B11040" t="s">
        <v>11005</v>
      </c>
      <c r="C11040">
        <v>595</v>
      </c>
      <c r="D11040" t="str">
        <f>"1359-6101"</f>
        <v>1359-6101</v>
      </c>
      <c r="E11040" t="s">
        <v>8</v>
      </c>
      <c r="F11040" t="s">
        <v>11048</v>
      </c>
      <c r="G11040">
        <v>2</v>
      </c>
    </row>
    <row r="11041" spans="1:7" x14ac:dyDescent="0.25">
      <c r="A11041">
        <v>34</v>
      </c>
      <c r="B11041" t="s">
        <v>11005</v>
      </c>
      <c r="C11041">
        <v>12242</v>
      </c>
      <c r="D11041" t="str">
        <f>"1534-5807"</f>
        <v>1534-5807</v>
      </c>
      <c r="E11041" t="s">
        <v>8</v>
      </c>
      <c r="F11041" t="s">
        <v>11049</v>
      </c>
      <c r="G11041">
        <v>2</v>
      </c>
    </row>
    <row r="11042" spans="1:7" x14ac:dyDescent="0.25">
      <c r="A11042">
        <v>34</v>
      </c>
      <c r="B11042" t="s">
        <v>11005</v>
      </c>
      <c r="C11042">
        <v>4086</v>
      </c>
      <c r="D11042" t="str">
        <f>"1340-2838"</f>
        <v>1340-2838</v>
      </c>
      <c r="E11042" t="s">
        <v>8</v>
      </c>
      <c r="F11042" t="s">
        <v>11050</v>
      </c>
      <c r="G11042">
        <v>2</v>
      </c>
    </row>
    <row r="11043" spans="1:7" x14ac:dyDescent="0.25">
      <c r="A11043">
        <v>34</v>
      </c>
      <c r="B11043" t="s">
        <v>11005</v>
      </c>
      <c r="C11043">
        <v>1591</v>
      </c>
      <c r="D11043" t="str">
        <f>"1469-221X"</f>
        <v>1469-221X</v>
      </c>
      <c r="E11043" t="s">
        <v>8</v>
      </c>
      <c r="F11043" t="s">
        <v>11051</v>
      </c>
      <c r="G11043">
        <v>2</v>
      </c>
    </row>
    <row r="11044" spans="1:7" x14ac:dyDescent="0.25">
      <c r="A11044">
        <v>34</v>
      </c>
      <c r="B11044" t="s">
        <v>11005</v>
      </c>
      <c r="C11044">
        <v>8783</v>
      </c>
      <c r="D11044" t="str">
        <f>"0890-9369"</f>
        <v>0890-9369</v>
      </c>
      <c r="E11044" t="s">
        <v>8</v>
      </c>
      <c r="F11044" t="s">
        <v>11052</v>
      </c>
      <c r="G11044">
        <v>2</v>
      </c>
    </row>
    <row r="11045" spans="1:7" x14ac:dyDescent="0.25">
      <c r="A11045">
        <v>34</v>
      </c>
      <c r="B11045" t="s">
        <v>11005</v>
      </c>
      <c r="C11045">
        <v>5294</v>
      </c>
      <c r="D11045" t="str">
        <f>"1474-7596"</f>
        <v>1474-7596</v>
      </c>
      <c r="E11045" t="s">
        <v>8</v>
      </c>
      <c r="F11045" t="s">
        <v>11053</v>
      </c>
      <c r="G11045">
        <v>2</v>
      </c>
    </row>
    <row r="11046" spans="1:7" x14ac:dyDescent="0.25">
      <c r="A11046">
        <v>34</v>
      </c>
      <c r="B11046" t="s">
        <v>11005</v>
      </c>
      <c r="C11046">
        <v>5650</v>
      </c>
      <c r="D11046" t="str">
        <f>"1088-9051"</f>
        <v>1088-9051</v>
      </c>
      <c r="E11046" t="s">
        <v>8</v>
      </c>
      <c r="F11046" t="s">
        <v>11054</v>
      </c>
      <c r="G11046">
        <v>2</v>
      </c>
    </row>
    <row r="11047" spans="1:7" x14ac:dyDescent="0.25">
      <c r="A11047">
        <v>34</v>
      </c>
      <c r="B11047" t="s">
        <v>11005</v>
      </c>
      <c r="C11047">
        <v>10982</v>
      </c>
      <c r="D11047" t="str">
        <f>"0964-6906"</f>
        <v>0964-6906</v>
      </c>
      <c r="E11047" t="s">
        <v>8</v>
      </c>
      <c r="F11047" t="s">
        <v>11055</v>
      </c>
      <c r="G11047">
        <v>2</v>
      </c>
    </row>
    <row r="11048" spans="1:7" x14ac:dyDescent="0.25">
      <c r="A11048">
        <v>34</v>
      </c>
      <c r="B11048" t="s">
        <v>11005</v>
      </c>
      <c r="C11048">
        <v>2318</v>
      </c>
      <c r="D11048" t="str">
        <f>"0105-2896"</f>
        <v>0105-2896</v>
      </c>
      <c r="E11048" t="s">
        <v>8</v>
      </c>
      <c r="F11048" t="s">
        <v>11056</v>
      </c>
      <c r="G11048">
        <v>2</v>
      </c>
    </row>
    <row r="11049" spans="1:7" x14ac:dyDescent="0.25">
      <c r="A11049">
        <v>34</v>
      </c>
      <c r="B11049" t="s">
        <v>11005</v>
      </c>
      <c r="C11049">
        <v>12114</v>
      </c>
      <c r="D11049" t="str">
        <f>"0021-9533"</f>
        <v>0021-9533</v>
      </c>
      <c r="E11049" t="s">
        <v>8</v>
      </c>
      <c r="F11049" t="s">
        <v>11057</v>
      </c>
      <c r="G11049">
        <v>2</v>
      </c>
    </row>
    <row r="11050" spans="1:7" x14ac:dyDescent="0.25">
      <c r="A11050">
        <v>34</v>
      </c>
      <c r="B11050" t="s">
        <v>11005</v>
      </c>
      <c r="C11050">
        <v>5990</v>
      </c>
      <c r="D11050" t="str">
        <f>"0022-2275"</f>
        <v>0022-2275</v>
      </c>
      <c r="E11050" t="s">
        <v>8</v>
      </c>
      <c r="F11050" t="s">
        <v>11058</v>
      </c>
      <c r="G11050">
        <v>2</v>
      </c>
    </row>
    <row r="11051" spans="1:7" x14ac:dyDescent="0.25">
      <c r="A11051">
        <v>34</v>
      </c>
      <c r="B11051" t="s">
        <v>11005</v>
      </c>
      <c r="C11051">
        <v>2676</v>
      </c>
      <c r="D11051" t="str">
        <f>"1389-5567"</f>
        <v>1389-5567</v>
      </c>
      <c r="E11051" t="s">
        <v>8</v>
      </c>
      <c r="F11051" t="s">
        <v>11059</v>
      </c>
      <c r="G11051">
        <v>2</v>
      </c>
    </row>
    <row r="11052" spans="1:7" x14ac:dyDescent="0.25">
      <c r="A11052">
        <v>34</v>
      </c>
      <c r="B11052" t="s">
        <v>11005</v>
      </c>
      <c r="C11052">
        <v>2986</v>
      </c>
      <c r="D11052" t="str">
        <f>"1535-3893"</f>
        <v>1535-3893</v>
      </c>
      <c r="E11052" t="s">
        <v>8</v>
      </c>
      <c r="F11052" t="s">
        <v>11060</v>
      </c>
      <c r="G11052">
        <v>2</v>
      </c>
    </row>
    <row r="11053" spans="1:7" x14ac:dyDescent="0.25">
      <c r="A11053">
        <v>34</v>
      </c>
      <c r="B11053" t="s">
        <v>11005</v>
      </c>
      <c r="C11053">
        <v>10133</v>
      </c>
      <c r="D11053" t="str">
        <f>"1096-7176"</f>
        <v>1096-7176</v>
      </c>
      <c r="E11053" t="s">
        <v>8</v>
      </c>
      <c r="F11053" t="s">
        <v>11061</v>
      </c>
      <c r="G11053">
        <v>2</v>
      </c>
    </row>
    <row r="11054" spans="1:7" x14ac:dyDescent="0.25">
      <c r="A11054">
        <v>34</v>
      </c>
      <c r="B11054" t="s">
        <v>11005</v>
      </c>
      <c r="C11054">
        <v>8592</v>
      </c>
      <c r="D11054" t="str">
        <f>"1092-2172"</f>
        <v>1092-2172</v>
      </c>
      <c r="E11054" t="s">
        <v>8</v>
      </c>
      <c r="F11054" t="s">
        <v>11062</v>
      </c>
      <c r="G11054">
        <v>2</v>
      </c>
    </row>
    <row r="11055" spans="1:7" x14ac:dyDescent="0.25">
      <c r="A11055">
        <v>34</v>
      </c>
      <c r="B11055" t="s">
        <v>11005</v>
      </c>
      <c r="C11055">
        <v>7874</v>
      </c>
      <c r="D11055" t="str">
        <f>"0270-7306"</f>
        <v>0270-7306</v>
      </c>
      <c r="E11055" t="s">
        <v>8</v>
      </c>
      <c r="F11055" t="s">
        <v>11063</v>
      </c>
      <c r="G11055">
        <v>2</v>
      </c>
    </row>
    <row r="11056" spans="1:7" x14ac:dyDescent="0.25">
      <c r="A11056">
        <v>34</v>
      </c>
      <c r="B11056" t="s">
        <v>11005</v>
      </c>
      <c r="C11056">
        <v>6054</v>
      </c>
      <c r="D11056" t="str">
        <f>"1535-9476"</f>
        <v>1535-9476</v>
      </c>
      <c r="E11056" t="s">
        <v>8</v>
      </c>
      <c r="F11056" t="s">
        <v>11064</v>
      </c>
      <c r="G11056">
        <v>2</v>
      </c>
    </row>
    <row r="11057" spans="1:7" x14ac:dyDescent="0.25">
      <c r="A11057">
        <v>34</v>
      </c>
      <c r="B11057" t="s">
        <v>11005</v>
      </c>
      <c r="C11057">
        <v>8894</v>
      </c>
      <c r="D11057" t="str">
        <f>"0737-4038"</f>
        <v>0737-4038</v>
      </c>
      <c r="E11057" t="s">
        <v>8</v>
      </c>
      <c r="F11057" t="s">
        <v>11065</v>
      </c>
      <c r="G11057">
        <v>2</v>
      </c>
    </row>
    <row r="11058" spans="1:7" x14ac:dyDescent="0.25">
      <c r="A11058">
        <v>34</v>
      </c>
      <c r="B11058" t="s">
        <v>11005</v>
      </c>
      <c r="C11058">
        <v>7032</v>
      </c>
      <c r="D11058" t="str">
        <f>"1097-2765"</f>
        <v>1097-2765</v>
      </c>
      <c r="E11058" t="s">
        <v>8</v>
      </c>
      <c r="F11058" t="s">
        <v>11066</v>
      </c>
      <c r="G11058">
        <v>2</v>
      </c>
    </row>
    <row r="11059" spans="1:7" x14ac:dyDescent="0.25">
      <c r="A11059">
        <v>34</v>
      </c>
      <c r="B11059" t="s">
        <v>11005</v>
      </c>
      <c r="C11059">
        <v>13616</v>
      </c>
      <c r="D11059" t="str">
        <f>"0962-1083"</f>
        <v>0962-1083</v>
      </c>
      <c r="E11059" t="s">
        <v>8</v>
      </c>
      <c r="F11059" t="s">
        <v>11067</v>
      </c>
      <c r="G11059">
        <v>2</v>
      </c>
    </row>
    <row r="11060" spans="1:7" x14ac:dyDescent="0.25">
      <c r="A11060">
        <v>34</v>
      </c>
      <c r="B11060" t="s">
        <v>11005</v>
      </c>
      <c r="C11060">
        <v>9710</v>
      </c>
      <c r="D11060" t="str">
        <f>"0950-382X"</f>
        <v>0950-382X</v>
      </c>
      <c r="E11060" t="s">
        <v>8</v>
      </c>
      <c r="F11060" t="s">
        <v>11068</v>
      </c>
      <c r="G11060">
        <v>2</v>
      </c>
    </row>
    <row r="11061" spans="1:7" x14ac:dyDescent="0.25">
      <c r="A11061">
        <v>34</v>
      </c>
      <c r="B11061" t="s">
        <v>11005</v>
      </c>
      <c r="C11061">
        <v>11071</v>
      </c>
      <c r="D11061" t="str">
        <f>"0893-7648"</f>
        <v>0893-7648</v>
      </c>
      <c r="E11061" t="s">
        <v>8</v>
      </c>
      <c r="F11061" t="s">
        <v>11069</v>
      </c>
      <c r="G11061">
        <v>2</v>
      </c>
    </row>
    <row r="11062" spans="1:7" x14ac:dyDescent="0.25">
      <c r="A11062">
        <v>34</v>
      </c>
      <c r="B11062" t="s">
        <v>11005</v>
      </c>
      <c r="C11062">
        <v>30386</v>
      </c>
      <c r="D11062" t="str">
        <f>"1674-2052"</f>
        <v>1674-2052</v>
      </c>
      <c r="E11062" t="s">
        <v>8</v>
      </c>
      <c r="F11062" t="s">
        <v>11070</v>
      </c>
      <c r="G11062">
        <v>2</v>
      </c>
    </row>
    <row r="11063" spans="1:7" x14ac:dyDescent="0.25">
      <c r="A11063">
        <v>34</v>
      </c>
      <c r="B11063" t="s">
        <v>11005</v>
      </c>
      <c r="C11063">
        <v>7813</v>
      </c>
      <c r="E11063" t="s">
        <v>8</v>
      </c>
      <c r="F11063" t="s">
        <v>11071</v>
      </c>
      <c r="G11063">
        <v>2</v>
      </c>
    </row>
    <row r="11064" spans="1:7" x14ac:dyDescent="0.25">
      <c r="A11064">
        <v>34</v>
      </c>
      <c r="B11064" t="s">
        <v>11005</v>
      </c>
      <c r="C11064">
        <v>1031</v>
      </c>
      <c r="D11064" t="str">
        <f>"0265-0568"</f>
        <v>0265-0568</v>
      </c>
      <c r="E11064" t="s">
        <v>8</v>
      </c>
      <c r="F11064" t="s">
        <v>11072</v>
      </c>
      <c r="G11064">
        <v>2</v>
      </c>
    </row>
    <row r="11065" spans="1:7" x14ac:dyDescent="0.25">
      <c r="A11065">
        <v>34</v>
      </c>
      <c r="B11065" t="s">
        <v>11005</v>
      </c>
      <c r="C11065">
        <v>11835</v>
      </c>
      <c r="D11065" t="str">
        <f>"1552-4450"</f>
        <v>1552-4450</v>
      </c>
      <c r="E11065" t="s">
        <v>8</v>
      </c>
      <c r="F11065" t="s">
        <v>11073</v>
      </c>
      <c r="G11065">
        <v>2</v>
      </c>
    </row>
    <row r="11066" spans="1:7" x14ac:dyDescent="0.25">
      <c r="A11066">
        <v>34</v>
      </c>
      <c r="B11066" t="s">
        <v>11005</v>
      </c>
      <c r="C11066">
        <v>12637</v>
      </c>
      <c r="D11066" t="str">
        <f>"1471-0056"</f>
        <v>1471-0056</v>
      </c>
      <c r="E11066" t="s">
        <v>8</v>
      </c>
      <c r="F11066" t="s">
        <v>11074</v>
      </c>
      <c r="G11066">
        <v>2</v>
      </c>
    </row>
    <row r="11067" spans="1:7" x14ac:dyDescent="0.25">
      <c r="A11067">
        <v>34</v>
      </c>
      <c r="B11067" t="s">
        <v>11005</v>
      </c>
      <c r="C11067">
        <v>3838</v>
      </c>
      <c r="D11067" t="str">
        <f>"1471-0072"</f>
        <v>1471-0072</v>
      </c>
      <c r="E11067" t="s">
        <v>8</v>
      </c>
      <c r="F11067" t="s">
        <v>11075</v>
      </c>
      <c r="G11067">
        <v>2</v>
      </c>
    </row>
    <row r="11068" spans="1:7" x14ac:dyDescent="0.25">
      <c r="A11068">
        <v>34</v>
      </c>
      <c r="B11068" t="s">
        <v>11005</v>
      </c>
      <c r="C11068">
        <v>10103</v>
      </c>
      <c r="D11068" t="str">
        <f>"1545-9993"</f>
        <v>1545-9993</v>
      </c>
      <c r="E11068" t="s">
        <v>8</v>
      </c>
      <c r="F11068" t="s">
        <v>11076</v>
      </c>
      <c r="G11068">
        <v>2</v>
      </c>
    </row>
    <row r="11069" spans="1:7" x14ac:dyDescent="0.25">
      <c r="A11069">
        <v>34</v>
      </c>
      <c r="B11069" t="s">
        <v>11005</v>
      </c>
      <c r="C11069">
        <v>15464</v>
      </c>
      <c r="D11069" t="str">
        <f>"0028-646X"</f>
        <v>0028-646X</v>
      </c>
      <c r="E11069" t="s">
        <v>8</v>
      </c>
      <c r="F11069" t="s">
        <v>11077</v>
      </c>
      <c r="G11069">
        <v>2</v>
      </c>
    </row>
    <row r="11070" spans="1:7" x14ac:dyDescent="0.25">
      <c r="A11070">
        <v>34</v>
      </c>
      <c r="B11070" t="s">
        <v>11005</v>
      </c>
      <c r="C11070">
        <v>6726</v>
      </c>
      <c r="D11070" t="str">
        <f>"0305-1048"</f>
        <v>0305-1048</v>
      </c>
      <c r="E11070" t="s">
        <v>8</v>
      </c>
      <c r="F11070" t="s">
        <v>11078</v>
      </c>
      <c r="G11070">
        <v>2</v>
      </c>
    </row>
    <row r="11071" spans="1:7" x14ac:dyDescent="0.25">
      <c r="A11071">
        <v>34</v>
      </c>
      <c r="B11071" t="s">
        <v>11005</v>
      </c>
      <c r="C11071">
        <v>7208</v>
      </c>
      <c r="D11071" t="str">
        <f>"1467-7644"</f>
        <v>1467-7644</v>
      </c>
      <c r="E11071" t="s">
        <v>8</v>
      </c>
      <c r="F11071" t="s">
        <v>11079</v>
      </c>
      <c r="G11071">
        <v>2</v>
      </c>
    </row>
    <row r="11072" spans="1:7" x14ac:dyDescent="0.25">
      <c r="A11072">
        <v>34</v>
      </c>
      <c r="B11072" t="s">
        <v>11005</v>
      </c>
      <c r="C11072">
        <v>16958</v>
      </c>
      <c r="D11072" t="str">
        <f>"0140-7791"</f>
        <v>0140-7791</v>
      </c>
      <c r="E11072" t="s">
        <v>8</v>
      </c>
      <c r="F11072" t="s">
        <v>11080</v>
      </c>
      <c r="G11072">
        <v>2</v>
      </c>
    </row>
    <row r="11073" spans="1:7" x14ac:dyDescent="0.25">
      <c r="A11073">
        <v>34</v>
      </c>
      <c r="B11073" t="s">
        <v>11005</v>
      </c>
      <c r="C11073">
        <v>13553</v>
      </c>
      <c r="D11073" t="str">
        <f>"0163-7827"</f>
        <v>0163-7827</v>
      </c>
      <c r="E11073" t="s">
        <v>8</v>
      </c>
      <c r="F11073" t="s">
        <v>11081</v>
      </c>
      <c r="G11073">
        <v>2</v>
      </c>
    </row>
    <row r="11074" spans="1:7" x14ac:dyDescent="0.25">
      <c r="A11074">
        <v>34</v>
      </c>
      <c r="B11074" t="s">
        <v>11005</v>
      </c>
      <c r="C11074">
        <v>8937</v>
      </c>
      <c r="D11074" t="str">
        <f>"0033-5835"</f>
        <v>0033-5835</v>
      </c>
      <c r="E11074" t="s">
        <v>8</v>
      </c>
      <c r="F11074" t="s">
        <v>11082</v>
      </c>
      <c r="G11074">
        <v>2</v>
      </c>
    </row>
    <row r="11075" spans="1:7" x14ac:dyDescent="0.25">
      <c r="A11075">
        <v>34</v>
      </c>
      <c r="B11075" t="s">
        <v>11005</v>
      </c>
      <c r="C11075">
        <v>498</v>
      </c>
      <c r="D11075" t="str">
        <f>"1355-8382"</f>
        <v>1355-8382</v>
      </c>
      <c r="E11075" t="s">
        <v>8</v>
      </c>
      <c r="F11075" t="s">
        <v>11083</v>
      </c>
      <c r="G11075">
        <v>2</v>
      </c>
    </row>
    <row r="11076" spans="1:7" x14ac:dyDescent="0.25">
      <c r="A11076">
        <v>34</v>
      </c>
      <c r="B11076" t="s">
        <v>11005</v>
      </c>
      <c r="C11076">
        <v>15151</v>
      </c>
      <c r="D11076" t="str">
        <f>"1945-0877"</f>
        <v>1945-0877</v>
      </c>
      <c r="E11076" t="s">
        <v>8</v>
      </c>
      <c r="F11076" t="s">
        <v>11084</v>
      </c>
      <c r="G11076">
        <v>2</v>
      </c>
    </row>
    <row r="11077" spans="1:7" x14ac:dyDescent="0.25">
      <c r="A11077">
        <v>34</v>
      </c>
      <c r="B11077" t="s">
        <v>11005</v>
      </c>
      <c r="C11077">
        <v>15556</v>
      </c>
      <c r="D11077" t="str">
        <f>"1084-9521"</f>
        <v>1084-9521</v>
      </c>
      <c r="E11077" t="s">
        <v>8</v>
      </c>
      <c r="F11077" t="s">
        <v>11085</v>
      </c>
      <c r="G11077">
        <v>2</v>
      </c>
    </row>
    <row r="11078" spans="1:7" x14ac:dyDescent="0.25">
      <c r="A11078">
        <v>34</v>
      </c>
      <c r="B11078" t="s">
        <v>11005</v>
      </c>
      <c r="C11078">
        <v>7385</v>
      </c>
      <c r="D11078" t="str">
        <f>"1066-5099"</f>
        <v>1066-5099</v>
      </c>
      <c r="E11078" t="s">
        <v>8</v>
      </c>
      <c r="F11078" t="s">
        <v>11086</v>
      </c>
      <c r="G11078">
        <v>2</v>
      </c>
    </row>
    <row r="11079" spans="1:7" x14ac:dyDescent="0.25">
      <c r="A11079">
        <v>34</v>
      </c>
      <c r="B11079" t="s">
        <v>11005</v>
      </c>
      <c r="C11079">
        <v>2479</v>
      </c>
      <c r="D11079" t="str">
        <f>"0969-2126"</f>
        <v>0969-2126</v>
      </c>
      <c r="E11079" t="s">
        <v>8</v>
      </c>
      <c r="F11079" t="s">
        <v>11087</v>
      </c>
      <c r="G11079">
        <v>2</v>
      </c>
    </row>
    <row r="11080" spans="1:7" x14ac:dyDescent="0.25">
      <c r="A11080">
        <v>34</v>
      </c>
      <c r="B11080" t="s">
        <v>11005</v>
      </c>
      <c r="C11080">
        <v>9618</v>
      </c>
      <c r="D11080" t="str">
        <f>"0261-4189"</f>
        <v>0261-4189</v>
      </c>
      <c r="E11080" t="s">
        <v>8</v>
      </c>
      <c r="F11080" t="s">
        <v>11088</v>
      </c>
      <c r="G11080">
        <v>2</v>
      </c>
    </row>
    <row r="11081" spans="1:7" x14ac:dyDescent="0.25">
      <c r="A11081">
        <v>34</v>
      </c>
      <c r="B11081" t="s">
        <v>11005</v>
      </c>
      <c r="C11081">
        <v>4609</v>
      </c>
      <c r="D11081" t="str">
        <f>"0892-6638"</f>
        <v>0892-6638</v>
      </c>
      <c r="E11081" t="s">
        <v>8</v>
      </c>
      <c r="F11081" t="s">
        <v>11089</v>
      </c>
      <c r="G11081">
        <v>2</v>
      </c>
    </row>
    <row r="11082" spans="1:7" x14ac:dyDescent="0.25">
      <c r="A11082">
        <v>34</v>
      </c>
      <c r="B11082" t="s">
        <v>11005</v>
      </c>
      <c r="C11082">
        <v>7336</v>
      </c>
      <c r="D11082" t="str">
        <f>"0021-9525"</f>
        <v>0021-9525</v>
      </c>
      <c r="E11082" t="s">
        <v>8</v>
      </c>
      <c r="F11082" t="s">
        <v>11090</v>
      </c>
      <c r="G11082">
        <v>2</v>
      </c>
    </row>
    <row r="11083" spans="1:7" x14ac:dyDescent="0.25">
      <c r="A11083">
        <v>34</v>
      </c>
      <c r="B11083" t="s">
        <v>11005</v>
      </c>
      <c r="C11083">
        <v>3050</v>
      </c>
      <c r="D11083" t="str">
        <f>"1040-4651"</f>
        <v>1040-4651</v>
      </c>
      <c r="E11083" t="s">
        <v>8</v>
      </c>
      <c r="F11083" t="s">
        <v>11091</v>
      </c>
      <c r="G11083">
        <v>2</v>
      </c>
    </row>
    <row r="11084" spans="1:7" x14ac:dyDescent="0.25">
      <c r="A11084">
        <v>34</v>
      </c>
      <c r="B11084" t="s">
        <v>11005</v>
      </c>
      <c r="C11084">
        <v>8998</v>
      </c>
      <c r="D11084" t="str">
        <f>"0960-7412"</f>
        <v>0960-7412</v>
      </c>
      <c r="E11084" t="s">
        <v>8</v>
      </c>
      <c r="F11084" t="s">
        <v>11092</v>
      </c>
      <c r="G11084">
        <v>2</v>
      </c>
    </row>
    <row r="11085" spans="1:7" x14ac:dyDescent="0.25">
      <c r="A11085">
        <v>34</v>
      </c>
      <c r="B11085" t="s">
        <v>11005</v>
      </c>
      <c r="C11085">
        <v>2263</v>
      </c>
      <c r="D11085" t="str">
        <f>"0968-0004"</f>
        <v>0968-0004</v>
      </c>
      <c r="E11085" t="s">
        <v>8</v>
      </c>
      <c r="F11085" t="s">
        <v>11093</v>
      </c>
      <c r="G11085">
        <v>2</v>
      </c>
    </row>
    <row r="11086" spans="1:7" x14ac:dyDescent="0.25">
      <c r="A11086">
        <v>34</v>
      </c>
      <c r="B11086" t="s">
        <v>11005</v>
      </c>
      <c r="C11086">
        <v>15217</v>
      </c>
      <c r="D11086" t="str">
        <f>"0167-7799"</f>
        <v>0167-7799</v>
      </c>
      <c r="E11086" t="s">
        <v>8</v>
      </c>
      <c r="F11086" t="s">
        <v>11094</v>
      </c>
      <c r="G11086">
        <v>2</v>
      </c>
    </row>
    <row r="11087" spans="1:7" x14ac:dyDescent="0.25">
      <c r="A11087">
        <v>34</v>
      </c>
      <c r="B11087" t="s">
        <v>11005</v>
      </c>
      <c r="C11087">
        <v>11831</v>
      </c>
      <c r="D11087" t="str">
        <f>"0962-8924"</f>
        <v>0962-8924</v>
      </c>
      <c r="E11087" t="s">
        <v>8</v>
      </c>
      <c r="F11087" t="s">
        <v>11095</v>
      </c>
      <c r="G11087">
        <v>2</v>
      </c>
    </row>
    <row r="11088" spans="1:7" x14ac:dyDescent="0.25">
      <c r="A11088">
        <v>34</v>
      </c>
      <c r="B11088" t="s">
        <v>11005</v>
      </c>
      <c r="C11088">
        <v>12562</v>
      </c>
      <c r="D11088" t="str">
        <f>"0966-842X"</f>
        <v>0966-842X</v>
      </c>
      <c r="E11088" t="s">
        <v>8</v>
      </c>
      <c r="F11088" t="s">
        <v>11096</v>
      </c>
      <c r="G11088">
        <v>2</v>
      </c>
    </row>
    <row r="11089" spans="1:7" x14ac:dyDescent="0.25">
      <c r="A11089">
        <v>34</v>
      </c>
      <c r="B11089" t="s">
        <v>11005</v>
      </c>
      <c r="C11089">
        <v>8320</v>
      </c>
      <c r="D11089" t="str">
        <f>"1360-1385"</f>
        <v>1360-1385</v>
      </c>
      <c r="E11089" t="s">
        <v>8</v>
      </c>
      <c r="F11089" t="s">
        <v>11097</v>
      </c>
      <c r="G11089">
        <v>2</v>
      </c>
    </row>
    <row r="11090" spans="1:7" x14ac:dyDescent="0.25">
      <c r="A11090">
        <v>34</v>
      </c>
      <c r="B11090" t="s">
        <v>11005</v>
      </c>
      <c r="C11090">
        <v>9011</v>
      </c>
      <c r="D11090" t="str">
        <f>"1554-8929"</f>
        <v>1554-8929</v>
      </c>
      <c r="E11090" t="s">
        <v>8</v>
      </c>
      <c r="F11090" t="s">
        <v>11098</v>
      </c>
      <c r="G11090">
        <v>1</v>
      </c>
    </row>
    <row r="11091" spans="1:7" x14ac:dyDescent="0.25">
      <c r="A11091">
        <v>34</v>
      </c>
      <c r="B11091" t="s">
        <v>11005</v>
      </c>
      <c r="C11091">
        <v>10154</v>
      </c>
      <c r="D11091" t="str">
        <f>"1672-9145"</f>
        <v>1672-9145</v>
      </c>
      <c r="E11091" t="s">
        <v>8</v>
      </c>
      <c r="F11091" t="s">
        <v>11099</v>
      </c>
      <c r="G11091">
        <v>1</v>
      </c>
    </row>
    <row r="11092" spans="1:7" x14ac:dyDescent="0.25">
      <c r="A11092">
        <v>34</v>
      </c>
      <c r="B11092" t="s">
        <v>11005</v>
      </c>
      <c r="C11092">
        <v>11388</v>
      </c>
      <c r="D11092" t="str">
        <f>"0001-527X"</f>
        <v>0001-527X</v>
      </c>
      <c r="E11092" t="s">
        <v>8</v>
      </c>
      <c r="F11092" t="s">
        <v>11100</v>
      </c>
      <c r="G11092">
        <v>1</v>
      </c>
    </row>
    <row r="11093" spans="1:7" x14ac:dyDescent="0.25">
      <c r="A11093">
        <v>34</v>
      </c>
      <c r="B11093" t="s">
        <v>11005</v>
      </c>
      <c r="C11093">
        <v>11634</v>
      </c>
      <c r="D11093" t="str">
        <f>"0301-5556"</f>
        <v>0301-5556</v>
      </c>
      <c r="E11093" t="s">
        <v>15</v>
      </c>
      <c r="F11093" t="s">
        <v>11101</v>
      </c>
      <c r="G11093">
        <v>1</v>
      </c>
    </row>
    <row r="11094" spans="1:7" x14ac:dyDescent="0.25">
      <c r="A11094">
        <v>34</v>
      </c>
      <c r="B11094" t="s">
        <v>11005</v>
      </c>
      <c r="C11094">
        <v>11574</v>
      </c>
      <c r="D11094" t="str">
        <f>"0065-2164"</f>
        <v>0065-2164</v>
      </c>
      <c r="E11094" t="s">
        <v>8</v>
      </c>
      <c r="F11094" t="s">
        <v>11102</v>
      </c>
      <c r="G11094">
        <v>1</v>
      </c>
    </row>
    <row r="11095" spans="1:7" x14ac:dyDescent="0.25">
      <c r="A11095">
        <v>34</v>
      </c>
      <c r="B11095" t="s">
        <v>11005</v>
      </c>
      <c r="C11095">
        <v>298</v>
      </c>
      <c r="D11095" t="str">
        <f>"2212-4926"</f>
        <v>2212-4926</v>
      </c>
      <c r="E11095" t="s">
        <v>8</v>
      </c>
      <c r="F11095" t="s">
        <v>11103</v>
      </c>
      <c r="G11095">
        <v>1</v>
      </c>
    </row>
    <row r="11096" spans="1:7" x14ac:dyDescent="0.25">
      <c r="A11096">
        <v>34</v>
      </c>
      <c r="B11096" t="s">
        <v>11005</v>
      </c>
      <c r="C11096">
        <v>15082</v>
      </c>
      <c r="D11096" t="str">
        <f>"0065-2660"</f>
        <v>0065-2660</v>
      </c>
      <c r="E11096" t="s">
        <v>15</v>
      </c>
      <c r="F11096" t="s">
        <v>11104</v>
      </c>
      <c r="G11096">
        <v>1</v>
      </c>
    </row>
    <row r="11097" spans="1:7" x14ac:dyDescent="0.25">
      <c r="A11097">
        <v>34</v>
      </c>
      <c r="B11097" t="s">
        <v>11005</v>
      </c>
      <c r="C11097">
        <v>13593</v>
      </c>
      <c r="D11097" t="str">
        <f>"1876-1623"</f>
        <v>1876-1623</v>
      </c>
      <c r="E11097" t="s">
        <v>15</v>
      </c>
      <c r="F11097" t="s">
        <v>11105</v>
      </c>
      <c r="G11097">
        <v>1</v>
      </c>
    </row>
    <row r="11098" spans="1:7" x14ac:dyDescent="0.25">
      <c r="A11098">
        <v>34</v>
      </c>
      <c r="B11098" t="s">
        <v>11005</v>
      </c>
      <c r="C11098">
        <v>10327</v>
      </c>
      <c r="D11098" t="str">
        <f>"1568-1637"</f>
        <v>1568-1637</v>
      </c>
      <c r="E11098" t="s">
        <v>8</v>
      </c>
      <c r="F11098" t="s">
        <v>11106</v>
      </c>
      <c r="G11098">
        <v>1</v>
      </c>
    </row>
    <row r="11099" spans="1:7" x14ac:dyDescent="0.25">
      <c r="A11099">
        <v>34</v>
      </c>
      <c r="B11099" t="s">
        <v>11005</v>
      </c>
      <c r="C11099">
        <v>86949</v>
      </c>
      <c r="D11099" t="str">
        <f>"1553-3468"</f>
        <v>1553-3468</v>
      </c>
      <c r="E11099" t="s">
        <v>8</v>
      </c>
      <c r="F11099" t="s">
        <v>11107</v>
      </c>
      <c r="G11099">
        <v>1</v>
      </c>
    </row>
    <row r="11100" spans="1:7" x14ac:dyDescent="0.25">
      <c r="A11100">
        <v>34</v>
      </c>
      <c r="B11100" t="s">
        <v>11005</v>
      </c>
      <c r="C11100">
        <v>9301</v>
      </c>
      <c r="D11100" t="str">
        <f>"1044-1549"</f>
        <v>1044-1549</v>
      </c>
      <c r="E11100" t="s">
        <v>8</v>
      </c>
      <c r="F11100" t="s">
        <v>11108</v>
      </c>
      <c r="G11100">
        <v>1</v>
      </c>
    </row>
    <row r="11101" spans="1:7" x14ac:dyDescent="0.25">
      <c r="A11101">
        <v>34</v>
      </c>
      <c r="B11101" t="s">
        <v>11005</v>
      </c>
      <c r="C11101">
        <v>11280</v>
      </c>
      <c r="D11101" t="str">
        <f>"0939-4451"</f>
        <v>0939-4451</v>
      </c>
      <c r="E11101" t="s">
        <v>8</v>
      </c>
      <c r="F11101" t="s">
        <v>11109</v>
      </c>
      <c r="G11101">
        <v>1</v>
      </c>
    </row>
    <row r="11102" spans="1:7" x14ac:dyDescent="0.25">
      <c r="A11102">
        <v>34</v>
      </c>
      <c r="B11102" t="s">
        <v>11005</v>
      </c>
      <c r="C11102">
        <v>16280</v>
      </c>
      <c r="D11102" t="str">
        <f>"1350-6129"</f>
        <v>1350-6129</v>
      </c>
      <c r="E11102" t="s">
        <v>8</v>
      </c>
      <c r="F11102" t="s">
        <v>11110</v>
      </c>
      <c r="G11102">
        <v>1</v>
      </c>
    </row>
    <row r="11103" spans="1:7" x14ac:dyDescent="0.25">
      <c r="A11103">
        <v>34</v>
      </c>
      <c r="B11103" t="s">
        <v>11005</v>
      </c>
      <c r="C11103">
        <v>12133</v>
      </c>
      <c r="D11103" t="str">
        <f>"0001-3765"</f>
        <v>0001-3765</v>
      </c>
      <c r="E11103" t="s">
        <v>8</v>
      </c>
      <c r="F11103" t="s">
        <v>11111</v>
      </c>
      <c r="G11103">
        <v>1</v>
      </c>
    </row>
    <row r="11104" spans="1:7" x14ac:dyDescent="0.25">
      <c r="A11104">
        <v>34</v>
      </c>
      <c r="B11104" t="s">
        <v>11005</v>
      </c>
      <c r="C11104">
        <v>15946</v>
      </c>
      <c r="D11104" t="str">
        <f>"1590-4261"</f>
        <v>1590-4261</v>
      </c>
      <c r="E11104" t="s">
        <v>8</v>
      </c>
      <c r="F11104" t="s">
        <v>11112</v>
      </c>
      <c r="G11104">
        <v>1</v>
      </c>
    </row>
    <row r="11105" spans="1:7" x14ac:dyDescent="0.25">
      <c r="A11105">
        <v>34</v>
      </c>
      <c r="B11105" t="s">
        <v>11005</v>
      </c>
      <c r="C11105">
        <v>13387</v>
      </c>
      <c r="D11105" t="str">
        <f>"0235-2990"</f>
        <v>0235-2990</v>
      </c>
      <c r="E11105" t="s">
        <v>8</v>
      </c>
      <c r="F11105" t="s">
        <v>11113</v>
      </c>
      <c r="G11105">
        <v>1</v>
      </c>
    </row>
    <row r="11106" spans="1:7" x14ac:dyDescent="0.25">
      <c r="A11106">
        <v>34</v>
      </c>
      <c r="B11106" t="s">
        <v>11005</v>
      </c>
      <c r="C11106">
        <v>11993</v>
      </c>
      <c r="D11106" t="str">
        <f>"0003-6072"</f>
        <v>0003-6072</v>
      </c>
      <c r="E11106" t="s">
        <v>8</v>
      </c>
      <c r="F11106" t="s">
        <v>11114</v>
      </c>
      <c r="G11106">
        <v>1</v>
      </c>
    </row>
    <row r="11107" spans="1:7" x14ac:dyDescent="0.25">
      <c r="A11107">
        <v>34</v>
      </c>
      <c r="B11107" t="s">
        <v>11005</v>
      </c>
      <c r="C11107">
        <v>9866</v>
      </c>
      <c r="D11107" t="str">
        <f>"1360-8185"</f>
        <v>1360-8185</v>
      </c>
      <c r="E11107" t="s">
        <v>8</v>
      </c>
      <c r="F11107" t="s">
        <v>11115</v>
      </c>
      <c r="G11107">
        <v>1</v>
      </c>
    </row>
    <row r="11108" spans="1:7" x14ac:dyDescent="0.25">
      <c r="A11108">
        <v>34</v>
      </c>
      <c r="B11108" t="s">
        <v>11005</v>
      </c>
      <c r="C11108">
        <v>11039</v>
      </c>
      <c r="D11108" t="str">
        <f>"0003-6838"</f>
        <v>0003-6838</v>
      </c>
      <c r="E11108" t="s">
        <v>8</v>
      </c>
      <c r="F11108" t="s">
        <v>11116</v>
      </c>
      <c r="G11108">
        <v>1</v>
      </c>
    </row>
    <row r="11109" spans="1:7" x14ac:dyDescent="0.25">
      <c r="A11109">
        <v>34</v>
      </c>
      <c r="B11109" t="s">
        <v>11005</v>
      </c>
      <c r="C11109">
        <v>4722</v>
      </c>
      <c r="D11109" t="str">
        <f>"0003-9829"</f>
        <v>0003-9829</v>
      </c>
      <c r="E11109" t="s">
        <v>8</v>
      </c>
      <c r="F11109" t="s">
        <v>11117</v>
      </c>
      <c r="G11109">
        <v>1</v>
      </c>
    </row>
    <row r="11110" spans="1:7" x14ac:dyDescent="0.25">
      <c r="A11110">
        <v>34</v>
      </c>
      <c r="B11110" t="s">
        <v>11005</v>
      </c>
      <c r="C11110">
        <v>7285</v>
      </c>
      <c r="D11110" t="str">
        <f>"0003-9861"</f>
        <v>0003-9861</v>
      </c>
      <c r="E11110" t="s">
        <v>8</v>
      </c>
      <c r="F11110" t="s">
        <v>11118</v>
      </c>
      <c r="G11110">
        <v>1</v>
      </c>
    </row>
    <row r="11111" spans="1:7" x14ac:dyDescent="0.25">
      <c r="A11111">
        <v>34</v>
      </c>
      <c r="B11111" t="s">
        <v>11005</v>
      </c>
      <c r="C11111">
        <v>7703</v>
      </c>
      <c r="D11111" t="str">
        <f>"0914-9465"</f>
        <v>0914-9465</v>
      </c>
      <c r="E11111" t="s">
        <v>8</v>
      </c>
      <c r="F11111" t="s">
        <v>11119</v>
      </c>
      <c r="G11111">
        <v>1</v>
      </c>
    </row>
    <row r="11112" spans="1:7" x14ac:dyDescent="0.25">
      <c r="A11112">
        <v>34</v>
      </c>
      <c r="B11112" t="s">
        <v>11005</v>
      </c>
      <c r="C11112">
        <v>11220</v>
      </c>
      <c r="D11112" t="str">
        <f>"0302-8933"</f>
        <v>0302-8933</v>
      </c>
      <c r="E11112" t="s">
        <v>8</v>
      </c>
      <c r="F11112" t="s">
        <v>11120</v>
      </c>
      <c r="G11112">
        <v>1</v>
      </c>
    </row>
    <row r="11113" spans="1:7" x14ac:dyDescent="0.25">
      <c r="A11113">
        <v>34</v>
      </c>
      <c r="B11113" t="s">
        <v>11005</v>
      </c>
      <c r="C11113">
        <v>4848</v>
      </c>
      <c r="D11113" t="str">
        <f>"1381-3455"</f>
        <v>1381-3455</v>
      </c>
      <c r="E11113" t="s">
        <v>8</v>
      </c>
      <c r="F11113" t="s">
        <v>11121</v>
      </c>
      <c r="G11113">
        <v>1</v>
      </c>
    </row>
    <row r="11114" spans="1:7" x14ac:dyDescent="0.25">
      <c r="A11114">
        <v>34</v>
      </c>
      <c r="B11114" t="s">
        <v>11005</v>
      </c>
      <c r="C11114">
        <v>404</v>
      </c>
      <c r="D11114" t="str">
        <f>"0004-069X"</f>
        <v>0004-069X</v>
      </c>
      <c r="E11114" t="s">
        <v>8</v>
      </c>
      <c r="F11114" t="s">
        <v>11122</v>
      </c>
      <c r="G11114">
        <v>1</v>
      </c>
    </row>
    <row r="11115" spans="1:7" x14ac:dyDescent="0.25">
      <c r="A11115">
        <v>34</v>
      </c>
      <c r="B11115" t="s">
        <v>11005</v>
      </c>
      <c r="C11115">
        <v>13522</v>
      </c>
      <c r="D11115" t="str">
        <f>"0128-7451"</f>
        <v>0128-7451</v>
      </c>
      <c r="E11115" t="s">
        <v>8</v>
      </c>
      <c r="F11115" t="s">
        <v>11123</v>
      </c>
      <c r="G11115">
        <v>1</v>
      </c>
    </row>
    <row r="11116" spans="1:7" x14ac:dyDescent="0.25">
      <c r="A11116">
        <v>34</v>
      </c>
      <c r="B11116" t="s">
        <v>11005</v>
      </c>
      <c r="C11116">
        <v>61142</v>
      </c>
      <c r="D11116" t="str">
        <f>"1682-3974"</f>
        <v>1682-3974</v>
      </c>
      <c r="E11116" t="s">
        <v>8</v>
      </c>
      <c r="F11116" t="s">
        <v>11124</v>
      </c>
      <c r="G11116">
        <v>1</v>
      </c>
    </row>
    <row r="11117" spans="1:7" x14ac:dyDescent="0.25">
      <c r="A11117">
        <v>34</v>
      </c>
      <c r="B11117" t="s">
        <v>11005</v>
      </c>
      <c r="C11117">
        <v>7058</v>
      </c>
      <c r="D11117" t="str">
        <f>"0005-2736"</f>
        <v>0005-2736</v>
      </c>
      <c r="E11117" t="s">
        <v>8</v>
      </c>
      <c r="F11117" t="s">
        <v>11125</v>
      </c>
      <c r="G11117">
        <v>1</v>
      </c>
    </row>
    <row r="11118" spans="1:7" x14ac:dyDescent="0.25">
      <c r="A11118">
        <v>34</v>
      </c>
      <c r="B11118" t="s">
        <v>11005</v>
      </c>
      <c r="C11118">
        <v>7906</v>
      </c>
      <c r="D11118" t="str">
        <f>"1388-1981"</f>
        <v>1388-1981</v>
      </c>
      <c r="E11118" t="s">
        <v>8</v>
      </c>
      <c r="F11118" t="s">
        <v>11126</v>
      </c>
      <c r="G11118">
        <v>1</v>
      </c>
    </row>
    <row r="11119" spans="1:7" x14ac:dyDescent="0.25">
      <c r="A11119">
        <v>34</v>
      </c>
      <c r="B11119" t="s">
        <v>11005</v>
      </c>
      <c r="C11119">
        <v>15474</v>
      </c>
      <c r="D11119" t="str">
        <f>"1570-9639"</f>
        <v>1570-9639</v>
      </c>
      <c r="E11119" t="s">
        <v>8</v>
      </c>
      <c r="F11119" t="s">
        <v>11127</v>
      </c>
      <c r="G11119">
        <v>1</v>
      </c>
    </row>
    <row r="11120" spans="1:7" x14ac:dyDescent="0.25">
      <c r="A11120">
        <v>34</v>
      </c>
      <c r="B11120" t="s">
        <v>11005</v>
      </c>
      <c r="C11120">
        <v>1952</v>
      </c>
      <c r="D11120" t="str">
        <f>"0327-9545"</f>
        <v>0327-9545</v>
      </c>
      <c r="E11120" t="s">
        <v>8</v>
      </c>
      <c r="F11120" t="s">
        <v>11128</v>
      </c>
      <c r="G11120">
        <v>1</v>
      </c>
    </row>
    <row r="11121" spans="1:7" x14ac:dyDescent="0.25">
      <c r="A11121">
        <v>34</v>
      </c>
      <c r="B11121" t="s">
        <v>11005</v>
      </c>
      <c r="C11121">
        <v>5098</v>
      </c>
      <c r="D11121" t="str">
        <f>"0006-291X"</f>
        <v>0006-291X</v>
      </c>
      <c r="E11121" t="s">
        <v>8</v>
      </c>
      <c r="F11121" t="s">
        <v>11129</v>
      </c>
      <c r="G11121">
        <v>1</v>
      </c>
    </row>
    <row r="11122" spans="1:7" x14ac:dyDescent="0.25">
      <c r="A11122">
        <v>34</v>
      </c>
      <c r="B11122" t="s">
        <v>11005</v>
      </c>
      <c r="C11122">
        <v>3951</v>
      </c>
      <c r="D11122" t="str">
        <f>"0006-2928"</f>
        <v>0006-2928</v>
      </c>
      <c r="E11122" t="s">
        <v>8</v>
      </c>
      <c r="F11122" t="s">
        <v>11130</v>
      </c>
      <c r="G11122">
        <v>1</v>
      </c>
    </row>
    <row r="11123" spans="1:7" x14ac:dyDescent="0.25">
      <c r="A11123">
        <v>34</v>
      </c>
      <c r="B11123" t="s">
        <v>11005</v>
      </c>
      <c r="C11123">
        <v>12996</v>
      </c>
      <c r="D11123" t="str">
        <f>"0264-6021"</f>
        <v>0264-6021</v>
      </c>
      <c r="E11123" t="s">
        <v>8</v>
      </c>
      <c r="F11123" t="s">
        <v>11131</v>
      </c>
      <c r="G11123">
        <v>1</v>
      </c>
    </row>
    <row r="11124" spans="1:7" x14ac:dyDescent="0.25">
      <c r="A11124">
        <v>34</v>
      </c>
      <c r="B11124" t="s">
        <v>11005</v>
      </c>
      <c r="C11124">
        <v>13435</v>
      </c>
      <c r="D11124" t="str">
        <f>"0300-5127"</f>
        <v>0300-5127</v>
      </c>
      <c r="E11124" t="s">
        <v>8</v>
      </c>
      <c r="F11124" t="s">
        <v>11132</v>
      </c>
      <c r="G11124">
        <v>1</v>
      </c>
    </row>
    <row r="11125" spans="1:7" x14ac:dyDescent="0.25">
      <c r="A11125">
        <v>34</v>
      </c>
      <c r="B11125" t="s">
        <v>11005</v>
      </c>
      <c r="C11125">
        <v>856</v>
      </c>
      <c r="D11125" t="str">
        <f>"0305-1978"</f>
        <v>0305-1978</v>
      </c>
      <c r="E11125" t="s">
        <v>8</v>
      </c>
      <c r="F11125" t="s">
        <v>11133</v>
      </c>
      <c r="G11125">
        <v>1</v>
      </c>
    </row>
    <row r="11126" spans="1:7" x14ac:dyDescent="0.25">
      <c r="A11126">
        <v>34</v>
      </c>
      <c r="B11126" t="s">
        <v>11005</v>
      </c>
      <c r="C11126">
        <v>8997</v>
      </c>
      <c r="D11126" t="str">
        <f>"0006-2960"</f>
        <v>0006-2960</v>
      </c>
      <c r="E11126" t="s">
        <v>8</v>
      </c>
      <c r="F11126" t="s">
        <v>11134</v>
      </c>
      <c r="G11126">
        <v>1</v>
      </c>
    </row>
    <row r="11127" spans="1:7" x14ac:dyDescent="0.25">
      <c r="A11127">
        <v>34</v>
      </c>
      <c r="B11127" t="s">
        <v>11005</v>
      </c>
      <c r="C11127">
        <v>16936</v>
      </c>
      <c r="D11127" t="str">
        <f>"0006-2979"</f>
        <v>0006-2979</v>
      </c>
      <c r="E11127" t="s">
        <v>8</v>
      </c>
      <c r="F11127" t="s">
        <v>11135</v>
      </c>
      <c r="G11127">
        <v>1</v>
      </c>
    </row>
    <row r="11128" spans="1:7" x14ac:dyDescent="0.25">
      <c r="A11128">
        <v>34</v>
      </c>
      <c r="B11128" t="s">
        <v>11005</v>
      </c>
      <c r="C11128">
        <v>8782670</v>
      </c>
      <c r="E11128" t="s">
        <v>8</v>
      </c>
      <c r="F11128" t="s">
        <v>11136</v>
      </c>
      <c r="G11128">
        <v>1</v>
      </c>
    </row>
    <row r="11129" spans="1:7" x14ac:dyDescent="0.25">
      <c r="A11129">
        <v>34</v>
      </c>
      <c r="B11129" t="s">
        <v>11005</v>
      </c>
      <c r="C11129">
        <v>9052</v>
      </c>
      <c r="D11129" t="str">
        <f>"0829-8211"</f>
        <v>0829-8211</v>
      </c>
      <c r="E11129" t="s">
        <v>8</v>
      </c>
      <c r="F11129" t="s">
        <v>11137</v>
      </c>
      <c r="G11129">
        <v>1</v>
      </c>
    </row>
    <row r="11130" spans="1:7" x14ac:dyDescent="0.25">
      <c r="A11130">
        <v>34</v>
      </c>
      <c r="B11130" t="s">
        <v>11005</v>
      </c>
      <c r="C11130">
        <v>2312</v>
      </c>
      <c r="D11130" t="str">
        <f>"0300-9084"</f>
        <v>0300-9084</v>
      </c>
      <c r="E11130" t="s">
        <v>8</v>
      </c>
      <c r="F11130" t="s">
        <v>11138</v>
      </c>
      <c r="G11130">
        <v>1</v>
      </c>
    </row>
    <row r="11131" spans="1:7" x14ac:dyDescent="0.25">
      <c r="A11131">
        <v>34</v>
      </c>
      <c r="B11131" t="s">
        <v>11005</v>
      </c>
      <c r="C11131">
        <v>12448</v>
      </c>
      <c r="D11131" t="str">
        <f>"0958-3157"</f>
        <v>0958-3157</v>
      </c>
      <c r="E11131" t="s">
        <v>8</v>
      </c>
      <c r="F11131" t="s">
        <v>11139</v>
      </c>
      <c r="G11131">
        <v>1</v>
      </c>
    </row>
    <row r="11132" spans="1:7" x14ac:dyDescent="0.25">
      <c r="A11132">
        <v>34</v>
      </c>
      <c r="B11132" t="s">
        <v>11005</v>
      </c>
      <c r="C11132">
        <v>14505</v>
      </c>
      <c r="D11132" t="str">
        <f>"1567-5394"</f>
        <v>1567-5394</v>
      </c>
      <c r="E11132" t="s">
        <v>8</v>
      </c>
      <c r="F11132" t="s">
        <v>11140</v>
      </c>
      <c r="G11132">
        <v>1</v>
      </c>
    </row>
    <row r="11133" spans="1:7" x14ac:dyDescent="0.25">
      <c r="A11133">
        <v>34</v>
      </c>
      <c r="B11133" t="s">
        <v>11005</v>
      </c>
      <c r="C11133">
        <v>5188</v>
      </c>
      <c r="D11133" t="str">
        <f>"0265-9247"</f>
        <v>0265-9247</v>
      </c>
      <c r="E11133" t="s">
        <v>8</v>
      </c>
      <c r="F11133" t="s">
        <v>11141</v>
      </c>
      <c r="G11133">
        <v>1</v>
      </c>
    </row>
    <row r="11134" spans="1:7" x14ac:dyDescent="0.25">
      <c r="A11134">
        <v>34</v>
      </c>
      <c r="B11134" t="s">
        <v>11005</v>
      </c>
      <c r="C11134">
        <v>7021</v>
      </c>
      <c r="D11134" t="str">
        <f>"0951-6433"</f>
        <v>0951-6433</v>
      </c>
      <c r="E11134" t="s">
        <v>8</v>
      </c>
      <c r="F11134" t="s">
        <v>11142</v>
      </c>
      <c r="G11134">
        <v>1</v>
      </c>
    </row>
    <row r="11135" spans="1:7" x14ac:dyDescent="0.25">
      <c r="A11135">
        <v>34</v>
      </c>
      <c r="B11135" t="s">
        <v>11005</v>
      </c>
      <c r="C11135">
        <v>4499</v>
      </c>
      <c r="D11135" t="str">
        <f>"0006-3029"</f>
        <v>0006-3029</v>
      </c>
      <c r="E11135" t="s">
        <v>8</v>
      </c>
      <c r="F11135" t="s">
        <v>11143</v>
      </c>
      <c r="G11135">
        <v>1</v>
      </c>
    </row>
    <row r="11136" spans="1:7" x14ac:dyDescent="0.25">
      <c r="A11136">
        <v>34</v>
      </c>
      <c r="B11136" t="s">
        <v>11005</v>
      </c>
      <c r="C11136">
        <v>16202</v>
      </c>
      <c r="D11136" t="str">
        <f>"1431-6730"</f>
        <v>1431-6730</v>
      </c>
      <c r="E11136" t="s">
        <v>8</v>
      </c>
      <c r="F11136" t="s">
        <v>11144</v>
      </c>
      <c r="G11136">
        <v>1</v>
      </c>
    </row>
    <row r="11137" spans="1:7" x14ac:dyDescent="0.25">
      <c r="A11137">
        <v>34</v>
      </c>
      <c r="B11137" t="s">
        <v>11005</v>
      </c>
      <c r="C11137">
        <v>2352</v>
      </c>
      <c r="D11137" t="str">
        <f>"0340-1200"</f>
        <v>0340-1200</v>
      </c>
      <c r="E11137" t="s">
        <v>8</v>
      </c>
      <c r="F11137" t="s">
        <v>11145</v>
      </c>
      <c r="G11137">
        <v>1</v>
      </c>
    </row>
    <row r="11138" spans="1:7" x14ac:dyDescent="0.25">
      <c r="A11138">
        <v>34</v>
      </c>
      <c r="B11138" t="s">
        <v>11005</v>
      </c>
      <c r="C11138">
        <v>8737</v>
      </c>
      <c r="D11138" t="str">
        <f>"0233-4755"</f>
        <v>0233-4755</v>
      </c>
      <c r="E11138" t="s">
        <v>8</v>
      </c>
      <c r="F11138" t="s">
        <v>11146</v>
      </c>
      <c r="G11138">
        <v>1</v>
      </c>
    </row>
    <row r="11139" spans="1:7" x14ac:dyDescent="0.25">
      <c r="A11139">
        <v>34</v>
      </c>
      <c r="B11139" t="s">
        <v>11005</v>
      </c>
      <c r="C11139">
        <v>5307</v>
      </c>
      <c r="D11139" t="str">
        <f>"0248-4900"</f>
        <v>0248-4900</v>
      </c>
      <c r="E11139" t="s">
        <v>8</v>
      </c>
      <c r="F11139" t="s">
        <v>11147</v>
      </c>
      <c r="G11139">
        <v>1</v>
      </c>
    </row>
    <row r="11140" spans="1:7" x14ac:dyDescent="0.25">
      <c r="A11140">
        <v>34</v>
      </c>
      <c r="B11140" t="s">
        <v>11005</v>
      </c>
      <c r="C11140">
        <v>14665</v>
      </c>
      <c r="D11140" t="str">
        <f>"2314-6133"</f>
        <v>2314-6133</v>
      </c>
      <c r="E11140" t="s">
        <v>8</v>
      </c>
      <c r="F11140" t="s">
        <v>11148</v>
      </c>
      <c r="G11140">
        <v>1</v>
      </c>
    </row>
    <row r="11141" spans="1:7" x14ac:dyDescent="0.25">
      <c r="A11141">
        <v>34</v>
      </c>
      <c r="B11141" t="s">
        <v>11005</v>
      </c>
      <c r="C11141">
        <v>2485</v>
      </c>
      <c r="D11141" t="str">
        <f>"0895-3988"</f>
        <v>0895-3988</v>
      </c>
      <c r="E11141" t="s">
        <v>8</v>
      </c>
      <c r="F11141" t="s">
        <v>11149</v>
      </c>
      <c r="G11141">
        <v>1</v>
      </c>
    </row>
    <row r="11142" spans="1:7" x14ac:dyDescent="0.25">
      <c r="A11142">
        <v>34</v>
      </c>
      <c r="B11142" t="s">
        <v>11005</v>
      </c>
      <c r="C11142">
        <v>12470</v>
      </c>
      <c r="D11142" t="str">
        <f>"0269-3879"</f>
        <v>0269-3879</v>
      </c>
      <c r="E11142" t="s">
        <v>8</v>
      </c>
      <c r="F11142" t="s">
        <v>11150</v>
      </c>
      <c r="G11142">
        <v>1</v>
      </c>
    </row>
    <row r="11143" spans="1:7" x14ac:dyDescent="0.25">
      <c r="A11143">
        <v>34</v>
      </c>
      <c r="B11143" t="s">
        <v>11005</v>
      </c>
      <c r="C11143">
        <v>5966</v>
      </c>
      <c r="D11143" t="str">
        <f>"0006-3398"</f>
        <v>0006-3398</v>
      </c>
      <c r="E11143" t="s">
        <v>8</v>
      </c>
      <c r="F11143" t="s">
        <v>11151</v>
      </c>
      <c r="G11143">
        <v>1</v>
      </c>
    </row>
    <row r="11144" spans="1:7" x14ac:dyDescent="0.25">
      <c r="A11144">
        <v>34</v>
      </c>
      <c r="B11144" t="s">
        <v>11005</v>
      </c>
      <c r="C11144">
        <v>13026</v>
      </c>
      <c r="D11144" t="str">
        <f>"0959-2989"</f>
        <v>0959-2989</v>
      </c>
      <c r="E11144" t="s">
        <v>8</v>
      </c>
      <c r="F11144" t="s">
        <v>11152</v>
      </c>
      <c r="G11144">
        <v>1</v>
      </c>
    </row>
    <row r="11145" spans="1:7" x14ac:dyDescent="0.25">
      <c r="A11145">
        <v>34</v>
      </c>
      <c r="B11145" t="s">
        <v>11005</v>
      </c>
      <c r="C11145">
        <v>7714403</v>
      </c>
      <c r="E11145" t="s">
        <v>8</v>
      </c>
      <c r="F11145" t="s">
        <v>11153</v>
      </c>
      <c r="G11145">
        <v>1</v>
      </c>
    </row>
    <row r="11146" spans="1:7" x14ac:dyDescent="0.25">
      <c r="A11146">
        <v>34</v>
      </c>
      <c r="B11146" t="s">
        <v>11005</v>
      </c>
      <c r="C11146">
        <v>6945</v>
      </c>
      <c r="D11146" t="str">
        <f>"0006-3495"</f>
        <v>0006-3495</v>
      </c>
      <c r="E11146" t="s">
        <v>8</v>
      </c>
      <c r="F11146" t="s">
        <v>11154</v>
      </c>
      <c r="G11146">
        <v>1</v>
      </c>
    </row>
    <row r="11147" spans="1:7" x14ac:dyDescent="0.25">
      <c r="A11147">
        <v>34</v>
      </c>
      <c r="B11147" t="s">
        <v>11005</v>
      </c>
      <c r="C11147">
        <v>8272</v>
      </c>
      <c r="D11147" t="str">
        <f>"0006-3525"</f>
        <v>0006-3525</v>
      </c>
      <c r="E11147" t="s">
        <v>8</v>
      </c>
      <c r="F11147" t="s">
        <v>11155</v>
      </c>
      <c r="G11147">
        <v>1</v>
      </c>
    </row>
    <row r="11148" spans="1:7" x14ac:dyDescent="0.25">
      <c r="A11148">
        <v>34</v>
      </c>
      <c r="B11148" t="s">
        <v>11005</v>
      </c>
      <c r="C11148">
        <v>10412</v>
      </c>
      <c r="D11148" t="str">
        <f>"1615-7591"</f>
        <v>1615-7591</v>
      </c>
      <c r="E11148" t="s">
        <v>8</v>
      </c>
      <c r="F11148" t="s">
        <v>11156</v>
      </c>
      <c r="G11148">
        <v>1</v>
      </c>
    </row>
    <row r="11149" spans="1:7" x14ac:dyDescent="0.25">
      <c r="A11149">
        <v>34</v>
      </c>
      <c r="B11149" t="s">
        <v>11005</v>
      </c>
      <c r="C11149">
        <v>8197</v>
      </c>
      <c r="D11149" t="str">
        <f>"0006-355X"</f>
        <v>0006-355X</v>
      </c>
      <c r="E11149" t="s">
        <v>8</v>
      </c>
      <c r="F11149" t="s">
        <v>11157</v>
      </c>
      <c r="G11149">
        <v>1</v>
      </c>
    </row>
    <row r="11150" spans="1:7" x14ac:dyDescent="0.25">
      <c r="A11150">
        <v>34</v>
      </c>
      <c r="B11150" t="s">
        <v>11005</v>
      </c>
      <c r="C11150">
        <v>14668</v>
      </c>
      <c r="D11150" t="str">
        <f>"0144-8463"</f>
        <v>0144-8463</v>
      </c>
      <c r="E11150" t="s">
        <v>8</v>
      </c>
      <c r="F11150" t="s">
        <v>11158</v>
      </c>
      <c r="G11150">
        <v>1</v>
      </c>
    </row>
    <row r="11151" spans="1:7" x14ac:dyDescent="0.25">
      <c r="A11151">
        <v>34</v>
      </c>
      <c r="B11151" t="s">
        <v>11005</v>
      </c>
      <c r="C11151">
        <v>4582</v>
      </c>
      <c r="D11151" t="str">
        <f>"0916-8451"</f>
        <v>0916-8451</v>
      </c>
      <c r="E11151" t="s">
        <v>8</v>
      </c>
      <c r="F11151" t="s">
        <v>11159</v>
      </c>
      <c r="G11151">
        <v>1</v>
      </c>
    </row>
    <row r="11152" spans="1:7" x14ac:dyDescent="0.25">
      <c r="A11152">
        <v>34</v>
      </c>
      <c r="B11152" t="s">
        <v>11005</v>
      </c>
      <c r="C11152">
        <v>14262</v>
      </c>
      <c r="D11152" t="str">
        <f>"0956-5663"</f>
        <v>0956-5663</v>
      </c>
      <c r="E11152" t="s">
        <v>8</v>
      </c>
      <c r="F11152" t="s">
        <v>11160</v>
      </c>
      <c r="G11152">
        <v>1</v>
      </c>
    </row>
    <row r="11153" spans="1:7" x14ac:dyDescent="0.25">
      <c r="A11153">
        <v>34</v>
      </c>
      <c r="B11153" t="s">
        <v>11005</v>
      </c>
      <c r="C11153">
        <v>13559</v>
      </c>
      <c r="D11153" t="str">
        <f>"1052-0295"</f>
        <v>1052-0295</v>
      </c>
      <c r="E11153" t="s">
        <v>8</v>
      </c>
      <c r="F11153" t="s">
        <v>11161</v>
      </c>
      <c r="G11153">
        <v>1</v>
      </c>
    </row>
    <row r="11154" spans="1:7" x14ac:dyDescent="0.25">
      <c r="A11154">
        <v>34</v>
      </c>
      <c r="B11154" t="s">
        <v>11005</v>
      </c>
      <c r="C11154">
        <v>13116</v>
      </c>
      <c r="D11154" t="str">
        <f>"0736-6205"</f>
        <v>0736-6205</v>
      </c>
      <c r="E11154" t="s">
        <v>8</v>
      </c>
      <c r="F11154" t="s">
        <v>11162</v>
      </c>
      <c r="G11154">
        <v>1</v>
      </c>
    </row>
    <row r="11155" spans="1:7" x14ac:dyDescent="0.25">
      <c r="A11155">
        <v>34</v>
      </c>
      <c r="B11155" t="s">
        <v>11005</v>
      </c>
      <c r="C11155">
        <v>10693</v>
      </c>
      <c r="D11155" t="str">
        <f>"1370-6233"</f>
        <v>1370-6233</v>
      </c>
      <c r="E11155" t="s">
        <v>8</v>
      </c>
      <c r="F11155" t="s">
        <v>11163</v>
      </c>
      <c r="G11155">
        <v>1</v>
      </c>
    </row>
    <row r="11156" spans="1:7" x14ac:dyDescent="0.25">
      <c r="A11156">
        <v>34</v>
      </c>
      <c r="B11156" t="s">
        <v>11005</v>
      </c>
      <c r="C11156">
        <v>6729</v>
      </c>
      <c r="D11156" t="str">
        <f>"1310-2818"</f>
        <v>1310-2818</v>
      </c>
      <c r="E11156" t="s">
        <v>8</v>
      </c>
      <c r="F11156" t="s">
        <v>11164</v>
      </c>
      <c r="G11156">
        <v>1</v>
      </c>
    </row>
    <row r="11157" spans="1:7" x14ac:dyDescent="0.25">
      <c r="A11157">
        <v>34</v>
      </c>
      <c r="B11157" t="s">
        <v>11005</v>
      </c>
      <c r="C11157">
        <v>7167</v>
      </c>
      <c r="D11157" t="str">
        <f>"0885-4513"</f>
        <v>0885-4513</v>
      </c>
      <c r="E11157" t="s">
        <v>8</v>
      </c>
      <c r="F11157" t="s">
        <v>11165</v>
      </c>
      <c r="G11157">
        <v>1</v>
      </c>
    </row>
    <row r="11158" spans="1:7" x14ac:dyDescent="0.25">
      <c r="A11158">
        <v>34</v>
      </c>
      <c r="B11158" t="s">
        <v>11005</v>
      </c>
      <c r="C11158">
        <v>17832</v>
      </c>
      <c r="D11158" t="str">
        <f>"1226-8372"</f>
        <v>1226-8372</v>
      </c>
      <c r="E11158" t="s">
        <v>8</v>
      </c>
      <c r="F11158" t="s">
        <v>11166</v>
      </c>
      <c r="G11158">
        <v>1</v>
      </c>
    </row>
    <row r="11159" spans="1:7" x14ac:dyDescent="0.25">
      <c r="A11159">
        <v>34</v>
      </c>
      <c r="B11159" t="s">
        <v>11005</v>
      </c>
      <c r="C11159">
        <v>15839</v>
      </c>
      <c r="D11159" t="str">
        <f>"0264-8725"</f>
        <v>0264-8725</v>
      </c>
      <c r="E11159" t="s">
        <v>8</v>
      </c>
      <c r="F11159" t="s">
        <v>11167</v>
      </c>
      <c r="G11159">
        <v>1</v>
      </c>
    </row>
    <row r="11160" spans="1:7" x14ac:dyDescent="0.25">
      <c r="A11160">
        <v>34</v>
      </c>
      <c r="B11160" t="s">
        <v>11005</v>
      </c>
      <c r="C11160">
        <v>10784</v>
      </c>
      <c r="D11160" t="str">
        <f>"0141-5492"</f>
        <v>0141-5492</v>
      </c>
      <c r="E11160" t="s">
        <v>8</v>
      </c>
      <c r="F11160" t="s">
        <v>11168</v>
      </c>
      <c r="G11160">
        <v>1</v>
      </c>
    </row>
    <row r="11161" spans="1:7" x14ac:dyDescent="0.25">
      <c r="A11161">
        <v>34</v>
      </c>
      <c r="B11161" t="s">
        <v>11005</v>
      </c>
      <c r="C11161">
        <v>10933</v>
      </c>
      <c r="D11161" t="str">
        <f>"1976-6696"</f>
        <v>1976-6696</v>
      </c>
      <c r="E11161" t="s">
        <v>8</v>
      </c>
      <c r="F11161" t="s">
        <v>11169</v>
      </c>
      <c r="G11161">
        <v>1</v>
      </c>
    </row>
    <row r="11162" spans="1:7" x14ac:dyDescent="0.25">
      <c r="A11162">
        <v>34</v>
      </c>
      <c r="B11162" t="s">
        <v>11005</v>
      </c>
      <c r="C11162">
        <v>16274</v>
      </c>
      <c r="E11162" t="s">
        <v>8</v>
      </c>
      <c r="F11162" t="s">
        <v>11170</v>
      </c>
      <c r="G11162">
        <v>1</v>
      </c>
    </row>
    <row r="11163" spans="1:7" x14ac:dyDescent="0.25">
      <c r="A11163">
        <v>34</v>
      </c>
      <c r="B11163" t="s">
        <v>11005</v>
      </c>
      <c r="C11163">
        <v>6234041</v>
      </c>
      <c r="D11163" t="str">
        <f>"2046-1682"</f>
        <v>2046-1682</v>
      </c>
      <c r="E11163" t="s">
        <v>8</v>
      </c>
      <c r="F11163" t="s">
        <v>11171</v>
      </c>
      <c r="G11163">
        <v>1</v>
      </c>
    </row>
    <row r="11164" spans="1:7" x14ac:dyDescent="0.25">
      <c r="A11164">
        <v>34</v>
      </c>
      <c r="B11164" t="s">
        <v>11005</v>
      </c>
      <c r="C11164">
        <v>1611</v>
      </c>
      <c r="E11164" t="s">
        <v>8</v>
      </c>
      <c r="F11164" t="s">
        <v>11172</v>
      </c>
      <c r="G11164">
        <v>1</v>
      </c>
    </row>
    <row r="11165" spans="1:7" x14ac:dyDescent="0.25">
      <c r="A11165">
        <v>34</v>
      </c>
      <c r="B11165" t="s">
        <v>11005</v>
      </c>
      <c r="C11165">
        <v>13046</v>
      </c>
      <c r="E11165" t="s">
        <v>8</v>
      </c>
      <c r="F11165" t="s">
        <v>11173</v>
      </c>
      <c r="G11165">
        <v>1</v>
      </c>
    </row>
    <row r="11166" spans="1:7" x14ac:dyDescent="0.25">
      <c r="A11166">
        <v>34</v>
      </c>
      <c r="B11166" t="s">
        <v>11005</v>
      </c>
      <c r="C11166">
        <v>6104</v>
      </c>
      <c r="E11166" t="s">
        <v>8</v>
      </c>
      <c r="F11166" t="s">
        <v>11174</v>
      </c>
      <c r="G11166">
        <v>1</v>
      </c>
    </row>
    <row r="11167" spans="1:7" x14ac:dyDescent="0.25">
      <c r="A11167">
        <v>34</v>
      </c>
      <c r="B11167" t="s">
        <v>11005</v>
      </c>
      <c r="C11167">
        <v>10244</v>
      </c>
      <c r="E11167" t="s">
        <v>8</v>
      </c>
      <c r="F11167" t="s">
        <v>11175</v>
      </c>
      <c r="G11167">
        <v>1</v>
      </c>
    </row>
    <row r="11168" spans="1:7" x14ac:dyDescent="0.25">
      <c r="A11168">
        <v>34</v>
      </c>
      <c r="B11168" t="s">
        <v>11005</v>
      </c>
      <c r="C11168">
        <v>9448</v>
      </c>
      <c r="E11168" t="s">
        <v>8</v>
      </c>
      <c r="F11168" t="s">
        <v>11176</v>
      </c>
      <c r="G11168">
        <v>1</v>
      </c>
    </row>
    <row r="11169" spans="1:7" x14ac:dyDescent="0.25">
      <c r="A11169">
        <v>34</v>
      </c>
      <c r="B11169" t="s">
        <v>11005</v>
      </c>
      <c r="C11169">
        <v>13291</v>
      </c>
      <c r="E11169" t="s">
        <v>8</v>
      </c>
      <c r="F11169" t="s">
        <v>11177</v>
      </c>
      <c r="G11169">
        <v>1</v>
      </c>
    </row>
    <row r="11170" spans="1:7" x14ac:dyDescent="0.25">
      <c r="A11170">
        <v>34</v>
      </c>
      <c r="B11170" t="s">
        <v>11005</v>
      </c>
      <c r="C11170">
        <v>9326</v>
      </c>
      <c r="E11170" t="s">
        <v>8</v>
      </c>
      <c r="F11170" t="s">
        <v>11178</v>
      </c>
      <c r="G11170">
        <v>1</v>
      </c>
    </row>
    <row r="11171" spans="1:7" x14ac:dyDescent="0.25">
      <c r="A11171">
        <v>34</v>
      </c>
      <c r="B11171" t="s">
        <v>11005</v>
      </c>
      <c r="C11171">
        <v>9529</v>
      </c>
      <c r="D11171" t="str">
        <f>"1517-8382"</f>
        <v>1517-8382</v>
      </c>
      <c r="E11171" t="s">
        <v>8</v>
      </c>
      <c r="F11171" t="s">
        <v>11179</v>
      </c>
      <c r="G11171">
        <v>1</v>
      </c>
    </row>
    <row r="11172" spans="1:7" x14ac:dyDescent="0.25">
      <c r="A11172">
        <v>34</v>
      </c>
      <c r="B11172" t="s">
        <v>11005</v>
      </c>
      <c r="C11172">
        <v>12600</v>
      </c>
      <c r="D11172" t="str">
        <f>"2041-2649"</f>
        <v>2041-2649</v>
      </c>
      <c r="E11172" t="s">
        <v>8</v>
      </c>
      <c r="F11172" t="s">
        <v>11180</v>
      </c>
      <c r="G11172">
        <v>1</v>
      </c>
    </row>
    <row r="11173" spans="1:7" x14ac:dyDescent="0.25">
      <c r="A11173">
        <v>34</v>
      </c>
      <c r="B11173" t="s">
        <v>11005</v>
      </c>
      <c r="C11173">
        <v>15627</v>
      </c>
      <c r="D11173" t="str">
        <f>"0967-4845"</f>
        <v>0967-4845</v>
      </c>
      <c r="E11173" t="s">
        <v>8</v>
      </c>
      <c r="F11173" t="s">
        <v>11181</v>
      </c>
      <c r="G11173">
        <v>1</v>
      </c>
    </row>
    <row r="11174" spans="1:7" x14ac:dyDescent="0.25">
      <c r="A11174">
        <v>34</v>
      </c>
      <c r="B11174" t="s">
        <v>11005</v>
      </c>
      <c r="C11174">
        <v>122</v>
      </c>
      <c r="D11174" t="str">
        <f>"0171-967X"</f>
        <v>0171-967X</v>
      </c>
      <c r="E11174" t="s">
        <v>8</v>
      </c>
      <c r="F11174" t="s">
        <v>11182</v>
      </c>
      <c r="G11174">
        <v>1</v>
      </c>
    </row>
    <row r="11175" spans="1:7" x14ac:dyDescent="0.25">
      <c r="A11175">
        <v>34</v>
      </c>
      <c r="B11175" t="s">
        <v>11005</v>
      </c>
      <c r="C11175">
        <v>5226</v>
      </c>
      <c r="D11175" t="str">
        <f>"0008-4166"</f>
        <v>0008-4166</v>
      </c>
      <c r="E11175" t="s">
        <v>8</v>
      </c>
      <c r="F11175" t="s">
        <v>11183</v>
      </c>
      <c r="G11175">
        <v>1</v>
      </c>
    </row>
    <row r="11176" spans="1:7" x14ac:dyDescent="0.25">
      <c r="A11176">
        <v>34</v>
      </c>
      <c r="B11176" t="s">
        <v>11005</v>
      </c>
      <c r="C11176">
        <v>10006</v>
      </c>
      <c r="D11176" t="str">
        <f>"0008-7114"</f>
        <v>0008-7114</v>
      </c>
      <c r="E11176" t="s">
        <v>8</v>
      </c>
      <c r="F11176" t="s">
        <v>11184</v>
      </c>
      <c r="G11176">
        <v>1</v>
      </c>
    </row>
    <row r="11177" spans="1:7" x14ac:dyDescent="0.25">
      <c r="A11177">
        <v>34</v>
      </c>
      <c r="B11177" t="s">
        <v>11005</v>
      </c>
      <c r="C11177">
        <v>10086</v>
      </c>
      <c r="D11177" t="str">
        <f>"0302-766X"</f>
        <v>0302-766X</v>
      </c>
      <c r="E11177" t="s">
        <v>8</v>
      </c>
      <c r="F11177" t="s">
        <v>11185</v>
      </c>
      <c r="G11177">
        <v>1</v>
      </c>
    </row>
    <row r="11178" spans="1:7" x14ac:dyDescent="0.25">
      <c r="A11178">
        <v>34</v>
      </c>
      <c r="B11178" t="s">
        <v>11005</v>
      </c>
      <c r="C11178">
        <v>6924</v>
      </c>
      <c r="D11178" t="str">
        <f>"1085-9195"</f>
        <v>1085-9195</v>
      </c>
      <c r="E11178" t="s">
        <v>8</v>
      </c>
      <c r="F11178" t="s">
        <v>11186</v>
      </c>
      <c r="G11178">
        <v>1</v>
      </c>
    </row>
    <row r="11179" spans="1:7" x14ac:dyDescent="0.25">
      <c r="A11179">
        <v>34</v>
      </c>
      <c r="B11179" t="s">
        <v>11005</v>
      </c>
      <c r="C11179">
        <v>7166</v>
      </c>
      <c r="D11179" t="str">
        <f>"0742-2091"</f>
        <v>0742-2091</v>
      </c>
      <c r="E11179" t="s">
        <v>8</v>
      </c>
      <c r="F11179" t="s">
        <v>11187</v>
      </c>
      <c r="G11179">
        <v>1</v>
      </c>
    </row>
    <row r="11180" spans="1:7" x14ac:dyDescent="0.25">
      <c r="A11180">
        <v>34</v>
      </c>
      <c r="B11180" t="s">
        <v>11005</v>
      </c>
      <c r="C11180">
        <v>9351</v>
      </c>
      <c r="D11180" t="str">
        <f>"1065-6995"</f>
        <v>1065-6995</v>
      </c>
      <c r="E11180" t="s">
        <v>8</v>
      </c>
      <c r="F11180" t="s">
        <v>11188</v>
      </c>
      <c r="G11180">
        <v>1</v>
      </c>
    </row>
    <row r="11181" spans="1:7" x14ac:dyDescent="0.25">
      <c r="A11181">
        <v>34</v>
      </c>
      <c r="B11181" t="s">
        <v>11005</v>
      </c>
      <c r="C11181">
        <v>13268</v>
      </c>
      <c r="D11181" t="str">
        <f>"0143-4160"</f>
        <v>0143-4160</v>
      </c>
      <c r="E11181" t="s">
        <v>8</v>
      </c>
      <c r="F11181" t="s">
        <v>11189</v>
      </c>
      <c r="G11181">
        <v>1</v>
      </c>
    </row>
    <row r="11182" spans="1:7" x14ac:dyDescent="0.25">
      <c r="A11182">
        <v>34</v>
      </c>
      <c r="B11182" t="s">
        <v>11005</v>
      </c>
      <c r="C11182">
        <v>8566</v>
      </c>
      <c r="D11182" t="str">
        <f>"1541-9061"</f>
        <v>1541-9061</v>
      </c>
      <c r="E11182" t="s">
        <v>8</v>
      </c>
      <c r="F11182" t="s">
        <v>11190</v>
      </c>
      <c r="G11182">
        <v>1</v>
      </c>
    </row>
    <row r="11183" spans="1:7" x14ac:dyDescent="0.25">
      <c r="A11183">
        <v>34</v>
      </c>
      <c r="B11183" t="s">
        <v>11005</v>
      </c>
      <c r="C11183">
        <v>15656</v>
      </c>
      <c r="D11183" t="str">
        <f>"1538-4101"</f>
        <v>1538-4101</v>
      </c>
      <c r="E11183" t="s">
        <v>8</v>
      </c>
      <c r="F11183" t="s">
        <v>11191</v>
      </c>
      <c r="G11183">
        <v>1</v>
      </c>
    </row>
    <row r="11184" spans="1:7" x14ac:dyDescent="0.25">
      <c r="A11184">
        <v>34</v>
      </c>
      <c r="B11184" t="s">
        <v>11005</v>
      </c>
      <c r="C11184">
        <v>16821</v>
      </c>
      <c r="D11184" t="str">
        <f>"1355-8145"</f>
        <v>1355-8145</v>
      </c>
      <c r="E11184" t="s">
        <v>8</v>
      </c>
      <c r="F11184" t="s">
        <v>11192</v>
      </c>
      <c r="G11184">
        <v>1</v>
      </c>
    </row>
    <row r="11185" spans="1:7" x14ac:dyDescent="0.25">
      <c r="A11185">
        <v>34</v>
      </c>
      <c r="B11185" t="s">
        <v>11005</v>
      </c>
      <c r="C11185">
        <v>1169</v>
      </c>
      <c r="D11185" t="str">
        <f>"0386-7196"</f>
        <v>0386-7196</v>
      </c>
      <c r="E11185" t="s">
        <v>8</v>
      </c>
      <c r="F11185" t="s">
        <v>11193</v>
      </c>
      <c r="G11185">
        <v>1</v>
      </c>
    </row>
    <row r="11186" spans="1:7" x14ac:dyDescent="0.25">
      <c r="A11186">
        <v>34</v>
      </c>
      <c r="B11186" t="s">
        <v>11005</v>
      </c>
      <c r="C11186">
        <v>7451</v>
      </c>
      <c r="D11186" t="str">
        <f>"0963-6897"</f>
        <v>0963-6897</v>
      </c>
      <c r="E11186" t="s">
        <v>8</v>
      </c>
      <c r="F11186" t="s">
        <v>11194</v>
      </c>
      <c r="G11186">
        <v>1</v>
      </c>
    </row>
    <row r="11187" spans="1:7" x14ac:dyDescent="0.25">
      <c r="A11187">
        <v>34</v>
      </c>
      <c r="B11187" t="s">
        <v>11005</v>
      </c>
      <c r="C11187">
        <v>13410</v>
      </c>
      <c r="D11187" t="str">
        <f>"1422-6405"</f>
        <v>1422-6405</v>
      </c>
      <c r="E11187" t="s">
        <v>8</v>
      </c>
      <c r="F11187" t="s">
        <v>11195</v>
      </c>
      <c r="G11187">
        <v>1</v>
      </c>
    </row>
    <row r="11188" spans="1:7" x14ac:dyDescent="0.25">
      <c r="A11188">
        <v>34</v>
      </c>
      <c r="B11188" t="s">
        <v>11005</v>
      </c>
      <c r="C11188">
        <v>8340</v>
      </c>
      <c r="D11188" t="str">
        <f>"1425-8153"</f>
        <v>1425-8153</v>
      </c>
      <c r="E11188" t="s">
        <v>8</v>
      </c>
      <c r="F11188" t="s">
        <v>11196</v>
      </c>
      <c r="G11188">
        <v>1</v>
      </c>
    </row>
    <row r="11189" spans="1:7" x14ac:dyDescent="0.25">
      <c r="A11189">
        <v>34</v>
      </c>
      <c r="B11189" t="s">
        <v>11005</v>
      </c>
      <c r="C11189">
        <v>6168</v>
      </c>
      <c r="D11189" t="str">
        <f>"0145-5680"</f>
        <v>0145-5680</v>
      </c>
      <c r="E11189" t="s">
        <v>8</v>
      </c>
      <c r="F11189" t="s">
        <v>11197</v>
      </c>
      <c r="G11189">
        <v>1</v>
      </c>
    </row>
    <row r="11190" spans="1:7" x14ac:dyDescent="0.25">
      <c r="A11190">
        <v>34</v>
      </c>
      <c r="B11190" t="s">
        <v>11005</v>
      </c>
      <c r="C11190">
        <v>3944</v>
      </c>
      <c r="D11190" t="str">
        <f>"0272-4340"</f>
        <v>0272-4340</v>
      </c>
      <c r="E11190" t="s">
        <v>8</v>
      </c>
      <c r="F11190" t="s">
        <v>11198</v>
      </c>
      <c r="G11190">
        <v>1</v>
      </c>
    </row>
    <row r="11191" spans="1:7" x14ac:dyDescent="0.25">
      <c r="A11191">
        <v>34</v>
      </c>
      <c r="B11191" t="s">
        <v>11005</v>
      </c>
      <c r="C11191">
        <v>13317</v>
      </c>
      <c r="D11191" t="str">
        <f>"1462-5814"</f>
        <v>1462-5814</v>
      </c>
      <c r="E11191" t="s">
        <v>8</v>
      </c>
      <c r="F11191" t="s">
        <v>11199</v>
      </c>
      <c r="G11191">
        <v>1</v>
      </c>
    </row>
    <row r="11192" spans="1:7" x14ac:dyDescent="0.25">
      <c r="A11192">
        <v>34</v>
      </c>
      <c r="B11192" t="s">
        <v>11005</v>
      </c>
      <c r="C11192">
        <v>15722</v>
      </c>
      <c r="D11192" t="str">
        <f>"1015-8987"</f>
        <v>1015-8987</v>
      </c>
      <c r="E11192" t="s">
        <v>8</v>
      </c>
      <c r="F11192" t="s">
        <v>11200</v>
      </c>
      <c r="G11192">
        <v>1</v>
      </c>
    </row>
    <row r="11193" spans="1:7" x14ac:dyDescent="0.25">
      <c r="A11193">
        <v>34</v>
      </c>
      <c r="B11193" t="s">
        <v>11005</v>
      </c>
      <c r="C11193">
        <v>698</v>
      </c>
      <c r="D11193" t="str">
        <f>"2152-4971"</f>
        <v>2152-4971</v>
      </c>
      <c r="E11193" t="s">
        <v>8</v>
      </c>
      <c r="F11193" t="s">
        <v>11201</v>
      </c>
      <c r="G11193">
        <v>1</v>
      </c>
    </row>
    <row r="11194" spans="1:7" x14ac:dyDescent="0.25">
      <c r="A11194">
        <v>34</v>
      </c>
      <c r="B11194" t="s">
        <v>11005</v>
      </c>
      <c r="C11194">
        <v>16111</v>
      </c>
      <c r="D11194" t="str">
        <f>"0898-6568"</f>
        <v>0898-6568</v>
      </c>
      <c r="E11194" t="s">
        <v>8</v>
      </c>
      <c r="F11194" t="s">
        <v>11202</v>
      </c>
      <c r="G11194">
        <v>1</v>
      </c>
    </row>
    <row r="11195" spans="1:7" x14ac:dyDescent="0.25">
      <c r="A11195">
        <v>34</v>
      </c>
      <c r="B11195" t="s">
        <v>11005</v>
      </c>
      <c r="C11195">
        <v>7027</v>
      </c>
      <c r="D11195" t="str">
        <f>"0969-0239"</f>
        <v>0969-0239</v>
      </c>
      <c r="E11195" t="s">
        <v>8</v>
      </c>
      <c r="F11195" t="s">
        <v>11203</v>
      </c>
      <c r="G11195">
        <v>1</v>
      </c>
    </row>
    <row r="11196" spans="1:7" x14ac:dyDescent="0.25">
      <c r="A11196">
        <v>34</v>
      </c>
      <c r="B11196" t="s">
        <v>11005</v>
      </c>
      <c r="C11196">
        <v>10508</v>
      </c>
      <c r="D11196" t="str">
        <f>"0576-9787"</f>
        <v>0576-9787</v>
      </c>
      <c r="E11196" t="s">
        <v>8</v>
      </c>
      <c r="F11196" t="s">
        <v>11204</v>
      </c>
      <c r="G11196">
        <v>1</v>
      </c>
    </row>
    <row r="11197" spans="1:7" x14ac:dyDescent="0.25">
      <c r="A11197">
        <v>34</v>
      </c>
      <c r="B11197" t="s">
        <v>11005</v>
      </c>
      <c r="C11197">
        <v>10763</v>
      </c>
      <c r="D11197" t="str">
        <f>"0954-2299"</f>
        <v>0954-2299</v>
      </c>
      <c r="E11197" t="s">
        <v>8</v>
      </c>
      <c r="F11197" t="s">
        <v>11205</v>
      </c>
      <c r="G11197">
        <v>1</v>
      </c>
    </row>
    <row r="11198" spans="1:7" x14ac:dyDescent="0.25">
      <c r="A11198">
        <v>34</v>
      </c>
      <c r="B11198" t="s">
        <v>11005</v>
      </c>
      <c r="C11198">
        <v>4208</v>
      </c>
      <c r="D11198" t="str">
        <f>"0009-3084"</f>
        <v>0009-3084</v>
      </c>
      <c r="E11198" t="s">
        <v>8</v>
      </c>
      <c r="F11198" t="s">
        <v>11206</v>
      </c>
      <c r="G11198">
        <v>1</v>
      </c>
    </row>
    <row r="11199" spans="1:7" x14ac:dyDescent="0.25">
      <c r="A11199">
        <v>34</v>
      </c>
      <c r="B11199" t="s">
        <v>11005</v>
      </c>
      <c r="C11199">
        <v>3732</v>
      </c>
      <c r="D11199" t="str">
        <f>"0172-1941"</f>
        <v>0172-1941</v>
      </c>
      <c r="E11199" t="s">
        <v>8</v>
      </c>
      <c r="F11199" t="s">
        <v>11207</v>
      </c>
      <c r="G11199">
        <v>1</v>
      </c>
    </row>
    <row r="11200" spans="1:7" x14ac:dyDescent="0.25">
      <c r="A11200">
        <v>34</v>
      </c>
      <c r="B11200" t="s">
        <v>11005</v>
      </c>
      <c r="C11200">
        <v>5780</v>
      </c>
      <c r="D11200" t="str">
        <f>"0009-5915"</f>
        <v>0009-5915</v>
      </c>
      <c r="E11200" t="s">
        <v>8</v>
      </c>
      <c r="F11200" t="s">
        <v>11208</v>
      </c>
      <c r="G11200">
        <v>1</v>
      </c>
    </row>
    <row r="11201" spans="1:7" x14ac:dyDescent="0.25">
      <c r="A11201">
        <v>34</v>
      </c>
      <c r="B11201" t="s">
        <v>11005</v>
      </c>
      <c r="C11201">
        <v>6142</v>
      </c>
      <c r="D11201" t="str">
        <f>"0967-3849"</f>
        <v>0967-3849</v>
      </c>
      <c r="E11201" t="s">
        <v>8</v>
      </c>
      <c r="F11201" t="s">
        <v>11209</v>
      </c>
      <c r="G11201">
        <v>1</v>
      </c>
    </row>
    <row r="11202" spans="1:7" x14ac:dyDescent="0.25">
      <c r="A11202">
        <v>34</v>
      </c>
      <c r="B11202" t="s">
        <v>11005</v>
      </c>
      <c r="C11202">
        <v>1671</v>
      </c>
      <c r="E11202" t="s">
        <v>8</v>
      </c>
      <c r="F11202" t="s">
        <v>11210</v>
      </c>
      <c r="G11202">
        <v>1</v>
      </c>
    </row>
    <row r="11203" spans="1:7" x14ac:dyDescent="0.25">
      <c r="A11203">
        <v>34</v>
      </c>
      <c r="B11203" t="s">
        <v>11005</v>
      </c>
      <c r="C11203">
        <v>3105</v>
      </c>
      <c r="D11203" t="str">
        <f>"0009-9147"</f>
        <v>0009-9147</v>
      </c>
      <c r="E11203" t="s">
        <v>8</v>
      </c>
      <c r="F11203" t="s">
        <v>11211</v>
      </c>
      <c r="G11203">
        <v>1</v>
      </c>
    </row>
    <row r="11204" spans="1:7" x14ac:dyDescent="0.25">
      <c r="A11204">
        <v>34</v>
      </c>
      <c r="B11204" t="s">
        <v>11005</v>
      </c>
      <c r="C11204">
        <v>9969</v>
      </c>
      <c r="D11204" t="str">
        <f>"1434-6621"</f>
        <v>1434-6621</v>
      </c>
      <c r="E11204" t="s">
        <v>8</v>
      </c>
      <c r="F11204" t="s">
        <v>11212</v>
      </c>
      <c r="G11204">
        <v>1</v>
      </c>
    </row>
    <row r="11205" spans="1:7" x14ac:dyDescent="0.25">
      <c r="A11205">
        <v>34</v>
      </c>
      <c r="B11205" t="s">
        <v>11005</v>
      </c>
      <c r="C11205">
        <v>6126</v>
      </c>
      <c r="D11205" t="str">
        <f>"0927-7765"</f>
        <v>0927-7765</v>
      </c>
      <c r="E11205" t="s">
        <v>8</v>
      </c>
      <c r="F11205" t="s">
        <v>11213</v>
      </c>
      <c r="G11205">
        <v>1</v>
      </c>
    </row>
    <row r="11206" spans="1:7" x14ac:dyDescent="0.25">
      <c r="A11206">
        <v>34</v>
      </c>
      <c r="B11206" t="s">
        <v>11005</v>
      </c>
      <c r="C11206">
        <v>7650</v>
      </c>
      <c r="D11206" t="str">
        <f>"1096-4959"</f>
        <v>1096-4959</v>
      </c>
      <c r="E11206" t="s">
        <v>8</v>
      </c>
      <c r="F11206" t="s">
        <v>11214</v>
      </c>
      <c r="G11206">
        <v>1</v>
      </c>
    </row>
    <row r="11207" spans="1:7" x14ac:dyDescent="0.25">
      <c r="A11207">
        <v>34</v>
      </c>
      <c r="B11207" t="s">
        <v>11005</v>
      </c>
      <c r="C11207">
        <v>13341</v>
      </c>
      <c r="D11207" t="str">
        <f>"1744-117X"</f>
        <v>1744-117X</v>
      </c>
      <c r="E11207" t="s">
        <v>8</v>
      </c>
      <c r="F11207" t="s">
        <v>11215</v>
      </c>
      <c r="G11207">
        <v>1</v>
      </c>
    </row>
    <row r="11208" spans="1:7" x14ac:dyDescent="0.25">
      <c r="A11208">
        <v>34</v>
      </c>
      <c r="B11208" t="s">
        <v>11005</v>
      </c>
      <c r="C11208">
        <v>14869</v>
      </c>
      <c r="D11208" t="str">
        <f>"0300-8207"</f>
        <v>0300-8207</v>
      </c>
      <c r="E11208" t="s">
        <v>8</v>
      </c>
      <c r="F11208" t="s">
        <v>11216</v>
      </c>
      <c r="G11208">
        <v>1</v>
      </c>
    </row>
    <row r="11209" spans="1:7" x14ac:dyDescent="0.25">
      <c r="A11209">
        <v>34</v>
      </c>
      <c r="B11209" t="s">
        <v>11005</v>
      </c>
      <c r="C11209">
        <v>14726</v>
      </c>
      <c r="D11209" t="str">
        <f>"0278-940X"</f>
        <v>0278-940X</v>
      </c>
      <c r="E11209" t="s">
        <v>8</v>
      </c>
      <c r="F11209" t="s">
        <v>11217</v>
      </c>
      <c r="G11209">
        <v>1</v>
      </c>
    </row>
    <row r="11210" spans="1:7" x14ac:dyDescent="0.25">
      <c r="A11210">
        <v>34</v>
      </c>
      <c r="B11210" t="s">
        <v>11005</v>
      </c>
      <c r="C11210">
        <v>13462</v>
      </c>
      <c r="D11210" t="str">
        <f>"0172-8083"</f>
        <v>0172-8083</v>
      </c>
      <c r="E11210" t="s">
        <v>8</v>
      </c>
      <c r="F11210" t="s">
        <v>11218</v>
      </c>
      <c r="G11210">
        <v>1</v>
      </c>
    </row>
    <row r="11211" spans="1:7" x14ac:dyDescent="0.25">
      <c r="A11211">
        <v>34</v>
      </c>
      <c r="B11211" t="s">
        <v>11005</v>
      </c>
      <c r="C11211">
        <v>51</v>
      </c>
      <c r="D11211" t="str">
        <f>"1389-2029"</f>
        <v>1389-2029</v>
      </c>
      <c r="E11211" t="s">
        <v>8</v>
      </c>
      <c r="F11211" t="s">
        <v>11219</v>
      </c>
      <c r="G11211">
        <v>1</v>
      </c>
    </row>
    <row r="11212" spans="1:7" x14ac:dyDescent="0.25">
      <c r="A11212">
        <v>34</v>
      </c>
      <c r="B11212" t="s">
        <v>11005</v>
      </c>
      <c r="C11212">
        <v>17809</v>
      </c>
      <c r="D11212" t="str">
        <f>"1467-3037"</f>
        <v>1467-3037</v>
      </c>
      <c r="E11212" t="s">
        <v>8</v>
      </c>
      <c r="F11212" t="s">
        <v>11220</v>
      </c>
      <c r="G11212">
        <v>1</v>
      </c>
    </row>
    <row r="11213" spans="1:7" x14ac:dyDescent="0.25">
      <c r="A11213">
        <v>34</v>
      </c>
      <c r="B11213" t="s">
        <v>11005</v>
      </c>
      <c r="C11213">
        <v>12280</v>
      </c>
      <c r="D11213" t="str">
        <f>"0343-8651"</f>
        <v>0343-8651</v>
      </c>
      <c r="E11213" t="s">
        <v>8</v>
      </c>
      <c r="F11213" t="s">
        <v>11221</v>
      </c>
      <c r="G11213">
        <v>1</v>
      </c>
    </row>
    <row r="11214" spans="1:7" x14ac:dyDescent="0.25">
      <c r="A11214">
        <v>34</v>
      </c>
      <c r="B11214" t="s">
        <v>11005</v>
      </c>
      <c r="C11214">
        <v>7719958</v>
      </c>
      <c r="D11214" t="str">
        <f>"2211-5552"</f>
        <v>2211-5552</v>
      </c>
      <c r="E11214" t="s">
        <v>8</v>
      </c>
      <c r="F11214" t="s">
        <v>11222</v>
      </c>
      <c r="G11214">
        <v>1</v>
      </c>
    </row>
    <row r="11215" spans="1:7" x14ac:dyDescent="0.25">
      <c r="A11215">
        <v>34</v>
      </c>
      <c r="B11215" t="s">
        <v>11005</v>
      </c>
      <c r="C11215">
        <v>15406</v>
      </c>
      <c r="D11215" t="str">
        <f>"1389-2010"</f>
        <v>1389-2010</v>
      </c>
      <c r="E11215" t="s">
        <v>8</v>
      </c>
      <c r="F11215" t="s">
        <v>11223</v>
      </c>
      <c r="G11215">
        <v>1</v>
      </c>
    </row>
    <row r="11216" spans="1:7" x14ac:dyDescent="0.25">
      <c r="A11216">
        <v>34</v>
      </c>
      <c r="B11216" t="s">
        <v>11005</v>
      </c>
      <c r="C11216">
        <v>10638</v>
      </c>
      <c r="D11216" t="str">
        <f>"1389-2037"</f>
        <v>1389-2037</v>
      </c>
      <c r="E11216" t="s">
        <v>8</v>
      </c>
      <c r="F11216" t="s">
        <v>11224</v>
      </c>
      <c r="G11216">
        <v>1</v>
      </c>
    </row>
    <row r="11217" spans="1:7" x14ac:dyDescent="0.25">
      <c r="A11217">
        <v>34</v>
      </c>
      <c r="B11217" t="s">
        <v>11005</v>
      </c>
      <c r="C11217">
        <v>6080511</v>
      </c>
      <c r="D11217" t="str">
        <f>"1934-3639"</f>
        <v>1934-3639</v>
      </c>
      <c r="E11217" t="s">
        <v>8</v>
      </c>
      <c r="F11217" t="s">
        <v>11225</v>
      </c>
      <c r="G11217">
        <v>1</v>
      </c>
    </row>
    <row r="11218" spans="1:7" x14ac:dyDescent="0.25">
      <c r="A11218">
        <v>34</v>
      </c>
      <c r="B11218" t="s">
        <v>11005</v>
      </c>
      <c r="C11218">
        <v>8758522</v>
      </c>
      <c r="E11218" t="s">
        <v>8</v>
      </c>
      <c r="F11218" t="s">
        <v>11226</v>
      </c>
      <c r="G11218">
        <v>1</v>
      </c>
    </row>
    <row r="11219" spans="1:7" x14ac:dyDescent="0.25">
      <c r="A11219">
        <v>34</v>
      </c>
      <c r="B11219" t="s">
        <v>11005</v>
      </c>
      <c r="C11219">
        <v>2001</v>
      </c>
      <c r="D11219" t="str">
        <f>"1063-5823"</f>
        <v>1063-5823</v>
      </c>
      <c r="E11219" t="s">
        <v>15</v>
      </c>
      <c r="F11219" t="s">
        <v>11227</v>
      </c>
      <c r="G11219">
        <v>1</v>
      </c>
    </row>
    <row r="11220" spans="1:7" x14ac:dyDescent="0.25">
      <c r="A11220">
        <v>34</v>
      </c>
      <c r="B11220" t="s">
        <v>11005</v>
      </c>
      <c r="C11220">
        <v>1397</v>
      </c>
      <c r="D11220" t="str">
        <f>"0070-217X"</f>
        <v>0070-217X</v>
      </c>
      <c r="E11220" t="s">
        <v>15</v>
      </c>
      <c r="F11220" t="s">
        <v>11228</v>
      </c>
      <c r="G11220">
        <v>1</v>
      </c>
    </row>
    <row r="11221" spans="1:7" x14ac:dyDescent="0.25">
      <c r="A11221">
        <v>34</v>
      </c>
      <c r="B11221" t="s">
        <v>11005</v>
      </c>
      <c r="C11221">
        <v>8324</v>
      </c>
      <c r="D11221" t="str">
        <f>"1424-8581"</f>
        <v>1424-8581</v>
      </c>
      <c r="E11221" t="s">
        <v>8</v>
      </c>
      <c r="F11221" t="s">
        <v>11229</v>
      </c>
      <c r="G11221">
        <v>1</v>
      </c>
    </row>
    <row r="11222" spans="1:7" x14ac:dyDescent="0.25">
      <c r="A11222">
        <v>34</v>
      </c>
      <c r="B11222" t="s">
        <v>11005</v>
      </c>
      <c r="C11222">
        <v>9167</v>
      </c>
      <c r="D11222" t="str">
        <f>"1043-4666"</f>
        <v>1043-4666</v>
      </c>
      <c r="E11222" t="s">
        <v>8</v>
      </c>
      <c r="F11222" t="s">
        <v>11230</v>
      </c>
      <c r="G11222">
        <v>1</v>
      </c>
    </row>
    <row r="11223" spans="1:7" x14ac:dyDescent="0.25">
      <c r="A11223">
        <v>34</v>
      </c>
      <c r="B11223" t="s">
        <v>11005</v>
      </c>
      <c r="C11223">
        <v>7945</v>
      </c>
      <c r="D11223" t="str">
        <f>"0920-9069"</f>
        <v>0920-9069</v>
      </c>
      <c r="E11223" t="s">
        <v>8</v>
      </c>
      <c r="F11223" t="s">
        <v>11231</v>
      </c>
      <c r="G11223">
        <v>1</v>
      </c>
    </row>
    <row r="11224" spans="1:7" x14ac:dyDescent="0.25">
      <c r="A11224">
        <v>34</v>
      </c>
      <c r="B11224" t="s">
        <v>11005</v>
      </c>
      <c r="C11224">
        <v>27126</v>
      </c>
      <c r="D11224" t="str">
        <f>"1212-1975"</f>
        <v>1212-1975</v>
      </c>
      <c r="E11224" t="s">
        <v>8</v>
      </c>
      <c r="F11224" t="s">
        <v>11232</v>
      </c>
      <c r="G11224">
        <v>1</v>
      </c>
    </row>
    <row r="11225" spans="1:7" x14ac:dyDescent="0.25">
      <c r="A11225">
        <v>34</v>
      </c>
      <c r="B11225" t="s">
        <v>11005</v>
      </c>
      <c r="C11225">
        <v>4291</v>
      </c>
      <c r="D11225" t="str">
        <f>"0949-944X"</f>
        <v>0949-944X</v>
      </c>
      <c r="E11225" t="s">
        <v>8</v>
      </c>
      <c r="F11225" t="s">
        <v>11233</v>
      </c>
      <c r="G11225">
        <v>1</v>
      </c>
    </row>
    <row r="11226" spans="1:7" x14ac:dyDescent="0.25">
      <c r="A11226">
        <v>34</v>
      </c>
      <c r="B11226" t="s">
        <v>11005</v>
      </c>
      <c r="C11226">
        <v>2184</v>
      </c>
      <c r="D11226" t="str">
        <f>"0012-1592"</f>
        <v>0012-1592</v>
      </c>
      <c r="E11226" t="s">
        <v>8</v>
      </c>
      <c r="F11226" t="s">
        <v>11234</v>
      </c>
      <c r="G11226">
        <v>1</v>
      </c>
    </row>
    <row r="11227" spans="1:7" x14ac:dyDescent="0.25">
      <c r="A11227">
        <v>34</v>
      </c>
      <c r="B11227" t="s">
        <v>11005</v>
      </c>
      <c r="C11227">
        <v>7859</v>
      </c>
      <c r="D11227" t="str">
        <f>"0012-1606"</f>
        <v>0012-1606</v>
      </c>
      <c r="E11227" t="s">
        <v>8</v>
      </c>
      <c r="F11227" t="s">
        <v>11235</v>
      </c>
      <c r="G11227">
        <v>1</v>
      </c>
    </row>
    <row r="11228" spans="1:7" x14ac:dyDescent="0.25">
      <c r="A11228">
        <v>34</v>
      </c>
      <c r="B11228" t="s">
        <v>11005</v>
      </c>
      <c r="C11228">
        <v>11714</v>
      </c>
      <c r="D11228" t="str">
        <f>"1058-8388"</f>
        <v>1058-8388</v>
      </c>
      <c r="E11228" t="s">
        <v>8</v>
      </c>
      <c r="F11228" t="s">
        <v>11236</v>
      </c>
      <c r="G11228">
        <v>1</v>
      </c>
    </row>
    <row r="11229" spans="1:7" x14ac:dyDescent="0.25">
      <c r="A11229">
        <v>34</v>
      </c>
      <c r="B11229" t="s">
        <v>11005</v>
      </c>
      <c r="C11229">
        <v>10298</v>
      </c>
      <c r="D11229" t="str">
        <f>"0301-4681"</f>
        <v>0301-4681</v>
      </c>
      <c r="E11229" t="s">
        <v>8</v>
      </c>
      <c r="F11229" t="s">
        <v>11237</v>
      </c>
      <c r="G11229">
        <v>1</v>
      </c>
    </row>
    <row r="11230" spans="1:7" x14ac:dyDescent="0.25">
      <c r="A11230">
        <v>34</v>
      </c>
      <c r="B11230" t="s">
        <v>11005</v>
      </c>
      <c r="C11230">
        <v>6094</v>
      </c>
      <c r="D11230" t="str">
        <f>"1044-5498"</f>
        <v>1044-5498</v>
      </c>
      <c r="E11230" t="s">
        <v>8</v>
      </c>
      <c r="F11230" t="s">
        <v>11238</v>
      </c>
      <c r="G11230">
        <v>1</v>
      </c>
    </row>
    <row r="11231" spans="1:7" x14ac:dyDescent="0.25">
      <c r="A11231">
        <v>34</v>
      </c>
      <c r="B11231" t="s">
        <v>11005</v>
      </c>
      <c r="C11231">
        <v>12598</v>
      </c>
      <c r="D11231" t="str">
        <f>"1568-7864"</f>
        <v>1568-7864</v>
      </c>
      <c r="E11231" t="s">
        <v>8</v>
      </c>
      <c r="F11231" t="s">
        <v>11239</v>
      </c>
      <c r="G11231">
        <v>1</v>
      </c>
    </row>
    <row r="11232" spans="1:7" x14ac:dyDescent="0.25">
      <c r="A11232">
        <v>34</v>
      </c>
      <c r="B11232" t="s">
        <v>11005</v>
      </c>
      <c r="C11232">
        <v>13978</v>
      </c>
      <c r="D11232" t="str">
        <f>"1607-6729"</f>
        <v>1607-6729</v>
      </c>
      <c r="E11232" t="s">
        <v>8</v>
      </c>
      <c r="F11232" t="s">
        <v>11240</v>
      </c>
      <c r="G11232">
        <v>1</v>
      </c>
    </row>
    <row r="11233" spans="1:7" x14ac:dyDescent="0.25">
      <c r="A11233">
        <v>34</v>
      </c>
      <c r="B11233" t="s">
        <v>11005</v>
      </c>
      <c r="C11233">
        <v>8770778</v>
      </c>
      <c r="D11233" t="str">
        <f>"2324-6200"</f>
        <v>2324-6200</v>
      </c>
      <c r="E11233" t="s">
        <v>8</v>
      </c>
      <c r="F11233" t="s">
        <v>11241</v>
      </c>
      <c r="G11233">
        <v>1</v>
      </c>
    </row>
    <row r="11234" spans="1:7" x14ac:dyDescent="0.25">
      <c r="A11234">
        <v>34</v>
      </c>
      <c r="B11234" t="s">
        <v>11005</v>
      </c>
      <c r="C11234">
        <v>4111</v>
      </c>
      <c r="D11234" t="str">
        <f>"1536-8378"</f>
        <v>1536-8378</v>
      </c>
      <c r="E11234" t="s">
        <v>8</v>
      </c>
      <c r="F11234" t="s">
        <v>11242</v>
      </c>
      <c r="G11234">
        <v>1</v>
      </c>
    </row>
    <row r="11235" spans="1:7" x14ac:dyDescent="0.25">
      <c r="A11235">
        <v>34</v>
      </c>
      <c r="B11235" t="s">
        <v>11005</v>
      </c>
      <c r="C11235">
        <v>5830</v>
      </c>
      <c r="E11235" t="s">
        <v>8</v>
      </c>
      <c r="F11235" t="s">
        <v>11243</v>
      </c>
      <c r="G11235">
        <v>1</v>
      </c>
    </row>
    <row r="11236" spans="1:7" x14ac:dyDescent="0.25">
      <c r="A11236">
        <v>34</v>
      </c>
      <c r="B11236" t="s">
        <v>11005</v>
      </c>
      <c r="C11236">
        <v>496</v>
      </c>
      <c r="D11236" t="str">
        <f>"0173-0835"</f>
        <v>0173-0835</v>
      </c>
      <c r="E11236" t="s">
        <v>8</v>
      </c>
      <c r="F11236" t="s">
        <v>11244</v>
      </c>
      <c r="G11236">
        <v>1</v>
      </c>
    </row>
    <row r="11237" spans="1:7" x14ac:dyDescent="0.25">
      <c r="A11237">
        <v>34</v>
      </c>
      <c r="B11237" t="s">
        <v>11005</v>
      </c>
      <c r="C11237">
        <v>7670000</v>
      </c>
      <c r="D11237" t="str">
        <f>"1757-4676"</f>
        <v>1757-4676</v>
      </c>
      <c r="E11237" t="s">
        <v>8</v>
      </c>
      <c r="F11237" t="s">
        <v>11245</v>
      </c>
      <c r="G11237">
        <v>1</v>
      </c>
    </row>
    <row r="11238" spans="1:7" x14ac:dyDescent="0.25">
      <c r="A11238">
        <v>34</v>
      </c>
      <c r="B11238" t="s">
        <v>11005</v>
      </c>
      <c r="C11238">
        <v>7728793</v>
      </c>
      <c r="E11238" t="s">
        <v>8</v>
      </c>
      <c r="F11238" t="s">
        <v>11246</v>
      </c>
      <c r="G11238">
        <v>1</v>
      </c>
    </row>
    <row r="11239" spans="1:7" x14ac:dyDescent="0.25">
      <c r="A11239">
        <v>34</v>
      </c>
      <c r="B11239" t="s">
        <v>11005</v>
      </c>
      <c r="C11239">
        <v>1592</v>
      </c>
      <c r="D11239" t="str">
        <f>"0071-1365"</f>
        <v>0071-1365</v>
      </c>
      <c r="E11239" t="s">
        <v>8</v>
      </c>
      <c r="F11239" t="s">
        <v>11247</v>
      </c>
      <c r="G11239">
        <v>1</v>
      </c>
    </row>
    <row r="11240" spans="1:7" x14ac:dyDescent="0.25">
      <c r="A11240">
        <v>34</v>
      </c>
      <c r="B11240" t="s">
        <v>11005</v>
      </c>
      <c r="C11240">
        <v>11445</v>
      </c>
      <c r="D11240" t="str">
        <f>"0175-7571"</f>
        <v>0175-7571</v>
      </c>
      <c r="E11240" t="s">
        <v>8</v>
      </c>
      <c r="F11240" t="s">
        <v>11248</v>
      </c>
      <c r="G11240">
        <v>1</v>
      </c>
    </row>
    <row r="11241" spans="1:7" x14ac:dyDescent="0.25">
      <c r="A11241">
        <v>34</v>
      </c>
      <c r="B11241" t="s">
        <v>11005</v>
      </c>
      <c r="C11241">
        <v>16317</v>
      </c>
      <c r="E11241" t="s">
        <v>8</v>
      </c>
      <c r="F11241" t="s">
        <v>11249</v>
      </c>
      <c r="G11241">
        <v>1</v>
      </c>
    </row>
    <row r="11242" spans="1:7" x14ac:dyDescent="0.25">
      <c r="A11242">
        <v>34</v>
      </c>
      <c r="B11242" t="s">
        <v>11005</v>
      </c>
      <c r="C11242">
        <v>13083</v>
      </c>
      <c r="D11242" t="str">
        <f>"1148-5493"</f>
        <v>1148-5493</v>
      </c>
      <c r="E11242" t="s">
        <v>8</v>
      </c>
      <c r="F11242" t="s">
        <v>11250</v>
      </c>
      <c r="G11242">
        <v>1</v>
      </c>
    </row>
    <row r="11243" spans="1:7" x14ac:dyDescent="0.25">
      <c r="A11243">
        <v>34</v>
      </c>
      <c r="B11243" t="s">
        <v>11005</v>
      </c>
      <c r="C11243">
        <v>15522</v>
      </c>
      <c r="D11243" t="str">
        <f>"0171-9335"</f>
        <v>0171-9335</v>
      </c>
      <c r="E11243" t="s">
        <v>8</v>
      </c>
      <c r="F11243" t="s">
        <v>11251</v>
      </c>
      <c r="G11243">
        <v>1</v>
      </c>
    </row>
    <row r="11244" spans="1:7" x14ac:dyDescent="0.25">
      <c r="A11244">
        <v>34</v>
      </c>
      <c r="B11244" t="s">
        <v>11005</v>
      </c>
      <c r="C11244">
        <v>15764</v>
      </c>
      <c r="D11244" t="str">
        <f>"1520-541X"</f>
        <v>1520-541X</v>
      </c>
      <c r="E11244" t="s">
        <v>8</v>
      </c>
      <c r="F11244" t="s">
        <v>11252</v>
      </c>
      <c r="G11244">
        <v>1</v>
      </c>
    </row>
    <row r="11245" spans="1:7" x14ac:dyDescent="0.25">
      <c r="A11245">
        <v>34</v>
      </c>
      <c r="B11245" t="s">
        <v>11005</v>
      </c>
      <c r="C11245">
        <v>15234</v>
      </c>
      <c r="D11245" t="str">
        <f>"0071-3260"</f>
        <v>0071-3260</v>
      </c>
      <c r="E11245" t="s">
        <v>15</v>
      </c>
      <c r="F11245" t="s">
        <v>11253</v>
      </c>
      <c r="G11245">
        <v>1</v>
      </c>
    </row>
    <row r="11246" spans="1:7" x14ac:dyDescent="0.25">
      <c r="A11246">
        <v>34</v>
      </c>
      <c r="B11246" t="s">
        <v>11005</v>
      </c>
      <c r="C11246">
        <v>6306</v>
      </c>
      <c r="D11246" t="str">
        <f>"0014-4827"</f>
        <v>0014-4827</v>
      </c>
      <c r="E11246" t="s">
        <v>8</v>
      </c>
      <c r="F11246" t="s">
        <v>11254</v>
      </c>
      <c r="G11246">
        <v>1</v>
      </c>
    </row>
    <row r="11247" spans="1:7" x14ac:dyDescent="0.25">
      <c r="A11247">
        <v>34</v>
      </c>
      <c r="B11247" t="s">
        <v>11005</v>
      </c>
      <c r="C11247">
        <v>18080</v>
      </c>
      <c r="D11247" t="str">
        <f>"1478-9450"</f>
        <v>1478-9450</v>
      </c>
      <c r="E11247" t="s">
        <v>8</v>
      </c>
      <c r="F11247" t="s">
        <v>11255</v>
      </c>
      <c r="G11247">
        <v>1</v>
      </c>
    </row>
    <row r="11248" spans="1:7" x14ac:dyDescent="0.25">
      <c r="A11248">
        <v>34</v>
      </c>
      <c r="B11248" t="s">
        <v>11005</v>
      </c>
      <c r="C11248">
        <v>7868</v>
      </c>
      <c r="D11248" t="str">
        <f>"1431-0651"</f>
        <v>1431-0651</v>
      </c>
      <c r="E11248" t="s">
        <v>8</v>
      </c>
      <c r="F11248" t="s">
        <v>11256</v>
      </c>
      <c r="G11248">
        <v>1</v>
      </c>
    </row>
    <row r="11249" spans="1:7" x14ac:dyDescent="0.25">
      <c r="A11249">
        <v>34</v>
      </c>
      <c r="B11249" t="s">
        <v>11005</v>
      </c>
      <c r="C11249">
        <v>7747473</v>
      </c>
      <c r="E11249" t="s">
        <v>8</v>
      </c>
      <c r="F11249" t="s">
        <v>11257</v>
      </c>
      <c r="G11249">
        <v>1</v>
      </c>
    </row>
    <row r="11250" spans="1:7" x14ac:dyDescent="0.25">
      <c r="A11250">
        <v>34</v>
      </c>
      <c r="B11250" t="s">
        <v>11005</v>
      </c>
      <c r="C11250">
        <v>12800</v>
      </c>
      <c r="D11250" t="str">
        <f>"0014-5793"</f>
        <v>0014-5793</v>
      </c>
      <c r="E11250" t="s">
        <v>8</v>
      </c>
      <c r="F11250" t="s">
        <v>11258</v>
      </c>
      <c r="G11250">
        <v>1</v>
      </c>
    </row>
    <row r="11251" spans="1:7" x14ac:dyDescent="0.25">
      <c r="A11251">
        <v>34</v>
      </c>
      <c r="B11251" t="s">
        <v>11005</v>
      </c>
      <c r="C11251">
        <v>15269</v>
      </c>
      <c r="D11251" t="str">
        <f>"1567-1356"</f>
        <v>1567-1356</v>
      </c>
      <c r="E11251" t="s">
        <v>8</v>
      </c>
      <c r="F11251" t="s">
        <v>11259</v>
      </c>
      <c r="G11251">
        <v>1</v>
      </c>
    </row>
    <row r="11252" spans="1:7" x14ac:dyDescent="0.25">
      <c r="A11252">
        <v>34</v>
      </c>
      <c r="B11252" t="s">
        <v>11005</v>
      </c>
      <c r="C11252">
        <v>927</v>
      </c>
      <c r="D11252" t="str">
        <f>"0239-8508"</f>
        <v>0239-8508</v>
      </c>
      <c r="E11252" t="s">
        <v>8</v>
      </c>
      <c r="F11252" t="s">
        <v>11260</v>
      </c>
      <c r="G11252">
        <v>1</v>
      </c>
    </row>
    <row r="11253" spans="1:7" x14ac:dyDescent="0.25">
      <c r="A11253">
        <v>34</v>
      </c>
      <c r="B11253" t="s">
        <v>11005</v>
      </c>
      <c r="C11253">
        <v>5490</v>
      </c>
      <c r="D11253" t="str">
        <f>"0015-5632"</f>
        <v>0015-5632</v>
      </c>
      <c r="E11253" t="s">
        <v>8</v>
      </c>
      <c r="F11253" t="s">
        <v>11261</v>
      </c>
      <c r="G11253">
        <v>1</v>
      </c>
    </row>
    <row r="11254" spans="1:7" x14ac:dyDescent="0.25">
      <c r="A11254">
        <v>34</v>
      </c>
      <c r="B11254" t="s">
        <v>11005</v>
      </c>
      <c r="C11254">
        <v>12908</v>
      </c>
      <c r="D11254" t="str">
        <f>"1071-5762"</f>
        <v>1071-5762</v>
      </c>
      <c r="E11254" t="s">
        <v>8</v>
      </c>
      <c r="F11254" t="s">
        <v>11262</v>
      </c>
      <c r="G11254">
        <v>1</v>
      </c>
    </row>
    <row r="11255" spans="1:7" x14ac:dyDescent="0.25">
      <c r="A11255">
        <v>34</v>
      </c>
      <c r="B11255" t="s">
        <v>11005</v>
      </c>
      <c r="C11255">
        <v>14511</v>
      </c>
      <c r="D11255" t="str">
        <f>"1093-9946"</f>
        <v>1093-9946</v>
      </c>
      <c r="E11255" t="s">
        <v>8</v>
      </c>
      <c r="F11255" t="s">
        <v>11263</v>
      </c>
      <c r="G11255">
        <v>1</v>
      </c>
    </row>
    <row r="11256" spans="1:7" x14ac:dyDescent="0.25">
      <c r="A11256">
        <v>34</v>
      </c>
      <c r="B11256" t="s">
        <v>11005</v>
      </c>
      <c r="C11256">
        <v>7756107</v>
      </c>
      <c r="E11256" t="s">
        <v>8</v>
      </c>
      <c r="F11256" t="s">
        <v>11264</v>
      </c>
      <c r="G11256">
        <v>1</v>
      </c>
    </row>
    <row r="11257" spans="1:7" x14ac:dyDescent="0.25">
      <c r="A11257">
        <v>34</v>
      </c>
      <c r="B11257" t="s">
        <v>11005</v>
      </c>
      <c r="C11257">
        <v>7739299</v>
      </c>
      <c r="E11257" t="s">
        <v>8</v>
      </c>
      <c r="F11257" t="s">
        <v>11265</v>
      </c>
      <c r="G11257">
        <v>1</v>
      </c>
    </row>
    <row r="11258" spans="1:7" x14ac:dyDescent="0.25">
      <c r="A11258">
        <v>34</v>
      </c>
      <c r="B11258" t="s">
        <v>11005</v>
      </c>
      <c r="C11258">
        <v>7714931</v>
      </c>
      <c r="E11258" t="s">
        <v>8</v>
      </c>
      <c r="F11258" t="s">
        <v>11266</v>
      </c>
      <c r="G11258">
        <v>1</v>
      </c>
    </row>
    <row r="11259" spans="1:7" x14ac:dyDescent="0.25">
      <c r="A11259">
        <v>34</v>
      </c>
      <c r="B11259" t="s">
        <v>11005</v>
      </c>
      <c r="C11259">
        <v>6120271</v>
      </c>
      <c r="E11259" t="s">
        <v>8</v>
      </c>
      <c r="F11259" t="s">
        <v>11267</v>
      </c>
      <c r="G11259">
        <v>1</v>
      </c>
    </row>
    <row r="11260" spans="1:7" x14ac:dyDescent="0.25">
      <c r="A11260">
        <v>34</v>
      </c>
      <c r="B11260" t="s">
        <v>11005</v>
      </c>
      <c r="C11260">
        <v>13877</v>
      </c>
      <c r="D11260" t="str">
        <f>"1438-793X"</f>
        <v>1438-793X</v>
      </c>
      <c r="E11260" t="s">
        <v>8</v>
      </c>
      <c r="F11260" t="s">
        <v>11268</v>
      </c>
      <c r="G11260">
        <v>1</v>
      </c>
    </row>
    <row r="11261" spans="1:7" x14ac:dyDescent="0.25">
      <c r="A11261">
        <v>34</v>
      </c>
      <c r="B11261" t="s">
        <v>11005</v>
      </c>
      <c r="C11261">
        <v>15467</v>
      </c>
      <c r="D11261" t="str">
        <f>"1087-1845"</f>
        <v>1087-1845</v>
      </c>
      <c r="E11261" t="s">
        <v>8</v>
      </c>
      <c r="F11261" t="s">
        <v>11269</v>
      </c>
      <c r="G11261">
        <v>1</v>
      </c>
    </row>
    <row r="11262" spans="1:7" x14ac:dyDescent="0.25">
      <c r="A11262">
        <v>34</v>
      </c>
      <c r="B11262" t="s">
        <v>11005</v>
      </c>
      <c r="C11262">
        <v>7733</v>
      </c>
      <c r="D11262" t="str">
        <f>"0378-1119"</f>
        <v>0378-1119</v>
      </c>
      <c r="E11262" t="s">
        <v>8</v>
      </c>
      <c r="F11262" t="s">
        <v>11270</v>
      </c>
      <c r="G11262">
        <v>1</v>
      </c>
    </row>
    <row r="11263" spans="1:7" x14ac:dyDescent="0.25">
      <c r="A11263">
        <v>34</v>
      </c>
      <c r="B11263" t="s">
        <v>11005</v>
      </c>
      <c r="C11263">
        <v>8852</v>
      </c>
      <c r="D11263" t="str">
        <f>"1052-2166"</f>
        <v>1052-2166</v>
      </c>
      <c r="E11263" t="s">
        <v>8</v>
      </c>
      <c r="F11263" t="s">
        <v>11271</v>
      </c>
      <c r="G11263">
        <v>1</v>
      </c>
    </row>
    <row r="11264" spans="1:7" x14ac:dyDescent="0.25">
      <c r="A11264">
        <v>34</v>
      </c>
      <c r="B11264" t="s">
        <v>11005</v>
      </c>
      <c r="C11264">
        <v>14864</v>
      </c>
      <c r="D11264" t="str">
        <f>"1567-133X"</f>
        <v>1567-133X</v>
      </c>
      <c r="E11264" t="s">
        <v>8</v>
      </c>
      <c r="F11264" t="s">
        <v>11272</v>
      </c>
      <c r="G11264">
        <v>1</v>
      </c>
    </row>
    <row r="11265" spans="1:7" x14ac:dyDescent="0.25">
      <c r="A11265">
        <v>34</v>
      </c>
      <c r="B11265" t="s">
        <v>11005</v>
      </c>
      <c r="C11265">
        <v>6673</v>
      </c>
      <c r="D11265" t="str">
        <f>"0969-7128"</f>
        <v>0969-7128</v>
      </c>
      <c r="E11265" t="s">
        <v>8</v>
      </c>
      <c r="F11265" t="s">
        <v>11273</v>
      </c>
      <c r="G11265">
        <v>1</v>
      </c>
    </row>
    <row r="11266" spans="1:7" x14ac:dyDescent="0.25">
      <c r="A11266">
        <v>34</v>
      </c>
      <c r="B11266" t="s">
        <v>11005</v>
      </c>
      <c r="C11266">
        <v>15961</v>
      </c>
      <c r="D11266" t="str">
        <f>"0231-5882"</f>
        <v>0231-5882</v>
      </c>
      <c r="E11266" t="s">
        <v>8</v>
      </c>
      <c r="F11266" t="s">
        <v>11274</v>
      </c>
      <c r="G11266">
        <v>1</v>
      </c>
    </row>
    <row r="11267" spans="1:7" x14ac:dyDescent="0.25">
      <c r="A11267">
        <v>34</v>
      </c>
      <c r="B11267" t="s">
        <v>11005</v>
      </c>
      <c r="C11267">
        <v>7699605</v>
      </c>
      <c r="D11267" t="str">
        <f>"2073-4425"</f>
        <v>2073-4425</v>
      </c>
      <c r="E11267" t="s">
        <v>8</v>
      </c>
      <c r="F11267" t="s">
        <v>11275</v>
      </c>
      <c r="G11267">
        <v>1</v>
      </c>
    </row>
    <row r="11268" spans="1:7" x14ac:dyDescent="0.25">
      <c r="A11268">
        <v>34</v>
      </c>
      <c r="B11268" t="s">
        <v>11005</v>
      </c>
      <c r="C11268">
        <v>2346</v>
      </c>
      <c r="D11268" t="str">
        <f>"1341-7568"</f>
        <v>1341-7568</v>
      </c>
      <c r="E11268" t="s">
        <v>8</v>
      </c>
      <c r="F11268" t="s">
        <v>11276</v>
      </c>
      <c r="G11268">
        <v>1</v>
      </c>
    </row>
    <row r="11269" spans="1:7" x14ac:dyDescent="0.25">
      <c r="A11269">
        <v>34</v>
      </c>
      <c r="B11269" t="s">
        <v>11005</v>
      </c>
      <c r="C11269">
        <v>10798</v>
      </c>
      <c r="D11269" t="str">
        <f>"1555-8932"</f>
        <v>1555-8932</v>
      </c>
      <c r="E11269" t="s">
        <v>8</v>
      </c>
      <c r="F11269" t="s">
        <v>11277</v>
      </c>
      <c r="G11269">
        <v>1</v>
      </c>
    </row>
    <row r="11270" spans="1:7" x14ac:dyDescent="0.25">
      <c r="A11270">
        <v>34</v>
      </c>
      <c r="B11270" t="s">
        <v>11005</v>
      </c>
      <c r="C11270">
        <v>9203</v>
      </c>
      <c r="D11270" t="str">
        <f>"1976-9571"</f>
        <v>1976-9571</v>
      </c>
      <c r="E11270" t="s">
        <v>8</v>
      </c>
      <c r="F11270" t="s">
        <v>11278</v>
      </c>
      <c r="G11270">
        <v>1</v>
      </c>
    </row>
    <row r="11271" spans="1:7" x14ac:dyDescent="0.25">
      <c r="A11271">
        <v>34</v>
      </c>
      <c r="B11271" t="s">
        <v>11005</v>
      </c>
      <c r="C11271">
        <v>12200</v>
      </c>
      <c r="D11271" t="str">
        <f>"1466-4879"</f>
        <v>1466-4879</v>
      </c>
      <c r="E11271" t="s">
        <v>8</v>
      </c>
      <c r="F11271" t="s">
        <v>11279</v>
      </c>
      <c r="G11271">
        <v>1</v>
      </c>
    </row>
    <row r="11272" spans="1:7" x14ac:dyDescent="0.25">
      <c r="A11272">
        <v>34</v>
      </c>
      <c r="B11272" t="s">
        <v>11005</v>
      </c>
      <c r="C11272">
        <v>618</v>
      </c>
      <c r="D11272" t="str">
        <f>"1356-9597"</f>
        <v>1356-9597</v>
      </c>
      <c r="E11272" t="s">
        <v>8</v>
      </c>
      <c r="F11272" t="s">
        <v>11280</v>
      </c>
      <c r="G11272">
        <v>1</v>
      </c>
    </row>
    <row r="11273" spans="1:7" x14ac:dyDescent="0.25">
      <c r="A11273">
        <v>34</v>
      </c>
      <c r="B11273" t="s">
        <v>11005</v>
      </c>
      <c r="C11273">
        <v>4837</v>
      </c>
      <c r="D11273" t="str">
        <f>"1045-2257"</f>
        <v>1045-2257</v>
      </c>
      <c r="E11273" t="s">
        <v>8</v>
      </c>
      <c r="F11273" t="s">
        <v>11281</v>
      </c>
      <c r="G11273">
        <v>1</v>
      </c>
    </row>
    <row r="11274" spans="1:7" x14ac:dyDescent="0.25">
      <c r="A11274">
        <v>34</v>
      </c>
      <c r="B11274" t="s">
        <v>11005</v>
      </c>
      <c r="C11274">
        <v>1073</v>
      </c>
      <c r="D11274" t="str">
        <f>"1015-8146"</f>
        <v>1015-8146</v>
      </c>
      <c r="E11274" t="s">
        <v>8</v>
      </c>
      <c r="F11274" t="s">
        <v>11282</v>
      </c>
      <c r="G11274">
        <v>1</v>
      </c>
    </row>
    <row r="11275" spans="1:7" x14ac:dyDescent="0.25">
      <c r="A11275">
        <v>34</v>
      </c>
      <c r="B11275" t="s">
        <v>11005</v>
      </c>
      <c r="C11275">
        <v>18073</v>
      </c>
      <c r="D11275" t="str">
        <f>"1935-472X"</f>
        <v>1935-472X</v>
      </c>
      <c r="E11275" t="s">
        <v>8</v>
      </c>
      <c r="F11275" t="s">
        <v>11283</v>
      </c>
      <c r="G11275">
        <v>1</v>
      </c>
    </row>
    <row r="11276" spans="1:7" x14ac:dyDescent="0.25">
      <c r="A11276">
        <v>34</v>
      </c>
      <c r="B11276" t="s">
        <v>11005</v>
      </c>
      <c r="C11276">
        <v>8704</v>
      </c>
      <c r="D11276" t="str">
        <f>"1945-0265"</f>
        <v>1945-0265</v>
      </c>
      <c r="E11276" t="s">
        <v>8</v>
      </c>
      <c r="F11276" t="s">
        <v>11284</v>
      </c>
      <c r="G11276">
        <v>1</v>
      </c>
    </row>
    <row r="11277" spans="1:7" x14ac:dyDescent="0.25">
      <c r="A11277">
        <v>34</v>
      </c>
      <c r="B11277" t="s">
        <v>11005</v>
      </c>
      <c r="C11277">
        <v>15131</v>
      </c>
      <c r="D11277" t="str">
        <f>"0016-6707"</f>
        <v>0016-6707</v>
      </c>
      <c r="E11277" t="s">
        <v>8</v>
      </c>
      <c r="F11277" t="s">
        <v>11285</v>
      </c>
      <c r="G11277">
        <v>1</v>
      </c>
    </row>
    <row r="11278" spans="1:7" x14ac:dyDescent="0.25">
      <c r="A11278">
        <v>34</v>
      </c>
      <c r="B11278" t="s">
        <v>11005</v>
      </c>
      <c r="C11278">
        <v>13231</v>
      </c>
      <c r="D11278" t="str">
        <f>"1415-4757"</f>
        <v>1415-4757</v>
      </c>
      <c r="E11278" t="s">
        <v>8</v>
      </c>
      <c r="F11278" t="s">
        <v>11286</v>
      </c>
      <c r="G11278">
        <v>1</v>
      </c>
    </row>
    <row r="11279" spans="1:7" x14ac:dyDescent="0.25">
      <c r="A11279">
        <v>34</v>
      </c>
      <c r="B11279" t="s">
        <v>11005</v>
      </c>
      <c r="C11279">
        <v>7281</v>
      </c>
      <c r="D11279" t="str">
        <f>"0016-6758"</f>
        <v>0016-6758</v>
      </c>
      <c r="E11279" t="s">
        <v>8</v>
      </c>
      <c r="F11279" t="s">
        <v>11287</v>
      </c>
      <c r="G11279">
        <v>1</v>
      </c>
    </row>
    <row r="11280" spans="1:7" x14ac:dyDescent="0.25">
      <c r="A11280">
        <v>34</v>
      </c>
      <c r="B11280" t="s">
        <v>11005</v>
      </c>
      <c r="C11280">
        <v>488</v>
      </c>
      <c r="D11280" t="str">
        <f>"0831-2796"</f>
        <v>0831-2796</v>
      </c>
      <c r="E11280" t="s">
        <v>8</v>
      </c>
      <c r="F11280" t="s">
        <v>11288</v>
      </c>
      <c r="G11280">
        <v>1</v>
      </c>
    </row>
    <row r="11281" spans="1:7" x14ac:dyDescent="0.25">
      <c r="A11281">
        <v>34</v>
      </c>
      <c r="B11281" t="s">
        <v>11005</v>
      </c>
      <c r="C11281">
        <v>6002482</v>
      </c>
      <c r="E11281" t="s">
        <v>8</v>
      </c>
      <c r="F11281" t="s">
        <v>11289</v>
      </c>
      <c r="G11281">
        <v>1</v>
      </c>
    </row>
    <row r="11282" spans="1:7" x14ac:dyDescent="0.25">
      <c r="A11282">
        <v>34</v>
      </c>
      <c r="B11282" t="s">
        <v>11005</v>
      </c>
      <c r="C11282">
        <v>11746</v>
      </c>
      <c r="D11282" t="str">
        <f>"0888-7543"</f>
        <v>0888-7543</v>
      </c>
      <c r="E11282" t="s">
        <v>8</v>
      </c>
      <c r="F11282" t="s">
        <v>11290</v>
      </c>
      <c r="G11282">
        <v>1</v>
      </c>
    </row>
    <row r="11283" spans="1:7" x14ac:dyDescent="0.25">
      <c r="A11283">
        <v>34</v>
      </c>
      <c r="B11283" t="s">
        <v>11005</v>
      </c>
      <c r="C11283">
        <v>180098</v>
      </c>
      <c r="E11283" t="s">
        <v>8</v>
      </c>
      <c r="F11283" t="s">
        <v>11291</v>
      </c>
      <c r="G11283">
        <v>1</v>
      </c>
    </row>
    <row r="11284" spans="1:7" x14ac:dyDescent="0.25">
      <c r="A11284">
        <v>34</v>
      </c>
      <c r="B11284" t="s">
        <v>11005</v>
      </c>
      <c r="C11284">
        <v>16352</v>
      </c>
      <c r="D11284" t="str">
        <f>"0959-6658"</f>
        <v>0959-6658</v>
      </c>
      <c r="E11284" t="s">
        <v>8</v>
      </c>
      <c r="F11284" t="s">
        <v>11292</v>
      </c>
      <c r="G11284">
        <v>1</v>
      </c>
    </row>
    <row r="11285" spans="1:7" x14ac:dyDescent="0.25">
      <c r="A11285">
        <v>34</v>
      </c>
      <c r="B11285" t="s">
        <v>11005</v>
      </c>
      <c r="C11285">
        <v>2770</v>
      </c>
      <c r="D11285" t="str">
        <f>"0897-7194"</f>
        <v>0897-7194</v>
      </c>
      <c r="E11285" t="s">
        <v>8</v>
      </c>
      <c r="F11285" t="s">
        <v>11293</v>
      </c>
      <c r="G11285">
        <v>1</v>
      </c>
    </row>
    <row r="11286" spans="1:7" x14ac:dyDescent="0.25">
      <c r="A11286">
        <v>34</v>
      </c>
      <c r="B11286" t="s">
        <v>11005</v>
      </c>
      <c r="C11286">
        <v>14962</v>
      </c>
      <c r="D11286" t="str">
        <f>"1096-6374"</f>
        <v>1096-6374</v>
      </c>
      <c r="E11286" t="s">
        <v>8</v>
      </c>
      <c r="F11286" t="s">
        <v>11294</v>
      </c>
      <c r="G11286">
        <v>1</v>
      </c>
    </row>
    <row r="11287" spans="1:7" x14ac:dyDescent="0.25">
      <c r="A11287">
        <v>34</v>
      </c>
      <c r="B11287" t="s">
        <v>11005</v>
      </c>
      <c r="C11287">
        <v>8782442</v>
      </c>
      <c r="D11287" t="str">
        <f>"2326-5094"</f>
        <v>2326-5094</v>
      </c>
      <c r="E11287" t="s">
        <v>8</v>
      </c>
      <c r="F11287" t="s">
        <v>11295</v>
      </c>
      <c r="G11287">
        <v>1</v>
      </c>
    </row>
    <row r="11288" spans="1:7" x14ac:dyDescent="0.25">
      <c r="A11288">
        <v>34</v>
      </c>
      <c r="B11288" t="s">
        <v>11005</v>
      </c>
      <c r="C11288">
        <v>4340</v>
      </c>
      <c r="D11288" t="str">
        <f>"0018-0661"</f>
        <v>0018-0661</v>
      </c>
      <c r="E11288" t="s">
        <v>8</v>
      </c>
      <c r="F11288" t="s">
        <v>11296</v>
      </c>
      <c r="G11288">
        <v>1</v>
      </c>
    </row>
    <row r="11289" spans="1:7" x14ac:dyDescent="0.25">
      <c r="A11289">
        <v>34</v>
      </c>
      <c r="B11289" t="s">
        <v>11005</v>
      </c>
      <c r="C11289">
        <v>8418</v>
      </c>
      <c r="D11289" t="str">
        <f>"1043-0342"</f>
        <v>1043-0342</v>
      </c>
      <c r="E11289" t="s">
        <v>8</v>
      </c>
      <c r="F11289" t="s">
        <v>11297</v>
      </c>
      <c r="G11289">
        <v>1</v>
      </c>
    </row>
    <row r="11290" spans="1:7" x14ac:dyDescent="0.25">
      <c r="A11290">
        <v>34</v>
      </c>
      <c r="B11290" t="s">
        <v>11005</v>
      </c>
      <c r="C11290">
        <v>31610</v>
      </c>
      <c r="D11290" t="str">
        <f>"1479-7364"</f>
        <v>1479-7364</v>
      </c>
      <c r="E11290" t="s">
        <v>8</v>
      </c>
      <c r="F11290" t="s">
        <v>11298</v>
      </c>
      <c r="G11290">
        <v>1</v>
      </c>
    </row>
    <row r="11291" spans="1:7" x14ac:dyDescent="0.25">
      <c r="A11291">
        <v>34</v>
      </c>
      <c r="B11291" t="s">
        <v>11005</v>
      </c>
      <c r="C11291">
        <v>116511</v>
      </c>
      <c r="D11291" t="str">
        <f>"1751-8849"</f>
        <v>1751-8849</v>
      </c>
      <c r="E11291" t="s">
        <v>8</v>
      </c>
      <c r="F11291" t="s">
        <v>11299</v>
      </c>
      <c r="G11291">
        <v>1</v>
      </c>
    </row>
    <row r="11292" spans="1:7" x14ac:dyDescent="0.25">
      <c r="A11292">
        <v>34</v>
      </c>
      <c r="B11292" t="s">
        <v>11005</v>
      </c>
      <c r="C11292">
        <v>233</v>
      </c>
      <c r="D11292" t="str">
        <f>"0171-2985"</f>
        <v>0171-2985</v>
      </c>
      <c r="E11292" t="s">
        <v>8</v>
      </c>
      <c r="F11292" t="s">
        <v>11300</v>
      </c>
      <c r="G11292">
        <v>1</v>
      </c>
    </row>
    <row r="11293" spans="1:7" x14ac:dyDescent="0.25">
      <c r="A11293">
        <v>34</v>
      </c>
      <c r="B11293" t="s">
        <v>11005</v>
      </c>
      <c r="C11293">
        <v>2122</v>
      </c>
      <c r="D11293" t="str">
        <f>"0257-277X"</f>
        <v>0257-277X</v>
      </c>
      <c r="E11293" t="s">
        <v>8</v>
      </c>
      <c r="F11293" t="s">
        <v>11301</v>
      </c>
      <c r="G11293">
        <v>1</v>
      </c>
    </row>
    <row r="11294" spans="1:7" x14ac:dyDescent="0.25">
      <c r="A11294">
        <v>34</v>
      </c>
      <c r="B11294" t="s">
        <v>11005</v>
      </c>
      <c r="C11294">
        <v>2940</v>
      </c>
      <c r="D11294" t="str">
        <f>"0882-0139"</f>
        <v>0882-0139</v>
      </c>
      <c r="E11294" t="s">
        <v>8</v>
      </c>
      <c r="F11294" t="s">
        <v>11302</v>
      </c>
      <c r="G11294">
        <v>1</v>
      </c>
    </row>
    <row r="11295" spans="1:7" x14ac:dyDescent="0.25">
      <c r="A11295">
        <v>34</v>
      </c>
      <c r="B11295" t="s">
        <v>11005</v>
      </c>
      <c r="C11295">
        <v>4435</v>
      </c>
      <c r="D11295" t="str">
        <f>"0818-9641"</f>
        <v>0818-9641</v>
      </c>
      <c r="E11295" t="s">
        <v>8</v>
      </c>
      <c r="F11295" t="s">
        <v>11303</v>
      </c>
      <c r="G11295">
        <v>1</v>
      </c>
    </row>
    <row r="11296" spans="1:7" x14ac:dyDescent="0.25">
      <c r="A11296">
        <v>34</v>
      </c>
      <c r="B11296" t="s">
        <v>11005</v>
      </c>
      <c r="C11296">
        <v>484</v>
      </c>
      <c r="D11296" t="str">
        <f>"0165-2478"</f>
        <v>0165-2478</v>
      </c>
      <c r="E11296" t="s">
        <v>8</v>
      </c>
      <c r="F11296" t="s">
        <v>11304</v>
      </c>
      <c r="G11296">
        <v>1</v>
      </c>
    </row>
    <row r="11297" spans="1:7" x14ac:dyDescent="0.25">
      <c r="A11297">
        <v>34</v>
      </c>
      <c r="B11297" t="s">
        <v>11005</v>
      </c>
      <c r="C11297">
        <v>13781</v>
      </c>
      <c r="D11297" t="str">
        <f>"0892-3973"</f>
        <v>0892-3973</v>
      </c>
      <c r="E11297" t="s">
        <v>8</v>
      </c>
      <c r="F11297" t="s">
        <v>11305</v>
      </c>
      <c r="G11297">
        <v>1</v>
      </c>
    </row>
    <row r="11298" spans="1:7" x14ac:dyDescent="0.25">
      <c r="A11298">
        <v>34</v>
      </c>
      <c r="B11298" t="s">
        <v>11005</v>
      </c>
      <c r="C11298">
        <v>2379</v>
      </c>
      <c r="D11298" t="str">
        <f>"1071-2690"</f>
        <v>1071-2690</v>
      </c>
      <c r="E11298" t="s">
        <v>8</v>
      </c>
      <c r="F11298" t="s">
        <v>11306</v>
      </c>
      <c r="G11298">
        <v>1</v>
      </c>
    </row>
    <row r="11299" spans="1:7" x14ac:dyDescent="0.25">
      <c r="A11299">
        <v>34</v>
      </c>
      <c r="B11299" t="s">
        <v>11005</v>
      </c>
      <c r="C11299">
        <v>15550</v>
      </c>
      <c r="D11299" t="str">
        <f>"1054-5476"</f>
        <v>1054-5476</v>
      </c>
      <c r="E11299" t="s">
        <v>8</v>
      </c>
      <c r="F11299" t="s">
        <v>11307</v>
      </c>
      <c r="G11299">
        <v>1</v>
      </c>
    </row>
    <row r="11300" spans="1:7" x14ac:dyDescent="0.25">
      <c r="A11300">
        <v>34</v>
      </c>
      <c r="B11300" t="s">
        <v>11005</v>
      </c>
      <c r="C11300">
        <v>12203</v>
      </c>
      <c r="D11300" t="str">
        <f>"0301-1208"</f>
        <v>0301-1208</v>
      </c>
      <c r="E11300" t="s">
        <v>8</v>
      </c>
      <c r="F11300" t="s">
        <v>11308</v>
      </c>
      <c r="G11300">
        <v>1</v>
      </c>
    </row>
    <row r="11301" spans="1:7" x14ac:dyDescent="0.25">
      <c r="A11301">
        <v>34</v>
      </c>
      <c r="B11301" t="s">
        <v>11005</v>
      </c>
      <c r="C11301">
        <v>24925</v>
      </c>
      <c r="D11301" t="str">
        <f>"0019-5200"</f>
        <v>0019-5200</v>
      </c>
      <c r="E11301" t="s">
        <v>8</v>
      </c>
      <c r="F11301" t="s">
        <v>11309</v>
      </c>
      <c r="G11301">
        <v>1</v>
      </c>
    </row>
    <row r="11302" spans="1:7" x14ac:dyDescent="0.25">
      <c r="A11302">
        <v>34</v>
      </c>
      <c r="B11302" t="s">
        <v>11005</v>
      </c>
      <c r="C11302">
        <v>12721</v>
      </c>
      <c r="D11302" t="str">
        <f>"0046-8991"</f>
        <v>0046-8991</v>
      </c>
      <c r="E11302" t="s">
        <v>8</v>
      </c>
      <c r="F11302" t="s">
        <v>11310</v>
      </c>
      <c r="G11302">
        <v>1</v>
      </c>
    </row>
    <row r="11303" spans="1:7" x14ac:dyDescent="0.25">
      <c r="A11303">
        <v>34</v>
      </c>
      <c r="B11303" t="s">
        <v>11005</v>
      </c>
      <c r="C11303">
        <v>21548</v>
      </c>
      <c r="D11303" t="str">
        <f>"0019-5502"</f>
        <v>0019-5502</v>
      </c>
      <c r="E11303" t="s">
        <v>8</v>
      </c>
      <c r="F11303" t="s">
        <v>11311</v>
      </c>
      <c r="G11303">
        <v>1</v>
      </c>
    </row>
    <row r="11304" spans="1:7" x14ac:dyDescent="0.25">
      <c r="A11304">
        <v>34</v>
      </c>
      <c r="B11304" t="s">
        <v>11005</v>
      </c>
      <c r="C11304">
        <v>6681</v>
      </c>
      <c r="D11304" t="str">
        <f>"1567-1348"</f>
        <v>1567-1348</v>
      </c>
      <c r="E11304" t="s">
        <v>8</v>
      </c>
      <c r="F11304" t="s">
        <v>11312</v>
      </c>
      <c r="G11304">
        <v>1</v>
      </c>
    </row>
    <row r="11305" spans="1:7" x14ac:dyDescent="0.25">
      <c r="A11305">
        <v>34</v>
      </c>
      <c r="B11305" t="s">
        <v>11005</v>
      </c>
      <c r="C11305">
        <v>6154448</v>
      </c>
      <c r="D11305" t="str">
        <f>"1757-9694"</f>
        <v>1757-9694</v>
      </c>
      <c r="E11305" t="s">
        <v>8</v>
      </c>
      <c r="F11305" t="s">
        <v>11313</v>
      </c>
      <c r="G11305">
        <v>1</v>
      </c>
    </row>
    <row r="11306" spans="1:7" x14ac:dyDescent="0.25">
      <c r="A11306">
        <v>34</v>
      </c>
      <c r="B11306" t="s">
        <v>11005</v>
      </c>
      <c r="C11306">
        <v>16418</v>
      </c>
      <c r="D11306" t="str">
        <f>"1680-0737"</f>
        <v>1680-0737</v>
      </c>
      <c r="E11306" t="s">
        <v>8</v>
      </c>
      <c r="F11306" t="s">
        <v>11314</v>
      </c>
      <c r="G11306">
        <v>1</v>
      </c>
    </row>
    <row r="11307" spans="1:7" x14ac:dyDescent="0.25">
      <c r="A11307">
        <v>34</v>
      </c>
      <c r="B11307" t="s">
        <v>11005</v>
      </c>
      <c r="C11307">
        <v>973</v>
      </c>
      <c r="D11307" t="str">
        <f>"1567-5769"</f>
        <v>1567-5769</v>
      </c>
      <c r="E11307" t="s">
        <v>8</v>
      </c>
      <c r="F11307" t="s">
        <v>11315</v>
      </c>
      <c r="G11307">
        <v>1</v>
      </c>
    </row>
    <row r="11308" spans="1:7" x14ac:dyDescent="0.25">
      <c r="A11308">
        <v>34</v>
      </c>
      <c r="B11308" t="s">
        <v>11005</v>
      </c>
      <c r="C11308">
        <v>13925</v>
      </c>
      <c r="D11308" t="str">
        <f>"1744-5485"</f>
        <v>1744-5485</v>
      </c>
      <c r="E11308" t="s">
        <v>8</v>
      </c>
      <c r="F11308" t="s">
        <v>11316</v>
      </c>
      <c r="G11308">
        <v>1</v>
      </c>
    </row>
    <row r="11309" spans="1:7" x14ac:dyDescent="0.25">
      <c r="A11309">
        <v>34</v>
      </c>
      <c r="B11309" t="s">
        <v>11005</v>
      </c>
      <c r="C11309">
        <v>6824</v>
      </c>
      <c r="D11309" t="str">
        <f>"0141-8130"</f>
        <v>0141-8130</v>
      </c>
      <c r="E11309" t="s">
        <v>8</v>
      </c>
      <c r="F11309" t="s">
        <v>11317</v>
      </c>
      <c r="G11309">
        <v>1</v>
      </c>
    </row>
    <row r="11310" spans="1:7" x14ac:dyDescent="0.25">
      <c r="A11310">
        <v>34</v>
      </c>
      <c r="B11310" t="s">
        <v>11005</v>
      </c>
      <c r="C11310">
        <v>24124</v>
      </c>
      <c r="D11310" t="str">
        <f>"0963-6048"</f>
        <v>0963-6048</v>
      </c>
      <c r="E11310" t="s">
        <v>8</v>
      </c>
      <c r="F11310" t="s">
        <v>11318</v>
      </c>
      <c r="G11310">
        <v>1</v>
      </c>
    </row>
    <row r="11311" spans="1:7" x14ac:dyDescent="0.25">
      <c r="A11311">
        <v>34</v>
      </c>
      <c r="B11311" t="s">
        <v>11005</v>
      </c>
      <c r="C11311">
        <v>7749342</v>
      </c>
      <c r="D11311" t="str">
        <f>"2314-436X"</f>
        <v>2314-436X</v>
      </c>
      <c r="E11311" t="s">
        <v>8</v>
      </c>
      <c r="F11311" t="s">
        <v>11319</v>
      </c>
      <c r="G11311">
        <v>1</v>
      </c>
    </row>
    <row r="11312" spans="1:7" x14ac:dyDescent="0.25">
      <c r="A11312">
        <v>34</v>
      </c>
      <c r="B11312" t="s">
        <v>11005</v>
      </c>
      <c r="C11312">
        <v>17338</v>
      </c>
      <c r="D11312" t="str">
        <f>"1744-3121"</f>
        <v>1744-3121</v>
      </c>
      <c r="E11312" t="s">
        <v>8</v>
      </c>
      <c r="F11312" t="s">
        <v>11320</v>
      </c>
      <c r="G11312">
        <v>1</v>
      </c>
    </row>
    <row r="11313" spans="1:7" x14ac:dyDescent="0.25">
      <c r="A11313">
        <v>34</v>
      </c>
      <c r="B11313" t="s">
        <v>11005</v>
      </c>
      <c r="C11313">
        <v>16315</v>
      </c>
      <c r="D11313" t="str">
        <f>"1139-6709"</f>
        <v>1139-6709</v>
      </c>
      <c r="E11313" t="s">
        <v>8</v>
      </c>
      <c r="F11313" t="s">
        <v>11321</v>
      </c>
      <c r="G11313">
        <v>1</v>
      </c>
    </row>
    <row r="11314" spans="1:7" x14ac:dyDescent="0.25">
      <c r="A11314">
        <v>34</v>
      </c>
      <c r="B11314" t="s">
        <v>11005</v>
      </c>
      <c r="C11314">
        <v>11723</v>
      </c>
      <c r="D11314" t="str">
        <f>"1937-6448"</f>
        <v>1937-6448</v>
      </c>
      <c r="E11314" t="s">
        <v>15</v>
      </c>
      <c r="F11314" t="s">
        <v>11322</v>
      </c>
      <c r="G11314">
        <v>1</v>
      </c>
    </row>
    <row r="11315" spans="1:7" x14ac:dyDescent="0.25">
      <c r="A11315">
        <v>34</v>
      </c>
      <c r="B11315" t="s">
        <v>11005</v>
      </c>
      <c r="C11315">
        <v>10713</v>
      </c>
      <c r="D11315" t="str">
        <f>"1521-6543"</f>
        <v>1521-6543</v>
      </c>
      <c r="E11315" t="s">
        <v>8</v>
      </c>
      <c r="F11315" t="s">
        <v>11323</v>
      </c>
      <c r="G11315">
        <v>1</v>
      </c>
    </row>
    <row r="11316" spans="1:7" x14ac:dyDescent="0.25">
      <c r="A11316">
        <v>34</v>
      </c>
      <c r="B11316" t="s">
        <v>11005</v>
      </c>
      <c r="C11316">
        <v>14907</v>
      </c>
      <c r="D11316" t="str">
        <f>"1234-1983"</f>
        <v>1234-1983</v>
      </c>
      <c r="E11316" t="s">
        <v>8</v>
      </c>
      <c r="F11316" t="s">
        <v>11324</v>
      </c>
      <c r="G11316">
        <v>1</v>
      </c>
    </row>
    <row r="11317" spans="1:7" x14ac:dyDescent="0.25">
      <c r="A11317">
        <v>34</v>
      </c>
      <c r="B11317" t="s">
        <v>11005</v>
      </c>
      <c r="C11317">
        <v>7583</v>
      </c>
      <c r="D11317" t="str">
        <f>"0921-8971"</f>
        <v>0921-8971</v>
      </c>
      <c r="E11317" t="s">
        <v>8</v>
      </c>
      <c r="F11317" t="s">
        <v>11325</v>
      </c>
      <c r="G11317">
        <v>1</v>
      </c>
    </row>
    <row r="11318" spans="1:7" x14ac:dyDescent="0.25">
      <c r="A11318">
        <v>34</v>
      </c>
      <c r="B11318" t="s">
        <v>11005</v>
      </c>
      <c r="C11318">
        <v>14822</v>
      </c>
      <c r="D11318" t="str">
        <f>"0233-111X"</f>
        <v>0233-111X</v>
      </c>
      <c r="E11318" t="s">
        <v>8</v>
      </c>
      <c r="F11318" t="s">
        <v>11326</v>
      </c>
      <c r="G11318">
        <v>1</v>
      </c>
    </row>
    <row r="11319" spans="1:7" x14ac:dyDescent="0.25">
      <c r="A11319">
        <v>34</v>
      </c>
      <c r="B11319" t="s">
        <v>11005</v>
      </c>
      <c r="C11319">
        <v>538</v>
      </c>
      <c r="D11319" t="str">
        <f>"0021-924X"</f>
        <v>0021-924X</v>
      </c>
      <c r="E11319" t="s">
        <v>8</v>
      </c>
      <c r="F11319" t="s">
        <v>11327</v>
      </c>
      <c r="G11319">
        <v>1</v>
      </c>
    </row>
    <row r="11320" spans="1:7" x14ac:dyDescent="0.25">
      <c r="A11320">
        <v>34</v>
      </c>
      <c r="B11320" t="s">
        <v>11005</v>
      </c>
      <c r="C11320">
        <v>15930</v>
      </c>
      <c r="D11320" t="str">
        <f>"0145-479X"</f>
        <v>0145-479X</v>
      </c>
      <c r="E11320" t="s">
        <v>8</v>
      </c>
      <c r="F11320" t="s">
        <v>11328</v>
      </c>
      <c r="G11320">
        <v>1</v>
      </c>
    </row>
    <row r="11321" spans="1:7" x14ac:dyDescent="0.25">
      <c r="A11321">
        <v>34</v>
      </c>
      <c r="B11321" t="s">
        <v>11005</v>
      </c>
      <c r="C11321">
        <v>12910</v>
      </c>
      <c r="D11321" t="str">
        <f>"0219-7200"</f>
        <v>0219-7200</v>
      </c>
      <c r="E11321" t="s">
        <v>8</v>
      </c>
      <c r="F11321" t="s">
        <v>11329</v>
      </c>
      <c r="G11321">
        <v>1</v>
      </c>
    </row>
    <row r="11322" spans="1:7" x14ac:dyDescent="0.25">
      <c r="A11322">
        <v>34</v>
      </c>
      <c r="B11322" t="s">
        <v>11005</v>
      </c>
      <c r="C11322">
        <v>3825</v>
      </c>
      <c r="D11322" t="str">
        <f>"0021-9258"</f>
        <v>0021-9258</v>
      </c>
      <c r="E11322" t="s">
        <v>8</v>
      </c>
      <c r="F11322" t="s">
        <v>11330</v>
      </c>
      <c r="G11322">
        <v>1</v>
      </c>
    </row>
    <row r="11323" spans="1:7" x14ac:dyDescent="0.25">
      <c r="A11323">
        <v>34</v>
      </c>
      <c r="B11323" t="s">
        <v>11005</v>
      </c>
      <c r="C11323">
        <v>14424</v>
      </c>
      <c r="D11323" t="str">
        <f>"0092-0606"</f>
        <v>0092-0606</v>
      </c>
      <c r="E11323" t="s">
        <v>8</v>
      </c>
      <c r="F11323" t="s">
        <v>11331</v>
      </c>
      <c r="G11323">
        <v>1</v>
      </c>
    </row>
    <row r="11324" spans="1:7" x14ac:dyDescent="0.25">
      <c r="A11324">
        <v>34</v>
      </c>
      <c r="B11324" t="s">
        <v>11005</v>
      </c>
      <c r="C11324">
        <v>694</v>
      </c>
      <c r="D11324" t="str">
        <f>"2241-5793"</f>
        <v>2241-5793</v>
      </c>
      <c r="E11324" t="s">
        <v>8</v>
      </c>
      <c r="F11324" t="s">
        <v>11332</v>
      </c>
      <c r="G11324">
        <v>1</v>
      </c>
    </row>
    <row r="11325" spans="1:7" x14ac:dyDescent="0.25">
      <c r="A11325">
        <v>34</v>
      </c>
      <c r="B11325" t="s">
        <v>11005</v>
      </c>
      <c r="C11325">
        <v>12155</v>
      </c>
      <c r="D11325" t="str">
        <f>"0748-7304"</f>
        <v>0748-7304</v>
      </c>
      <c r="E11325" t="s">
        <v>8</v>
      </c>
      <c r="F11325" t="s">
        <v>11333</v>
      </c>
      <c r="G11325">
        <v>1</v>
      </c>
    </row>
    <row r="11326" spans="1:7" x14ac:dyDescent="0.25">
      <c r="A11326">
        <v>34</v>
      </c>
      <c r="B11326" t="s">
        <v>11005</v>
      </c>
      <c r="C11326">
        <v>7735648</v>
      </c>
      <c r="D11326" t="str">
        <f>"2157-9083"</f>
        <v>2157-9083</v>
      </c>
      <c r="E11326" t="s">
        <v>8</v>
      </c>
      <c r="F11326" t="s">
        <v>11334</v>
      </c>
      <c r="G11326">
        <v>1</v>
      </c>
    </row>
    <row r="11327" spans="1:7" x14ac:dyDescent="0.25">
      <c r="A11327">
        <v>34</v>
      </c>
      <c r="B11327" t="s">
        <v>11005</v>
      </c>
      <c r="C11327">
        <v>11037</v>
      </c>
      <c r="D11327" t="str">
        <f>"0920-5063"</f>
        <v>0920-5063</v>
      </c>
      <c r="E11327" t="s">
        <v>8</v>
      </c>
      <c r="F11327" t="s">
        <v>11335</v>
      </c>
      <c r="G11327">
        <v>1</v>
      </c>
    </row>
    <row r="11328" spans="1:7" x14ac:dyDescent="0.25">
      <c r="A11328">
        <v>34</v>
      </c>
      <c r="B11328" t="s">
        <v>11005</v>
      </c>
      <c r="C11328">
        <v>9025</v>
      </c>
      <c r="D11328" t="str">
        <f>"0739-1102"</f>
        <v>0739-1102</v>
      </c>
      <c r="E11328" t="s">
        <v>8</v>
      </c>
      <c r="F11328" t="s">
        <v>11336</v>
      </c>
      <c r="G11328">
        <v>1</v>
      </c>
    </row>
    <row r="11329" spans="1:7" x14ac:dyDescent="0.25">
      <c r="A11329">
        <v>34</v>
      </c>
      <c r="B11329" t="s">
        <v>11005</v>
      </c>
      <c r="C11329">
        <v>89693</v>
      </c>
      <c r="D11329" t="str">
        <f>"1524-0215"</f>
        <v>1524-0215</v>
      </c>
      <c r="E11329" t="s">
        <v>8</v>
      </c>
      <c r="F11329" t="s">
        <v>11337</v>
      </c>
      <c r="G11329">
        <v>1</v>
      </c>
    </row>
    <row r="11330" spans="1:7" x14ac:dyDescent="0.25">
      <c r="A11330">
        <v>34</v>
      </c>
      <c r="B11330" t="s">
        <v>11005</v>
      </c>
      <c r="C11330">
        <v>1572</v>
      </c>
      <c r="D11330" t="str">
        <f>"0168-1656"</f>
        <v>0168-1656</v>
      </c>
      <c r="E11330" t="s">
        <v>8</v>
      </c>
      <c r="F11330" t="s">
        <v>11338</v>
      </c>
      <c r="G11330">
        <v>1</v>
      </c>
    </row>
    <row r="11331" spans="1:7" x14ac:dyDescent="0.25">
      <c r="A11331">
        <v>34</v>
      </c>
      <c r="B11331" t="s">
        <v>11005</v>
      </c>
      <c r="C11331">
        <v>2332</v>
      </c>
      <c r="D11331" t="str">
        <f>"0730-2312"</f>
        <v>0730-2312</v>
      </c>
      <c r="E11331" t="s">
        <v>8</v>
      </c>
      <c r="F11331" t="s">
        <v>11339</v>
      </c>
      <c r="G11331">
        <v>1</v>
      </c>
    </row>
    <row r="11332" spans="1:7" x14ac:dyDescent="0.25">
      <c r="A11332">
        <v>34</v>
      </c>
      <c r="B11332" t="s">
        <v>11005</v>
      </c>
      <c r="C11332">
        <v>6239</v>
      </c>
      <c r="D11332" t="str">
        <f>"0021-9541"</f>
        <v>0021-9541</v>
      </c>
      <c r="E11332" t="s">
        <v>8</v>
      </c>
      <c r="F11332" t="s">
        <v>11340</v>
      </c>
      <c r="G11332">
        <v>1</v>
      </c>
    </row>
    <row r="11333" spans="1:7" x14ac:dyDescent="0.25">
      <c r="A11333">
        <v>34</v>
      </c>
      <c r="B11333" t="s">
        <v>11005</v>
      </c>
      <c r="C11333">
        <v>397</v>
      </c>
      <c r="D11333" t="str">
        <f>"0268-2575"</f>
        <v>0268-2575</v>
      </c>
      <c r="E11333" t="s">
        <v>8</v>
      </c>
      <c r="F11333" t="s">
        <v>11341</v>
      </c>
      <c r="G11333">
        <v>1</v>
      </c>
    </row>
    <row r="11334" spans="1:7" x14ac:dyDescent="0.25">
      <c r="A11334">
        <v>34</v>
      </c>
      <c r="B11334" t="s">
        <v>11005</v>
      </c>
      <c r="C11334">
        <v>1091</v>
      </c>
      <c r="D11334" t="str">
        <f>"0920-654X"</f>
        <v>0920-654X</v>
      </c>
      <c r="E11334" t="s">
        <v>8</v>
      </c>
      <c r="F11334" t="s">
        <v>11342</v>
      </c>
      <c r="G11334">
        <v>1</v>
      </c>
    </row>
    <row r="11335" spans="1:7" x14ac:dyDescent="0.25">
      <c r="A11335">
        <v>34</v>
      </c>
      <c r="B11335" t="s">
        <v>11005</v>
      </c>
      <c r="C11335">
        <v>15671</v>
      </c>
      <c r="D11335" t="str">
        <f>"0022-0930"</f>
        <v>0022-0930</v>
      </c>
      <c r="E11335" t="s">
        <v>8</v>
      </c>
      <c r="F11335" t="s">
        <v>11343</v>
      </c>
      <c r="G11335">
        <v>1</v>
      </c>
    </row>
    <row r="11336" spans="1:7" x14ac:dyDescent="0.25">
      <c r="A11336">
        <v>34</v>
      </c>
      <c r="B11336" t="s">
        <v>11005</v>
      </c>
      <c r="C11336">
        <v>13837</v>
      </c>
      <c r="D11336" t="str">
        <f>"1552-5007"</f>
        <v>1552-5007</v>
      </c>
      <c r="E11336" t="s">
        <v>8</v>
      </c>
      <c r="F11336" t="s">
        <v>11344</v>
      </c>
      <c r="G11336">
        <v>1</v>
      </c>
    </row>
    <row r="11337" spans="1:7" x14ac:dyDescent="0.25">
      <c r="A11337">
        <v>34</v>
      </c>
      <c r="B11337" t="s">
        <v>11005</v>
      </c>
      <c r="C11337">
        <v>10992</v>
      </c>
      <c r="D11337" t="str">
        <f>"0022-1333"</f>
        <v>0022-1333</v>
      </c>
      <c r="E11337" t="s">
        <v>8</v>
      </c>
      <c r="F11337" t="s">
        <v>11345</v>
      </c>
      <c r="G11337">
        <v>1</v>
      </c>
    </row>
    <row r="11338" spans="1:7" x14ac:dyDescent="0.25">
      <c r="A11338">
        <v>34</v>
      </c>
      <c r="B11338" t="s">
        <v>11005</v>
      </c>
      <c r="C11338">
        <v>14283</v>
      </c>
      <c r="D11338" t="str">
        <f>"1049-6475"</f>
        <v>1049-6475</v>
      </c>
      <c r="E11338" t="s">
        <v>8</v>
      </c>
      <c r="F11338" t="s">
        <v>11346</v>
      </c>
      <c r="G11338">
        <v>1</v>
      </c>
    </row>
    <row r="11339" spans="1:7" x14ac:dyDescent="0.25">
      <c r="A11339">
        <v>34</v>
      </c>
      <c r="B11339" t="s">
        <v>11005</v>
      </c>
      <c r="C11339">
        <v>7018</v>
      </c>
      <c r="D11339" t="str">
        <f>"0022-1503"</f>
        <v>0022-1503</v>
      </c>
      <c r="E11339" t="s">
        <v>8</v>
      </c>
      <c r="F11339" t="s">
        <v>11347</v>
      </c>
      <c r="G11339">
        <v>1</v>
      </c>
    </row>
    <row r="11340" spans="1:7" x14ac:dyDescent="0.25">
      <c r="A11340">
        <v>34</v>
      </c>
      <c r="B11340" t="s">
        <v>11005</v>
      </c>
      <c r="C11340">
        <v>11799</v>
      </c>
      <c r="D11340" t="str">
        <f>"0022-1554"</f>
        <v>0022-1554</v>
      </c>
      <c r="E11340" t="s">
        <v>8</v>
      </c>
      <c r="F11340" t="s">
        <v>11348</v>
      </c>
      <c r="G11340">
        <v>1</v>
      </c>
    </row>
    <row r="11341" spans="1:7" x14ac:dyDescent="0.25">
      <c r="A11341">
        <v>34</v>
      </c>
      <c r="B11341" t="s">
        <v>11005</v>
      </c>
      <c r="C11341">
        <v>3983</v>
      </c>
      <c r="D11341" t="str">
        <f>"0147-8885"</f>
        <v>0147-8885</v>
      </c>
      <c r="E11341" t="s">
        <v>8</v>
      </c>
      <c r="F11341" t="s">
        <v>11349</v>
      </c>
      <c r="G11341">
        <v>1</v>
      </c>
    </row>
    <row r="11342" spans="1:7" x14ac:dyDescent="0.25">
      <c r="A11342">
        <v>34</v>
      </c>
      <c r="B11342" t="s">
        <v>11005</v>
      </c>
      <c r="C11342">
        <v>5922</v>
      </c>
      <c r="D11342" t="str">
        <f>"1434-5161"</f>
        <v>1434-5161</v>
      </c>
      <c r="E11342" t="s">
        <v>8</v>
      </c>
      <c r="F11342" t="s">
        <v>11350</v>
      </c>
      <c r="G11342">
        <v>1</v>
      </c>
    </row>
    <row r="11343" spans="1:7" x14ac:dyDescent="0.25">
      <c r="A11343">
        <v>34</v>
      </c>
      <c r="B11343" t="s">
        <v>11005</v>
      </c>
      <c r="C11343">
        <v>1616</v>
      </c>
      <c r="D11343" t="str">
        <f>"1367-5435"</f>
        <v>1367-5435</v>
      </c>
      <c r="E11343" t="s">
        <v>8</v>
      </c>
      <c r="F11343" t="s">
        <v>11351</v>
      </c>
      <c r="G11343">
        <v>1</v>
      </c>
    </row>
    <row r="11344" spans="1:7" x14ac:dyDescent="0.25">
      <c r="A11344">
        <v>34</v>
      </c>
      <c r="B11344" t="s">
        <v>11005</v>
      </c>
      <c r="C11344">
        <v>17234</v>
      </c>
      <c r="D11344" t="str">
        <f>"1672-9072"</f>
        <v>1672-9072</v>
      </c>
      <c r="E11344" t="s">
        <v>8</v>
      </c>
      <c r="F11344" t="s">
        <v>11352</v>
      </c>
      <c r="G11344">
        <v>1</v>
      </c>
    </row>
    <row r="11345" spans="1:7" x14ac:dyDescent="0.25">
      <c r="A11345">
        <v>34</v>
      </c>
      <c r="B11345" t="s">
        <v>11005</v>
      </c>
      <c r="C11345">
        <v>15539</v>
      </c>
      <c r="D11345" t="str">
        <f>"1079-9907"</f>
        <v>1079-9907</v>
      </c>
      <c r="E11345" t="s">
        <v>8</v>
      </c>
      <c r="F11345" t="s">
        <v>11353</v>
      </c>
      <c r="G11345">
        <v>1</v>
      </c>
    </row>
    <row r="11346" spans="1:7" x14ac:dyDescent="0.25">
      <c r="A11346">
        <v>34</v>
      </c>
      <c r="B11346" t="s">
        <v>11005</v>
      </c>
      <c r="C11346">
        <v>16925</v>
      </c>
      <c r="D11346" t="str">
        <f>"0741-5400"</f>
        <v>0741-5400</v>
      </c>
      <c r="E11346" t="s">
        <v>8</v>
      </c>
      <c r="F11346" t="s">
        <v>11354</v>
      </c>
      <c r="G11346">
        <v>1</v>
      </c>
    </row>
    <row r="11347" spans="1:7" x14ac:dyDescent="0.25">
      <c r="A11347">
        <v>34</v>
      </c>
      <c r="B11347" t="s">
        <v>11005</v>
      </c>
      <c r="C11347">
        <v>2324</v>
      </c>
      <c r="D11347" t="str">
        <f>"0309-1902"</f>
        <v>0309-1902</v>
      </c>
      <c r="E11347" t="s">
        <v>8</v>
      </c>
      <c r="F11347" t="s">
        <v>11355</v>
      </c>
      <c r="G11347">
        <v>1</v>
      </c>
    </row>
    <row r="11348" spans="1:7" x14ac:dyDescent="0.25">
      <c r="A11348">
        <v>34</v>
      </c>
      <c r="B11348" t="s">
        <v>11005</v>
      </c>
      <c r="C11348">
        <v>10068</v>
      </c>
      <c r="D11348" t="str">
        <f>"0022-2631"</f>
        <v>0022-2631</v>
      </c>
      <c r="E11348" t="s">
        <v>8</v>
      </c>
      <c r="F11348" t="s">
        <v>11356</v>
      </c>
      <c r="G11348">
        <v>1</v>
      </c>
    </row>
    <row r="11349" spans="1:7" x14ac:dyDescent="0.25">
      <c r="A11349">
        <v>34</v>
      </c>
      <c r="B11349" t="s">
        <v>11005</v>
      </c>
      <c r="C11349">
        <v>2756</v>
      </c>
      <c r="D11349" t="str">
        <f>"1017-7825"</f>
        <v>1017-7825</v>
      </c>
      <c r="E11349" t="s">
        <v>8</v>
      </c>
      <c r="F11349" t="s">
        <v>11357</v>
      </c>
      <c r="G11349">
        <v>1</v>
      </c>
    </row>
    <row r="11350" spans="1:7" x14ac:dyDescent="0.25">
      <c r="A11350">
        <v>34</v>
      </c>
      <c r="B11350" t="s">
        <v>11005</v>
      </c>
      <c r="C11350">
        <v>7749766</v>
      </c>
      <c r="D11350" t="str">
        <f>"2241-0090"</f>
        <v>2241-0090</v>
      </c>
      <c r="E11350" t="s">
        <v>8</v>
      </c>
      <c r="F11350" t="s">
        <v>11358</v>
      </c>
      <c r="G11350">
        <v>1</v>
      </c>
    </row>
    <row r="11351" spans="1:7" x14ac:dyDescent="0.25">
      <c r="A11351">
        <v>34</v>
      </c>
      <c r="B11351" t="s">
        <v>11005</v>
      </c>
      <c r="C11351">
        <v>14953</v>
      </c>
      <c r="D11351" t="str">
        <f>"0022-2836"</f>
        <v>0022-2836</v>
      </c>
      <c r="E11351" t="s">
        <v>8</v>
      </c>
      <c r="F11351" t="s">
        <v>11359</v>
      </c>
      <c r="G11351">
        <v>1</v>
      </c>
    </row>
    <row r="11352" spans="1:7" x14ac:dyDescent="0.25">
      <c r="A11352">
        <v>34</v>
      </c>
      <c r="B11352" t="s">
        <v>11005</v>
      </c>
      <c r="C11352">
        <v>16531</v>
      </c>
      <c r="D11352" t="str">
        <f>"0022-2844"</f>
        <v>0022-2844</v>
      </c>
      <c r="E11352" t="s">
        <v>8</v>
      </c>
      <c r="F11352" t="s">
        <v>11360</v>
      </c>
      <c r="G11352">
        <v>1</v>
      </c>
    </row>
    <row r="11353" spans="1:7" x14ac:dyDescent="0.25">
      <c r="A11353">
        <v>34</v>
      </c>
      <c r="B11353" t="s">
        <v>11005</v>
      </c>
      <c r="C11353">
        <v>15965</v>
      </c>
      <c r="D11353" t="str">
        <f>"1567-2379"</f>
        <v>1567-2379</v>
      </c>
      <c r="E11353" t="s">
        <v>8</v>
      </c>
      <c r="F11353" t="s">
        <v>11361</v>
      </c>
      <c r="G11353">
        <v>1</v>
      </c>
    </row>
    <row r="11354" spans="1:7" x14ac:dyDescent="0.25">
      <c r="A11354">
        <v>34</v>
      </c>
      <c r="B11354" t="s">
        <v>11005</v>
      </c>
      <c r="C11354">
        <v>6982</v>
      </c>
      <c r="D11354" t="str">
        <f>"0167-7322"</f>
        <v>0167-7322</v>
      </c>
      <c r="E11354" t="s">
        <v>8</v>
      </c>
      <c r="F11354" t="s">
        <v>11362</v>
      </c>
      <c r="G11354">
        <v>1</v>
      </c>
    </row>
    <row r="11355" spans="1:7" x14ac:dyDescent="0.25">
      <c r="A11355">
        <v>34</v>
      </c>
      <c r="B11355" t="s">
        <v>11005</v>
      </c>
      <c r="C11355">
        <v>9470</v>
      </c>
      <c r="D11355" t="str">
        <f>"0946-2716"</f>
        <v>0946-2716</v>
      </c>
      <c r="E11355" t="s">
        <v>8</v>
      </c>
      <c r="F11355" t="s">
        <v>11363</v>
      </c>
      <c r="G11355">
        <v>1</v>
      </c>
    </row>
    <row r="11356" spans="1:7" x14ac:dyDescent="0.25">
      <c r="A11356">
        <v>34</v>
      </c>
      <c r="B11356" t="s">
        <v>11005</v>
      </c>
      <c r="C11356">
        <v>14764</v>
      </c>
      <c r="D11356" t="str">
        <f>"1464-1801"</f>
        <v>1464-1801</v>
      </c>
      <c r="E11356" t="s">
        <v>8</v>
      </c>
      <c r="F11356" t="s">
        <v>11364</v>
      </c>
      <c r="G11356">
        <v>1</v>
      </c>
    </row>
    <row r="11357" spans="1:7" x14ac:dyDescent="0.25">
      <c r="A11357">
        <v>34</v>
      </c>
      <c r="B11357" t="s">
        <v>11005</v>
      </c>
      <c r="C11357">
        <v>16591</v>
      </c>
      <c r="D11357" t="str">
        <f>"0362-2525"</f>
        <v>0362-2525</v>
      </c>
      <c r="E11357" t="s">
        <v>8</v>
      </c>
      <c r="F11357" t="s">
        <v>11365</v>
      </c>
      <c r="G11357">
        <v>1</v>
      </c>
    </row>
    <row r="11358" spans="1:7" x14ac:dyDescent="0.25">
      <c r="A11358">
        <v>34</v>
      </c>
      <c r="B11358" t="s">
        <v>11005</v>
      </c>
      <c r="C11358">
        <v>16459</v>
      </c>
      <c r="D11358" t="str">
        <f>"0142-4319"</f>
        <v>0142-4319</v>
      </c>
      <c r="E11358" t="s">
        <v>8</v>
      </c>
      <c r="F11358" t="s">
        <v>11366</v>
      </c>
      <c r="G11358">
        <v>1</v>
      </c>
    </row>
    <row r="11359" spans="1:7" x14ac:dyDescent="0.25">
      <c r="A11359">
        <v>34</v>
      </c>
      <c r="B11359" t="s">
        <v>11005</v>
      </c>
      <c r="C11359">
        <v>9118</v>
      </c>
      <c r="D11359" t="str">
        <f>"0167-7063"</f>
        <v>0167-7063</v>
      </c>
      <c r="E11359" t="s">
        <v>8</v>
      </c>
      <c r="F11359" t="s">
        <v>11367</v>
      </c>
      <c r="G11359">
        <v>1</v>
      </c>
    </row>
    <row r="11360" spans="1:7" x14ac:dyDescent="0.25">
      <c r="A11360">
        <v>34</v>
      </c>
      <c r="B11360" t="s">
        <v>11005</v>
      </c>
      <c r="C11360">
        <v>3396</v>
      </c>
      <c r="D11360" t="str">
        <f>"1661-6499"</f>
        <v>1661-6499</v>
      </c>
      <c r="E11360" t="s">
        <v>8</v>
      </c>
      <c r="F11360" t="s">
        <v>11368</v>
      </c>
      <c r="G11360">
        <v>1</v>
      </c>
    </row>
    <row r="11361" spans="1:7" x14ac:dyDescent="0.25">
      <c r="A11361">
        <v>34</v>
      </c>
      <c r="B11361" t="s">
        <v>11005</v>
      </c>
      <c r="C11361">
        <v>3963</v>
      </c>
      <c r="D11361" t="str">
        <f>"1075-2617"</f>
        <v>1075-2617</v>
      </c>
      <c r="E11361" t="s">
        <v>8</v>
      </c>
      <c r="F11361" t="s">
        <v>11369</v>
      </c>
      <c r="G11361">
        <v>1</v>
      </c>
    </row>
    <row r="11362" spans="1:7" x14ac:dyDescent="0.25">
      <c r="A11362">
        <v>34</v>
      </c>
      <c r="B11362" t="s">
        <v>11005</v>
      </c>
      <c r="C11362">
        <v>7468</v>
      </c>
      <c r="D11362" t="str">
        <f>"1011-1344"</f>
        <v>1011-1344</v>
      </c>
      <c r="E11362" t="s">
        <v>8</v>
      </c>
      <c r="F11362" t="s">
        <v>11370</v>
      </c>
      <c r="G11362">
        <v>1</v>
      </c>
    </row>
    <row r="11363" spans="1:7" x14ac:dyDescent="0.25">
      <c r="A11363">
        <v>34</v>
      </c>
      <c r="B11363" t="s">
        <v>11005</v>
      </c>
      <c r="C11363">
        <v>4370</v>
      </c>
      <c r="D11363" t="str">
        <f>"1138-7548"</f>
        <v>1138-7548</v>
      </c>
      <c r="E11363" t="s">
        <v>8</v>
      </c>
      <c r="F11363" t="s">
        <v>11371</v>
      </c>
      <c r="G11363">
        <v>1</v>
      </c>
    </row>
    <row r="11364" spans="1:7" x14ac:dyDescent="0.25">
      <c r="A11364">
        <v>34</v>
      </c>
      <c r="B11364" t="s">
        <v>11005</v>
      </c>
      <c r="C11364">
        <v>9543</v>
      </c>
      <c r="D11364" t="str">
        <f>"0971-7811"</f>
        <v>0971-7811</v>
      </c>
      <c r="E11364" t="s">
        <v>8</v>
      </c>
      <c r="F11364" t="s">
        <v>11372</v>
      </c>
      <c r="G11364">
        <v>1</v>
      </c>
    </row>
    <row r="11365" spans="1:7" x14ac:dyDescent="0.25">
      <c r="A11365">
        <v>34</v>
      </c>
      <c r="B11365" t="s">
        <v>11005</v>
      </c>
      <c r="C11365">
        <v>7754977</v>
      </c>
      <c r="D11365" t="str">
        <f>"2308-121X"</f>
        <v>2308-121X</v>
      </c>
      <c r="E11365" t="s">
        <v>8</v>
      </c>
      <c r="F11365" t="s">
        <v>11373</v>
      </c>
      <c r="G11365">
        <v>1</v>
      </c>
    </row>
    <row r="11366" spans="1:7" x14ac:dyDescent="0.25">
      <c r="A11366">
        <v>34</v>
      </c>
      <c r="B11366" t="s">
        <v>11005</v>
      </c>
      <c r="C11366">
        <v>7688699</v>
      </c>
      <c r="D11366" t="str">
        <f>"2065-3158"</f>
        <v>2065-3158</v>
      </c>
      <c r="E11366" t="s">
        <v>8</v>
      </c>
      <c r="F11366" t="s">
        <v>11374</v>
      </c>
      <c r="G11366">
        <v>1</v>
      </c>
    </row>
    <row r="11367" spans="1:7" x14ac:dyDescent="0.25">
      <c r="A11367">
        <v>34</v>
      </c>
      <c r="B11367" t="s">
        <v>11005</v>
      </c>
      <c r="C11367">
        <v>139873</v>
      </c>
      <c r="D11367" t="str">
        <f>"1427-4345"</f>
        <v>1427-4345</v>
      </c>
      <c r="E11367" t="s">
        <v>8</v>
      </c>
      <c r="F11367" t="s">
        <v>11375</v>
      </c>
      <c r="G11367">
        <v>1</v>
      </c>
    </row>
    <row r="11368" spans="1:7" x14ac:dyDescent="0.25">
      <c r="A11368">
        <v>34</v>
      </c>
      <c r="B11368" t="s">
        <v>11005</v>
      </c>
      <c r="C11368">
        <v>27354</v>
      </c>
      <c r="D11368" t="str">
        <f>"1874-3919"</f>
        <v>1874-3919</v>
      </c>
      <c r="E11368" t="s">
        <v>8</v>
      </c>
      <c r="F11368" t="s">
        <v>11376</v>
      </c>
      <c r="G11368">
        <v>1</v>
      </c>
    </row>
    <row r="11369" spans="1:7" x14ac:dyDescent="0.25">
      <c r="A11369">
        <v>34</v>
      </c>
      <c r="B11369" t="s">
        <v>11005</v>
      </c>
      <c r="C11369">
        <v>2025</v>
      </c>
      <c r="D11369" t="str">
        <f>"1060-3999"</f>
        <v>1060-3999</v>
      </c>
      <c r="E11369" t="s">
        <v>8</v>
      </c>
      <c r="F11369" t="s">
        <v>11377</v>
      </c>
      <c r="G11369">
        <v>1</v>
      </c>
    </row>
    <row r="11370" spans="1:7" x14ac:dyDescent="0.25">
      <c r="A11370">
        <v>34</v>
      </c>
      <c r="B11370" t="s">
        <v>11005</v>
      </c>
      <c r="C11370">
        <v>9183</v>
      </c>
      <c r="D11370" t="str">
        <f>"1079-9893"</f>
        <v>1079-9893</v>
      </c>
      <c r="E11370" t="s">
        <v>8</v>
      </c>
      <c r="F11370" t="s">
        <v>11378</v>
      </c>
      <c r="G11370">
        <v>1</v>
      </c>
    </row>
    <row r="11371" spans="1:7" x14ac:dyDescent="0.25">
      <c r="A11371">
        <v>34</v>
      </c>
      <c r="B11371" t="s">
        <v>11005</v>
      </c>
      <c r="C11371">
        <v>5363</v>
      </c>
      <c r="D11371" t="str">
        <f>"1047-8477"</f>
        <v>1047-8477</v>
      </c>
      <c r="E11371" t="s">
        <v>8</v>
      </c>
      <c r="F11371" t="s">
        <v>11379</v>
      </c>
      <c r="G11371">
        <v>1</v>
      </c>
    </row>
    <row r="11372" spans="1:7" x14ac:dyDescent="0.25">
      <c r="A11372">
        <v>34</v>
      </c>
      <c r="B11372" t="s">
        <v>11005</v>
      </c>
      <c r="C11372">
        <v>2473</v>
      </c>
      <c r="D11372" t="str">
        <f>"1751-6161"</f>
        <v>1751-6161</v>
      </c>
      <c r="E11372" t="s">
        <v>8</v>
      </c>
      <c r="F11372" t="s">
        <v>11380</v>
      </c>
      <c r="G11372">
        <v>1</v>
      </c>
    </row>
    <row r="11373" spans="1:7" x14ac:dyDescent="0.25">
      <c r="A11373">
        <v>34</v>
      </c>
      <c r="B11373" t="s">
        <v>11005</v>
      </c>
      <c r="C11373">
        <v>7695687</v>
      </c>
      <c r="D11373" t="str">
        <f>"2041-7314"</f>
        <v>2041-7314</v>
      </c>
      <c r="E11373" t="s">
        <v>8</v>
      </c>
      <c r="F11373" t="s">
        <v>11381</v>
      </c>
      <c r="G11373">
        <v>1</v>
      </c>
    </row>
    <row r="11374" spans="1:7" x14ac:dyDescent="0.25">
      <c r="A11374">
        <v>34</v>
      </c>
      <c r="B11374" t="s">
        <v>11005</v>
      </c>
      <c r="C11374">
        <v>9218</v>
      </c>
      <c r="D11374" t="str">
        <f>"0946-672X"</f>
        <v>0946-672X</v>
      </c>
      <c r="E11374" t="s">
        <v>8</v>
      </c>
      <c r="F11374" t="s">
        <v>11382</v>
      </c>
      <c r="G11374">
        <v>1</v>
      </c>
    </row>
    <row r="11375" spans="1:7" x14ac:dyDescent="0.25">
      <c r="A11375">
        <v>34</v>
      </c>
      <c r="B11375" t="s">
        <v>11005</v>
      </c>
      <c r="C11375">
        <v>15510</v>
      </c>
      <c r="D11375" t="str">
        <f>"0085-2538"</f>
        <v>0085-2538</v>
      </c>
      <c r="E11375" t="s">
        <v>8</v>
      </c>
      <c r="F11375" t="s">
        <v>11383</v>
      </c>
      <c r="G11375">
        <v>1</v>
      </c>
    </row>
    <row r="11376" spans="1:7" x14ac:dyDescent="0.25">
      <c r="A11376">
        <v>34</v>
      </c>
      <c r="B11376" t="s">
        <v>11005</v>
      </c>
      <c r="C11376">
        <v>6781</v>
      </c>
      <c r="D11376" t="str">
        <f>"1473-0197"</f>
        <v>1473-0197</v>
      </c>
      <c r="E11376" t="s">
        <v>8</v>
      </c>
      <c r="F11376" t="s">
        <v>11384</v>
      </c>
      <c r="G11376">
        <v>1</v>
      </c>
    </row>
    <row r="11377" spans="1:7" x14ac:dyDescent="0.25">
      <c r="A11377">
        <v>34</v>
      </c>
      <c r="B11377" t="s">
        <v>11005</v>
      </c>
      <c r="C11377">
        <v>5335</v>
      </c>
      <c r="D11377" t="str">
        <f>"0023-6837"</f>
        <v>0023-6837</v>
      </c>
      <c r="E11377" t="s">
        <v>8</v>
      </c>
      <c r="F11377" t="s">
        <v>11385</v>
      </c>
      <c r="G11377">
        <v>1</v>
      </c>
    </row>
    <row r="11378" spans="1:7" x14ac:dyDescent="0.25">
      <c r="A11378">
        <v>34</v>
      </c>
      <c r="B11378" t="s">
        <v>11005</v>
      </c>
      <c r="C11378">
        <v>6359</v>
      </c>
      <c r="D11378" t="str">
        <f>"0266-8254"</f>
        <v>0266-8254</v>
      </c>
      <c r="E11378" t="s">
        <v>8</v>
      </c>
      <c r="F11378" t="s">
        <v>11386</v>
      </c>
      <c r="G11378">
        <v>1</v>
      </c>
    </row>
    <row r="11379" spans="1:7" x14ac:dyDescent="0.25">
      <c r="A11379">
        <v>34</v>
      </c>
      <c r="B11379" t="s">
        <v>11005</v>
      </c>
      <c r="C11379">
        <v>15316</v>
      </c>
      <c r="D11379" t="str">
        <f>"0024-3205"</f>
        <v>0024-3205</v>
      </c>
      <c r="E11379" t="s">
        <v>8</v>
      </c>
      <c r="F11379" t="s">
        <v>11387</v>
      </c>
      <c r="G11379">
        <v>1</v>
      </c>
    </row>
    <row r="11380" spans="1:7" x14ac:dyDescent="0.25">
      <c r="A11380">
        <v>34</v>
      </c>
      <c r="B11380" t="s">
        <v>11005</v>
      </c>
      <c r="C11380">
        <v>16367</v>
      </c>
      <c r="E11380" t="s">
        <v>8</v>
      </c>
      <c r="F11380" t="s">
        <v>11388</v>
      </c>
      <c r="G11380">
        <v>1</v>
      </c>
    </row>
    <row r="11381" spans="1:7" x14ac:dyDescent="0.25">
      <c r="A11381">
        <v>34</v>
      </c>
      <c r="B11381" t="s">
        <v>11005</v>
      </c>
      <c r="C11381">
        <v>10855</v>
      </c>
      <c r="D11381" t="str">
        <f>"1522-7235"</f>
        <v>1522-7235</v>
      </c>
      <c r="E11381" t="s">
        <v>8</v>
      </c>
      <c r="F11381" t="s">
        <v>11389</v>
      </c>
      <c r="G11381">
        <v>1</v>
      </c>
    </row>
    <row r="11382" spans="1:7" x14ac:dyDescent="0.25">
      <c r="A11382">
        <v>34</v>
      </c>
      <c r="B11382" t="s">
        <v>11005</v>
      </c>
      <c r="C11382">
        <v>10705</v>
      </c>
      <c r="D11382" t="str">
        <f>"1616-5187"</f>
        <v>1616-5187</v>
      </c>
      <c r="E11382" t="s">
        <v>8</v>
      </c>
      <c r="F11382" t="s">
        <v>11390</v>
      </c>
      <c r="G11382">
        <v>1</v>
      </c>
    </row>
    <row r="11383" spans="1:7" x14ac:dyDescent="0.25">
      <c r="A11383">
        <v>34</v>
      </c>
      <c r="B11383" t="s">
        <v>11005</v>
      </c>
      <c r="C11383">
        <v>5056</v>
      </c>
      <c r="D11383" t="str">
        <f>"1438-7492"</f>
        <v>1438-7492</v>
      </c>
      <c r="E11383" t="s">
        <v>8</v>
      </c>
      <c r="F11383" t="s">
        <v>11391</v>
      </c>
      <c r="G11383">
        <v>1</v>
      </c>
    </row>
    <row r="11384" spans="1:7" x14ac:dyDescent="0.25">
      <c r="A11384">
        <v>34</v>
      </c>
      <c r="B11384" t="s">
        <v>11005</v>
      </c>
      <c r="C11384">
        <v>10035</v>
      </c>
      <c r="D11384" t="str">
        <f>"0953-1424"</f>
        <v>0953-1424</v>
      </c>
      <c r="E11384" t="s">
        <v>8</v>
      </c>
      <c r="F11384" t="s">
        <v>11392</v>
      </c>
      <c r="G11384">
        <v>1</v>
      </c>
    </row>
    <row r="11385" spans="1:7" x14ac:dyDescent="0.25">
      <c r="A11385">
        <v>34</v>
      </c>
      <c r="B11385" t="s">
        <v>11005</v>
      </c>
      <c r="C11385">
        <v>2554</v>
      </c>
      <c r="D11385" t="str">
        <f>"0938-8990"</f>
        <v>0938-8990</v>
      </c>
      <c r="E11385" t="s">
        <v>8</v>
      </c>
      <c r="F11385" t="s">
        <v>11393</v>
      </c>
      <c r="G11385">
        <v>1</v>
      </c>
    </row>
    <row r="11386" spans="1:7" x14ac:dyDescent="0.25">
      <c r="A11386">
        <v>34</v>
      </c>
      <c r="B11386" t="s">
        <v>11005</v>
      </c>
      <c r="C11386">
        <v>10212</v>
      </c>
      <c r="D11386" t="str">
        <f>"0945-053X"</f>
        <v>0945-053X</v>
      </c>
      <c r="E11386" t="s">
        <v>8</v>
      </c>
      <c r="F11386" t="s">
        <v>11394</v>
      </c>
      <c r="G11386">
        <v>1</v>
      </c>
    </row>
    <row r="11387" spans="1:7" x14ac:dyDescent="0.25">
      <c r="A11387">
        <v>34</v>
      </c>
      <c r="B11387" t="s">
        <v>11005</v>
      </c>
      <c r="C11387">
        <v>6709</v>
      </c>
      <c r="D11387" t="str">
        <f>"0925-4773"</f>
        <v>0925-4773</v>
      </c>
      <c r="E11387" t="s">
        <v>8</v>
      </c>
      <c r="F11387" t="s">
        <v>11395</v>
      </c>
      <c r="G11387">
        <v>1</v>
      </c>
    </row>
    <row r="11388" spans="1:7" x14ac:dyDescent="0.25">
      <c r="A11388">
        <v>34</v>
      </c>
      <c r="B11388" t="s">
        <v>11005</v>
      </c>
      <c r="C11388">
        <v>2435</v>
      </c>
      <c r="D11388" t="str">
        <f>"0074-0276"</f>
        <v>0074-0276</v>
      </c>
      <c r="E11388" t="s">
        <v>8</v>
      </c>
      <c r="F11388" t="s">
        <v>11396</v>
      </c>
      <c r="G11388">
        <v>1</v>
      </c>
    </row>
    <row r="11389" spans="1:7" x14ac:dyDescent="0.25">
      <c r="A11389">
        <v>34</v>
      </c>
      <c r="B11389" t="s">
        <v>11005</v>
      </c>
      <c r="C11389">
        <v>6474</v>
      </c>
      <c r="D11389" t="str">
        <f>"0091-679X"</f>
        <v>0091-679X</v>
      </c>
      <c r="E11389" t="s">
        <v>15</v>
      </c>
      <c r="F11389" t="s">
        <v>11397</v>
      </c>
      <c r="G11389">
        <v>1</v>
      </c>
    </row>
    <row r="11390" spans="1:7" x14ac:dyDescent="0.25">
      <c r="A11390">
        <v>34</v>
      </c>
      <c r="B11390" t="s">
        <v>11005</v>
      </c>
      <c r="C11390">
        <v>5414</v>
      </c>
      <c r="D11390" t="str">
        <f>"0076-6879"</f>
        <v>0076-6879</v>
      </c>
      <c r="E11390" t="s">
        <v>15</v>
      </c>
      <c r="F11390" t="s">
        <v>11398</v>
      </c>
      <c r="G11390">
        <v>1</v>
      </c>
    </row>
    <row r="11391" spans="1:7" x14ac:dyDescent="0.25">
      <c r="A11391">
        <v>34</v>
      </c>
      <c r="B11391" t="s">
        <v>11005</v>
      </c>
      <c r="C11391">
        <v>9506</v>
      </c>
      <c r="D11391" t="str">
        <f>"0580-9517"</f>
        <v>0580-9517</v>
      </c>
      <c r="E11391" t="s">
        <v>15</v>
      </c>
      <c r="F11391" t="s">
        <v>11399</v>
      </c>
      <c r="G11391">
        <v>1</v>
      </c>
    </row>
    <row r="11392" spans="1:7" x14ac:dyDescent="0.25">
      <c r="A11392">
        <v>34</v>
      </c>
      <c r="B11392" t="s">
        <v>11005</v>
      </c>
      <c r="C11392">
        <v>7118</v>
      </c>
      <c r="D11392" t="str">
        <f>"1064-3745"</f>
        <v>1064-3745</v>
      </c>
      <c r="E11392" t="s">
        <v>8</v>
      </c>
      <c r="F11392" t="s">
        <v>11400</v>
      </c>
      <c r="G11392">
        <v>1</v>
      </c>
    </row>
    <row r="11393" spans="1:7" x14ac:dyDescent="0.25">
      <c r="A11393">
        <v>34</v>
      </c>
      <c r="B11393" t="s">
        <v>11005</v>
      </c>
      <c r="C11393">
        <v>13072</v>
      </c>
      <c r="E11393" t="s">
        <v>8</v>
      </c>
      <c r="F11393" t="s">
        <v>11401</v>
      </c>
      <c r="G11393">
        <v>1</v>
      </c>
    </row>
    <row r="11394" spans="1:7" x14ac:dyDescent="0.25">
      <c r="A11394">
        <v>34</v>
      </c>
      <c r="B11394" t="s">
        <v>11005</v>
      </c>
      <c r="C11394">
        <v>8773154</v>
      </c>
      <c r="E11394" t="s">
        <v>8</v>
      </c>
      <c r="F11394" t="s">
        <v>11402</v>
      </c>
      <c r="G11394">
        <v>1</v>
      </c>
    </row>
    <row r="11395" spans="1:7" x14ac:dyDescent="0.25">
      <c r="A11395">
        <v>34</v>
      </c>
      <c r="B11395" t="s">
        <v>11005</v>
      </c>
      <c r="C11395">
        <v>11733</v>
      </c>
      <c r="D11395" t="str">
        <f>"0944-5013"</f>
        <v>0944-5013</v>
      </c>
      <c r="E11395" t="s">
        <v>8</v>
      </c>
      <c r="F11395" t="s">
        <v>11403</v>
      </c>
      <c r="G11395">
        <v>1</v>
      </c>
    </row>
    <row r="11396" spans="1:7" x14ac:dyDescent="0.25">
      <c r="A11396">
        <v>34</v>
      </c>
      <c r="B11396" t="s">
        <v>11005</v>
      </c>
      <c r="C11396">
        <v>4333</v>
      </c>
      <c r="D11396" t="str">
        <f>"0026-2617"</f>
        <v>0026-2617</v>
      </c>
      <c r="E11396" t="s">
        <v>8</v>
      </c>
      <c r="F11396" t="s">
        <v>10871</v>
      </c>
      <c r="G11396">
        <v>1</v>
      </c>
    </row>
    <row r="11397" spans="1:7" x14ac:dyDescent="0.25">
      <c r="A11397">
        <v>34</v>
      </c>
      <c r="B11397" t="s">
        <v>11005</v>
      </c>
      <c r="C11397">
        <v>8770779</v>
      </c>
      <c r="E11397" t="s">
        <v>8</v>
      </c>
      <c r="F11397" t="s">
        <v>11404</v>
      </c>
      <c r="G11397">
        <v>1</v>
      </c>
    </row>
    <row r="11398" spans="1:7" x14ac:dyDescent="0.25">
      <c r="A11398">
        <v>34</v>
      </c>
      <c r="B11398" t="s">
        <v>11005</v>
      </c>
      <c r="C11398">
        <v>7727520</v>
      </c>
      <c r="E11398" t="s">
        <v>8</v>
      </c>
      <c r="F11398" t="s">
        <v>11405</v>
      </c>
      <c r="G11398">
        <v>1</v>
      </c>
    </row>
    <row r="11399" spans="1:7" x14ac:dyDescent="0.25">
      <c r="A11399">
        <v>34</v>
      </c>
      <c r="B11399" t="s">
        <v>11005</v>
      </c>
      <c r="C11399">
        <v>4639</v>
      </c>
      <c r="D11399" t="str">
        <f>"1431-9276"</f>
        <v>1431-9276</v>
      </c>
      <c r="E11399" t="s">
        <v>8</v>
      </c>
      <c r="F11399" t="s">
        <v>11406</v>
      </c>
      <c r="G11399">
        <v>1</v>
      </c>
    </row>
    <row r="11400" spans="1:7" x14ac:dyDescent="0.25">
      <c r="A11400">
        <v>34</v>
      </c>
      <c r="B11400" t="s">
        <v>11005</v>
      </c>
      <c r="C11400">
        <v>1845</v>
      </c>
      <c r="D11400" t="str">
        <f>"1059-910X"</f>
        <v>1059-910X</v>
      </c>
      <c r="E11400" t="s">
        <v>8</v>
      </c>
      <c r="F11400" t="s">
        <v>11407</v>
      </c>
      <c r="G11400">
        <v>1</v>
      </c>
    </row>
    <row r="11401" spans="1:7" x14ac:dyDescent="0.25">
      <c r="A11401">
        <v>34</v>
      </c>
      <c r="B11401" t="s">
        <v>11005</v>
      </c>
      <c r="C11401">
        <v>1735</v>
      </c>
      <c r="D11401" t="str">
        <f>"1120-4826"</f>
        <v>1120-4826</v>
      </c>
      <c r="E11401" t="s">
        <v>8</v>
      </c>
      <c r="F11401" t="s">
        <v>11408</v>
      </c>
      <c r="G11401">
        <v>1</v>
      </c>
    </row>
    <row r="11402" spans="1:7" x14ac:dyDescent="0.25">
      <c r="A11402">
        <v>34</v>
      </c>
      <c r="B11402" t="s">
        <v>11005</v>
      </c>
      <c r="C11402">
        <v>12417</v>
      </c>
      <c r="D11402" t="str">
        <f>"1567-7249"</f>
        <v>1567-7249</v>
      </c>
      <c r="E11402" t="s">
        <v>8</v>
      </c>
      <c r="F11402" t="s">
        <v>11409</v>
      </c>
      <c r="G11402">
        <v>1</v>
      </c>
    </row>
    <row r="11403" spans="1:7" x14ac:dyDescent="0.25">
      <c r="A11403">
        <v>34</v>
      </c>
      <c r="B11403" t="s">
        <v>11005</v>
      </c>
      <c r="C11403">
        <v>27302</v>
      </c>
      <c r="D11403" t="str">
        <f>"1556-5297"</f>
        <v>1556-5297</v>
      </c>
      <c r="E11403" t="s">
        <v>8</v>
      </c>
      <c r="F11403" t="s">
        <v>11410</v>
      </c>
      <c r="G11403">
        <v>1</v>
      </c>
    </row>
    <row r="11404" spans="1:7" x14ac:dyDescent="0.25">
      <c r="A11404">
        <v>34</v>
      </c>
      <c r="B11404" t="s">
        <v>11005</v>
      </c>
      <c r="C11404">
        <v>9681</v>
      </c>
      <c r="D11404" t="str">
        <f>"0166-6851"</f>
        <v>0166-6851</v>
      </c>
      <c r="E11404" t="s">
        <v>8</v>
      </c>
      <c r="F11404" t="s">
        <v>11411</v>
      </c>
      <c r="G11404">
        <v>1</v>
      </c>
    </row>
    <row r="11405" spans="1:7" x14ac:dyDescent="0.25">
      <c r="A11405">
        <v>34</v>
      </c>
      <c r="B11405" t="s">
        <v>11005</v>
      </c>
      <c r="C11405">
        <v>10379</v>
      </c>
      <c r="D11405" t="str">
        <f>"0300-8177"</f>
        <v>0300-8177</v>
      </c>
      <c r="E11405" t="s">
        <v>8</v>
      </c>
      <c r="F11405" t="s">
        <v>11412</v>
      </c>
      <c r="G11405">
        <v>1</v>
      </c>
    </row>
    <row r="11406" spans="1:7" x14ac:dyDescent="0.25">
      <c r="A11406">
        <v>34</v>
      </c>
      <c r="B11406" t="s">
        <v>11005</v>
      </c>
      <c r="C11406">
        <v>4525</v>
      </c>
      <c r="D11406" t="str">
        <f>"0890-8508"</f>
        <v>0890-8508</v>
      </c>
      <c r="E11406" t="s">
        <v>8</v>
      </c>
      <c r="F11406" t="s">
        <v>11413</v>
      </c>
      <c r="G11406">
        <v>1</v>
      </c>
    </row>
    <row r="11407" spans="1:7" x14ac:dyDescent="0.25">
      <c r="A11407">
        <v>34</v>
      </c>
      <c r="B11407" t="s">
        <v>11005</v>
      </c>
      <c r="C11407">
        <v>1105</v>
      </c>
      <c r="D11407" t="str">
        <f>"0026-8933"</f>
        <v>0026-8933</v>
      </c>
      <c r="E11407" t="s">
        <v>8</v>
      </c>
      <c r="F11407" t="s">
        <v>11414</v>
      </c>
      <c r="G11407">
        <v>1</v>
      </c>
    </row>
    <row r="11408" spans="1:7" x14ac:dyDescent="0.25">
      <c r="A11408">
        <v>34</v>
      </c>
      <c r="B11408" t="s">
        <v>11005</v>
      </c>
      <c r="C11408">
        <v>16128</v>
      </c>
      <c r="D11408" t="str">
        <f>"1059-1524"</f>
        <v>1059-1524</v>
      </c>
      <c r="E11408" t="s">
        <v>8</v>
      </c>
      <c r="F11408" t="s">
        <v>11415</v>
      </c>
      <c r="G11408">
        <v>1</v>
      </c>
    </row>
    <row r="11409" spans="1:7" x14ac:dyDescent="0.25">
      <c r="A11409">
        <v>34</v>
      </c>
      <c r="B11409" t="s">
        <v>11005</v>
      </c>
      <c r="C11409">
        <v>238</v>
      </c>
      <c r="D11409" t="str">
        <f>"0301-4851"</f>
        <v>0301-4851</v>
      </c>
      <c r="E11409" t="s">
        <v>8</v>
      </c>
      <c r="F11409" t="s">
        <v>11416</v>
      </c>
      <c r="G11409">
        <v>1</v>
      </c>
    </row>
    <row r="11410" spans="1:7" x14ac:dyDescent="0.25">
      <c r="A11410">
        <v>34</v>
      </c>
      <c r="B11410" t="s">
        <v>11005</v>
      </c>
      <c r="C11410">
        <v>7749622</v>
      </c>
      <c r="D11410" t="str">
        <f>"2322-181X"</f>
        <v>2322-181X</v>
      </c>
      <c r="E11410" t="s">
        <v>8</v>
      </c>
      <c r="F11410" t="s">
        <v>11417</v>
      </c>
      <c r="G11410">
        <v>1</v>
      </c>
    </row>
    <row r="11411" spans="1:7" x14ac:dyDescent="0.25">
      <c r="A11411">
        <v>34</v>
      </c>
      <c r="B11411" t="s">
        <v>11005</v>
      </c>
      <c r="C11411">
        <v>17238</v>
      </c>
      <c r="D11411" t="str">
        <f>"1742-206X"</f>
        <v>1742-206X</v>
      </c>
      <c r="E11411" t="s">
        <v>8</v>
      </c>
      <c r="F11411" t="s">
        <v>11418</v>
      </c>
      <c r="G11411">
        <v>1</v>
      </c>
    </row>
    <row r="11412" spans="1:7" x14ac:dyDescent="0.25">
      <c r="A11412">
        <v>34</v>
      </c>
      <c r="B11412" t="s">
        <v>11005</v>
      </c>
      <c r="C11412">
        <v>12883</v>
      </c>
      <c r="D11412" t="str">
        <f>"1073-6085"</f>
        <v>1073-6085</v>
      </c>
      <c r="E11412" t="s">
        <v>8</v>
      </c>
      <c r="F11412" t="s">
        <v>11419</v>
      </c>
      <c r="G11412">
        <v>1</v>
      </c>
    </row>
    <row r="11413" spans="1:7" x14ac:dyDescent="0.25">
      <c r="A11413">
        <v>34</v>
      </c>
      <c r="B11413" t="s">
        <v>11005</v>
      </c>
      <c r="C11413">
        <v>17263</v>
      </c>
      <c r="D11413" t="str">
        <f>"1177-1062"</f>
        <v>1177-1062</v>
      </c>
      <c r="E11413" t="s">
        <v>8</v>
      </c>
      <c r="F11413" t="s">
        <v>11420</v>
      </c>
      <c r="G11413">
        <v>1</v>
      </c>
    </row>
    <row r="11414" spans="1:7" x14ac:dyDescent="0.25">
      <c r="A11414">
        <v>34</v>
      </c>
      <c r="B11414" t="s">
        <v>11005</v>
      </c>
      <c r="C11414">
        <v>16952</v>
      </c>
      <c r="D11414" t="str">
        <f>"1755-098X"</f>
        <v>1755-098X</v>
      </c>
      <c r="E11414" t="s">
        <v>8</v>
      </c>
      <c r="F11414" t="s">
        <v>11421</v>
      </c>
      <c r="G11414">
        <v>1</v>
      </c>
    </row>
    <row r="11415" spans="1:7" x14ac:dyDescent="0.25">
      <c r="A11415">
        <v>34</v>
      </c>
      <c r="B11415" t="s">
        <v>11005</v>
      </c>
      <c r="C11415">
        <v>11125</v>
      </c>
      <c r="D11415" t="str">
        <f>"0888-8809"</f>
        <v>0888-8809</v>
      </c>
      <c r="E11415" t="s">
        <v>8</v>
      </c>
      <c r="F11415" t="s">
        <v>11422</v>
      </c>
      <c r="G11415">
        <v>1</v>
      </c>
    </row>
    <row r="11416" spans="1:7" x14ac:dyDescent="0.25">
      <c r="A11416">
        <v>34</v>
      </c>
      <c r="B11416" t="s">
        <v>11005</v>
      </c>
      <c r="C11416">
        <v>7411</v>
      </c>
      <c r="D11416" t="str">
        <f>"1617-4615"</f>
        <v>1617-4615</v>
      </c>
      <c r="E11416" t="s">
        <v>8</v>
      </c>
      <c r="F11416" t="s">
        <v>11423</v>
      </c>
      <c r="G11416">
        <v>1</v>
      </c>
    </row>
    <row r="11417" spans="1:7" x14ac:dyDescent="0.25">
      <c r="A11417">
        <v>34</v>
      </c>
      <c r="B11417" t="s">
        <v>11005</v>
      </c>
      <c r="C11417">
        <v>3299</v>
      </c>
      <c r="D11417" t="str">
        <f>"1096-7192"</f>
        <v>1096-7192</v>
      </c>
      <c r="E11417" t="s">
        <v>8</v>
      </c>
      <c r="F11417" t="s">
        <v>11424</v>
      </c>
      <c r="G11417">
        <v>1</v>
      </c>
    </row>
    <row r="11418" spans="1:7" x14ac:dyDescent="0.25">
      <c r="A11418">
        <v>34</v>
      </c>
      <c r="B11418" t="s">
        <v>11005</v>
      </c>
      <c r="C11418">
        <v>12386</v>
      </c>
      <c r="D11418" t="str">
        <f>"1535-3508"</f>
        <v>1535-3508</v>
      </c>
      <c r="E11418" t="s">
        <v>8</v>
      </c>
      <c r="F11418" t="s">
        <v>11425</v>
      </c>
      <c r="G11418">
        <v>1</v>
      </c>
    </row>
    <row r="11419" spans="1:7" x14ac:dyDescent="0.25">
      <c r="A11419">
        <v>34</v>
      </c>
      <c r="B11419" t="s">
        <v>11005</v>
      </c>
      <c r="C11419">
        <v>1810</v>
      </c>
      <c r="D11419" t="str">
        <f>"1536-1632"</f>
        <v>1536-1632</v>
      </c>
      <c r="E11419" t="s">
        <v>8</v>
      </c>
      <c r="F11419" t="s">
        <v>11426</v>
      </c>
      <c r="G11419">
        <v>1</v>
      </c>
    </row>
    <row r="11420" spans="1:7" x14ac:dyDescent="0.25">
      <c r="A11420">
        <v>34</v>
      </c>
      <c r="B11420" t="s">
        <v>11005</v>
      </c>
      <c r="C11420">
        <v>10173</v>
      </c>
      <c r="D11420" t="str">
        <f>"0968-7688"</f>
        <v>0968-7688</v>
      </c>
      <c r="E11420" t="s">
        <v>8</v>
      </c>
      <c r="F11420" t="s">
        <v>11427</v>
      </c>
      <c r="G11420">
        <v>1</v>
      </c>
    </row>
    <row r="11421" spans="1:7" x14ac:dyDescent="0.25">
      <c r="A11421">
        <v>34</v>
      </c>
      <c r="B11421" t="s">
        <v>11005</v>
      </c>
      <c r="C11421">
        <v>3623</v>
      </c>
      <c r="D11421" t="str">
        <f>"0026-8976"</f>
        <v>0026-8976</v>
      </c>
      <c r="E11421" t="s">
        <v>8</v>
      </c>
      <c r="F11421" t="s">
        <v>11428</v>
      </c>
      <c r="G11421">
        <v>1</v>
      </c>
    </row>
    <row r="11422" spans="1:7" x14ac:dyDescent="0.25">
      <c r="A11422">
        <v>34</v>
      </c>
      <c r="B11422" t="s">
        <v>11005</v>
      </c>
      <c r="C11422">
        <v>14437</v>
      </c>
      <c r="D11422" t="str">
        <f>"0894-0282"</f>
        <v>0894-0282</v>
      </c>
      <c r="E11422" t="s">
        <v>8</v>
      </c>
      <c r="F11422" t="s">
        <v>11429</v>
      </c>
      <c r="G11422">
        <v>1</v>
      </c>
    </row>
    <row r="11423" spans="1:7" x14ac:dyDescent="0.25">
      <c r="A11423">
        <v>34</v>
      </c>
      <c r="B11423" t="s">
        <v>11005</v>
      </c>
      <c r="C11423">
        <v>10132</v>
      </c>
      <c r="D11423" t="str">
        <f>"1040-452X"</f>
        <v>1040-452X</v>
      </c>
      <c r="E11423" t="s">
        <v>8</v>
      </c>
      <c r="F11423" t="s">
        <v>11430</v>
      </c>
      <c r="G11423">
        <v>1</v>
      </c>
    </row>
    <row r="11424" spans="1:7" x14ac:dyDescent="0.25">
      <c r="A11424">
        <v>34</v>
      </c>
      <c r="B11424" t="s">
        <v>11005</v>
      </c>
      <c r="C11424">
        <v>7445</v>
      </c>
      <c r="D11424" t="str">
        <f>"0892-7022"</f>
        <v>0892-7022</v>
      </c>
      <c r="E11424" t="s">
        <v>8</v>
      </c>
      <c r="F11424" t="s">
        <v>11431</v>
      </c>
      <c r="G11424">
        <v>1</v>
      </c>
    </row>
    <row r="11425" spans="1:7" x14ac:dyDescent="0.25">
      <c r="A11425">
        <v>34</v>
      </c>
      <c r="B11425" t="s">
        <v>11005</v>
      </c>
      <c r="C11425">
        <v>2588</v>
      </c>
      <c r="E11425" t="s">
        <v>8</v>
      </c>
      <c r="F11425" t="s">
        <v>11432</v>
      </c>
      <c r="G11425">
        <v>1</v>
      </c>
    </row>
    <row r="11426" spans="1:7" x14ac:dyDescent="0.25">
      <c r="A11426">
        <v>34</v>
      </c>
      <c r="B11426" t="s">
        <v>11005</v>
      </c>
      <c r="C11426">
        <v>3664</v>
      </c>
      <c r="D11426" t="str">
        <f>"1016-8478"</f>
        <v>1016-8478</v>
      </c>
      <c r="E11426" t="s">
        <v>8</v>
      </c>
      <c r="F11426" t="s">
        <v>11433</v>
      </c>
      <c r="G11426">
        <v>1</v>
      </c>
    </row>
    <row r="11427" spans="1:7" x14ac:dyDescent="0.25">
      <c r="A11427">
        <v>34</v>
      </c>
      <c r="B11427" t="s">
        <v>11005</v>
      </c>
      <c r="C11427">
        <v>8775826</v>
      </c>
      <c r="E11427" t="s">
        <v>8</v>
      </c>
      <c r="F11427" t="s">
        <v>11434</v>
      </c>
      <c r="G11427">
        <v>1</v>
      </c>
    </row>
    <row r="11428" spans="1:7" x14ac:dyDescent="0.25">
      <c r="A11428">
        <v>34</v>
      </c>
      <c r="B11428" t="s">
        <v>11005</v>
      </c>
      <c r="C11428">
        <v>153201</v>
      </c>
      <c r="D11428" t="str">
        <f>"0027-5107"</f>
        <v>0027-5107</v>
      </c>
      <c r="E11428" t="s">
        <v>8</v>
      </c>
      <c r="F11428" t="s">
        <v>11435</v>
      </c>
      <c r="G11428">
        <v>1</v>
      </c>
    </row>
    <row r="11429" spans="1:7" x14ac:dyDescent="0.25">
      <c r="A11429">
        <v>34</v>
      </c>
      <c r="B11429" t="s">
        <v>11005</v>
      </c>
      <c r="C11429">
        <v>3645</v>
      </c>
      <c r="D11429" t="str">
        <f>"1383-5718"</f>
        <v>1383-5718</v>
      </c>
      <c r="E11429" t="s">
        <v>8</v>
      </c>
      <c r="F11429" t="s">
        <v>11436</v>
      </c>
      <c r="G11429">
        <v>1</v>
      </c>
    </row>
    <row r="11430" spans="1:7" x14ac:dyDescent="0.25">
      <c r="A11430">
        <v>34</v>
      </c>
      <c r="B11430" t="s">
        <v>11005</v>
      </c>
      <c r="C11430">
        <v>17742</v>
      </c>
      <c r="D11430" t="str">
        <f>"1743-5889"</f>
        <v>1743-5889</v>
      </c>
      <c r="E11430" t="s">
        <v>8</v>
      </c>
      <c r="F11430" t="s">
        <v>11437</v>
      </c>
      <c r="G11430">
        <v>1</v>
      </c>
    </row>
    <row r="11431" spans="1:7" x14ac:dyDescent="0.25">
      <c r="A11431">
        <v>34</v>
      </c>
      <c r="B11431" t="s">
        <v>11005</v>
      </c>
      <c r="C11431">
        <v>14461</v>
      </c>
      <c r="D11431" t="str">
        <f>"1478-6419"</f>
        <v>1478-6419</v>
      </c>
      <c r="E11431" t="s">
        <v>8</v>
      </c>
      <c r="F11431" t="s">
        <v>11438</v>
      </c>
      <c r="G11431">
        <v>1</v>
      </c>
    </row>
    <row r="11432" spans="1:7" x14ac:dyDescent="0.25">
      <c r="A11432">
        <v>34</v>
      </c>
      <c r="B11432" t="s">
        <v>11005</v>
      </c>
      <c r="C11432">
        <v>152213</v>
      </c>
      <c r="D11432" t="str">
        <f>"1871-6784"</f>
        <v>1871-6784</v>
      </c>
      <c r="E11432" t="s">
        <v>8</v>
      </c>
      <c r="F11432" t="s">
        <v>11439</v>
      </c>
      <c r="G11432">
        <v>1</v>
      </c>
    </row>
    <row r="11433" spans="1:7" x14ac:dyDescent="0.25">
      <c r="A11433">
        <v>34</v>
      </c>
      <c r="B11433" t="s">
        <v>11005</v>
      </c>
      <c r="C11433">
        <v>9763</v>
      </c>
      <c r="D11433" t="str">
        <f>"1089-8603"</f>
        <v>1089-8603</v>
      </c>
      <c r="E11433" t="s">
        <v>8</v>
      </c>
      <c r="F11433" t="s">
        <v>11440</v>
      </c>
      <c r="G11433">
        <v>1</v>
      </c>
    </row>
    <row r="11434" spans="1:7" x14ac:dyDescent="0.25">
      <c r="A11434">
        <v>34</v>
      </c>
      <c r="B11434" t="s">
        <v>11005</v>
      </c>
      <c r="C11434">
        <v>12525</v>
      </c>
      <c r="D11434" t="str">
        <f>"2159-3337"</f>
        <v>2159-3337</v>
      </c>
      <c r="E11434" t="s">
        <v>8</v>
      </c>
      <c r="F11434" t="s">
        <v>11441</v>
      </c>
      <c r="G11434">
        <v>1</v>
      </c>
    </row>
    <row r="11435" spans="1:7" x14ac:dyDescent="0.25">
      <c r="A11435">
        <v>34</v>
      </c>
      <c r="B11435" t="s">
        <v>11005</v>
      </c>
      <c r="C11435">
        <v>43078</v>
      </c>
      <c r="D11435" t="str">
        <f>"0933-1891"</f>
        <v>0933-1891</v>
      </c>
      <c r="E11435" t="s">
        <v>15</v>
      </c>
      <c r="F11435" t="s">
        <v>11442</v>
      </c>
      <c r="G11435">
        <v>1</v>
      </c>
    </row>
    <row r="11436" spans="1:7" x14ac:dyDescent="0.25">
      <c r="A11436">
        <v>34</v>
      </c>
      <c r="B11436" t="s">
        <v>11005</v>
      </c>
      <c r="C11436">
        <v>2070</v>
      </c>
      <c r="D11436" t="str">
        <f>"1525-7770"</f>
        <v>1525-7770</v>
      </c>
      <c r="E11436" t="s">
        <v>8</v>
      </c>
      <c r="F11436" t="s">
        <v>11443</v>
      </c>
      <c r="G11436">
        <v>1</v>
      </c>
    </row>
    <row r="11437" spans="1:7" x14ac:dyDescent="0.25">
      <c r="A11437">
        <v>34</v>
      </c>
      <c r="B11437" t="s">
        <v>11005</v>
      </c>
      <c r="C11437">
        <v>15017</v>
      </c>
      <c r="D11437" t="str">
        <f>"1536-2310"</f>
        <v>1536-2310</v>
      </c>
      <c r="E11437" t="s">
        <v>8</v>
      </c>
      <c r="F11437" t="s">
        <v>11444</v>
      </c>
      <c r="G11437">
        <v>1</v>
      </c>
    </row>
    <row r="11438" spans="1:7" x14ac:dyDescent="0.25">
      <c r="A11438">
        <v>34</v>
      </c>
      <c r="B11438" t="s">
        <v>11005</v>
      </c>
      <c r="C11438">
        <v>18151</v>
      </c>
      <c r="E11438" t="s">
        <v>8</v>
      </c>
      <c r="F11438" t="s">
        <v>11445</v>
      </c>
      <c r="G11438">
        <v>1</v>
      </c>
    </row>
    <row r="11439" spans="1:7" x14ac:dyDescent="0.25">
      <c r="A11439">
        <v>34</v>
      </c>
      <c r="B11439" t="s">
        <v>11005</v>
      </c>
      <c r="C11439">
        <v>2007</v>
      </c>
      <c r="D11439" t="str">
        <f>"1015-2008"</f>
        <v>1015-2008</v>
      </c>
      <c r="E11439" t="s">
        <v>8</v>
      </c>
      <c r="F11439" t="s">
        <v>11446</v>
      </c>
      <c r="G11439">
        <v>1</v>
      </c>
    </row>
    <row r="11440" spans="1:7" x14ac:dyDescent="0.25">
      <c r="A11440">
        <v>34</v>
      </c>
      <c r="B11440" t="s">
        <v>11005</v>
      </c>
      <c r="C11440">
        <v>4389</v>
      </c>
      <c r="D11440" t="str">
        <f>"0196-9781"</f>
        <v>0196-9781</v>
      </c>
      <c r="E11440" t="s">
        <v>8</v>
      </c>
      <c r="F11440" t="s">
        <v>11447</v>
      </c>
      <c r="G11440">
        <v>1</v>
      </c>
    </row>
    <row r="11441" spans="1:7" x14ac:dyDescent="0.25">
      <c r="A11441">
        <v>34</v>
      </c>
      <c r="B11441" t="s">
        <v>11005</v>
      </c>
      <c r="C11441">
        <v>14800</v>
      </c>
      <c r="D11441" t="str">
        <f>"0048-3575"</f>
        <v>0048-3575</v>
      </c>
      <c r="E11441" t="s">
        <v>8</v>
      </c>
      <c r="F11441" t="s">
        <v>11448</v>
      </c>
      <c r="G11441">
        <v>1</v>
      </c>
    </row>
    <row r="11442" spans="1:7" x14ac:dyDescent="0.25">
      <c r="A11442">
        <v>34</v>
      </c>
      <c r="B11442" t="s">
        <v>11005</v>
      </c>
      <c r="C11442">
        <v>8668</v>
      </c>
      <c r="D11442" t="str">
        <f>"1744-6872"</f>
        <v>1744-6872</v>
      </c>
      <c r="E11442" t="s">
        <v>8</v>
      </c>
      <c r="F11442" t="s">
        <v>11449</v>
      </c>
      <c r="G11442">
        <v>1</v>
      </c>
    </row>
    <row r="11443" spans="1:7" x14ac:dyDescent="0.25">
      <c r="A11443">
        <v>34</v>
      </c>
      <c r="B11443" t="s">
        <v>11005</v>
      </c>
      <c r="C11443">
        <v>2463</v>
      </c>
      <c r="D11443" t="str">
        <f>"1474-905X"</f>
        <v>1474-905X</v>
      </c>
      <c r="E11443" t="s">
        <v>8</v>
      </c>
      <c r="F11443" t="s">
        <v>11450</v>
      </c>
      <c r="G11443">
        <v>1</v>
      </c>
    </row>
    <row r="11444" spans="1:7" x14ac:dyDescent="0.25">
      <c r="A11444">
        <v>34</v>
      </c>
      <c r="B11444" t="s">
        <v>11005</v>
      </c>
      <c r="C11444">
        <v>12230</v>
      </c>
      <c r="D11444" t="str">
        <f>"0031-8655"</f>
        <v>0031-8655</v>
      </c>
      <c r="E11444" t="s">
        <v>8</v>
      </c>
      <c r="F11444" t="s">
        <v>11451</v>
      </c>
      <c r="G11444">
        <v>1</v>
      </c>
    </row>
    <row r="11445" spans="1:7" x14ac:dyDescent="0.25">
      <c r="A11445">
        <v>34</v>
      </c>
      <c r="B11445" t="s">
        <v>11005</v>
      </c>
      <c r="C11445">
        <v>5977</v>
      </c>
      <c r="D11445" t="str">
        <f>"1120-1797"</f>
        <v>1120-1797</v>
      </c>
      <c r="E11445" t="s">
        <v>8</v>
      </c>
      <c r="F11445" t="s">
        <v>11452</v>
      </c>
      <c r="G11445">
        <v>1</v>
      </c>
    </row>
    <row r="11446" spans="1:7" x14ac:dyDescent="0.25">
      <c r="A11446">
        <v>34</v>
      </c>
      <c r="B11446" t="s">
        <v>11005</v>
      </c>
      <c r="C11446">
        <v>17661</v>
      </c>
      <c r="D11446" t="str">
        <f>"1478-3967"</f>
        <v>1478-3967</v>
      </c>
      <c r="E11446" t="s">
        <v>8</v>
      </c>
      <c r="F11446" t="s">
        <v>11453</v>
      </c>
      <c r="G11446">
        <v>1</v>
      </c>
    </row>
    <row r="11447" spans="1:7" x14ac:dyDescent="0.25">
      <c r="A11447">
        <v>34</v>
      </c>
      <c r="B11447" t="s">
        <v>11005</v>
      </c>
      <c r="C11447">
        <v>1212</v>
      </c>
      <c r="D11447" t="str">
        <f>"0885-5765"</f>
        <v>0885-5765</v>
      </c>
      <c r="E11447" t="s">
        <v>8</v>
      </c>
      <c r="F11447" t="s">
        <v>11454</v>
      </c>
      <c r="G11447">
        <v>1</v>
      </c>
    </row>
    <row r="11448" spans="1:7" x14ac:dyDescent="0.25">
      <c r="A11448">
        <v>34</v>
      </c>
      <c r="B11448" t="s">
        <v>11005</v>
      </c>
      <c r="C11448">
        <v>24991</v>
      </c>
      <c r="D11448" t="str">
        <f>"0971-5894"</f>
        <v>0971-5894</v>
      </c>
      <c r="E11448" t="s">
        <v>8</v>
      </c>
      <c r="F11448" t="s">
        <v>11455</v>
      </c>
      <c r="G11448">
        <v>1</v>
      </c>
    </row>
    <row r="11449" spans="1:7" x14ac:dyDescent="0.25">
      <c r="A11449">
        <v>34</v>
      </c>
      <c r="B11449" t="s">
        <v>11005</v>
      </c>
      <c r="C11449">
        <v>9959</v>
      </c>
      <c r="D11449" t="str">
        <f>"0958-0344"</f>
        <v>0958-0344</v>
      </c>
      <c r="E11449" t="s">
        <v>8</v>
      </c>
      <c r="F11449" t="s">
        <v>11456</v>
      </c>
      <c r="G11449">
        <v>1</v>
      </c>
    </row>
    <row r="11450" spans="1:7" x14ac:dyDescent="0.25">
      <c r="A11450">
        <v>34</v>
      </c>
      <c r="B11450" t="s">
        <v>11005</v>
      </c>
      <c r="C11450">
        <v>9131</v>
      </c>
      <c r="D11450" t="str">
        <f>"0031-9422"</f>
        <v>0031-9422</v>
      </c>
      <c r="E11450" t="s">
        <v>8</v>
      </c>
      <c r="F11450" t="s">
        <v>11457</v>
      </c>
      <c r="G11450">
        <v>1</v>
      </c>
    </row>
    <row r="11451" spans="1:7" x14ac:dyDescent="0.25">
      <c r="A11451">
        <v>34</v>
      </c>
      <c r="B11451" t="s">
        <v>11005</v>
      </c>
      <c r="C11451">
        <v>14119</v>
      </c>
      <c r="D11451" t="str">
        <f>"1568-7767"</f>
        <v>1568-7767</v>
      </c>
      <c r="E11451" t="s">
        <v>8</v>
      </c>
      <c r="F11451" t="s">
        <v>11458</v>
      </c>
      <c r="G11451">
        <v>1</v>
      </c>
    </row>
    <row r="11452" spans="1:7" x14ac:dyDescent="0.25">
      <c r="A11452">
        <v>34</v>
      </c>
      <c r="B11452" t="s">
        <v>11005</v>
      </c>
      <c r="C11452">
        <v>12342</v>
      </c>
      <c r="D11452" t="str">
        <f>"0031-9457"</f>
        <v>0031-9457</v>
      </c>
      <c r="E11452" t="s">
        <v>8</v>
      </c>
      <c r="F11452" t="s">
        <v>11459</v>
      </c>
      <c r="G11452">
        <v>1</v>
      </c>
    </row>
    <row r="11453" spans="1:7" x14ac:dyDescent="0.25">
      <c r="A11453">
        <v>34</v>
      </c>
      <c r="B11453" t="s">
        <v>11005</v>
      </c>
      <c r="C11453">
        <v>5258</v>
      </c>
      <c r="D11453" t="str">
        <f>"0032-0781"</f>
        <v>0032-0781</v>
      </c>
      <c r="E11453" t="s">
        <v>8</v>
      </c>
      <c r="F11453" t="s">
        <v>11460</v>
      </c>
      <c r="G11453">
        <v>1</v>
      </c>
    </row>
    <row r="11454" spans="1:7" x14ac:dyDescent="0.25">
      <c r="A11454">
        <v>34</v>
      </c>
      <c r="B11454" t="s">
        <v>11005</v>
      </c>
      <c r="C11454">
        <v>13631</v>
      </c>
      <c r="D11454" t="str">
        <f>"0721-7714"</f>
        <v>0721-7714</v>
      </c>
      <c r="E11454" t="s">
        <v>8</v>
      </c>
      <c r="F11454" t="s">
        <v>11461</v>
      </c>
      <c r="G11454">
        <v>1</v>
      </c>
    </row>
    <row r="11455" spans="1:7" x14ac:dyDescent="0.25">
      <c r="A11455">
        <v>34</v>
      </c>
      <c r="B11455" t="s">
        <v>11005</v>
      </c>
      <c r="C11455">
        <v>16440</v>
      </c>
      <c r="D11455" t="str">
        <f>"0167-6857"</f>
        <v>0167-6857</v>
      </c>
      <c r="E11455" t="s">
        <v>8</v>
      </c>
      <c r="F11455" t="s">
        <v>11462</v>
      </c>
      <c r="G11455">
        <v>1</v>
      </c>
    </row>
    <row r="11456" spans="1:7" x14ac:dyDescent="0.25">
      <c r="A11456">
        <v>34</v>
      </c>
      <c r="B11456" t="s">
        <v>11005</v>
      </c>
      <c r="C11456">
        <v>12427</v>
      </c>
      <c r="D11456" t="str">
        <f>"0032-082X"</f>
        <v>0032-082X</v>
      </c>
      <c r="E11456" t="s">
        <v>8</v>
      </c>
      <c r="F11456" t="s">
        <v>11463</v>
      </c>
      <c r="G11456">
        <v>1</v>
      </c>
    </row>
    <row r="11457" spans="1:7" x14ac:dyDescent="0.25">
      <c r="A11457">
        <v>34</v>
      </c>
      <c r="B11457" t="s">
        <v>11005</v>
      </c>
      <c r="C11457">
        <v>16947</v>
      </c>
      <c r="D11457" t="str">
        <f>"0167-6903"</f>
        <v>0167-6903</v>
      </c>
      <c r="E11457" t="s">
        <v>8</v>
      </c>
      <c r="F11457" t="s">
        <v>11464</v>
      </c>
      <c r="G11457">
        <v>1</v>
      </c>
    </row>
    <row r="11458" spans="1:7" x14ac:dyDescent="0.25">
      <c r="A11458">
        <v>34</v>
      </c>
      <c r="B11458" t="s">
        <v>11005</v>
      </c>
      <c r="C11458">
        <v>15413</v>
      </c>
      <c r="D11458" t="str">
        <f>"0167-4412"</f>
        <v>0167-4412</v>
      </c>
      <c r="E11458" t="s">
        <v>8</v>
      </c>
      <c r="F11458" t="s">
        <v>11465</v>
      </c>
      <c r="G11458">
        <v>1</v>
      </c>
    </row>
    <row r="11459" spans="1:7" x14ac:dyDescent="0.25">
      <c r="A11459">
        <v>34</v>
      </c>
      <c r="B11459" t="s">
        <v>11005</v>
      </c>
      <c r="C11459">
        <v>1617</v>
      </c>
      <c r="D11459" t="str">
        <f>"0735-9640"</f>
        <v>0735-9640</v>
      </c>
      <c r="E11459" t="s">
        <v>8</v>
      </c>
      <c r="F11459" t="s">
        <v>11466</v>
      </c>
      <c r="G11459">
        <v>1</v>
      </c>
    </row>
    <row r="11460" spans="1:7" x14ac:dyDescent="0.25">
      <c r="A11460">
        <v>34</v>
      </c>
      <c r="B11460" t="s">
        <v>11005</v>
      </c>
      <c r="C11460">
        <v>154426</v>
      </c>
      <c r="D11460" t="str">
        <f>"1836-0661"</f>
        <v>1836-0661</v>
      </c>
      <c r="E11460" t="s">
        <v>8</v>
      </c>
      <c r="F11460" t="s">
        <v>11467</v>
      </c>
      <c r="G11460">
        <v>1</v>
      </c>
    </row>
    <row r="11461" spans="1:7" x14ac:dyDescent="0.25">
      <c r="A11461">
        <v>34</v>
      </c>
      <c r="B11461" t="s">
        <v>11005</v>
      </c>
      <c r="C11461">
        <v>8902</v>
      </c>
      <c r="D11461" t="str">
        <f>"0981-9428"</f>
        <v>0981-9428</v>
      </c>
      <c r="E11461" t="s">
        <v>8</v>
      </c>
      <c r="F11461" t="s">
        <v>11468</v>
      </c>
      <c r="G11461">
        <v>1</v>
      </c>
    </row>
    <row r="11462" spans="1:7" x14ac:dyDescent="0.25">
      <c r="A11462">
        <v>34</v>
      </c>
      <c r="B11462" t="s">
        <v>11005</v>
      </c>
      <c r="C11462">
        <v>12331</v>
      </c>
      <c r="D11462" t="str">
        <f>"1465-8011"</f>
        <v>1465-8011</v>
      </c>
      <c r="E11462" t="s">
        <v>8</v>
      </c>
      <c r="F11462" t="s">
        <v>11469</v>
      </c>
      <c r="G11462">
        <v>1</v>
      </c>
    </row>
    <row r="11463" spans="1:7" x14ac:dyDescent="0.25">
      <c r="A11463">
        <v>34</v>
      </c>
      <c r="B11463" t="s">
        <v>11005</v>
      </c>
      <c r="C11463">
        <v>2339</v>
      </c>
      <c r="D11463" t="str">
        <f>"1082-6068"</f>
        <v>1082-6068</v>
      </c>
      <c r="E11463" t="s">
        <v>8</v>
      </c>
      <c r="F11463" t="s">
        <v>11470</v>
      </c>
      <c r="G11463">
        <v>1</v>
      </c>
    </row>
    <row r="11464" spans="1:7" x14ac:dyDescent="0.25">
      <c r="A11464">
        <v>34</v>
      </c>
      <c r="B11464" t="s">
        <v>11005</v>
      </c>
      <c r="C11464">
        <v>14623</v>
      </c>
      <c r="D11464" t="str">
        <f>"0386-2208"</f>
        <v>0386-2208</v>
      </c>
      <c r="E11464" t="s">
        <v>8</v>
      </c>
      <c r="F11464" t="s">
        <v>11471</v>
      </c>
      <c r="G11464">
        <v>1</v>
      </c>
    </row>
    <row r="11465" spans="1:7" x14ac:dyDescent="0.25">
      <c r="A11465">
        <v>34</v>
      </c>
      <c r="B11465" t="s">
        <v>11005</v>
      </c>
      <c r="C11465">
        <v>16383</v>
      </c>
      <c r="D11465" t="str">
        <f>"1000-3282"</f>
        <v>1000-3282</v>
      </c>
      <c r="E11465" t="s">
        <v>8</v>
      </c>
      <c r="F11465" t="s">
        <v>11472</v>
      </c>
      <c r="G11465">
        <v>1</v>
      </c>
    </row>
    <row r="11466" spans="1:7" x14ac:dyDescent="0.25">
      <c r="A11466">
        <v>34</v>
      </c>
      <c r="B11466" t="s">
        <v>11005</v>
      </c>
      <c r="C11466">
        <v>13456</v>
      </c>
      <c r="D11466" t="str">
        <f>"0079-6107"</f>
        <v>0079-6107</v>
      </c>
      <c r="E11466" t="s">
        <v>8</v>
      </c>
      <c r="F11466" t="s">
        <v>11473</v>
      </c>
      <c r="G11466">
        <v>1</v>
      </c>
    </row>
    <row r="11467" spans="1:7" x14ac:dyDescent="0.25">
      <c r="A11467">
        <v>34</v>
      </c>
      <c r="B11467" t="s">
        <v>11005</v>
      </c>
      <c r="C11467">
        <v>152689</v>
      </c>
      <c r="D11467" t="str">
        <f>"1877-1173"</f>
        <v>1877-1173</v>
      </c>
      <c r="E11467" t="s">
        <v>15</v>
      </c>
      <c r="F11467" t="s">
        <v>11474</v>
      </c>
      <c r="G11467">
        <v>1</v>
      </c>
    </row>
    <row r="11468" spans="1:7" x14ac:dyDescent="0.25">
      <c r="A11468">
        <v>34</v>
      </c>
      <c r="B11468" t="s">
        <v>11005</v>
      </c>
      <c r="C11468">
        <v>12073</v>
      </c>
      <c r="D11468" t="str">
        <f>"1098-8823"</f>
        <v>1098-8823</v>
      </c>
      <c r="E11468" t="s">
        <v>8</v>
      </c>
      <c r="F11468" t="s">
        <v>11475</v>
      </c>
      <c r="G11468">
        <v>1</v>
      </c>
    </row>
    <row r="11469" spans="1:7" x14ac:dyDescent="0.25">
      <c r="A11469">
        <v>34</v>
      </c>
      <c r="B11469" t="s">
        <v>11005</v>
      </c>
      <c r="C11469">
        <v>763</v>
      </c>
      <c r="D11469" t="str">
        <f>"0952-3278"</f>
        <v>0952-3278</v>
      </c>
      <c r="E11469" t="s">
        <v>8</v>
      </c>
      <c r="F11469" t="s">
        <v>11476</v>
      </c>
      <c r="G11469">
        <v>1</v>
      </c>
    </row>
    <row r="11470" spans="1:7" x14ac:dyDescent="0.25">
      <c r="A11470">
        <v>34</v>
      </c>
      <c r="B11470" t="s">
        <v>11005</v>
      </c>
      <c r="C11470">
        <v>13184</v>
      </c>
      <c r="D11470" t="str">
        <f>"0929-8665"</f>
        <v>0929-8665</v>
      </c>
      <c r="E11470" t="s">
        <v>8</v>
      </c>
      <c r="F11470" t="s">
        <v>11477</v>
      </c>
      <c r="G11470">
        <v>1</v>
      </c>
    </row>
    <row r="11471" spans="1:7" x14ac:dyDescent="0.25">
      <c r="A11471">
        <v>34</v>
      </c>
      <c r="B11471" t="s">
        <v>11005</v>
      </c>
      <c r="C11471">
        <v>16089</v>
      </c>
      <c r="D11471" t="str">
        <f>"1741-0126"</f>
        <v>1741-0126</v>
      </c>
      <c r="E11471" t="s">
        <v>8</v>
      </c>
      <c r="F11471" t="s">
        <v>11478</v>
      </c>
      <c r="G11471">
        <v>1</v>
      </c>
    </row>
    <row r="11472" spans="1:7" x14ac:dyDescent="0.25">
      <c r="A11472">
        <v>34</v>
      </c>
      <c r="B11472" t="s">
        <v>11005</v>
      </c>
      <c r="C11472">
        <v>9990</v>
      </c>
      <c r="D11472" t="str">
        <f>"1046-5928"</f>
        <v>1046-5928</v>
      </c>
      <c r="E11472" t="s">
        <v>8</v>
      </c>
      <c r="F11472" t="s">
        <v>11479</v>
      </c>
      <c r="G11472">
        <v>1</v>
      </c>
    </row>
    <row r="11473" spans="1:7" x14ac:dyDescent="0.25">
      <c r="A11473">
        <v>34</v>
      </c>
      <c r="B11473" t="s">
        <v>11005</v>
      </c>
      <c r="C11473">
        <v>4482</v>
      </c>
      <c r="D11473" t="str">
        <f>"0961-8368"</f>
        <v>0961-8368</v>
      </c>
      <c r="E11473" t="s">
        <v>8</v>
      </c>
      <c r="F11473" t="s">
        <v>11480</v>
      </c>
      <c r="G11473">
        <v>1</v>
      </c>
    </row>
    <row r="11474" spans="1:7" x14ac:dyDescent="0.25">
      <c r="A11474">
        <v>34</v>
      </c>
      <c r="B11474" t="s">
        <v>11005</v>
      </c>
      <c r="C11474">
        <v>5146</v>
      </c>
      <c r="E11474" t="s">
        <v>8</v>
      </c>
      <c r="F11474" t="s">
        <v>11481</v>
      </c>
      <c r="G11474">
        <v>1</v>
      </c>
    </row>
    <row r="11475" spans="1:7" x14ac:dyDescent="0.25">
      <c r="A11475">
        <v>34</v>
      </c>
      <c r="B11475" t="s">
        <v>11005</v>
      </c>
      <c r="C11475">
        <v>13752</v>
      </c>
      <c r="D11475" t="str">
        <f>"1615-9853"</f>
        <v>1615-9853</v>
      </c>
      <c r="E11475" t="s">
        <v>8</v>
      </c>
      <c r="F11475" t="s">
        <v>11482</v>
      </c>
      <c r="G11475">
        <v>1</v>
      </c>
    </row>
    <row r="11476" spans="1:7" x14ac:dyDescent="0.25">
      <c r="A11476">
        <v>34</v>
      </c>
      <c r="B11476" t="s">
        <v>11005</v>
      </c>
      <c r="C11476">
        <v>12687</v>
      </c>
      <c r="D11476" t="str">
        <f>"0933-4807"</f>
        <v>0933-4807</v>
      </c>
      <c r="E11476" t="s">
        <v>8</v>
      </c>
      <c r="F11476" t="s">
        <v>11483</v>
      </c>
      <c r="G11476">
        <v>1</v>
      </c>
    </row>
    <row r="11477" spans="1:7" x14ac:dyDescent="0.25">
      <c r="A11477">
        <v>34</v>
      </c>
      <c r="B11477" t="s">
        <v>11005</v>
      </c>
      <c r="C11477">
        <v>1720</v>
      </c>
      <c r="D11477" t="str">
        <f>"1662-4246"</f>
        <v>1662-4246</v>
      </c>
      <c r="E11477" t="s">
        <v>8</v>
      </c>
      <c r="F11477" t="s">
        <v>11484</v>
      </c>
      <c r="G11477">
        <v>1</v>
      </c>
    </row>
    <row r="11478" spans="1:7" x14ac:dyDescent="0.25">
      <c r="A11478">
        <v>34</v>
      </c>
      <c r="B11478" t="s">
        <v>11005</v>
      </c>
      <c r="C11478">
        <v>301</v>
      </c>
      <c r="D11478" t="str">
        <f>"0301-634X"</f>
        <v>0301-634X</v>
      </c>
      <c r="E11478" t="s">
        <v>8</v>
      </c>
      <c r="F11478" t="s">
        <v>11485</v>
      </c>
      <c r="G11478">
        <v>1</v>
      </c>
    </row>
    <row r="11479" spans="1:7" x14ac:dyDescent="0.25">
      <c r="A11479">
        <v>34</v>
      </c>
      <c r="B11479" t="s">
        <v>11005</v>
      </c>
      <c r="C11479">
        <v>9442</v>
      </c>
      <c r="D11479" t="str">
        <f>"1351-0002"</f>
        <v>1351-0002</v>
      </c>
      <c r="E11479" t="s">
        <v>8</v>
      </c>
      <c r="F11479" t="s">
        <v>11486</v>
      </c>
      <c r="G11479">
        <v>1</v>
      </c>
    </row>
    <row r="11480" spans="1:7" x14ac:dyDescent="0.25">
      <c r="A11480">
        <v>34</v>
      </c>
      <c r="B11480" t="s">
        <v>11005</v>
      </c>
      <c r="C11480">
        <v>14734</v>
      </c>
      <c r="D11480" t="str">
        <f>"0923-2508"</f>
        <v>0923-2508</v>
      </c>
      <c r="E11480" t="s">
        <v>8</v>
      </c>
      <c r="F11480" t="s">
        <v>11487</v>
      </c>
      <c r="G11480">
        <v>1</v>
      </c>
    </row>
    <row r="11481" spans="1:7" x14ac:dyDescent="0.25">
      <c r="A11481">
        <v>34</v>
      </c>
      <c r="B11481" t="s">
        <v>11005</v>
      </c>
      <c r="C11481">
        <v>10164</v>
      </c>
      <c r="D11481" t="str">
        <f>"1569-1705"</f>
        <v>1569-1705</v>
      </c>
      <c r="E11481" t="s">
        <v>8</v>
      </c>
      <c r="F11481" t="s">
        <v>11488</v>
      </c>
      <c r="G11481">
        <v>1</v>
      </c>
    </row>
    <row r="11482" spans="1:7" x14ac:dyDescent="0.25">
      <c r="A11482">
        <v>34</v>
      </c>
      <c r="B11482" t="s">
        <v>11005</v>
      </c>
      <c r="C11482">
        <v>10894</v>
      </c>
      <c r="D11482" t="str">
        <f>"0303-4240"</f>
        <v>0303-4240</v>
      </c>
      <c r="E11482" t="s">
        <v>15</v>
      </c>
      <c r="F11482" t="s">
        <v>11489</v>
      </c>
      <c r="G11482">
        <v>1</v>
      </c>
    </row>
    <row r="11483" spans="1:7" x14ac:dyDescent="0.25">
      <c r="A11483">
        <v>34</v>
      </c>
      <c r="B11483" t="s">
        <v>11005</v>
      </c>
      <c r="C11483">
        <v>8783797</v>
      </c>
      <c r="E11483" t="s">
        <v>15</v>
      </c>
      <c r="F11483" t="s">
        <v>11490</v>
      </c>
      <c r="G11483">
        <v>1</v>
      </c>
    </row>
    <row r="11484" spans="1:7" x14ac:dyDescent="0.25">
      <c r="A11484">
        <v>34</v>
      </c>
      <c r="B11484" t="s">
        <v>11005</v>
      </c>
      <c r="C11484">
        <v>6551</v>
      </c>
      <c r="D11484" t="str">
        <f>"1224-5984"</f>
        <v>1224-5984</v>
      </c>
      <c r="E11484" t="s">
        <v>8</v>
      </c>
      <c r="F11484" t="s">
        <v>11491</v>
      </c>
      <c r="G11484">
        <v>1</v>
      </c>
    </row>
    <row r="11485" spans="1:7" x14ac:dyDescent="0.25">
      <c r="A11485">
        <v>34</v>
      </c>
      <c r="B11485" t="s">
        <v>11005</v>
      </c>
      <c r="C11485">
        <v>8925</v>
      </c>
      <c r="D11485" t="str">
        <f>"1022-7954"</f>
        <v>1022-7954</v>
      </c>
      <c r="E11485" t="s">
        <v>8</v>
      </c>
      <c r="F11485" t="s">
        <v>11492</v>
      </c>
      <c r="G11485">
        <v>1</v>
      </c>
    </row>
    <row r="11486" spans="1:7" x14ac:dyDescent="0.25">
      <c r="A11486">
        <v>34</v>
      </c>
      <c r="B11486" t="s">
        <v>11005</v>
      </c>
      <c r="C11486">
        <v>7706477</v>
      </c>
      <c r="D11486" t="str">
        <f>"2045-2322"</f>
        <v>2045-2322</v>
      </c>
      <c r="E11486" t="s">
        <v>8</v>
      </c>
      <c r="F11486" t="s">
        <v>11493</v>
      </c>
      <c r="G11486">
        <v>1</v>
      </c>
    </row>
    <row r="11487" spans="1:7" x14ac:dyDescent="0.25">
      <c r="A11487">
        <v>34</v>
      </c>
      <c r="B11487" t="s">
        <v>11005</v>
      </c>
      <c r="C11487">
        <v>3906</v>
      </c>
      <c r="D11487" t="str">
        <f>"0919-3758"</f>
        <v>0919-3758</v>
      </c>
      <c r="E11487" t="s">
        <v>8</v>
      </c>
      <c r="F11487" t="s">
        <v>11494</v>
      </c>
      <c r="G11487">
        <v>1</v>
      </c>
    </row>
    <row r="11488" spans="1:7" x14ac:dyDescent="0.25">
      <c r="A11488">
        <v>34</v>
      </c>
      <c r="B11488" t="s">
        <v>11005</v>
      </c>
      <c r="C11488">
        <v>11556</v>
      </c>
      <c r="D11488" t="str">
        <f>"0037-1017"</f>
        <v>0037-1017</v>
      </c>
      <c r="E11488" t="s">
        <v>8</v>
      </c>
      <c r="F11488" t="s">
        <v>11495</v>
      </c>
      <c r="G11488">
        <v>1</v>
      </c>
    </row>
    <row r="11489" spans="1:7" x14ac:dyDescent="0.25">
      <c r="A11489">
        <v>34</v>
      </c>
      <c r="B11489" t="s">
        <v>11005</v>
      </c>
      <c r="C11489">
        <v>8782526</v>
      </c>
      <c r="D11489" t="str">
        <f>"2472-5552"</f>
        <v>2472-5552</v>
      </c>
      <c r="E11489" t="s">
        <v>8</v>
      </c>
      <c r="F11489" t="s">
        <v>11496</v>
      </c>
      <c r="G11489">
        <v>1</v>
      </c>
    </row>
    <row r="11490" spans="1:7" x14ac:dyDescent="0.25">
      <c r="A11490">
        <v>34</v>
      </c>
      <c r="B11490" t="s">
        <v>11005</v>
      </c>
      <c r="C11490">
        <v>25124</v>
      </c>
      <c r="D11490" t="str">
        <f>"2472-6303"</f>
        <v>2472-6303</v>
      </c>
      <c r="E11490" t="s">
        <v>8</v>
      </c>
      <c r="F11490" t="s">
        <v>11497</v>
      </c>
      <c r="G11490">
        <v>1</v>
      </c>
    </row>
    <row r="11491" spans="1:7" x14ac:dyDescent="0.25">
      <c r="A11491">
        <v>34</v>
      </c>
      <c r="B11491" t="s">
        <v>11005</v>
      </c>
      <c r="C11491">
        <v>24666</v>
      </c>
      <c r="D11491" t="str">
        <f>"1873-5061"</f>
        <v>1873-5061</v>
      </c>
      <c r="E11491" t="s">
        <v>8</v>
      </c>
      <c r="F11491" t="s">
        <v>11498</v>
      </c>
      <c r="G11491">
        <v>1</v>
      </c>
    </row>
    <row r="11492" spans="1:7" x14ac:dyDescent="0.25">
      <c r="A11492">
        <v>34</v>
      </c>
      <c r="B11492" t="s">
        <v>11005</v>
      </c>
      <c r="C11492">
        <v>6290602</v>
      </c>
      <c r="E11492" t="s">
        <v>8</v>
      </c>
      <c r="F11492" t="s">
        <v>11499</v>
      </c>
      <c r="G11492">
        <v>1</v>
      </c>
    </row>
    <row r="11493" spans="1:7" x14ac:dyDescent="0.25">
      <c r="A11493">
        <v>34</v>
      </c>
      <c r="B11493" t="s">
        <v>11005</v>
      </c>
      <c r="C11493">
        <v>323</v>
      </c>
      <c r="D11493" t="str">
        <f>"1550-8943"</f>
        <v>1550-8943</v>
      </c>
      <c r="E11493" t="s">
        <v>8</v>
      </c>
      <c r="F11493" t="s">
        <v>11500</v>
      </c>
      <c r="G11493">
        <v>1</v>
      </c>
    </row>
    <row r="11494" spans="1:7" x14ac:dyDescent="0.25">
      <c r="A11494">
        <v>34</v>
      </c>
      <c r="B11494" t="s">
        <v>11005</v>
      </c>
      <c r="C11494">
        <v>18170</v>
      </c>
      <c r="D11494" t="str">
        <f>"1547-3287"</f>
        <v>1547-3287</v>
      </c>
      <c r="E11494" t="s">
        <v>8</v>
      </c>
      <c r="F11494" t="s">
        <v>11501</v>
      </c>
      <c r="G11494">
        <v>1</v>
      </c>
    </row>
    <row r="11495" spans="1:7" x14ac:dyDescent="0.25">
      <c r="A11495">
        <v>34</v>
      </c>
      <c r="B11495" t="s">
        <v>11005</v>
      </c>
      <c r="C11495">
        <v>154564</v>
      </c>
      <c r="D11495" t="str">
        <f>"1687-966X"</f>
        <v>1687-966X</v>
      </c>
      <c r="E11495" t="s">
        <v>8</v>
      </c>
      <c r="F11495" t="s">
        <v>11502</v>
      </c>
      <c r="G11495">
        <v>1</v>
      </c>
    </row>
    <row r="11496" spans="1:7" x14ac:dyDescent="0.25">
      <c r="A11496">
        <v>34</v>
      </c>
      <c r="B11496" t="s">
        <v>11005</v>
      </c>
      <c r="C11496">
        <v>7740847</v>
      </c>
      <c r="D11496" t="str">
        <f>"2157-6564"</f>
        <v>2157-6564</v>
      </c>
      <c r="E11496" t="s">
        <v>8</v>
      </c>
      <c r="F11496" t="s">
        <v>11503</v>
      </c>
      <c r="G11496">
        <v>1</v>
      </c>
    </row>
    <row r="11497" spans="1:7" x14ac:dyDescent="0.25">
      <c r="A11497">
        <v>34</v>
      </c>
      <c r="B11497" t="s">
        <v>11005</v>
      </c>
      <c r="C11497">
        <v>8649</v>
      </c>
      <c r="D11497" t="str">
        <f>"0039-128X"</f>
        <v>0039-128X</v>
      </c>
      <c r="E11497" t="s">
        <v>8</v>
      </c>
      <c r="F11497" t="s">
        <v>11504</v>
      </c>
      <c r="G11497">
        <v>1</v>
      </c>
    </row>
    <row r="11498" spans="1:7" x14ac:dyDescent="0.25">
      <c r="A11498">
        <v>34</v>
      </c>
      <c r="B11498" t="s">
        <v>11005</v>
      </c>
      <c r="C11498">
        <v>4019</v>
      </c>
      <c r="D11498" t="str">
        <f>"0334-5114"</f>
        <v>0334-5114</v>
      </c>
      <c r="E11498" t="s">
        <v>8</v>
      </c>
      <c r="F11498" t="s">
        <v>225</v>
      </c>
      <c r="G11498">
        <v>1</v>
      </c>
    </row>
    <row r="11499" spans="1:7" x14ac:dyDescent="0.25">
      <c r="A11499">
        <v>34</v>
      </c>
      <c r="B11499" t="s">
        <v>11005</v>
      </c>
      <c r="C11499">
        <v>6865</v>
      </c>
      <c r="D11499" t="str">
        <f>"0723-2020"</f>
        <v>0723-2020</v>
      </c>
      <c r="E11499" t="s">
        <v>8</v>
      </c>
      <c r="F11499" t="s">
        <v>11505</v>
      </c>
      <c r="G11499">
        <v>1</v>
      </c>
    </row>
    <row r="11500" spans="1:7" x14ac:dyDescent="0.25">
      <c r="A11500">
        <v>34</v>
      </c>
      <c r="B11500" t="s">
        <v>11005</v>
      </c>
      <c r="C11500">
        <v>18121</v>
      </c>
      <c r="D11500" t="str">
        <f>"1932-8486"</f>
        <v>1932-8486</v>
      </c>
      <c r="E11500" t="s">
        <v>8</v>
      </c>
      <c r="F11500" t="s">
        <v>11506</v>
      </c>
      <c r="G11500">
        <v>1</v>
      </c>
    </row>
    <row r="11501" spans="1:7" x14ac:dyDescent="0.25">
      <c r="A11501">
        <v>34</v>
      </c>
      <c r="B11501" t="s">
        <v>11005</v>
      </c>
      <c r="C11501">
        <v>7307</v>
      </c>
      <c r="D11501" t="str">
        <f>"1742-464X"</f>
        <v>1742-464X</v>
      </c>
      <c r="E11501" t="s">
        <v>8</v>
      </c>
      <c r="F11501" t="s">
        <v>11507</v>
      </c>
      <c r="G11501">
        <v>1</v>
      </c>
    </row>
    <row r="11502" spans="1:7" x14ac:dyDescent="0.25">
      <c r="A11502">
        <v>34</v>
      </c>
      <c r="B11502" t="s">
        <v>11005</v>
      </c>
      <c r="C11502">
        <v>6163</v>
      </c>
      <c r="D11502" t="str">
        <f>"1357-2725"</f>
        <v>1357-2725</v>
      </c>
      <c r="E11502" t="s">
        <v>8</v>
      </c>
      <c r="F11502" t="s">
        <v>11508</v>
      </c>
      <c r="G11502">
        <v>1</v>
      </c>
    </row>
    <row r="11503" spans="1:7" x14ac:dyDescent="0.25">
      <c r="A11503">
        <v>34</v>
      </c>
      <c r="B11503" t="s">
        <v>11005</v>
      </c>
      <c r="C11503">
        <v>6455</v>
      </c>
      <c r="D11503" t="str">
        <f>"0214-6282"</f>
        <v>0214-6282</v>
      </c>
      <c r="E11503" t="s">
        <v>8</v>
      </c>
      <c r="F11503" t="s">
        <v>11509</v>
      </c>
      <c r="G11503">
        <v>1</v>
      </c>
    </row>
    <row r="11504" spans="1:7" x14ac:dyDescent="0.25">
      <c r="A11504">
        <v>34</v>
      </c>
      <c r="B11504" t="s">
        <v>11005</v>
      </c>
      <c r="C11504">
        <v>10187</v>
      </c>
      <c r="D11504" t="str">
        <f>"0021-8820"</f>
        <v>0021-8820</v>
      </c>
      <c r="E11504" t="s">
        <v>8</v>
      </c>
      <c r="F11504" t="s">
        <v>11510</v>
      </c>
      <c r="G11504">
        <v>1</v>
      </c>
    </row>
    <row r="11505" spans="1:7" x14ac:dyDescent="0.25">
      <c r="A11505">
        <v>34</v>
      </c>
      <c r="B11505" t="s">
        <v>11005</v>
      </c>
      <c r="C11505">
        <v>5360</v>
      </c>
      <c r="D11505" t="str">
        <f>"1066-5234"</f>
        <v>1066-5234</v>
      </c>
      <c r="E11505" t="s">
        <v>8</v>
      </c>
      <c r="F11505" t="s">
        <v>11511</v>
      </c>
      <c r="G11505">
        <v>1</v>
      </c>
    </row>
    <row r="11506" spans="1:7" x14ac:dyDescent="0.25">
      <c r="A11506">
        <v>34</v>
      </c>
      <c r="B11506" t="s">
        <v>11005</v>
      </c>
      <c r="C11506">
        <v>16219</v>
      </c>
      <c r="D11506" t="str">
        <f>"0022-1260"</f>
        <v>0022-1260</v>
      </c>
      <c r="E11506" t="s">
        <v>8</v>
      </c>
      <c r="F11506" t="s">
        <v>11512</v>
      </c>
      <c r="G11506">
        <v>1</v>
      </c>
    </row>
    <row r="11507" spans="1:7" x14ac:dyDescent="0.25">
      <c r="A11507">
        <v>34</v>
      </c>
      <c r="B11507" t="s">
        <v>11005</v>
      </c>
      <c r="C11507">
        <v>14026</v>
      </c>
      <c r="D11507" t="str">
        <f>"1225-8873"</f>
        <v>1225-8873</v>
      </c>
      <c r="E11507" t="s">
        <v>8</v>
      </c>
      <c r="F11507" t="s">
        <v>11513</v>
      </c>
      <c r="G11507">
        <v>1</v>
      </c>
    </row>
    <row r="11508" spans="1:7" x14ac:dyDescent="0.25">
      <c r="A11508">
        <v>34</v>
      </c>
      <c r="B11508" t="s">
        <v>11005</v>
      </c>
      <c r="C11508">
        <v>9145</v>
      </c>
      <c r="D11508" t="str">
        <f>"0960-0760"</f>
        <v>0960-0760</v>
      </c>
      <c r="E11508" t="s">
        <v>8</v>
      </c>
      <c r="F11508" t="s">
        <v>11514</v>
      </c>
      <c r="G11508">
        <v>1</v>
      </c>
    </row>
    <row r="11509" spans="1:7" x14ac:dyDescent="0.25">
      <c r="A11509">
        <v>34</v>
      </c>
      <c r="B11509" t="s">
        <v>11005</v>
      </c>
      <c r="C11509">
        <v>7141</v>
      </c>
      <c r="D11509" t="str">
        <f>"1121-7138"</f>
        <v>1121-7138</v>
      </c>
      <c r="E11509" t="s">
        <v>8</v>
      </c>
      <c r="F11509" t="s">
        <v>11515</v>
      </c>
      <c r="G11509">
        <v>1</v>
      </c>
    </row>
    <row r="11510" spans="1:7" x14ac:dyDescent="0.25">
      <c r="A11510">
        <v>34</v>
      </c>
      <c r="B11510" t="s">
        <v>11005</v>
      </c>
      <c r="C11510">
        <v>17683</v>
      </c>
      <c r="D11510" t="str">
        <f>"1572-3887"</f>
        <v>1572-3887</v>
      </c>
      <c r="E11510" t="s">
        <v>8</v>
      </c>
      <c r="F11510" t="s">
        <v>11516</v>
      </c>
      <c r="G11510">
        <v>1</v>
      </c>
    </row>
    <row r="11511" spans="1:7" x14ac:dyDescent="0.25">
      <c r="A11511">
        <v>34</v>
      </c>
      <c r="B11511" t="s">
        <v>11005</v>
      </c>
      <c r="C11511">
        <v>7015</v>
      </c>
      <c r="D11511" t="str">
        <f>"0040-8166"</f>
        <v>0040-8166</v>
      </c>
      <c r="E11511" t="s">
        <v>8</v>
      </c>
      <c r="F11511" t="s">
        <v>11517</v>
      </c>
      <c r="G11511">
        <v>1</v>
      </c>
    </row>
    <row r="11512" spans="1:7" x14ac:dyDescent="0.25">
      <c r="A11512">
        <v>34</v>
      </c>
      <c r="B11512" t="s">
        <v>11005</v>
      </c>
      <c r="C11512">
        <v>21148</v>
      </c>
      <c r="D11512" t="str">
        <f>"1937-3341"</f>
        <v>1937-3341</v>
      </c>
      <c r="E11512" t="s">
        <v>8</v>
      </c>
      <c r="F11512" t="s">
        <v>11518</v>
      </c>
      <c r="G11512">
        <v>1</v>
      </c>
    </row>
    <row r="11513" spans="1:7" x14ac:dyDescent="0.25">
      <c r="A11513">
        <v>34</v>
      </c>
      <c r="B11513" t="s">
        <v>11005</v>
      </c>
      <c r="C11513">
        <v>19405</v>
      </c>
      <c r="D11513" t="str">
        <f>"1937-3368"</f>
        <v>1937-3368</v>
      </c>
      <c r="E11513" t="s">
        <v>8</v>
      </c>
      <c r="F11513" t="s">
        <v>11519</v>
      </c>
      <c r="G11513">
        <v>1</v>
      </c>
    </row>
    <row r="11514" spans="1:7" x14ac:dyDescent="0.25">
      <c r="A11514">
        <v>34</v>
      </c>
      <c r="B11514" t="s">
        <v>11005</v>
      </c>
      <c r="C11514">
        <v>25551</v>
      </c>
      <c r="D11514" t="str">
        <f>"1937-3384"</f>
        <v>1937-3384</v>
      </c>
      <c r="E11514" t="s">
        <v>8</v>
      </c>
      <c r="F11514" t="s">
        <v>11520</v>
      </c>
      <c r="G11514">
        <v>1</v>
      </c>
    </row>
    <row r="11515" spans="1:7" x14ac:dyDescent="0.25">
      <c r="A11515">
        <v>34</v>
      </c>
      <c r="B11515" t="s">
        <v>11005</v>
      </c>
      <c r="C11515">
        <v>12097</v>
      </c>
      <c r="D11515" t="str">
        <f>"1398-9219"</f>
        <v>1398-9219</v>
      </c>
      <c r="E11515" t="s">
        <v>8</v>
      </c>
      <c r="F11515" t="s">
        <v>11521</v>
      </c>
      <c r="G11515">
        <v>1</v>
      </c>
    </row>
    <row r="11516" spans="1:7" x14ac:dyDescent="0.25">
      <c r="A11516">
        <v>34</v>
      </c>
      <c r="B11516" t="s">
        <v>11005</v>
      </c>
      <c r="C11516">
        <v>12239</v>
      </c>
      <c r="D11516" t="str">
        <f>"0962-8819"</f>
        <v>0962-8819</v>
      </c>
      <c r="E11516" t="s">
        <v>8</v>
      </c>
      <c r="F11516" t="s">
        <v>11522</v>
      </c>
      <c r="G11516">
        <v>1</v>
      </c>
    </row>
    <row r="11517" spans="1:7" x14ac:dyDescent="0.25">
      <c r="A11517">
        <v>34</v>
      </c>
      <c r="B11517" t="s">
        <v>11005</v>
      </c>
      <c r="C11517">
        <v>1400</v>
      </c>
      <c r="D11517" t="str">
        <f>"1023-6171"</f>
        <v>1023-6171</v>
      </c>
      <c r="E11517" t="s">
        <v>8</v>
      </c>
      <c r="F11517" t="s">
        <v>11523</v>
      </c>
      <c r="G11517">
        <v>1</v>
      </c>
    </row>
    <row r="11518" spans="1:7" x14ac:dyDescent="0.25">
      <c r="A11518">
        <v>34</v>
      </c>
      <c r="B11518" t="s">
        <v>11005</v>
      </c>
      <c r="C11518">
        <v>13357</v>
      </c>
      <c r="D11518" t="str">
        <f>"0915-7352"</f>
        <v>0915-7352</v>
      </c>
      <c r="E11518" t="s">
        <v>8</v>
      </c>
      <c r="F11518" t="s">
        <v>11524</v>
      </c>
      <c r="G11518">
        <v>1</v>
      </c>
    </row>
    <row r="11519" spans="1:7" x14ac:dyDescent="0.25">
      <c r="A11519">
        <v>34</v>
      </c>
      <c r="B11519" t="s">
        <v>11005</v>
      </c>
      <c r="C11519">
        <v>2904</v>
      </c>
      <c r="D11519" t="str">
        <f>"0304-3991"</f>
        <v>0304-3991</v>
      </c>
      <c r="E11519" t="s">
        <v>8</v>
      </c>
      <c r="F11519" t="s">
        <v>11525</v>
      </c>
      <c r="G11519">
        <v>1</v>
      </c>
    </row>
    <row r="11520" spans="1:7" x14ac:dyDescent="0.25">
      <c r="A11520">
        <v>34</v>
      </c>
      <c r="B11520" t="s">
        <v>11005</v>
      </c>
      <c r="C11520">
        <v>6125</v>
      </c>
      <c r="E11520" t="s">
        <v>8</v>
      </c>
      <c r="F11520" t="s">
        <v>11526</v>
      </c>
      <c r="G11520">
        <v>1</v>
      </c>
    </row>
    <row r="11521" spans="1:7" x14ac:dyDescent="0.25">
      <c r="A11521">
        <v>34</v>
      </c>
      <c r="B11521" t="s">
        <v>11005</v>
      </c>
      <c r="C11521">
        <v>6322301</v>
      </c>
      <c r="D11521" t="str">
        <f>"2150-5594"</f>
        <v>2150-5594</v>
      </c>
      <c r="E11521" t="s">
        <v>8</v>
      </c>
      <c r="F11521" t="s">
        <v>11527</v>
      </c>
      <c r="G11521">
        <v>1</v>
      </c>
    </row>
    <row r="11522" spans="1:7" x14ac:dyDescent="0.25">
      <c r="A11522">
        <v>34</v>
      </c>
      <c r="B11522" t="s">
        <v>11005</v>
      </c>
      <c r="C11522">
        <v>7554</v>
      </c>
      <c r="D11522" t="str">
        <f>"0959-3993"</f>
        <v>0959-3993</v>
      </c>
      <c r="E11522" t="s">
        <v>8</v>
      </c>
      <c r="F11522" t="s">
        <v>11528</v>
      </c>
      <c r="G11522">
        <v>1</v>
      </c>
    </row>
    <row r="11523" spans="1:7" x14ac:dyDescent="0.25">
      <c r="A11523">
        <v>34</v>
      </c>
      <c r="B11523" t="s">
        <v>11005</v>
      </c>
      <c r="C11523">
        <v>170360</v>
      </c>
      <c r="D11523" t="str">
        <f>"2162-4046"</f>
        <v>2162-4046</v>
      </c>
      <c r="E11523" t="s">
        <v>8</v>
      </c>
      <c r="F11523" t="s">
        <v>11529</v>
      </c>
      <c r="G11523">
        <v>1</v>
      </c>
    </row>
    <row r="11524" spans="1:7" x14ac:dyDescent="0.25">
      <c r="A11524">
        <v>34</v>
      </c>
      <c r="B11524" t="s">
        <v>11005</v>
      </c>
      <c r="C11524">
        <v>8188</v>
      </c>
      <c r="D11524" t="str">
        <f>"0749-503X"</f>
        <v>0749-503X</v>
      </c>
      <c r="E11524" t="s">
        <v>8</v>
      </c>
      <c r="F11524" t="s">
        <v>11530</v>
      </c>
      <c r="G11524">
        <v>1</v>
      </c>
    </row>
    <row r="11525" spans="1:7" x14ac:dyDescent="0.25">
      <c r="A11525">
        <v>34</v>
      </c>
      <c r="B11525" t="s">
        <v>11005</v>
      </c>
      <c r="C11525">
        <v>10608</v>
      </c>
      <c r="D11525" t="str">
        <f>"0939-5075"</f>
        <v>0939-5075</v>
      </c>
      <c r="E11525" t="s">
        <v>8</v>
      </c>
      <c r="F11525" t="s">
        <v>11531</v>
      </c>
      <c r="G11525">
        <v>1</v>
      </c>
    </row>
    <row r="11526" spans="1:7" x14ac:dyDescent="0.25">
      <c r="A11526">
        <v>34</v>
      </c>
      <c r="B11526" t="s">
        <v>11005</v>
      </c>
      <c r="C11526">
        <v>2898</v>
      </c>
      <c r="D11526" t="str">
        <f>"0967-1994"</f>
        <v>0967-1994</v>
      </c>
      <c r="E11526" t="s">
        <v>8</v>
      </c>
      <c r="F11526" t="s">
        <v>11532</v>
      </c>
      <c r="G11526">
        <v>1</v>
      </c>
    </row>
    <row r="11527" spans="1:7" x14ac:dyDescent="0.25">
      <c r="A11527">
        <v>35</v>
      </c>
      <c r="B11527" t="s">
        <v>11533</v>
      </c>
      <c r="C11527">
        <v>12490</v>
      </c>
      <c r="D11527" t="str">
        <f>"0169-409X"</f>
        <v>0169-409X</v>
      </c>
      <c r="E11527" t="s">
        <v>8</v>
      </c>
      <c r="F11527" t="s">
        <v>11534</v>
      </c>
      <c r="G11527">
        <v>2</v>
      </c>
    </row>
    <row r="11528" spans="1:7" x14ac:dyDescent="0.25">
      <c r="A11528">
        <v>35</v>
      </c>
      <c r="B11528" t="s">
        <v>11533</v>
      </c>
      <c r="C11528">
        <v>1726</v>
      </c>
      <c r="D11528" t="str">
        <f>"0928-0987"</f>
        <v>0928-0987</v>
      </c>
      <c r="E11528" t="s">
        <v>8</v>
      </c>
      <c r="F11528" t="s">
        <v>11535</v>
      </c>
      <c r="G11528">
        <v>2</v>
      </c>
    </row>
    <row r="11529" spans="1:7" x14ac:dyDescent="0.25">
      <c r="A11529">
        <v>35</v>
      </c>
      <c r="B11529" t="s">
        <v>11533</v>
      </c>
      <c r="C11529">
        <v>15516</v>
      </c>
      <c r="D11529" t="str">
        <f>"0939-6411"</f>
        <v>0939-6411</v>
      </c>
      <c r="E11529" t="s">
        <v>8</v>
      </c>
      <c r="F11529" t="s">
        <v>11536</v>
      </c>
      <c r="G11529">
        <v>2</v>
      </c>
    </row>
    <row r="11530" spans="1:7" x14ac:dyDescent="0.25">
      <c r="A11530">
        <v>35</v>
      </c>
      <c r="B11530" t="s">
        <v>11533</v>
      </c>
      <c r="C11530">
        <v>11629</v>
      </c>
      <c r="D11530" t="str">
        <f>"1742-5247"</f>
        <v>1742-5247</v>
      </c>
      <c r="E11530" t="s">
        <v>8</v>
      </c>
      <c r="F11530" t="s">
        <v>11537</v>
      </c>
      <c r="G11530">
        <v>2</v>
      </c>
    </row>
    <row r="11531" spans="1:7" x14ac:dyDescent="0.25">
      <c r="A11531">
        <v>35</v>
      </c>
      <c r="B11531" t="s">
        <v>11533</v>
      </c>
      <c r="C11531">
        <v>15807</v>
      </c>
      <c r="D11531" t="str">
        <f>"0378-5173"</f>
        <v>0378-5173</v>
      </c>
      <c r="E11531" t="s">
        <v>8</v>
      </c>
      <c r="F11531" t="s">
        <v>11538</v>
      </c>
      <c r="G11531">
        <v>2</v>
      </c>
    </row>
    <row r="11532" spans="1:7" x14ac:dyDescent="0.25">
      <c r="A11532">
        <v>35</v>
      </c>
      <c r="B11532" t="s">
        <v>11533</v>
      </c>
      <c r="C11532">
        <v>2888</v>
      </c>
      <c r="D11532" t="str">
        <f>"0168-3659"</f>
        <v>0168-3659</v>
      </c>
      <c r="E11532" t="s">
        <v>8</v>
      </c>
      <c r="F11532" t="s">
        <v>11539</v>
      </c>
      <c r="G11532">
        <v>2</v>
      </c>
    </row>
    <row r="11533" spans="1:7" x14ac:dyDescent="0.25">
      <c r="A11533">
        <v>35</v>
      </c>
      <c r="B11533" t="s">
        <v>11533</v>
      </c>
      <c r="C11533">
        <v>6000</v>
      </c>
      <c r="D11533" t="str">
        <f>"0022-2623"</f>
        <v>0022-2623</v>
      </c>
      <c r="E11533" t="s">
        <v>8</v>
      </c>
      <c r="F11533" t="s">
        <v>11540</v>
      </c>
      <c r="G11533">
        <v>2</v>
      </c>
    </row>
    <row r="11534" spans="1:7" x14ac:dyDescent="0.25">
      <c r="A11534">
        <v>35</v>
      </c>
      <c r="B11534" t="s">
        <v>11533</v>
      </c>
      <c r="C11534">
        <v>8860</v>
      </c>
      <c r="D11534" t="str">
        <f>"0022-3549"</f>
        <v>0022-3549</v>
      </c>
      <c r="E11534" t="s">
        <v>8</v>
      </c>
      <c r="F11534" t="s">
        <v>11541</v>
      </c>
      <c r="G11534">
        <v>2</v>
      </c>
    </row>
    <row r="11535" spans="1:7" x14ac:dyDescent="0.25">
      <c r="A11535">
        <v>35</v>
      </c>
      <c r="B11535" t="s">
        <v>11533</v>
      </c>
      <c r="C11535">
        <v>15106</v>
      </c>
      <c r="D11535" t="str">
        <f>"1543-8384"</f>
        <v>1543-8384</v>
      </c>
      <c r="E11535" t="s">
        <v>8</v>
      </c>
      <c r="F11535" t="s">
        <v>11542</v>
      </c>
      <c r="G11535">
        <v>2</v>
      </c>
    </row>
    <row r="11536" spans="1:7" x14ac:dyDescent="0.25">
      <c r="A11536">
        <v>35</v>
      </c>
      <c r="B11536" t="s">
        <v>11533</v>
      </c>
      <c r="C11536">
        <v>1872</v>
      </c>
      <c r="D11536" t="str">
        <f>"0724-8741"</f>
        <v>0724-8741</v>
      </c>
      <c r="E11536" t="s">
        <v>8</v>
      </c>
      <c r="F11536" t="s">
        <v>11543</v>
      </c>
      <c r="G11536">
        <v>2</v>
      </c>
    </row>
    <row r="11537" spans="1:7" x14ac:dyDescent="0.25">
      <c r="A11537">
        <v>35</v>
      </c>
      <c r="B11537" t="s">
        <v>11533</v>
      </c>
      <c r="C11537">
        <v>1956</v>
      </c>
      <c r="D11537" t="str">
        <f>"1470-269X"</f>
        <v>1470-269X</v>
      </c>
      <c r="E11537" t="s">
        <v>8</v>
      </c>
      <c r="F11537" t="s">
        <v>11544</v>
      </c>
      <c r="G11537">
        <v>2</v>
      </c>
    </row>
    <row r="11538" spans="1:7" x14ac:dyDescent="0.25">
      <c r="A11538">
        <v>35</v>
      </c>
      <c r="B11538" t="s">
        <v>11533</v>
      </c>
      <c r="C11538">
        <v>1125</v>
      </c>
      <c r="E11538" t="s">
        <v>8</v>
      </c>
      <c r="F11538" t="s">
        <v>11545</v>
      </c>
      <c r="G11538">
        <v>2</v>
      </c>
    </row>
    <row r="11539" spans="1:7" x14ac:dyDescent="0.25">
      <c r="A11539">
        <v>35</v>
      </c>
      <c r="B11539" t="s">
        <v>11533</v>
      </c>
      <c r="C11539">
        <v>9397</v>
      </c>
      <c r="D11539" t="str">
        <f>"0165-9936"</f>
        <v>0165-9936</v>
      </c>
      <c r="E11539" t="s">
        <v>8</v>
      </c>
      <c r="F11539" t="s">
        <v>11546</v>
      </c>
      <c r="G11539">
        <v>2</v>
      </c>
    </row>
    <row r="11540" spans="1:7" x14ac:dyDescent="0.25">
      <c r="A11540">
        <v>35</v>
      </c>
      <c r="B11540" t="s">
        <v>11533</v>
      </c>
      <c r="C11540">
        <v>6001361</v>
      </c>
      <c r="E11540" t="s">
        <v>8</v>
      </c>
      <c r="F11540" t="s">
        <v>11547</v>
      </c>
      <c r="G11540">
        <v>1</v>
      </c>
    </row>
    <row r="11541" spans="1:7" x14ac:dyDescent="0.25">
      <c r="A11541">
        <v>35</v>
      </c>
      <c r="B11541" t="s">
        <v>11533</v>
      </c>
      <c r="C11541">
        <v>170362</v>
      </c>
      <c r="D11541" t="str">
        <f>"2192-6204"</f>
        <v>2192-6204</v>
      </c>
      <c r="E11541" t="s">
        <v>15</v>
      </c>
      <c r="F11541" t="s">
        <v>11548</v>
      </c>
      <c r="G11541">
        <v>1</v>
      </c>
    </row>
    <row r="11542" spans="1:7" x14ac:dyDescent="0.25">
      <c r="A11542">
        <v>35</v>
      </c>
      <c r="B11542" t="s">
        <v>11533</v>
      </c>
      <c r="C11542">
        <v>6007579</v>
      </c>
      <c r="D11542" t="str">
        <f>"1687-6334"</f>
        <v>1687-6334</v>
      </c>
      <c r="E11542" t="s">
        <v>8</v>
      </c>
      <c r="F11542" t="s">
        <v>11549</v>
      </c>
      <c r="G11542">
        <v>1</v>
      </c>
    </row>
    <row r="11543" spans="1:7" x14ac:dyDescent="0.25">
      <c r="A11543">
        <v>35</v>
      </c>
      <c r="B11543" t="s">
        <v>11533</v>
      </c>
      <c r="C11543">
        <v>12816</v>
      </c>
      <c r="D11543" t="str">
        <f>"1079-2082"</f>
        <v>1079-2082</v>
      </c>
      <c r="E11543" t="s">
        <v>8</v>
      </c>
      <c r="F11543" t="s">
        <v>11550</v>
      </c>
      <c r="G11543">
        <v>1</v>
      </c>
    </row>
    <row r="11544" spans="1:7" x14ac:dyDescent="0.25">
      <c r="A11544">
        <v>35</v>
      </c>
      <c r="B11544" t="s">
        <v>11533</v>
      </c>
      <c r="C11544">
        <v>13477</v>
      </c>
      <c r="D11544" t="str">
        <f>"0959-4973"</f>
        <v>0959-4973</v>
      </c>
      <c r="E11544" t="s">
        <v>8</v>
      </c>
      <c r="F11544" t="s">
        <v>11551</v>
      </c>
      <c r="G11544">
        <v>1</v>
      </c>
    </row>
    <row r="11545" spans="1:7" x14ac:dyDescent="0.25">
      <c r="A11545">
        <v>35</v>
      </c>
      <c r="B11545" t="s">
        <v>11533</v>
      </c>
      <c r="C11545">
        <v>1698</v>
      </c>
      <c r="D11545" t="str">
        <f>"0365-6233"</f>
        <v>0365-6233</v>
      </c>
      <c r="E11545" t="s">
        <v>8</v>
      </c>
      <c r="F11545" t="s">
        <v>11552</v>
      </c>
      <c r="G11545">
        <v>1</v>
      </c>
    </row>
    <row r="11546" spans="1:7" x14ac:dyDescent="0.25">
      <c r="A11546">
        <v>35</v>
      </c>
      <c r="B11546" t="s">
        <v>11533</v>
      </c>
      <c r="C11546">
        <v>27409</v>
      </c>
      <c r="D11546" t="str">
        <f>"0004-2927"</f>
        <v>0004-2927</v>
      </c>
      <c r="E11546" t="s">
        <v>8</v>
      </c>
      <c r="F11546" t="s">
        <v>11553</v>
      </c>
      <c r="G11546">
        <v>1</v>
      </c>
    </row>
    <row r="11547" spans="1:7" x14ac:dyDescent="0.25">
      <c r="A11547">
        <v>35</v>
      </c>
      <c r="B11547" t="s">
        <v>11533</v>
      </c>
      <c r="C11547">
        <v>5090</v>
      </c>
      <c r="D11547" t="str">
        <f>"1173-8804"</f>
        <v>1173-8804</v>
      </c>
      <c r="E11547" t="s">
        <v>8</v>
      </c>
      <c r="F11547" t="s">
        <v>11554</v>
      </c>
      <c r="G11547">
        <v>1</v>
      </c>
    </row>
    <row r="11548" spans="1:7" x14ac:dyDescent="0.25">
      <c r="A11548">
        <v>35</v>
      </c>
      <c r="B11548" t="s">
        <v>11533</v>
      </c>
      <c r="C11548">
        <v>4058</v>
      </c>
      <c r="D11548" t="str">
        <f>"0918-6158"</f>
        <v>0918-6158</v>
      </c>
      <c r="E11548" t="s">
        <v>8</v>
      </c>
      <c r="F11548" t="s">
        <v>11555</v>
      </c>
      <c r="G11548">
        <v>1</v>
      </c>
    </row>
    <row r="11549" spans="1:7" x14ac:dyDescent="0.25">
      <c r="A11549">
        <v>35</v>
      </c>
      <c r="B11549" t="s">
        <v>11533</v>
      </c>
      <c r="C11549">
        <v>7902</v>
      </c>
      <c r="D11549" t="str">
        <f>"0753-3322"</f>
        <v>0753-3322</v>
      </c>
      <c r="E11549" t="s">
        <v>8</v>
      </c>
      <c r="F11549" t="s">
        <v>11556</v>
      </c>
      <c r="G11549">
        <v>1</v>
      </c>
    </row>
    <row r="11550" spans="1:7" x14ac:dyDescent="0.25">
      <c r="A11550">
        <v>35</v>
      </c>
      <c r="B11550" t="s">
        <v>11533</v>
      </c>
      <c r="C11550">
        <v>171</v>
      </c>
      <c r="D11550" t="str">
        <f>"0142-2782"</f>
        <v>0142-2782</v>
      </c>
      <c r="E11550" t="s">
        <v>8</v>
      </c>
      <c r="F11550" t="s">
        <v>11557</v>
      </c>
      <c r="G11550">
        <v>1</v>
      </c>
    </row>
    <row r="11551" spans="1:7" x14ac:dyDescent="0.25">
      <c r="A11551">
        <v>35</v>
      </c>
      <c r="B11551" t="s">
        <v>11533</v>
      </c>
      <c r="C11551">
        <v>4673</v>
      </c>
      <c r="D11551" t="str">
        <f>"1084-9785"</f>
        <v>1084-9785</v>
      </c>
      <c r="E11551" t="s">
        <v>8</v>
      </c>
      <c r="F11551" t="s">
        <v>11558</v>
      </c>
      <c r="G11551">
        <v>1</v>
      </c>
    </row>
    <row r="11552" spans="1:7" x14ac:dyDescent="0.25">
      <c r="A11552">
        <v>35</v>
      </c>
      <c r="B11552" t="s">
        <v>11533</v>
      </c>
      <c r="C11552">
        <v>3533</v>
      </c>
      <c r="D11552" t="str">
        <f>"0344-5704"</f>
        <v>0344-5704</v>
      </c>
      <c r="E11552" t="s">
        <v>8</v>
      </c>
      <c r="F11552" t="s">
        <v>11559</v>
      </c>
      <c r="G11552">
        <v>1</v>
      </c>
    </row>
    <row r="11553" spans="1:7" x14ac:dyDescent="0.25">
      <c r="A11553">
        <v>35</v>
      </c>
      <c r="B11553" t="s">
        <v>11533</v>
      </c>
      <c r="C11553">
        <v>6192</v>
      </c>
      <c r="D11553" t="str">
        <f>"0009-2363"</f>
        <v>0009-2363</v>
      </c>
      <c r="E11553" t="s">
        <v>8</v>
      </c>
      <c r="F11553" t="s">
        <v>11560</v>
      </c>
      <c r="G11553">
        <v>1</v>
      </c>
    </row>
    <row r="11554" spans="1:7" x14ac:dyDescent="0.25">
      <c r="A11554">
        <v>35</v>
      </c>
      <c r="B11554" t="s">
        <v>11533</v>
      </c>
      <c r="C11554">
        <v>13897</v>
      </c>
      <c r="D11554" t="str">
        <f>"1747-0277"</f>
        <v>1747-0277</v>
      </c>
      <c r="E11554" t="s">
        <v>8</v>
      </c>
      <c r="F11554" t="s">
        <v>11561</v>
      </c>
      <c r="G11554">
        <v>1</v>
      </c>
    </row>
    <row r="11555" spans="1:7" x14ac:dyDescent="0.25">
      <c r="A11555">
        <v>35</v>
      </c>
      <c r="B11555" t="s">
        <v>11533</v>
      </c>
      <c r="C11555">
        <v>17715</v>
      </c>
      <c r="D11555" t="str">
        <f>"1860-7179"</f>
        <v>1860-7179</v>
      </c>
      <c r="E11555" t="s">
        <v>8</v>
      </c>
      <c r="F11555" t="s">
        <v>11562</v>
      </c>
      <c r="G11555">
        <v>1</v>
      </c>
    </row>
    <row r="11556" spans="1:7" x14ac:dyDescent="0.25">
      <c r="A11556">
        <v>35</v>
      </c>
      <c r="B11556" t="s">
        <v>11533</v>
      </c>
      <c r="C11556">
        <v>3670</v>
      </c>
      <c r="D11556" t="str">
        <f>"1172-7047"</f>
        <v>1172-7047</v>
      </c>
      <c r="E11556" t="s">
        <v>8</v>
      </c>
      <c r="F11556" t="s">
        <v>11563</v>
      </c>
      <c r="G11556">
        <v>1</v>
      </c>
    </row>
    <row r="11557" spans="1:7" x14ac:dyDescent="0.25">
      <c r="A11557">
        <v>35</v>
      </c>
      <c r="B11557" t="s">
        <v>11533</v>
      </c>
      <c r="C11557">
        <v>149607</v>
      </c>
      <c r="D11557" t="str">
        <f>"1755-5930"</f>
        <v>1755-5930</v>
      </c>
      <c r="E11557" t="s">
        <v>8</v>
      </c>
      <c r="F11557" t="s">
        <v>11564</v>
      </c>
      <c r="G11557">
        <v>1</v>
      </c>
    </row>
    <row r="11558" spans="1:7" x14ac:dyDescent="0.25">
      <c r="A11558">
        <v>35</v>
      </c>
      <c r="B11558" t="s">
        <v>11533</v>
      </c>
      <c r="C11558">
        <v>6247</v>
      </c>
      <c r="D11558" t="str">
        <f>"0743-4863"</f>
        <v>0743-4863</v>
      </c>
      <c r="E11558" t="s">
        <v>8</v>
      </c>
      <c r="F11558" t="s">
        <v>11565</v>
      </c>
      <c r="G11558">
        <v>1</v>
      </c>
    </row>
    <row r="11559" spans="1:7" x14ac:dyDescent="0.25">
      <c r="A11559">
        <v>35</v>
      </c>
      <c r="B11559" t="s">
        <v>11533</v>
      </c>
      <c r="C11559">
        <v>7616</v>
      </c>
      <c r="D11559" t="str">
        <f>"1568-0096"</f>
        <v>1568-0096</v>
      </c>
      <c r="E11559" t="s">
        <v>8</v>
      </c>
      <c r="F11559" t="s">
        <v>11566</v>
      </c>
      <c r="G11559">
        <v>1</v>
      </c>
    </row>
    <row r="11560" spans="1:7" x14ac:dyDescent="0.25">
      <c r="A11560">
        <v>35</v>
      </c>
      <c r="B11560" t="s">
        <v>11533</v>
      </c>
      <c r="C11560">
        <v>12217</v>
      </c>
      <c r="D11560" t="str">
        <f>"1389-4501"</f>
        <v>1389-4501</v>
      </c>
      <c r="E11560" t="s">
        <v>8</v>
      </c>
      <c r="F11560" t="s">
        <v>11567</v>
      </c>
      <c r="G11560">
        <v>1</v>
      </c>
    </row>
    <row r="11561" spans="1:7" x14ac:dyDescent="0.25">
      <c r="A11561">
        <v>35</v>
      </c>
      <c r="B11561" t="s">
        <v>11533</v>
      </c>
      <c r="C11561">
        <v>14031</v>
      </c>
      <c r="D11561" t="str">
        <f>"1381-6128"</f>
        <v>1381-6128</v>
      </c>
      <c r="E11561" t="s">
        <v>8</v>
      </c>
      <c r="F11561" t="s">
        <v>11568</v>
      </c>
      <c r="G11561">
        <v>1</v>
      </c>
    </row>
    <row r="11562" spans="1:7" x14ac:dyDescent="0.25">
      <c r="A11562">
        <v>35</v>
      </c>
      <c r="B11562" t="s">
        <v>11533</v>
      </c>
      <c r="C11562">
        <v>5833</v>
      </c>
      <c r="D11562" t="str">
        <f>"0031-711X"</f>
        <v>0031-711X</v>
      </c>
      <c r="E11562" t="s">
        <v>8</v>
      </c>
      <c r="F11562" t="s">
        <v>11569</v>
      </c>
      <c r="G11562">
        <v>1</v>
      </c>
    </row>
    <row r="11563" spans="1:7" x14ac:dyDescent="0.25">
      <c r="A11563">
        <v>35</v>
      </c>
      <c r="B11563" t="s">
        <v>11533</v>
      </c>
      <c r="C11563">
        <v>62686</v>
      </c>
      <c r="D11563" t="str">
        <f>"1842-3582"</f>
        <v>1842-3582</v>
      </c>
      <c r="E11563" t="s">
        <v>8</v>
      </c>
      <c r="F11563" t="s">
        <v>11570</v>
      </c>
      <c r="G11563">
        <v>1</v>
      </c>
    </row>
    <row r="11564" spans="1:7" x14ac:dyDescent="0.25">
      <c r="A11564">
        <v>35</v>
      </c>
      <c r="B11564" t="s">
        <v>11533</v>
      </c>
      <c r="C11564">
        <v>671</v>
      </c>
      <c r="D11564" t="str">
        <f>"1071-7544"</f>
        <v>1071-7544</v>
      </c>
      <c r="E11564" t="s">
        <v>8</v>
      </c>
      <c r="F11564" t="s">
        <v>11571</v>
      </c>
      <c r="G11564">
        <v>1</v>
      </c>
    </row>
    <row r="11565" spans="1:7" x14ac:dyDescent="0.25">
      <c r="A11565">
        <v>35</v>
      </c>
      <c r="B11565" t="s">
        <v>11533</v>
      </c>
      <c r="C11565">
        <v>391</v>
      </c>
      <c r="D11565" t="str">
        <f>"0363-9045"</f>
        <v>0363-9045</v>
      </c>
      <c r="E11565" t="s">
        <v>8</v>
      </c>
      <c r="F11565" t="s">
        <v>11572</v>
      </c>
      <c r="G11565">
        <v>1</v>
      </c>
    </row>
    <row r="11566" spans="1:7" x14ac:dyDescent="0.25">
      <c r="A11566">
        <v>35</v>
      </c>
      <c r="B11566" t="s">
        <v>11533</v>
      </c>
      <c r="C11566">
        <v>16091</v>
      </c>
      <c r="E11566" t="s">
        <v>8</v>
      </c>
      <c r="F11566" t="s">
        <v>11573</v>
      </c>
      <c r="G11566">
        <v>1</v>
      </c>
    </row>
    <row r="11567" spans="1:7" x14ac:dyDescent="0.25">
      <c r="A11567">
        <v>35</v>
      </c>
      <c r="B11567" t="s">
        <v>11533</v>
      </c>
      <c r="C11567">
        <v>843</v>
      </c>
      <c r="E11567" t="s">
        <v>8</v>
      </c>
      <c r="F11567" t="s">
        <v>11574</v>
      </c>
      <c r="G11567">
        <v>1</v>
      </c>
    </row>
    <row r="11568" spans="1:7" x14ac:dyDescent="0.25">
      <c r="A11568">
        <v>35</v>
      </c>
      <c r="B11568" t="s">
        <v>11533</v>
      </c>
      <c r="C11568">
        <v>14395</v>
      </c>
      <c r="E11568" t="s">
        <v>8</v>
      </c>
      <c r="F11568" t="s">
        <v>11575</v>
      </c>
      <c r="G11568">
        <v>1</v>
      </c>
    </row>
    <row r="11569" spans="1:7" x14ac:dyDescent="0.25">
      <c r="A11569">
        <v>35</v>
      </c>
      <c r="B11569" t="s">
        <v>11533</v>
      </c>
      <c r="C11569">
        <v>3992</v>
      </c>
      <c r="D11569" t="str">
        <f>"0114-5916"</f>
        <v>0114-5916</v>
      </c>
      <c r="E11569" t="s">
        <v>8</v>
      </c>
      <c r="F11569" t="s">
        <v>11576</v>
      </c>
      <c r="G11569">
        <v>1</v>
      </c>
    </row>
    <row r="11570" spans="1:7" x14ac:dyDescent="0.25">
      <c r="A11570">
        <v>35</v>
      </c>
      <c r="B11570" t="s">
        <v>11533</v>
      </c>
      <c r="C11570">
        <v>14289</v>
      </c>
      <c r="D11570" t="str">
        <f>"0012-6667"</f>
        <v>0012-6667</v>
      </c>
      <c r="E11570" t="s">
        <v>8</v>
      </c>
      <c r="F11570" t="s">
        <v>11577</v>
      </c>
      <c r="G11570">
        <v>1</v>
      </c>
    </row>
    <row r="11571" spans="1:7" x14ac:dyDescent="0.25">
      <c r="A11571">
        <v>35</v>
      </c>
      <c r="B11571" t="s">
        <v>11533</v>
      </c>
      <c r="C11571">
        <v>107005</v>
      </c>
      <c r="D11571" t="str">
        <f>"0360-2583"</f>
        <v>0360-2583</v>
      </c>
      <c r="E11571" t="s">
        <v>15</v>
      </c>
      <c r="F11571" t="s">
        <v>11578</v>
      </c>
      <c r="G11571">
        <v>1</v>
      </c>
    </row>
    <row r="11572" spans="1:7" x14ac:dyDescent="0.25">
      <c r="A11572">
        <v>35</v>
      </c>
      <c r="B11572" t="s">
        <v>11533</v>
      </c>
      <c r="C11572">
        <v>7721922</v>
      </c>
      <c r="D11572" t="str">
        <f>"2047-9956"</f>
        <v>2047-9956</v>
      </c>
      <c r="E11572" t="s">
        <v>8</v>
      </c>
      <c r="F11572" t="s">
        <v>11579</v>
      </c>
      <c r="G11572">
        <v>1</v>
      </c>
    </row>
    <row r="11573" spans="1:7" x14ac:dyDescent="0.25">
      <c r="A11573">
        <v>35</v>
      </c>
      <c r="B11573" t="s">
        <v>11533</v>
      </c>
      <c r="C11573">
        <v>150906</v>
      </c>
      <c r="D11573" t="str">
        <f>"1360-8606"</f>
        <v>1360-8606</v>
      </c>
      <c r="E11573" t="s">
        <v>8</v>
      </c>
      <c r="F11573" t="s">
        <v>11580</v>
      </c>
      <c r="G11573">
        <v>1</v>
      </c>
    </row>
    <row r="11574" spans="1:7" x14ac:dyDescent="0.25">
      <c r="A11574">
        <v>35</v>
      </c>
      <c r="B11574" t="s">
        <v>11533</v>
      </c>
      <c r="C11574">
        <v>25004</v>
      </c>
      <c r="D11574" t="str">
        <f>"1746-0441"</f>
        <v>1746-0441</v>
      </c>
      <c r="E11574" t="s">
        <v>8</v>
      </c>
      <c r="F11574" t="s">
        <v>11581</v>
      </c>
      <c r="G11574">
        <v>1</v>
      </c>
    </row>
    <row r="11575" spans="1:7" x14ac:dyDescent="0.25">
      <c r="A11575">
        <v>35</v>
      </c>
      <c r="B11575" t="s">
        <v>11533</v>
      </c>
      <c r="C11575">
        <v>7738622</v>
      </c>
      <c r="E11575" t="s">
        <v>8</v>
      </c>
      <c r="F11575" t="s">
        <v>11582</v>
      </c>
      <c r="G11575">
        <v>1</v>
      </c>
    </row>
    <row r="11576" spans="1:7" x14ac:dyDescent="0.25">
      <c r="A11576">
        <v>35</v>
      </c>
      <c r="B11576" t="s">
        <v>11533</v>
      </c>
      <c r="C11576">
        <v>7694563</v>
      </c>
      <c r="E11576" t="s">
        <v>8</v>
      </c>
      <c r="F11576" t="s">
        <v>11583</v>
      </c>
      <c r="G11576">
        <v>1</v>
      </c>
    </row>
    <row r="11577" spans="1:7" x14ac:dyDescent="0.25">
      <c r="A11577">
        <v>35</v>
      </c>
      <c r="B11577" t="s">
        <v>11533</v>
      </c>
      <c r="C11577">
        <v>3233</v>
      </c>
      <c r="D11577" t="str">
        <f>"0894-1491"</f>
        <v>0894-1491</v>
      </c>
      <c r="E11577" t="s">
        <v>8</v>
      </c>
      <c r="F11577" t="s">
        <v>11584</v>
      </c>
      <c r="G11577">
        <v>1</v>
      </c>
    </row>
    <row r="11578" spans="1:7" x14ac:dyDescent="0.25">
      <c r="A11578">
        <v>35</v>
      </c>
      <c r="B11578" t="s">
        <v>11533</v>
      </c>
      <c r="C11578">
        <v>9334</v>
      </c>
      <c r="D11578" t="str">
        <f>"0018-5787"</f>
        <v>0018-5787</v>
      </c>
      <c r="E11578" t="s">
        <v>8</v>
      </c>
      <c r="F11578" t="s">
        <v>11585</v>
      </c>
      <c r="G11578">
        <v>1</v>
      </c>
    </row>
    <row r="11579" spans="1:7" x14ac:dyDescent="0.25">
      <c r="A11579">
        <v>35</v>
      </c>
      <c r="B11579" t="s">
        <v>11533</v>
      </c>
      <c r="C11579">
        <v>6642</v>
      </c>
      <c r="D11579" t="str">
        <f>"2210-7703"</f>
        <v>2210-7703</v>
      </c>
      <c r="E11579" t="s">
        <v>8</v>
      </c>
      <c r="F11579" t="s">
        <v>11586</v>
      </c>
      <c r="G11579">
        <v>1</v>
      </c>
    </row>
    <row r="11580" spans="1:7" x14ac:dyDescent="0.25">
      <c r="A11580">
        <v>35</v>
      </c>
      <c r="B11580" t="s">
        <v>11533</v>
      </c>
      <c r="C11580">
        <v>7261</v>
      </c>
      <c r="D11580" t="str">
        <f>"0961-7671"</f>
        <v>0961-7671</v>
      </c>
      <c r="E11580" t="s">
        <v>8</v>
      </c>
      <c r="F11580" t="s">
        <v>11587</v>
      </c>
      <c r="G11580">
        <v>1</v>
      </c>
    </row>
    <row r="11581" spans="1:7" x14ac:dyDescent="0.25">
      <c r="A11581">
        <v>35</v>
      </c>
      <c r="B11581" t="s">
        <v>11533</v>
      </c>
      <c r="C11581">
        <v>16563</v>
      </c>
      <c r="D11581" t="str">
        <f>"0167-6997"</f>
        <v>0167-6997</v>
      </c>
      <c r="E11581" t="s">
        <v>8</v>
      </c>
      <c r="F11581" t="s">
        <v>11588</v>
      </c>
      <c r="G11581">
        <v>1</v>
      </c>
    </row>
    <row r="11582" spans="1:7" x14ac:dyDescent="0.25">
      <c r="A11582">
        <v>35</v>
      </c>
      <c r="B11582" t="s">
        <v>11533</v>
      </c>
      <c r="C11582">
        <v>17805</v>
      </c>
      <c r="D11582" t="str">
        <f>"1550-7033"</f>
        <v>1550-7033</v>
      </c>
      <c r="E11582" t="s">
        <v>8</v>
      </c>
      <c r="F11582" t="s">
        <v>11589</v>
      </c>
      <c r="G11582">
        <v>1</v>
      </c>
    </row>
    <row r="11583" spans="1:7" x14ac:dyDescent="0.25">
      <c r="A11583">
        <v>35</v>
      </c>
      <c r="B11583" t="s">
        <v>11533</v>
      </c>
      <c r="C11583">
        <v>8051</v>
      </c>
      <c r="D11583" t="str">
        <f>"1054-3406"</f>
        <v>1054-3406</v>
      </c>
      <c r="E11583" t="s">
        <v>8</v>
      </c>
      <c r="F11583" t="s">
        <v>11590</v>
      </c>
      <c r="G11583">
        <v>1</v>
      </c>
    </row>
    <row r="11584" spans="1:7" x14ac:dyDescent="0.25">
      <c r="A11584">
        <v>35</v>
      </c>
      <c r="B11584" t="s">
        <v>11533</v>
      </c>
      <c r="C11584">
        <v>17586</v>
      </c>
      <c r="D11584" t="str">
        <f>"1549-9596"</f>
        <v>1549-9596</v>
      </c>
      <c r="E11584" t="s">
        <v>8</v>
      </c>
      <c r="F11584" t="s">
        <v>11591</v>
      </c>
      <c r="G11584">
        <v>1</v>
      </c>
    </row>
    <row r="11585" spans="1:7" x14ac:dyDescent="0.25">
      <c r="A11585">
        <v>35</v>
      </c>
      <c r="B11585" t="s">
        <v>11533</v>
      </c>
      <c r="C11585">
        <v>164</v>
      </c>
      <c r="D11585" t="str">
        <f>"0269-4727"</f>
        <v>0269-4727</v>
      </c>
      <c r="E11585" t="s">
        <v>8</v>
      </c>
      <c r="F11585" t="s">
        <v>11592</v>
      </c>
      <c r="G11585">
        <v>1</v>
      </c>
    </row>
    <row r="11586" spans="1:7" x14ac:dyDescent="0.25">
      <c r="A11586">
        <v>35</v>
      </c>
      <c r="B11586" t="s">
        <v>11533</v>
      </c>
      <c r="C11586">
        <v>4155</v>
      </c>
      <c r="D11586" t="str">
        <f>"0047-2379"</f>
        <v>0047-2379</v>
      </c>
      <c r="E11586" t="s">
        <v>8</v>
      </c>
      <c r="F11586" t="s">
        <v>11593</v>
      </c>
      <c r="G11586">
        <v>1</v>
      </c>
    </row>
    <row r="11587" spans="1:7" x14ac:dyDescent="0.25">
      <c r="A11587">
        <v>35</v>
      </c>
      <c r="B11587" t="s">
        <v>11533</v>
      </c>
      <c r="C11587">
        <v>10534</v>
      </c>
      <c r="D11587" t="str">
        <f>"0362-4803"</f>
        <v>0362-4803</v>
      </c>
      <c r="E11587" t="s">
        <v>8</v>
      </c>
      <c r="F11587" t="s">
        <v>11594</v>
      </c>
      <c r="G11587">
        <v>1</v>
      </c>
    </row>
    <row r="11588" spans="1:7" x14ac:dyDescent="0.25">
      <c r="A11588">
        <v>35</v>
      </c>
      <c r="B11588" t="s">
        <v>11533</v>
      </c>
      <c r="C11588">
        <v>17862</v>
      </c>
      <c r="E11588" t="s">
        <v>8</v>
      </c>
      <c r="F11588" t="s">
        <v>11595</v>
      </c>
      <c r="G11588">
        <v>1</v>
      </c>
    </row>
    <row r="11589" spans="1:7" x14ac:dyDescent="0.25">
      <c r="A11589">
        <v>35</v>
      </c>
      <c r="B11589" t="s">
        <v>11533</v>
      </c>
      <c r="C11589">
        <v>2078</v>
      </c>
      <c r="D11589" t="str">
        <f>"1078-1552"</f>
        <v>1078-1552</v>
      </c>
      <c r="E11589" t="s">
        <v>8</v>
      </c>
      <c r="F11589" t="s">
        <v>11596</v>
      </c>
      <c r="G11589">
        <v>1</v>
      </c>
    </row>
    <row r="11590" spans="1:7" x14ac:dyDescent="0.25">
      <c r="A11590">
        <v>35</v>
      </c>
      <c r="B11590" t="s">
        <v>11533</v>
      </c>
      <c r="C11590">
        <v>31874</v>
      </c>
      <c r="D11590" t="str">
        <f>"1551-7489"</f>
        <v>1551-7489</v>
      </c>
      <c r="E11590" t="s">
        <v>8</v>
      </c>
      <c r="F11590" t="s">
        <v>11597</v>
      </c>
      <c r="G11590">
        <v>1</v>
      </c>
    </row>
    <row r="11591" spans="1:7" x14ac:dyDescent="0.25">
      <c r="A11591">
        <v>35</v>
      </c>
      <c r="B11591" t="s">
        <v>11533</v>
      </c>
      <c r="C11591">
        <v>6171390</v>
      </c>
      <c r="E11591" t="s">
        <v>8</v>
      </c>
      <c r="F11591" t="s">
        <v>11598</v>
      </c>
      <c r="G11591">
        <v>1</v>
      </c>
    </row>
    <row r="11592" spans="1:7" x14ac:dyDescent="0.25">
      <c r="A11592">
        <v>35</v>
      </c>
      <c r="B11592" t="s">
        <v>11533</v>
      </c>
      <c r="C11592">
        <v>13704</v>
      </c>
      <c r="D11592" t="str">
        <f>"0731-7085"</f>
        <v>0731-7085</v>
      </c>
      <c r="E11592" t="s">
        <v>8</v>
      </c>
      <c r="F11592" t="s">
        <v>11599</v>
      </c>
      <c r="G11592">
        <v>1</v>
      </c>
    </row>
    <row r="11593" spans="1:7" x14ac:dyDescent="0.25">
      <c r="A11593">
        <v>35</v>
      </c>
      <c r="B11593" t="s">
        <v>11533</v>
      </c>
      <c r="C11593">
        <v>6286043</v>
      </c>
      <c r="D11593" t="str">
        <f>"2052-3211"</f>
        <v>2052-3211</v>
      </c>
      <c r="E11593" t="s">
        <v>8</v>
      </c>
      <c r="F11593" t="s">
        <v>11600</v>
      </c>
      <c r="G11593">
        <v>1</v>
      </c>
    </row>
    <row r="11594" spans="1:7" x14ac:dyDescent="0.25">
      <c r="A11594">
        <v>35</v>
      </c>
      <c r="B11594" t="s">
        <v>11533</v>
      </c>
      <c r="C11594">
        <v>15789</v>
      </c>
      <c r="E11594" t="s">
        <v>8</v>
      </c>
      <c r="F11594" t="s">
        <v>11601</v>
      </c>
      <c r="G11594">
        <v>1</v>
      </c>
    </row>
    <row r="11595" spans="1:7" x14ac:dyDescent="0.25">
      <c r="A11595">
        <v>35</v>
      </c>
      <c r="B11595" t="s">
        <v>11533</v>
      </c>
      <c r="C11595">
        <v>934</v>
      </c>
      <c r="D11595" t="str">
        <f>"0897-1900"</f>
        <v>0897-1900</v>
      </c>
      <c r="E11595" t="s">
        <v>8</v>
      </c>
      <c r="F11595" t="s">
        <v>11602</v>
      </c>
      <c r="G11595">
        <v>1</v>
      </c>
    </row>
    <row r="11596" spans="1:7" x14ac:dyDescent="0.25">
      <c r="A11596">
        <v>35</v>
      </c>
      <c r="B11596" t="s">
        <v>11533</v>
      </c>
      <c r="C11596">
        <v>7722472</v>
      </c>
      <c r="D11596" t="str">
        <f>"2319-9644"</f>
        <v>2319-9644</v>
      </c>
      <c r="E11596" t="s">
        <v>8</v>
      </c>
      <c r="F11596" t="s">
        <v>11603</v>
      </c>
      <c r="G11596">
        <v>1</v>
      </c>
    </row>
    <row r="11597" spans="1:7" x14ac:dyDescent="0.25">
      <c r="A11597">
        <v>35</v>
      </c>
      <c r="B11597" t="s">
        <v>11533</v>
      </c>
      <c r="C11597">
        <v>17363</v>
      </c>
      <c r="D11597" t="str">
        <f>"1660-3397"</f>
        <v>1660-3397</v>
      </c>
      <c r="E11597" t="s">
        <v>8</v>
      </c>
      <c r="F11597" t="s">
        <v>11604</v>
      </c>
      <c r="G11597">
        <v>1</v>
      </c>
    </row>
    <row r="11598" spans="1:7" x14ac:dyDescent="0.25">
      <c r="A11598">
        <v>35</v>
      </c>
      <c r="B11598" t="s">
        <v>11533</v>
      </c>
      <c r="C11598">
        <v>93087</v>
      </c>
      <c r="D11598" t="str">
        <f>"1557-2153"</f>
        <v>1557-2153</v>
      </c>
      <c r="E11598" t="s">
        <v>15</v>
      </c>
      <c r="F11598" t="s">
        <v>11605</v>
      </c>
      <c r="G11598">
        <v>1</v>
      </c>
    </row>
    <row r="11599" spans="1:7" x14ac:dyDescent="0.25">
      <c r="A11599">
        <v>35</v>
      </c>
      <c r="B11599" t="s">
        <v>11533</v>
      </c>
      <c r="C11599">
        <v>3844</v>
      </c>
      <c r="D11599" t="str">
        <f>"1535-7163"</f>
        <v>1535-7163</v>
      </c>
      <c r="E11599" t="s">
        <v>8</v>
      </c>
      <c r="F11599" t="s">
        <v>11606</v>
      </c>
      <c r="G11599">
        <v>1</v>
      </c>
    </row>
    <row r="11600" spans="1:7" x14ac:dyDescent="0.25">
      <c r="A11600">
        <v>35</v>
      </c>
      <c r="B11600" t="s">
        <v>11533</v>
      </c>
      <c r="C11600">
        <v>9760</v>
      </c>
      <c r="D11600" t="str">
        <f>"0197-0186"</f>
        <v>0197-0186</v>
      </c>
      <c r="E11600" t="s">
        <v>8</v>
      </c>
      <c r="F11600" t="s">
        <v>11607</v>
      </c>
      <c r="G11600">
        <v>1</v>
      </c>
    </row>
    <row r="11601" spans="1:7" x14ac:dyDescent="0.25">
      <c r="A11601">
        <v>35</v>
      </c>
      <c r="B11601" t="s">
        <v>11533</v>
      </c>
      <c r="C11601">
        <v>17392</v>
      </c>
      <c r="D11601" t="str">
        <f>"1741-0541"</f>
        <v>1741-0541</v>
      </c>
      <c r="E11601" t="s">
        <v>8</v>
      </c>
      <c r="F11601" t="s">
        <v>11608</v>
      </c>
      <c r="G11601">
        <v>1</v>
      </c>
    </row>
    <row r="11602" spans="1:7" x14ac:dyDescent="0.25">
      <c r="A11602">
        <v>35</v>
      </c>
      <c r="B11602" t="s">
        <v>11533</v>
      </c>
      <c r="C11602">
        <v>14214</v>
      </c>
      <c r="D11602" t="str">
        <f>"1388-0209"</f>
        <v>1388-0209</v>
      </c>
      <c r="E11602" t="s">
        <v>8</v>
      </c>
      <c r="F11602" t="s">
        <v>11609</v>
      </c>
      <c r="G11602">
        <v>1</v>
      </c>
    </row>
    <row r="11603" spans="1:7" x14ac:dyDescent="0.25">
      <c r="A11603">
        <v>35</v>
      </c>
      <c r="B11603" t="s">
        <v>11533</v>
      </c>
      <c r="C11603">
        <v>7268</v>
      </c>
      <c r="D11603" t="str">
        <f>"0091-150X"</f>
        <v>0091-150X</v>
      </c>
      <c r="E11603" t="s">
        <v>8</v>
      </c>
      <c r="F11603" t="s">
        <v>11610</v>
      </c>
      <c r="G11603">
        <v>1</v>
      </c>
    </row>
    <row r="11604" spans="1:7" x14ac:dyDescent="0.25">
      <c r="A11604">
        <v>35</v>
      </c>
      <c r="B11604" t="s">
        <v>11533</v>
      </c>
      <c r="C11604">
        <v>12315</v>
      </c>
      <c r="D11604" t="str">
        <f>"1083-7450"</f>
        <v>1083-7450</v>
      </c>
      <c r="E11604" t="s">
        <v>8</v>
      </c>
      <c r="F11604" t="s">
        <v>11611</v>
      </c>
      <c r="G11604">
        <v>1</v>
      </c>
    </row>
    <row r="11605" spans="1:7" x14ac:dyDescent="0.25">
      <c r="A11605">
        <v>35</v>
      </c>
      <c r="B11605" t="s">
        <v>11533</v>
      </c>
      <c r="C11605">
        <v>3993</v>
      </c>
      <c r="D11605" t="str">
        <f>"1178-2595"</f>
        <v>1178-2595</v>
      </c>
      <c r="E11605" t="s">
        <v>8</v>
      </c>
      <c r="F11605" t="s">
        <v>11612</v>
      </c>
      <c r="G11605">
        <v>1</v>
      </c>
    </row>
    <row r="11606" spans="1:7" x14ac:dyDescent="0.25">
      <c r="A11606">
        <v>35</v>
      </c>
      <c r="B11606" t="s">
        <v>11533</v>
      </c>
      <c r="C11606">
        <v>1281</v>
      </c>
      <c r="D11606" t="str">
        <f>"1539-1604"</f>
        <v>1539-1604</v>
      </c>
      <c r="E11606" t="s">
        <v>8</v>
      </c>
      <c r="F11606" t="s">
        <v>11613</v>
      </c>
      <c r="G11606">
        <v>1</v>
      </c>
    </row>
    <row r="11607" spans="1:7" x14ac:dyDescent="0.25">
      <c r="A11607">
        <v>35</v>
      </c>
      <c r="B11607" t="s">
        <v>11533</v>
      </c>
      <c r="C11607">
        <v>152627</v>
      </c>
      <c r="D11607" t="str">
        <f>"1753-7967"</f>
        <v>1753-7967</v>
      </c>
      <c r="E11607" t="s">
        <v>8</v>
      </c>
      <c r="F11607" t="s">
        <v>11614</v>
      </c>
      <c r="G11607">
        <v>1</v>
      </c>
    </row>
    <row r="11608" spans="1:7" x14ac:dyDescent="0.25">
      <c r="A11608">
        <v>35</v>
      </c>
      <c r="B11608" t="s">
        <v>11533</v>
      </c>
      <c r="C11608">
        <v>759</v>
      </c>
      <c r="D11608" t="str">
        <f>"1389-2827"</f>
        <v>1389-2827</v>
      </c>
      <c r="E11608" t="s">
        <v>8</v>
      </c>
      <c r="F11608" t="s">
        <v>11615</v>
      </c>
      <c r="G11608">
        <v>1</v>
      </c>
    </row>
    <row r="11609" spans="1:7" x14ac:dyDescent="0.25">
      <c r="A11609">
        <v>35</v>
      </c>
      <c r="B11609" t="s">
        <v>11533</v>
      </c>
      <c r="C11609">
        <v>7695531</v>
      </c>
      <c r="E11609" t="s">
        <v>8</v>
      </c>
      <c r="F11609" t="s">
        <v>11616</v>
      </c>
      <c r="G11609">
        <v>1</v>
      </c>
    </row>
    <row r="11610" spans="1:7" x14ac:dyDescent="0.25">
      <c r="A11610">
        <v>35</v>
      </c>
      <c r="B11610" t="s">
        <v>11533</v>
      </c>
      <c r="C11610">
        <v>9859</v>
      </c>
      <c r="D11610" t="str">
        <f>"1170-7690"</f>
        <v>1170-7690</v>
      </c>
      <c r="E11610" t="s">
        <v>8</v>
      </c>
      <c r="F11610" t="s">
        <v>11617</v>
      </c>
      <c r="G11610">
        <v>1</v>
      </c>
    </row>
    <row r="11611" spans="1:7" x14ac:dyDescent="0.25">
      <c r="A11611">
        <v>35</v>
      </c>
      <c r="B11611" t="s">
        <v>11533</v>
      </c>
      <c r="C11611">
        <v>9709</v>
      </c>
      <c r="D11611" t="str">
        <f>"1053-8569"</f>
        <v>1053-8569</v>
      </c>
      <c r="E11611" t="s">
        <v>8</v>
      </c>
      <c r="F11611" t="s">
        <v>11618</v>
      </c>
      <c r="G11611">
        <v>1</v>
      </c>
    </row>
    <row r="11612" spans="1:7" x14ac:dyDescent="0.25">
      <c r="A11612">
        <v>35</v>
      </c>
      <c r="B11612" t="s">
        <v>11533</v>
      </c>
      <c r="C11612">
        <v>19672</v>
      </c>
      <c r="D11612" t="str">
        <f>"0031-7047"</f>
        <v>0031-7047</v>
      </c>
      <c r="E11612" t="s">
        <v>8</v>
      </c>
      <c r="F11612" t="s">
        <v>11619</v>
      </c>
      <c r="G11612">
        <v>1</v>
      </c>
    </row>
    <row r="11613" spans="1:7" x14ac:dyDescent="0.25">
      <c r="A11613">
        <v>35</v>
      </c>
      <c r="B11613" t="s">
        <v>11533</v>
      </c>
      <c r="C11613">
        <v>14311</v>
      </c>
      <c r="D11613" t="str">
        <f>"0032-0943"</f>
        <v>0032-0943</v>
      </c>
      <c r="E11613" t="s">
        <v>8</v>
      </c>
      <c r="F11613" t="s">
        <v>11620</v>
      </c>
      <c r="G11613">
        <v>1</v>
      </c>
    </row>
    <row r="11614" spans="1:7" x14ac:dyDescent="0.25">
      <c r="A11614">
        <v>35</v>
      </c>
      <c r="B11614" t="s">
        <v>11533</v>
      </c>
      <c r="C11614">
        <v>7593119</v>
      </c>
      <c r="D11614" t="str">
        <f>"1553-734X"</f>
        <v>1553-734X</v>
      </c>
      <c r="E11614" t="s">
        <v>8</v>
      </c>
      <c r="F11614" t="s">
        <v>11621</v>
      </c>
      <c r="G11614">
        <v>1</v>
      </c>
    </row>
    <row r="11615" spans="1:7" x14ac:dyDescent="0.25">
      <c r="A11615">
        <v>35</v>
      </c>
      <c r="B11615" t="s">
        <v>11533</v>
      </c>
      <c r="C11615">
        <v>33278</v>
      </c>
      <c r="D11615" t="str">
        <f>"1871-5125"</f>
        <v>1871-5125</v>
      </c>
      <c r="E11615" t="s">
        <v>15</v>
      </c>
      <c r="F11615" t="s">
        <v>11622</v>
      </c>
      <c r="G11615">
        <v>1</v>
      </c>
    </row>
    <row r="11616" spans="1:7" x14ac:dyDescent="0.25">
      <c r="A11616">
        <v>35</v>
      </c>
      <c r="B11616" t="s">
        <v>11533</v>
      </c>
      <c r="C11616">
        <v>152967</v>
      </c>
      <c r="D11616" t="str">
        <f>"0887-3585"</f>
        <v>0887-3585</v>
      </c>
      <c r="E11616" t="s">
        <v>8</v>
      </c>
      <c r="F11616" t="s">
        <v>11623</v>
      </c>
      <c r="G11616">
        <v>1</v>
      </c>
    </row>
    <row r="11617" spans="1:7" x14ac:dyDescent="0.25">
      <c r="A11617">
        <v>35</v>
      </c>
      <c r="B11617" t="s">
        <v>11533</v>
      </c>
      <c r="C11617">
        <v>21256</v>
      </c>
      <c r="D11617" t="str">
        <f>"1551-7411"</f>
        <v>1551-7411</v>
      </c>
      <c r="E11617" t="s">
        <v>8</v>
      </c>
      <c r="F11617" t="s">
        <v>11624</v>
      </c>
      <c r="G11617">
        <v>1</v>
      </c>
    </row>
    <row r="11618" spans="1:7" x14ac:dyDescent="0.25">
      <c r="A11618">
        <v>35</v>
      </c>
      <c r="B11618" t="s">
        <v>11533</v>
      </c>
      <c r="C11618">
        <v>9382</v>
      </c>
      <c r="D11618" t="str">
        <f>"0036-8709"</f>
        <v>0036-8709</v>
      </c>
      <c r="E11618" t="s">
        <v>8</v>
      </c>
      <c r="F11618" t="s">
        <v>11625</v>
      </c>
      <c r="G11618">
        <v>1</v>
      </c>
    </row>
    <row r="11619" spans="1:7" x14ac:dyDescent="0.25">
      <c r="A11619">
        <v>35</v>
      </c>
      <c r="B11619" t="s">
        <v>11533</v>
      </c>
      <c r="C11619">
        <v>17021</v>
      </c>
      <c r="D11619" t="str">
        <f>"1660-5527"</f>
        <v>1660-5527</v>
      </c>
      <c r="E11619" t="s">
        <v>8</v>
      </c>
      <c r="F11619" t="s">
        <v>11626</v>
      </c>
      <c r="G11619">
        <v>1</v>
      </c>
    </row>
    <row r="11620" spans="1:7" x14ac:dyDescent="0.25">
      <c r="A11620">
        <v>35</v>
      </c>
      <c r="B11620" t="s">
        <v>11533</v>
      </c>
      <c r="C11620">
        <v>7727410</v>
      </c>
      <c r="D11620" t="str">
        <f>"2193-1801"</f>
        <v>2193-1801</v>
      </c>
      <c r="E11620" t="s">
        <v>8</v>
      </c>
      <c r="F11620" t="s">
        <v>11627</v>
      </c>
      <c r="G11620">
        <v>1</v>
      </c>
    </row>
    <row r="11621" spans="1:7" x14ac:dyDescent="0.25">
      <c r="A11621">
        <v>35</v>
      </c>
      <c r="B11621" t="s">
        <v>11533</v>
      </c>
      <c r="C11621">
        <v>3348</v>
      </c>
      <c r="D11621" t="str">
        <f>"0031-6873"</f>
        <v>0031-6873</v>
      </c>
      <c r="E11621" t="s">
        <v>8</v>
      </c>
      <c r="F11621" t="s">
        <v>11628</v>
      </c>
      <c r="G11621">
        <v>1</v>
      </c>
    </row>
    <row r="11622" spans="1:7" x14ac:dyDescent="0.25">
      <c r="A11622">
        <v>35</v>
      </c>
      <c r="B11622" t="s">
        <v>11533</v>
      </c>
      <c r="C11622">
        <v>8005</v>
      </c>
      <c r="D11622" t="str">
        <f>"2168-4790"</f>
        <v>2168-4790</v>
      </c>
      <c r="E11622" t="s">
        <v>8</v>
      </c>
      <c r="F11622" t="s">
        <v>11629</v>
      </c>
      <c r="G11622">
        <v>1</v>
      </c>
    </row>
    <row r="11623" spans="1:7" x14ac:dyDescent="0.25">
      <c r="A11623">
        <v>35</v>
      </c>
      <c r="B11623" t="s">
        <v>11533</v>
      </c>
      <c r="C11623">
        <v>6585</v>
      </c>
      <c r="D11623" t="str">
        <f>"1596-5996"</f>
        <v>1596-5996</v>
      </c>
      <c r="E11623" t="s">
        <v>8</v>
      </c>
      <c r="F11623" t="s">
        <v>11630</v>
      </c>
      <c r="G11623">
        <v>1</v>
      </c>
    </row>
    <row r="11624" spans="1:7" x14ac:dyDescent="0.25">
      <c r="A11624">
        <v>35</v>
      </c>
      <c r="B11624" t="s">
        <v>11533</v>
      </c>
      <c r="C11624">
        <v>170363</v>
      </c>
      <c r="E11624" t="s">
        <v>15</v>
      </c>
      <c r="F11624" t="s">
        <v>11631</v>
      </c>
      <c r="G11624">
        <v>1</v>
      </c>
    </row>
    <row r="11625" spans="1:7" x14ac:dyDescent="0.25">
      <c r="A11625">
        <v>35</v>
      </c>
      <c r="B11625" t="s">
        <v>11533</v>
      </c>
      <c r="C11625">
        <v>8783790</v>
      </c>
      <c r="D11625" t="str">
        <f>"2210-7371"</f>
        <v>2210-7371</v>
      </c>
      <c r="E11625" t="s">
        <v>15</v>
      </c>
      <c r="F11625" t="s">
        <v>11632</v>
      </c>
      <c r="G11625">
        <v>1</v>
      </c>
    </row>
    <row r="11626" spans="1:7" x14ac:dyDescent="0.25">
      <c r="A11626">
        <v>35</v>
      </c>
      <c r="B11626" t="s">
        <v>11533</v>
      </c>
      <c r="C11626">
        <v>2552</v>
      </c>
      <c r="E11626" t="s">
        <v>8</v>
      </c>
      <c r="F11626" t="s">
        <v>11633</v>
      </c>
      <c r="G11626">
        <v>1</v>
      </c>
    </row>
    <row r="11627" spans="1:7" x14ac:dyDescent="0.25">
      <c r="A11627">
        <v>36</v>
      </c>
      <c r="B11627" t="s">
        <v>11634</v>
      </c>
      <c r="C11627">
        <v>8747</v>
      </c>
      <c r="D11627" t="str">
        <f>"1369-4332"</f>
        <v>1369-4332</v>
      </c>
      <c r="E11627" t="s">
        <v>8</v>
      </c>
      <c r="F11627" t="s">
        <v>11635</v>
      </c>
      <c r="G11627">
        <v>2</v>
      </c>
    </row>
    <row r="11628" spans="1:7" x14ac:dyDescent="0.25">
      <c r="A11628">
        <v>36</v>
      </c>
      <c r="B11628" t="s">
        <v>11634</v>
      </c>
      <c r="C11628">
        <v>15730</v>
      </c>
      <c r="D11628" t="str">
        <f>"0926-5805"</f>
        <v>0926-5805</v>
      </c>
      <c r="E11628" t="s">
        <v>8</v>
      </c>
      <c r="F11628" t="s">
        <v>11636</v>
      </c>
      <c r="G11628">
        <v>2</v>
      </c>
    </row>
    <row r="11629" spans="1:7" x14ac:dyDescent="0.25">
      <c r="A11629">
        <v>36</v>
      </c>
      <c r="B11629" t="s">
        <v>11634</v>
      </c>
      <c r="C11629">
        <v>26124</v>
      </c>
      <c r="D11629" t="str">
        <f>"1996-3599"</f>
        <v>1996-3599</v>
      </c>
      <c r="E11629" t="s">
        <v>8</v>
      </c>
      <c r="F11629" t="s">
        <v>11637</v>
      </c>
      <c r="G11629">
        <v>2</v>
      </c>
    </row>
    <row r="11630" spans="1:7" x14ac:dyDescent="0.25">
      <c r="A11630">
        <v>36</v>
      </c>
      <c r="B11630" t="s">
        <v>11634</v>
      </c>
      <c r="C11630">
        <v>18180</v>
      </c>
      <c r="D11630" t="str">
        <f>"1570-761X"</f>
        <v>1570-761X</v>
      </c>
      <c r="E11630" t="s">
        <v>8</v>
      </c>
      <c r="F11630" t="s">
        <v>11638</v>
      </c>
      <c r="G11630">
        <v>2</v>
      </c>
    </row>
    <row r="11631" spans="1:7" x14ac:dyDescent="0.25">
      <c r="A11631">
        <v>36</v>
      </c>
      <c r="B11631" t="s">
        <v>11634</v>
      </c>
      <c r="C11631">
        <v>5755</v>
      </c>
      <c r="D11631" t="str">
        <f>"0958-9465"</f>
        <v>0958-9465</v>
      </c>
      <c r="E11631" t="s">
        <v>8</v>
      </c>
      <c r="F11631" t="s">
        <v>11639</v>
      </c>
      <c r="G11631">
        <v>2</v>
      </c>
    </row>
    <row r="11632" spans="1:7" x14ac:dyDescent="0.25">
      <c r="A11632">
        <v>36</v>
      </c>
      <c r="B11632" t="s">
        <v>11634</v>
      </c>
      <c r="C11632">
        <v>11215</v>
      </c>
      <c r="D11632" t="str">
        <f>"0008-8846"</f>
        <v>0008-8846</v>
      </c>
      <c r="E11632" t="s">
        <v>8</v>
      </c>
      <c r="F11632" t="s">
        <v>11640</v>
      </c>
      <c r="G11632">
        <v>2</v>
      </c>
    </row>
    <row r="11633" spans="1:7" x14ac:dyDescent="0.25">
      <c r="A11633">
        <v>36</v>
      </c>
      <c r="B11633" t="s">
        <v>11634</v>
      </c>
      <c r="C11633">
        <v>14554</v>
      </c>
      <c r="D11633" t="str">
        <f>"0378-3839"</f>
        <v>0378-3839</v>
      </c>
      <c r="E11633" t="s">
        <v>8</v>
      </c>
      <c r="F11633" t="s">
        <v>11641</v>
      </c>
      <c r="G11633">
        <v>2</v>
      </c>
    </row>
    <row r="11634" spans="1:7" x14ac:dyDescent="0.25">
      <c r="A11634">
        <v>36</v>
      </c>
      <c r="B11634" t="s">
        <v>11634</v>
      </c>
      <c r="C11634">
        <v>6347</v>
      </c>
      <c r="D11634" t="str">
        <f>"1093-9687"</f>
        <v>1093-9687</v>
      </c>
      <c r="E11634" t="s">
        <v>8</v>
      </c>
      <c r="F11634" t="s">
        <v>11642</v>
      </c>
      <c r="G11634">
        <v>2</v>
      </c>
    </row>
    <row r="11635" spans="1:7" x14ac:dyDescent="0.25">
      <c r="A11635">
        <v>36</v>
      </c>
      <c r="B11635" t="s">
        <v>11634</v>
      </c>
      <c r="C11635">
        <v>13769</v>
      </c>
      <c r="D11635" t="str">
        <f>"0045-7949"</f>
        <v>0045-7949</v>
      </c>
      <c r="E11635" t="s">
        <v>8</v>
      </c>
      <c r="F11635" t="s">
        <v>11643</v>
      </c>
      <c r="G11635">
        <v>2</v>
      </c>
    </row>
    <row r="11636" spans="1:7" x14ac:dyDescent="0.25">
      <c r="A11636">
        <v>36</v>
      </c>
      <c r="B11636" t="s">
        <v>11634</v>
      </c>
      <c r="C11636">
        <v>7770</v>
      </c>
      <c r="D11636" t="str">
        <f>"0266-352X"</f>
        <v>0266-352X</v>
      </c>
      <c r="E11636" t="s">
        <v>8</v>
      </c>
      <c r="F11636" t="s">
        <v>11644</v>
      </c>
      <c r="G11636">
        <v>2</v>
      </c>
    </row>
    <row r="11637" spans="1:7" x14ac:dyDescent="0.25">
      <c r="A11637">
        <v>36</v>
      </c>
      <c r="B11637" t="s">
        <v>11634</v>
      </c>
      <c r="C11637">
        <v>5002</v>
      </c>
      <c r="D11637" t="str">
        <f>"0198-9715"</f>
        <v>0198-9715</v>
      </c>
      <c r="E11637" t="s">
        <v>8</v>
      </c>
      <c r="F11637" t="s">
        <v>11645</v>
      </c>
      <c r="G11637">
        <v>2</v>
      </c>
    </row>
    <row r="11638" spans="1:7" x14ac:dyDescent="0.25">
      <c r="A11638">
        <v>36</v>
      </c>
      <c r="B11638" t="s">
        <v>11634</v>
      </c>
      <c r="C11638">
        <v>8356</v>
      </c>
      <c r="D11638" t="str">
        <f>"0950-0618"</f>
        <v>0950-0618</v>
      </c>
      <c r="E11638" t="s">
        <v>8</v>
      </c>
      <c r="F11638" t="s">
        <v>11646</v>
      </c>
      <c r="G11638">
        <v>2</v>
      </c>
    </row>
    <row r="11639" spans="1:7" x14ac:dyDescent="0.25">
      <c r="A11639">
        <v>36</v>
      </c>
      <c r="B11639" t="s">
        <v>11634</v>
      </c>
      <c r="C11639">
        <v>13737</v>
      </c>
      <c r="D11639" t="str">
        <f>"0098-8847"</f>
        <v>0098-8847</v>
      </c>
      <c r="E11639" t="s">
        <v>8</v>
      </c>
      <c r="F11639" t="s">
        <v>11647</v>
      </c>
      <c r="G11639">
        <v>2</v>
      </c>
    </row>
    <row r="11640" spans="1:7" x14ac:dyDescent="0.25">
      <c r="A11640">
        <v>36</v>
      </c>
      <c r="B11640" t="s">
        <v>11634</v>
      </c>
      <c r="C11640">
        <v>39994</v>
      </c>
      <c r="D11640" t="str">
        <f>"1996-1073"</f>
        <v>1996-1073</v>
      </c>
      <c r="E11640" t="s">
        <v>8</v>
      </c>
      <c r="F11640" t="s">
        <v>11648</v>
      </c>
      <c r="G11640">
        <v>2</v>
      </c>
    </row>
    <row r="11641" spans="1:7" x14ac:dyDescent="0.25">
      <c r="A11641">
        <v>36</v>
      </c>
      <c r="B11641" t="s">
        <v>11634</v>
      </c>
      <c r="C11641">
        <v>5253</v>
      </c>
      <c r="D11641" t="str">
        <f>"0378-7788"</f>
        <v>0378-7788</v>
      </c>
      <c r="E11641" t="s">
        <v>8</v>
      </c>
      <c r="F11641" t="s">
        <v>11649</v>
      </c>
      <c r="G11641">
        <v>2</v>
      </c>
    </row>
    <row r="11642" spans="1:7" x14ac:dyDescent="0.25">
      <c r="A11642">
        <v>36</v>
      </c>
      <c r="B11642" t="s">
        <v>11634</v>
      </c>
      <c r="C11642">
        <v>6794</v>
      </c>
      <c r="D11642" t="str">
        <f>"0952-1976"</f>
        <v>0952-1976</v>
      </c>
      <c r="E11642" t="s">
        <v>8</v>
      </c>
      <c r="F11642" t="s">
        <v>11650</v>
      </c>
      <c r="G11642">
        <v>2</v>
      </c>
    </row>
    <row r="11643" spans="1:7" x14ac:dyDescent="0.25">
      <c r="A11643">
        <v>36</v>
      </c>
      <c r="B11643" t="s">
        <v>11634</v>
      </c>
      <c r="C11643">
        <v>2429</v>
      </c>
      <c r="D11643" t="str">
        <f>"0264-4401"</f>
        <v>0264-4401</v>
      </c>
      <c r="E11643" t="s">
        <v>8</v>
      </c>
      <c r="F11643" t="s">
        <v>11651</v>
      </c>
      <c r="G11643">
        <v>2</v>
      </c>
    </row>
    <row r="11644" spans="1:7" x14ac:dyDescent="0.25">
      <c r="A11644">
        <v>36</v>
      </c>
      <c r="B11644" t="s">
        <v>11634</v>
      </c>
      <c r="C11644">
        <v>11347</v>
      </c>
      <c r="D11644" t="str">
        <f>"0141-0296"</f>
        <v>0141-0296</v>
      </c>
      <c r="E11644" t="s">
        <v>8</v>
      </c>
      <c r="F11644" t="s">
        <v>11652</v>
      </c>
      <c r="G11644">
        <v>2</v>
      </c>
    </row>
    <row r="11645" spans="1:7" x14ac:dyDescent="0.25">
      <c r="A11645">
        <v>36</v>
      </c>
      <c r="B11645" t="s">
        <v>11634</v>
      </c>
      <c r="C11645">
        <v>2943</v>
      </c>
      <c r="D11645" t="str">
        <f>"0014-4851"</f>
        <v>0014-4851</v>
      </c>
      <c r="E11645" t="s">
        <v>8</v>
      </c>
      <c r="F11645" t="s">
        <v>11653</v>
      </c>
      <c r="G11645">
        <v>2</v>
      </c>
    </row>
    <row r="11646" spans="1:7" x14ac:dyDescent="0.25">
      <c r="A11646">
        <v>36</v>
      </c>
      <c r="B11646" t="s">
        <v>11634</v>
      </c>
      <c r="C11646">
        <v>6076</v>
      </c>
      <c r="D11646" t="str">
        <f>"0016-8505"</f>
        <v>0016-8505</v>
      </c>
      <c r="E11646" t="s">
        <v>8</v>
      </c>
      <c r="F11646" t="s">
        <v>11654</v>
      </c>
      <c r="G11646">
        <v>2</v>
      </c>
    </row>
    <row r="11647" spans="1:7" x14ac:dyDescent="0.25">
      <c r="A11647">
        <v>36</v>
      </c>
      <c r="B11647" t="s">
        <v>11634</v>
      </c>
      <c r="C11647">
        <v>1567</v>
      </c>
      <c r="D11647" t="str">
        <f>"0266-1144"</f>
        <v>0266-1144</v>
      </c>
      <c r="E11647" t="s">
        <v>8</v>
      </c>
      <c r="F11647" t="s">
        <v>11655</v>
      </c>
      <c r="G11647">
        <v>2</v>
      </c>
    </row>
    <row r="11648" spans="1:7" x14ac:dyDescent="0.25">
      <c r="A11648">
        <v>36</v>
      </c>
      <c r="B11648" t="s">
        <v>11634</v>
      </c>
      <c r="C11648">
        <v>12524</v>
      </c>
      <c r="D11648" t="str">
        <f>"0947-7411"</f>
        <v>0947-7411</v>
      </c>
      <c r="E11648" t="s">
        <v>8</v>
      </c>
      <c r="F11648" t="s">
        <v>11656</v>
      </c>
      <c r="G11648">
        <v>2</v>
      </c>
    </row>
    <row r="11649" spans="1:7" x14ac:dyDescent="0.25">
      <c r="A11649">
        <v>36</v>
      </c>
      <c r="B11649" t="s">
        <v>11634</v>
      </c>
      <c r="C11649">
        <v>9784</v>
      </c>
      <c r="D11649" t="str">
        <f>"1420-326X"</f>
        <v>1420-326X</v>
      </c>
      <c r="E11649" t="s">
        <v>8</v>
      </c>
      <c r="F11649" t="s">
        <v>11657</v>
      </c>
      <c r="G11649">
        <v>2</v>
      </c>
    </row>
    <row r="11650" spans="1:7" x14ac:dyDescent="0.25">
      <c r="A11650">
        <v>36</v>
      </c>
      <c r="B11650" t="s">
        <v>11634</v>
      </c>
      <c r="C11650">
        <v>5465</v>
      </c>
      <c r="D11650" t="str">
        <f>"0363-9061"</f>
        <v>0363-9061</v>
      </c>
      <c r="E11650" t="s">
        <v>8</v>
      </c>
      <c r="F11650" t="s">
        <v>11658</v>
      </c>
      <c r="G11650">
        <v>2</v>
      </c>
    </row>
    <row r="11651" spans="1:7" x14ac:dyDescent="0.25">
      <c r="A11651">
        <v>36</v>
      </c>
      <c r="B11651" t="s">
        <v>11634</v>
      </c>
      <c r="C11651">
        <v>4260</v>
      </c>
      <c r="D11651" t="str">
        <f>"1532-3641"</f>
        <v>1532-3641</v>
      </c>
      <c r="E11651" t="s">
        <v>8</v>
      </c>
      <c r="F11651" t="s">
        <v>11659</v>
      </c>
      <c r="G11651">
        <v>2</v>
      </c>
    </row>
    <row r="11652" spans="1:7" x14ac:dyDescent="0.25">
      <c r="A11652">
        <v>36</v>
      </c>
      <c r="B11652" t="s">
        <v>11634</v>
      </c>
      <c r="C11652">
        <v>15280</v>
      </c>
      <c r="D11652" t="str">
        <f>"1365-1609"</f>
        <v>1365-1609</v>
      </c>
      <c r="E11652" t="s">
        <v>8</v>
      </c>
      <c r="F11652" t="s">
        <v>11660</v>
      </c>
      <c r="G11652">
        <v>2</v>
      </c>
    </row>
    <row r="11653" spans="1:7" x14ac:dyDescent="0.25">
      <c r="A11653">
        <v>36</v>
      </c>
      <c r="B11653" t="s">
        <v>11634</v>
      </c>
      <c r="C11653">
        <v>60381</v>
      </c>
      <c r="D11653" t="str">
        <f>"1672-6529"</f>
        <v>1672-6529</v>
      </c>
      <c r="E11653" t="s">
        <v>8</v>
      </c>
      <c r="F11653" t="s">
        <v>11661</v>
      </c>
      <c r="G11653">
        <v>2</v>
      </c>
    </row>
    <row r="11654" spans="1:7" x14ac:dyDescent="0.25">
      <c r="A11654">
        <v>36</v>
      </c>
      <c r="B11654" t="s">
        <v>11634</v>
      </c>
      <c r="C11654">
        <v>10729</v>
      </c>
      <c r="D11654" t="str">
        <f>"1084-0702"</f>
        <v>1084-0702</v>
      </c>
      <c r="E11654" t="s">
        <v>8</v>
      </c>
      <c r="F11654" t="s">
        <v>11662</v>
      </c>
      <c r="G11654">
        <v>2</v>
      </c>
    </row>
    <row r="11655" spans="1:7" x14ac:dyDescent="0.25">
      <c r="A11655">
        <v>36</v>
      </c>
      <c r="B11655" t="s">
        <v>11634</v>
      </c>
      <c r="C11655">
        <v>8782735</v>
      </c>
      <c r="D11655" t="str">
        <f>"2352-7102"</f>
        <v>2352-7102</v>
      </c>
      <c r="E11655" t="s">
        <v>8</v>
      </c>
      <c r="F11655" t="s">
        <v>11663</v>
      </c>
      <c r="G11655">
        <v>2</v>
      </c>
    </row>
    <row r="11656" spans="1:7" x14ac:dyDescent="0.25">
      <c r="A11656">
        <v>36</v>
      </c>
      <c r="B11656" t="s">
        <v>11634</v>
      </c>
      <c r="C11656">
        <v>21509</v>
      </c>
      <c r="D11656" t="str">
        <f>"1940-1493"</f>
        <v>1940-1493</v>
      </c>
      <c r="E11656" t="s">
        <v>8</v>
      </c>
      <c r="F11656" t="s">
        <v>11664</v>
      </c>
      <c r="G11656">
        <v>2</v>
      </c>
    </row>
    <row r="11657" spans="1:7" x14ac:dyDescent="0.25">
      <c r="A11657">
        <v>36</v>
      </c>
      <c r="B11657" t="s">
        <v>11634</v>
      </c>
      <c r="C11657">
        <v>12608</v>
      </c>
      <c r="D11657" t="str">
        <f>"1744-2591"</f>
        <v>1744-2591</v>
      </c>
      <c r="E11657" t="s">
        <v>8</v>
      </c>
      <c r="F11657" t="s">
        <v>11665</v>
      </c>
      <c r="G11657">
        <v>2</v>
      </c>
    </row>
    <row r="11658" spans="1:7" x14ac:dyDescent="0.25">
      <c r="A11658">
        <v>36</v>
      </c>
      <c r="B11658" t="s">
        <v>11634</v>
      </c>
      <c r="C11658">
        <v>140094</v>
      </c>
      <c r="D11658" t="str">
        <f>"1392-3730"</f>
        <v>1392-3730</v>
      </c>
      <c r="E11658" t="s">
        <v>8</v>
      </c>
      <c r="F11658" t="s">
        <v>11666</v>
      </c>
      <c r="G11658">
        <v>2</v>
      </c>
    </row>
    <row r="11659" spans="1:7" x14ac:dyDescent="0.25">
      <c r="A11659">
        <v>36</v>
      </c>
      <c r="B11659" t="s">
        <v>11634</v>
      </c>
      <c r="C11659">
        <v>1974</v>
      </c>
      <c r="D11659" t="str">
        <f>"1090-0268"</f>
        <v>1090-0268</v>
      </c>
      <c r="E11659" t="s">
        <v>8</v>
      </c>
      <c r="F11659" t="s">
        <v>11667</v>
      </c>
      <c r="G11659">
        <v>2</v>
      </c>
    </row>
    <row r="11660" spans="1:7" x14ac:dyDescent="0.25">
      <c r="A11660">
        <v>36</v>
      </c>
      <c r="B11660" t="s">
        <v>11634</v>
      </c>
      <c r="C11660">
        <v>72098</v>
      </c>
      <c r="D11660" t="str">
        <f>"1555-1415"</f>
        <v>1555-1415</v>
      </c>
      <c r="E11660" t="s">
        <v>8</v>
      </c>
      <c r="F11660" t="s">
        <v>11668</v>
      </c>
      <c r="G11660">
        <v>2</v>
      </c>
    </row>
    <row r="11661" spans="1:7" x14ac:dyDescent="0.25">
      <c r="A11661">
        <v>36</v>
      </c>
      <c r="B11661" t="s">
        <v>11634</v>
      </c>
      <c r="C11661">
        <v>14778</v>
      </c>
      <c r="D11661" t="str">
        <f>"0887-3801"</f>
        <v>0887-3801</v>
      </c>
      <c r="E11661" t="s">
        <v>8</v>
      </c>
      <c r="F11661" t="s">
        <v>11669</v>
      </c>
      <c r="G11661">
        <v>2</v>
      </c>
    </row>
    <row r="11662" spans="1:7" x14ac:dyDescent="0.25">
      <c r="A11662">
        <v>36</v>
      </c>
      <c r="B11662" t="s">
        <v>11634</v>
      </c>
      <c r="C11662">
        <v>16461</v>
      </c>
      <c r="D11662" t="str">
        <f>"0143-974X"</f>
        <v>0143-974X</v>
      </c>
      <c r="E11662" t="s">
        <v>8</v>
      </c>
      <c r="F11662" t="s">
        <v>11670</v>
      </c>
      <c r="G11662">
        <v>2</v>
      </c>
    </row>
    <row r="11663" spans="1:7" x14ac:dyDescent="0.25">
      <c r="A11663">
        <v>36</v>
      </c>
      <c r="B11663" t="s">
        <v>11634</v>
      </c>
      <c r="C11663">
        <v>1240</v>
      </c>
      <c r="D11663" t="str">
        <f>"0733-9399"</f>
        <v>0733-9399</v>
      </c>
      <c r="E11663" t="s">
        <v>8</v>
      </c>
      <c r="F11663" t="s">
        <v>11671</v>
      </c>
      <c r="G11663">
        <v>2</v>
      </c>
    </row>
    <row r="11664" spans="1:7" x14ac:dyDescent="0.25">
      <c r="A11664">
        <v>36</v>
      </c>
      <c r="B11664" t="s">
        <v>11634</v>
      </c>
      <c r="C11664">
        <v>15066</v>
      </c>
      <c r="D11664" t="str">
        <f>"1090-0241"</f>
        <v>1090-0241</v>
      </c>
      <c r="E11664" t="s">
        <v>8</v>
      </c>
      <c r="F11664" t="s">
        <v>11672</v>
      </c>
      <c r="G11664">
        <v>2</v>
      </c>
    </row>
    <row r="11665" spans="1:7" x14ac:dyDescent="0.25">
      <c r="A11665">
        <v>36</v>
      </c>
      <c r="B11665" t="s">
        <v>11634</v>
      </c>
      <c r="C11665">
        <v>12438</v>
      </c>
      <c r="D11665" t="str">
        <f>"0733-9429"</f>
        <v>0733-9429</v>
      </c>
      <c r="E11665" t="s">
        <v>8</v>
      </c>
      <c r="F11665" t="s">
        <v>11673</v>
      </c>
      <c r="G11665">
        <v>2</v>
      </c>
    </row>
    <row r="11666" spans="1:7" x14ac:dyDescent="0.25">
      <c r="A11666">
        <v>36</v>
      </c>
      <c r="B11666" t="s">
        <v>11634</v>
      </c>
      <c r="C11666">
        <v>13069</v>
      </c>
      <c r="D11666" t="str">
        <f>"2046-4177"</f>
        <v>2046-4177</v>
      </c>
      <c r="E11666" t="s">
        <v>8</v>
      </c>
      <c r="F11666" t="s">
        <v>11674</v>
      </c>
      <c r="G11666">
        <v>2</v>
      </c>
    </row>
    <row r="11667" spans="1:7" x14ac:dyDescent="0.25">
      <c r="A11667">
        <v>36</v>
      </c>
      <c r="B11667" t="s">
        <v>11634</v>
      </c>
      <c r="C11667">
        <v>3871</v>
      </c>
      <c r="D11667" t="str">
        <f>"1226-5594"</f>
        <v>1226-5594</v>
      </c>
      <c r="E11667" t="s">
        <v>8</v>
      </c>
      <c r="F11667" t="s">
        <v>11675</v>
      </c>
      <c r="G11667">
        <v>2</v>
      </c>
    </row>
    <row r="11668" spans="1:7" x14ac:dyDescent="0.25">
      <c r="A11668">
        <v>36</v>
      </c>
      <c r="B11668" t="s">
        <v>11634</v>
      </c>
      <c r="C11668">
        <v>3904</v>
      </c>
      <c r="D11668" t="str">
        <f>"0733-9445"</f>
        <v>0733-9445</v>
      </c>
      <c r="E11668" t="s">
        <v>8</v>
      </c>
      <c r="F11668" t="s">
        <v>11676</v>
      </c>
      <c r="G11668">
        <v>2</v>
      </c>
    </row>
    <row r="11669" spans="1:7" x14ac:dyDescent="0.25">
      <c r="A11669">
        <v>36</v>
      </c>
      <c r="B11669" t="s">
        <v>11634</v>
      </c>
      <c r="C11669">
        <v>10893</v>
      </c>
      <c r="D11669" t="str">
        <f>"0733-950X"</f>
        <v>0733-950X</v>
      </c>
      <c r="E11669" t="s">
        <v>8</v>
      </c>
      <c r="F11669" t="s">
        <v>11677</v>
      </c>
      <c r="G11669">
        <v>2</v>
      </c>
    </row>
    <row r="11670" spans="1:7" x14ac:dyDescent="0.25">
      <c r="A11670">
        <v>36</v>
      </c>
      <c r="B11670" t="s">
        <v>11634</v>
      </c>
      <c r="C11670">
        <v>16198</v>
      </c>
      <c r="D11670" t="str">
        <f>"1612-510X"</f>
        <v>1612-510X</v>
      </c>
      <c r="E11670" t="s">
        <v>8</v>
      </c>
      <c r="F11670" t="s">
        <v>11678</v>
      </c>
      <c r="G11670">
        <v>2</v>
      </c>
    </row>
    <row r="11671" spans="1:7" x14ac:dyDescent="0.25">
      <c r="A11671">
        <v>36</v>
      </c>
      <c r="B11671" t="s">
        <v>11634</v>
      </c>
      <c r="C11671">
        <v>11508</v>
      </c>
      <c r="D11671" t="str">
        <f>"0951-8339"</f>
        <v>0951-8339</v>
      </c>
      <c r="E11671" t="s">
        <v>8</v>
      </c>
      <c r="F11671" t="s">
        <v>11679</v>
      </c>
      <c r="G11671">
        <v>2</v>
      </c>
    </row>
    <row r="11672" spans="1:7" x14ac:dyDescent="0.25">
      <c r="A11672">
        <v>36</v>
      </c>
      <c r="B11672" t="s">
        <v>11634</v>
      </c>
      <c r="C11672">
        <v>5064</v>
      </c>
      <c r="D11672" t="str">
        <f>"0266-8920"</f>
        <v>0266-8920</v>
      </c>
      <c r="E11672" t="s">
        <v>8</v>
      </c>
      <c r="F11672" t="s">
        <v>11680</v>
      </c>
      <c r="G11672">
        <v>2</v>
      </c>
    </row>
    <row r="11673" spans="1:7" x14ac:dyDescent="0.25">
      <c r="A11673">
        <v>36</v>
      </c>
      <c r="B11673" t="s">
        <v>11634</v>
      </c>
      <c r="C11673">
        <v>16887</v>
      </c>
      <c r="D11673" t="str">
        <f>"1478-4637"</f>
        <v>1478-4637</v>
      </c>
      <c r="E11673" t="s">
        <v>8</v>
      </c>
      <c r="F11673" t="s">
        <v>11681</v>
      </c>
      <c r="G11673">
        <v>2</v>
      </c>
    </row>
    <row r="11674" spans="1:7" x14ac:dyDescent="0.25">
      <c r="A11674">
        <v>36</v>
      </c>
      <c r="B11674" t="s">
        <v>11634</v>
      </c>
      <c r="C11674">
        <v>4</v>
      </c>
      <c r="D11674" t="str">
        <f>"1747-650X"</f>
        <v>1747-650X</v>
      </c>
      <c r="E11674" t="s">
        <v>8</v>
      </c>
      <c r="F11674" t="s">
        <v>11682</v>
      </c>
      <c r="G11674">
        <v>2</v>
      </c>
    </row>
    <row r="11675" spans="1:7" x14ac:dyDescent="0.25">
      <c r="A11675">
        <v>36</v>
      </c>
      <c r="B11675" t="s">
        <v>11634</v>
      </c>
      <c r="C11675">
        <v>49324</v>
      </c>
      <c r="D11675" t="str">
        <f>"1755-0777"</f>
        <v>1755-0777</v>
      </c>
      <c r="E11675" t="s">
        <v>8</v>
      </c>
      <c r="F11675" t="s">
        <v>11683</v>
      </c>
      <c r="G11675">
        <v>2</v>
      </c>
    </row>
    <row r="11676" spans="1:7" x14ac:dyDescent="0.25">
      <c r="A11676">
        <v>36</v>
      </c>
      <c r="B11676" t="s">
        <v>11634</v>
      </c>
      <c r="C11676">
        <v>16049</v>
      </c>
      <c r="D11676" t="str">
        <f>"1755-0750"</f>
        <v>1755-0750</v>
      </c>
      <c r="E11676" t="s">
        <v>8</v>
      </c>
      <c r="F11676" t="s">
        <v>11684</v>
      </c>
      <c r="G11676">
        <v>2</v>
      </c>
    </row>
    <row r="11677" spans="1:7" x14ac:dyDescent="0.25">
      <c r="A11677">
        <v>36</v>
      </c>
      <c r="B11677" t="s">
        <v>11634</v>
      </c>
      <c r="C11677">
        <v>5010056</v>
      </c>
      <c r="D11677" t="str">
        <f>"2156-1028"</f>
        <v>2156-1028</v>
      </c>
      <c r="E11677" t="s">
        <v>2100</v>
      </c>
      <c r="F11677" t="s">
        <v>11685</v>
      </c>
      <c r="G11677">
        <v>2</v>
      </c>
    </row>
    <row r="11678" spans="1:7" x14ac:dyDescent="0.25">
      <c r="A11678">
        <v>36</v>
      </c>
      <c r="B11678" t="s">
        <v>11634</v>
      </c>
      <c r="C11678">
        <v>4852</v>
      </c>
      <c r="D11678" t="str">
        <f>"1468-0629"</f>
        <v>1468-0629</v>
      </c>
      <c r="E11678" t="s">
        <v>8</v>
      </c>
      <c r="F11678" t="s">
        <v>11686</v>
      </c>
      <c r="G11678">
        <v>2</v>
      </c>
    </row>
    <row r="11679" spans="1:7" x14ac:dyDescent="0.25">
      <c r="A11679">
        <v>36</v>
      </c>
      <c r="B11679" t="s">
        <v>11634</v>
      </c>
      <c r="C11679">
        <v>4900</v>
      </c>
      <c r="D11679" t="str">
        <f>"0267-7261"</f>
        <v>0267-7261</v>
      </c>
      <c r="E11679" t="s">
        <v>8</v>
      </c>
      <c r="F11679" t="s">
        <v>11687</v>
      </c>
      <c r="G11679">
        <v>2</v>
      </c>
    </row>
    <row r="11680" spans="1:7" x14ac:dyDescent="0.25">
      <c r="A11680">
        <v>36</v>
      </c>
      <c r="B11680" t="s">
        <v>11634</v>
      </c>
      <c r="C11680">
        <v>3016</v>
      </c>
      <c r="D11680" t="str">
        <f>"1475-9217"</f>
        <v>1475-9217</v>
      </c>
      <c r="E11680" t="s">
        <v>8</v>
      </c>
      <c r="F11680" t="s">
        <v>11688</v>
      </c>
      <c r="G11680">
        <v>2</v>
      </c>
    </row>
    <row r="11681" spans="1:7" x14ac:dyDescent="0.25">
      <c r="A11681">
        <v>36</v>
      </c>
      <c r="B11681" t="s">
        <v>11634</v>
      </c>
      <c r="C11681">
        <v>2087</v>
      </c>
      <c r="D11681" t="str">
        <f>"0167-4730"</f>
        <v>0167-4730</v>
      </c>
      <c r="E11681" t="s">
        <v>8</v>
      </c>
      <c r="F11681" t="s">
        <v>11689</v>
      </c>
      <c r="G11681">
        <v>2</v>
      </c>
    </row>
    <row r="11682" spans="1:7" x14ac:dyDescent="0.25">
      <c r="A11682">
        <v>36</v>
      </c>
      <c r="B11682" t="s">
        <v>11634</v>
      </c>
      <c r="C11682">
        <v>2774</v>
      </c>
      <c r="D11682" t="str">
        <f>"1573-2479"</f>
        <v>1573-2479</v>
      </c>
      <c r="E11682" t="s">
        <v>8</v>
      </c>
      <c r="F11682" t="s">
        <v>11690</v>
      </c>
      <c r="G11682">
        <v>2</v>
      </c>
    </row>
    <row r="11683" spans="1:7" x14ac:dyDescent="0.25">
      <c r="A11683">
        <v>36</v>
      </c>
      <c r="B11683" t="s">
        <v>11634</v>
      </c>
      <c r="C11683">
        <v>22838</v>
      </c>
      <c r="D11683" t="str">
        <f>"1573-062X"</f>
        <v>1573-062X</v>
      </c>
      <c r="E11683" t="s">
        <v>8</v>
      </c>
      <c r="F11683" t="s">
        <v>11691</v>
      </c>
      <c r="G11683">
        <v>2</v>
      </c>
    </row>
    <row r="11684" spans="1:7" x14ac:dyDescent="0.25">
      <c r="A11684">
        <v>36</v>
      </c>
      <c r="B11684" t="s">
        <v>11634</v>
      </c>
      <c r="C11684">
        <v>7691041</v>
      </c>
      <c r="D11684" t="str">
        <f>"2073-4441"</f>
        <v>2073-4441</v>
      </c>
      <c r="E11684" t="s">
        <v>8</v>
      </c>
      <c r="F11684" t="s">
        <v>11692</v>
      </c>
      <c r="G11684">
        <v>2</v>
      </c>
    </row>
    <row r="11685" spans="1:7" x14ac:dyDescent="0.25">
      <c r="A11685">
        <v>36</v>
      </c>
      <c r="B11685" t="s">
        <v>11634</v>
      </c>
      <c r="C11685">
        <v>152129</v>
      </c>
      <c r="D11685" t="str">
        <f>"2153-4721"</f>
        <v>2153-4721</v>
      </c>
      <c r="E11685" t="s">
        <v>8</v>
      </c>
      <c r="F11685" t="s">
        <v>11693</v>
      </c>
      <c r="G11685">
        <v>1</v>
      </c>
    </row>
    <row r="11686" spans="1:7" x14ac:dyDescent="0.25">
      <c r="A11686">
        <v>36</v>
      </c>
      <c r="B11686" t="s">
        <v>11634</v>
      </c>
      <c r="C11686">
        <v>2566</v>
      </c>
      <c r="D11686" t="str">
        <f>"0889-325X"</f>
        <v>0889-325X</v>
      </c>
      <c r="E11686" t="s">
        <v>8</v>
      </c>
      <c r="F11686" t="s">
        <v>11694</v>
      </c>
      <c r="G11686">
        <v>1</v>
      </c>
    </row>
    <row r="11687" spans="1:7" x14ac:dyDescent="0.25">
      <c r="A11687">
        <v>36</v>
      </c>
      <c r="B11687" t="s">
        <v>11634</v>
      </c>
      <c r="C11687">
        <v>12436</v>
      </c>
      <c r="D11687" t="str">
        <f>"0889-3241"</f>
        <v>0889-3241</v>
      </c>
      <c r="E11687" t="s">
        <v>8</v>
      </c>
      <c r="F11687" t="s">
        <v>11695</v>
      </c>
      <c r="G11687">
        <v>1</v>
      </c>
    </row>
    <row r="11688" spans="1:7" x14ac:dyDescent="0.25">
      <c r="A11688">
        <v>36</v>
      </c>
      <c r="B11688" t="s">
        <v>11634</v>
      </c>
      <c r="C11688">
        <v>39615</v>
      </c>
      <c r="D11688" t="str">
        <f>"0814-6039"</f>
        <v>0814-6039</v>
      </c>
      <c r="E11688" t="s">
        <v>8</v>
      </c>
      <c r="F11688" t="s">
        <v>11696</v>
      </c>
      <c r="G11688">
        <v>1</v>
      </c>
    </row>
    <row r="11689" spans="1:7" x14ac:dyDescent="0.25">
      <c r="A11689">
        <v>36</v>
      </c>
      <c r="B11689" t="s">
        <v>11634</v>
      </c>
      <c r="C11689">
        <v>20560</v>
      </c>
      <c r="D11689" t="str">
        <f>"1861-1125"</f>
        <v>1861-1125</v>
      </c>
      <c r="E11689" t="s">
        <v>8</v>
      </c>
      <c r="F11689" t="s">
        <v>11697</v>
      </c>
      <c r="G11689">
        <v>1</v>
      </c>
    </row>
    <row r="11690" spans="1:7" x14ac:dyDescent="0.25">
      <c r="A11690">
        <v>36</v>
      </c>
      <c r="B11690" t="s">
        <v>11634</v>
      </c>
      <c r="C11690">
        <v>139243</v>
      </c>
      <c r="D11690" t="str">
        <f>"1335-1788"</f>
        <v>1335-1788</v>
      </c>
      <c r="E11690" t="s">
        <v>8</v>
      </c>
      <c r="F11690" t="s">
        <v>11698</v>
      </c>
      <c r="G11690">
        <v>1</v>
      </c>
    </row>
    <row r="11691" spans="1:7" x14ac:dyDescent="0.25">
      <c r="A11691">
        <v>36</v>
      </c>
      <c r="B11691" t="s">
        <v>11634</v>
      </c>
      <c r="C11691">
        <v>7952</v>
      </c>
      <c r="D11691" t="str">
        <f>"0924-3046"</f>
        <v>0924-3046</v>
      </c>
      <c r="E11691" t="s">
        <v>8</v>
      </c>
      <c r="F11691" t="s">
        <v>11699</v>
      </c>
      <c r="G11691">
        <v>1</v>
      </c>
    </row>
    <row r="11692" spans="1:7" x14ac:dyDescent="0.25">
      <c r="A11692">
        <v>36</v>
      </c>
      <c r="B11692" t="s">
        <v>11634</v>
      </c>
      <c r="C11692">
        <v>11181</v>
      </c>
      <c r="D11692" t="str">
        <f>"0951-7197"</f>
        <v>0951-7197</v>
      </c>
      <c r="E11692" t="s">
        <v>8</v>
      </c>
      <c r="F11692" t="s">
        <v>11700</v>
      </c>
      <c r="G11692">
        <v>1</v>
      </c>
    </row>
    <row r="11693" spans="1:7" x14ac:dyDescent="0.25">
      <c r="A11693">
        <v>36</v>
      </c>
      <c r="B11693" t="s">
        <v>11634</v>
      </c>
      <c r="C11693">
        <v>76575</v>
      </c>
      <c r="D11693" t="str">
        <f>"1687-8086"</f>
        <v>1687-8086</v>
      </c>
      <c r="E11693" t="s">
        <v>8</v>
      </c>
      <c r="F11693" t="s">
        <v>11701</v>
      </c>
      <c r="G11693">
        <v>1</v>
      </c>
    </row>
    <row r="11694" spans="1:7" x14ac:dyDescent="0.25">
      <c r="A11694">
        <v>36</v>
      </c>
      <c r="B11694" t="s">
        <v>11634</v>
      </c>
      <c r="C11694">
        <v>19581</v>
      </c>
      <c r="D11694" t="str">
        <f>"0084-5841"</f>
        <v>0084-5841</v>
      </c>
      <c r="E11694" t="s">
        <v>8</v>
      </c>
      <c r="F11694" t="s">
        <v>11702</v>
      </c>
      <c r="G11694">
        <v>1</v>
      </c>
    </row>
    <row r="11695" spans="1:7" x14ac:dyDescent="0.25">
      <c r="A11695">
        <v>36</v>
      </c>
      <c r="B11695" t="s">
        <v>11634</v>
      </c>
      <c r="C11695">
        <v>6020313</v>
      </c>
      <c r="D11695" t="str">
        <f>"1866-7511"</f>
        <v>1866-7511</v>
      </c>
      <c r="E11695" t="s">
        <v>8</v>
      </c>
      <c r="F11695" t="s">
        <v>11703</v>
      </c>
      <c r="G11695">
        <v>1</v>
      </c>
    </row>
    <row r="11696" spans="1:7" x14ac:dyDescent="0.25">
      <c r="A11696">
        <v>36</v>
      </c>
      <c r="B11696" t="s">
        <v>11634</v>
      </c>
      <c r="C11696">
        <v>49454</v>
      </c>
      <c r="D11696" t="str">
        <f>"0137-5075"</f>
        <v>0137-5075</v>
      </c>
      <c r="E11696" t="s">
        <v>8</v>
      </c>
      <c r="F11696" t="s">
        <v>11704</v>
      </c>
      <c r="G11696">
        <v>1</v>
      </c>
    </row>
    <row r="11697" spans="1:7" x14ac:dyDescent="0.25">
      <c r="A11697">
        <v>36</v>
      </c>
      <c r="B11697" t="s">
        <v>11634</v>
      </c>
      <c r="C11697">
        <v>6021248</v>
      </c>
      <c r="D11697" t="str">
        <f>"1644-9665"</f>
        <v>1644-9665</v>
      </c>
      <c r="E11697" t="s">
        <v>8</v>
      </c>
      <c r="F11697" t="s">
        <v>11705</v>
      </c>
      <c r="G11697">
        <v>1</v>
      </c>
    </row>
    <row r="11698" spans="1:7" x14ac:dyDescent="0.25">
      <c r="A11698">
        <v>36</v>
      </c>
      <c r="B11698" t="s">
        <v>11634</v>
      </c>
      <c r="C11698">
        <v>17662</v>
      </c>
      <c r="D11698" t="str">
        <f>"0373-2029"</f>
        <v>0373-2029</v>
      </c>
      <c r="E11698" t="s">
        <v>8</v>
      </c>
      <c r="F11698" t="s">
        <v>11706</v>
      </c>
      <c r="G11698">
        <v>1</v>
      </c>
    </row>
    <row r="11699" spans="1:7" x14ac:dyDescent="0.25">
      <c r="A11699">
        <v>36</v>
      </c>
      <c r="B11699" t="s">
        <v>11634</v>
      </c>
      <c r="C11699">
        <v>14833</v>
      </c>
      <c r="D11699" t="str">
        <f>"1563-0854"</f>
        <v>1563-0854</v>
      </c>
      <c r="E11699" t="s">
        <v>8</v>
      </c>
      <c r="F11699" t="s">
        <v>11707</v>
      </c>
      <c r="G11699">
        <v>1</v>
      </c>
    </row>
    <row r="11700" spans="1:7" x14ac:dyDescent="0.25">
      <c r="A11700">
        <v>36</v>
      </c>
      <c r="B11700" t="s">
        <v>11634</v>
      </c>
      <c r="C11700">
        <v>24599</v>
      </c>
      <c r="D11700" t="str">
        <f>"0005-6650"</f>
        <v>0005-6650</v>
      </c>
      <c r="E11700" t="s">
        <v>8</v>
      </c>
      <c r="F11700" t="s">
        <v>11708</v>
      </c>
      <c r="G11700">
        <v>1</v>
      </c>
    </row>
    <row r="11701" spans="1:7" x14ac:dyDescent="0.25">
      <c r="A11701">
        <v>36</v>
      </c>
      <c r="B11701" t="s">
        <v>11634</v>
      </c>
      <c r="C11701">
        <v>24671</v>
      </c>
      <c r="D11701" t="str">
        <f>"0171-5445"</f>
        <v>0171-5445</v>
      </c>
      <c r="E11701" t="s">
        <v>8</v>
      </c>
      <c r="F11701" t="s">
        <v>11709</v>
      </c>
      <c r="G11701">
        <v>1</v>
      </c>
    </row>
    <row r="11702" spans="1:7" x14ac:dyDescent="0.25">
      <c r="A11702">
        <v>36</v>
      </c>
      <c r="B11702" t="s">
        <v>11634</v>
      </c>
      <c r="C11702">
        <v>18489</v>
      </c>
      <c r="D11702" t="str">
        <f>"0932-8351"</f>
        <v>0932-8351</v>
      </c>
      <c r="E11702" t="s">
        <v>8</v>
      </c>
      <c r="F11702" t="s">
        <v>11710</v>
      </c>
      <c r="G11702">
        <v>1</v>
      </c>
    </row>
    <row r="11703" spans="1:7" x14ac:dyDescent="0.25">
      <c r="A11703">
        <v>36</v>
      </c>
      <c r="B11703" t="s">
        <v>11634</v>
      </c>
      <c r="C11703">
        <v>19227</v>
      </c>
      <c r="D11703" t="str">
        <f>"0005-9900"</f>
        <v>0005-9900</v>
      </c>
      <c r="E11703" t="s">
        <v>8</v>
      </c>
      <c r="F11703" t="s">
        <v>11711</v>
      </c>
      <c r="G11703">
        <v>1</v>
      </c>
    </row>
    <row r="11704" spans="1:7" x14ac:dyDescent="0.25">
      <c r="A11704">
        <v>36</v>
      </c>
      <c r="B11704" t="s">
        <v>11634</v>
      </c>
      <c r="C11704">
        <v>7744207</v>
      </c>
      <c r="D11704" t="str">
        <f>"2194-9832"</f>
        <v>2194-9832</v>
      </c>
      <c r="E11704" t="s">
        <v>15</v>
      </c>
      <c r="F11704" t="s">
        <v>11712</v>
      </c>
      <c r="G11704">
        <v>1</v>
      </c>
    </row>
    <row r="11705" spans="1:7" x14ac:dyDescent="0.25">
      <c r="A11705">
        <v>36</v>
      </c>
      <c r="B11705" t="s">
        <v>11634</v>
      </c>
      <c r="C11705">
        <v>15462</v>
      </c>
      <c r="D11705" t="str">
        <f>"0143-6244"</f>
        <v>0143-6244</v>
      </c>
      <c r="E11705" t="s">
        <v>8</v>
      </c>
      <c r="F11705" t="s">
        <v>11713</v>
      </c>
      <c r="G11705">
        <v>1</v>
      </c>
    </row>
    <row r="11706" spans="1:7" x14ac:dyDescent="0.25">
      <c r="A11706">
        <v>36</v>
      </c>
      <c r="B11706" t="s">
        <v>11634</v>
      </c>
      <c r="C11706">
        <v>19172</v>
      </c>
      <c r="D11706" t="str">
        <f>"0239-7528"</f>
        <v>0239-7528</v>
      </c>
      <c r="E11706" t="s">
        <v>8</v>
      </c>
      <c r="F11706" t="s">
        <v>11714</v>
      </c>
      <c r="G11706">
        <v>1</v>
      </c>
    </row>
    <row r="11707" spans="1:7" x14ac:dyDescent="0.25">
      <c r="A11707">
        <v>36</v>
      </c>
      <c r="B11707" t="s">
        <v>11634</v>
      </c>
      <c r="C11707">
        <v>5010981</v>
      </c>
      <c r="E11707" t="s">
        <v>2100</v>
      </c>
      <c r="F11707" t="s">
        <v>11715</v>
      </c>
      <c r="G11707">
        <v>1</v>
      </c>
    </row>
    <row r="11708" spans="1:7" x14ac:dyDescent="0.25">
      <c r="A11708">
        <v>36</v>
      </c>
      <c r="B11708" t="s">
        <v>11634</v>
      </c>
      <c r="C11708">
        <v>7183</v>
      </c>
      <c r="D11708" t="str">
        <f>"0008-3674"</f>
        <v>0008-3674</v>
      </c>
      <c r="E11708" t="s">
        <v>8</v>
      </c>
      <c r="F11708" t="s">
        <v>11716</v>
      </c>
      <c r="G11708">
        <v>1</v>
      </c>
    </row>
    <row r="11709" spans="1:7" x14ac:dyDescent="0.25">
      <c r="A11709">
        <v>36</v>
      </c>
      <c r="B11709" t="s">
        <v>11634</v>
      </c>
      <c r="C11709">
        <v>5483</v>
      </c>
      <c r="D11709" t="str">
        <f>"0315-1468"</f>
        <v>0315-1468</v>
      </c>
      <c r="E11709" t="s">
        <v>8</v>
      </c>
      <c r="F11709" t="s">
        <v>11717</v>
      </c>
      <c r="G11709">
        <v>1</v>
      </c>
    </row>
    <row r="11710" spans="1:7" x14ac:dyDescent="0.25">
      <c r="A11710">
        <v>36</v>
      </c>
      <c r="B11710" t="s">
        <v>11634</v>
      </c>
      <c r="C11710">
        <v>6057278</v>
      </c>
      <c r="D11710" t="str">
        <f>"1842-4090"</f>
        <v>1842-4090</v>
      </c>
      <c r="E11710" t="s">
        <v>8</v>
      </c>
      <c r="F11710" t="s">
        <v>11718</v>
      </c>
      <c r="G11710">
        <v>1</v>
      </c>
    </row>
    <row r="11711" spans="1:7" x14ac:dyDescent="0.25">
      <c r="A11711">
        <v>36</v>
      </c>
      <c r="B11711" t="s">
        <v>11634</v>
      </c>
      <c r="C11711">
        <v>72485</v>
      </c>
      <c r="D11711" t="str">
        <f>"1584-2851"</f>
        <v>1584-2851</v>
      </c>
      <c r="E11711" t="s">
        <v>8</v>
      </c>
      <c r="F11711" t="s">
        <v>11719</v>
      </c>
      <c r="G11711">
        <v>1</v>
      </c>
    </row>
    <row r="11712" spans="1:7" x14ac:dyDescent="0.25">
      <c r="A11712">
        <v>36</v>
      </c>
      <c r="B11712" t="s">
        <v>11634</v>
      </c>
      <c r="C11712">
        <v>7741875</v>
      </c>
      <c r="D11712" t="str">
        <f>"2213-2902"</f>
        <v>2213-2902</v>
      </c>
      <c r="E11712" t="s">
        <v>8</v>
      </c>
      <c r="F11712" t="s">
        <v>11720</v>
      </c>
      <c r="G11712">
        <v>1</v>
      </c>
    </row>
    <row r="11713" spans="1:7" x14ac:dyDescent="0.25">
      <c r="A11713">
        <v>36</v>
      </c>
      <c r="B11713" t="s">
        <v>11634</v>
      </c>
      <c r="C11713">
        <v>8783795</v>
      </c>
      <c r="E11713" t="s">
        <v>15</v>
      </c>
      <c r="F11713" t="s">
        <v>11721</v>
      </c>
      <c r="G11713">
        <v>1</v>
      </c>
    </row>
    <row r="11714" spans="1:7" x14ac:dyDescent="0.25">
      <c r="A11714">
        <v>36</v>
      </c>
      <c r="B11714" t="s">
        <v>11634</v>
      </c>
      <c r="C11714">
        <v>4838</v>
      </c>
      <c r="D11714" t="str">
        <f>"0885-7024"</f>
        <v>0885-7024</v>
      </c>
      <c r="E11714" t="s">
        <v>8</v>
      </c>
      <c r="F11714" t="s">
        <v>11722</v>
      </c>
      <c r="G11714">
        <v>1</v>
      </c>
    </row>
    <row r="11715" spans="1:7" x14ac:dyDescent="0.25">
      <c r="A11715">
        <v>36</v>
      </c>
      <c r="B11715" t="s">
        <v>11634</v>
      </c>
      <c r="C11715">
        <v>433</v>
      </c>
      <c r="D11715" t="str">
        <f>"1028-6608"</f>
        <v>1028-6608</v>
      </c>
      <c r="E11715" t="s">
        <v>8</v>
      </c>
      <c r="F11715" t="s">
        <v>11723</v>
      </c>
      <c r="G11715">
        <v>1</v>
      </c>
    </row>
    <row r="11716" spans="1:7" x14ac:dyDescent="0.25">
      <c r="A11716">
        <v>36</v>
      </c>
      <c r="B11716" t="s">
        <v>11634</v>
      </c>
      <c r="C11716">
        <v>10015</v>
      </c>
      <c r="D11716" t="str">
        <f>"2166-4250"</f>
        <v>2166-4250</v>
      </c>
      <c r="E11716" t="s">
        <v>8</v>
      </c>
      <c r="F11716" t="s">
        <v>11724</v>
      </c>
      <c r="G11716">
        <v>1</v>
      </c>
    </row>
    <row r="11717" spans="1:7" x14ac:dyDescent="0.25">
      <c r="A11717">
        <v>36</v>
      </c>
      <c r="B11717" t="s">
        <v>11634</v>
      </c>
      <c r="C11717">
        <v>17040</v>
      </c>
      <c r="D11717" t="str">
        <f>"1598-8198"</f>
        <v>1598-8198</v>
      </c>
      <c r="E11717" t="s">
        <v>8</v>
      </c>
      <c r="F11717" t="s">
        <v>11725</v>
      </c>
      <c r="G11717">
        <v>1</v>
      </c>
    </row>
    <row r="11718" spans="1:7" x14ac:dyDescent="0.25">
      <c r="A11718">
        <v>36</v>
      </c>
      <c r="B11718" t="s">
        <v>11634</v>
      </c>
      <c r="C11718">
        <v>18117</v>
      </c>
      <c r="D11718" t="str">
        <f>"1546-2218"</f>
        <v>1546-2218</v>
      </c>
      <c r="E11718" t="s">
        <v>8</v>
      </c>
      <c r="F11718" t="s">
        <v>11726</v>
      </c>
      <c r="G11718">
        <v>1</v>
      </c>
    </row>
    <row r="11719" spans="1:7" x14ac:dyDescent="0.25">
      <c r="A11719">
        <v>36</v>
      </c>
      <c r="B11719" t="s">
        <v>11634</v>
      </c>
      <c r="C11719">
        <v>5010060</v>
      </c>
      <c r="E11719" t="s">
        <v>2100</v>
      </c>
      <c r="F11719" t="s">
        <v>11727</v>
      </c>
      <c r="G11719">
        <v>1</v>
      </c>
    </row>
    <row r="11720" spans="1:7" x14ac:dyDescent="0.25">
      <c r="A11720">
        <v>36</v>
      </c>
      <c r="B11720" t="s">
        <v>11634</v>
      </c>
      <c r="C11720">
        <v>3398</v>
      </c>
      <c r="E11720" t="s">
        <v>8</v>
      </c>
      <c r="F11720" t="s">
        <v>11728</v>
      </c>
      <c r="G11720">
        <v>1</v>
      </c>
    </row>
    <row r="11721" spans="1:7" x14ac:dyDescent="0.25">
      <c r="A11721">
        <v>36</v>
      </c>
      <c r="B11721" t="s">
        <v>11634</v>
      </c>
      <c r="C11721">
        <v>94547</v>
      </c>
      <c r="D11721" t="str">
        <f>"0267-7768"</f>
        <v>0267-7768</v>
      </c>
      <c r="E11721" t="s">
        <v>8</v>
      </c>
      <c r="F11721" t="s">
        <v>11729</v>
      </c>
      <c r="G11721">
        <v>1</v>
      </c>
    </row>
    <row r="11722" spans="1:7" x14ac:dyDescent="0.25">
      <c r="A11722">
        <v>36</v>
      </c>
      <c r="B11722" t="s">
        <v>11634</v>
      </c>
      <c r="C11722">
        <v>152473</v>
      </c>
      <c r="D11722" t="str">
        <f>"0012-7361"</f>
        <v>0012-7361</v>
      </c>
      <c r="E11722" t="s">
        <v>8</v>
      </c>
      <c r="F11722" t="s">
        <v>11730</v>
      </c>
      <c r="G11722">
        <v>1</v>
      </c>
    </row>
    <row r="11723" spans="1:7" x14ac:dyDescent="0.25">
      <c r="A11723">
        <v>36</v>
      </c>
      <c r="B11723" t="s">
        <v>11634</v>
      </c>
      <c r="C11723">
        <v>7692523</v>
      </c>
      <c r="D11723" t="str">
        <f>"2092-7614"</f>
        <v>2092-7614</v>
      </c>
      <c r="E11723" t="s">
        <v>8</v>
      </c>
      <c r="F11723" t="s">
        <v>11731</v>
      </c>
      <c r="G11723">
        <v>1</v>
      </c>
    </row>
    <row r="11724" spans="1:7" x14ac:dyDescent="0.25">
      <c r="A11724">
        <v>36</v>
      </c>
      <c r="B11724" t="s">
        <v>11634</v>
      </c>
      <c r="C11724">
        <v>25785</v>
      </c>
      <c r="D11724" t="str">
        <f>"1671-3664"</f>
        <v>1671-3664</v>
      </c>
      <c r="E11724" t="s">
        <v>8</v>
      </c>
      <c r="F11724" t="s">
        <v>11732</v>
      </c>
      <c r="G11724">
        <v>1</v>
      </c>
    </row>
    <row r="11725" spans="1:7" x14ac:dyDescent="0.25">
      <c r="A11725">
        <v>36</v>
      </c>
      <c r="B11725" t="s">
        <v>11634</v>
      </c>
      <c r="C11725">
        <v>8010</v>
      </c>
      <c r="D11725" t="str">
        <f>"8755-2930"</f>
        <v>8755-2930</v>
      </c>
      <c r="E11725" t="s">
        <v>8</v>
      </c>
      <c r="F11725" t="s">
        <v>11733</v>
      </c>
      <c r="G11725">
        <v>1</v>
      </c>
    </row>
    <row r="11726" spans="1:7" x14ac:dyDescent="0.25">
      <c r="A11726">
        <v>36</v>
      </c>
      <c r="B11726" t="s">
        <v>11634</v>
      </c>
      <c r="C11726">
        <v>8758275</v>
      </c>
      <c r="D11726" t="str">
        <f>"1653-7025 "</f>
        <v xml:space="preserve">1653-7025 </v>
      </c>
      <c r="E11726" t="s">
        <v>2100</v>
      </c>
      <c r="F11726" t="s">
        <v>11734</v>
      </c>
      <c r="G11726">
        <v>1</v>
      </c>
    </row>
    <row r="11727" spans="1:7" x14ac:dyDescent="0.25">
      <c r="A11727">
        <v>36</v>
      </c>
      <c r="B11727" t="s">
        <v>11634</v>
      </c>
      <c r="C11727">
        <v>3152</v>
      </c>
      <c r="E11727" t="s">
        <v>8</v>
      </c>
      <c r="F11727" t="s">
        <v>11735</v>
      </c>
      <c r="G11727">
        <v>1</v>
      </c>
    </row>
    <row r="11728" spans="1:7" x14ac:dyDescent="0.25">
      <c r="A11728">
        <v>36</v>
      </c>
      <c r="B11728" t="s">
        <v>11634</v>
      </c>
      <c r="C11728">
        <v>6100950</v>
      </c>
      <c r="D11728" t="str">
        <f>"1876-6102"</f>
        <v>1876-6102</v>
      </c>
      <c r="E11728" t="s">
        <v>8</v>
      </c>
      <c r="F11728" t="s">
        <v>11736</v>
      </c>
      <c r="G11728">
        <v>1</v>
      </c>
    </row>
    <row r="11729" spans="1:7" x14ac:dyDescent="0.25">
      <c r="A11729">
        <v>36</v>
      </c>
      <c r="B11729" t="s">
        <v>11634</v>
      </c>
      <c r="C11729">
        <v>6101167</v>
      </c>
      <c r="D11729" t="str">
        <f>"1947-3931"</f>
        <v>1947-3931</v>
      </c>
      <c r="E11729" t="s">
        <v>8</v>
      </c>
      <c r="F11729" t="s">
        <v>11737</v>
      </c>
      <c r="G11729">
        <v>1</v>
      </c>
    </row>
    <row r="11730" spans="1:7" x14ac:dyDescent="0.25">
      <c r="A11730">
        <v>36</v>
      </c>
      <c r="B11730" t="s">
        <v>11634</v>
      </c>
      <c r="C11730">
        <v>2510</v>
      </c>
      <c r="D11730" t="str">
        <f>"0013-8029"</f>
        <v>0013-8029</v>
      </c>
      <c r="E11730" t="s">
        <v>8</v>
      </c>
      <c r="F11730" t="s">
        <v>11738</v>
      </c>
      <c r="G11730">
        <v>1</v>
      </c>
    </row>
    <row r="11731" spans="1:7" x14ac:dyDescent="0.25">
      <c r="A11731">
        <v>36</v>
      </c>
      <c r="B11731" t="s">
        <v>11634</v>
      </c>
      <c r="C11731">
        <v>136125</v>
      </c>
      <c r="D11731" t="str">
        <f>"0324-8828"</f>
        <v>0324-8828</v>
      </c>
      <c r="E11731" t="s">
        <v>8</v>
      </c>
      <c r="F11731" t="s">
        <v>11739</v>
      </c>
      <c r="G11731">
        <v>1</v>
      </c>
    </row>
    <row r="11732" spans="1:7" x14ac:dyDescent="0.25">
      <c r="A11732">
        <v>36</v>
      </c>
      <c r="B11732" t="s">
        <v>11634</v>
      </c>
      <c r="C11732">
        <v>5036</v>
      </c>
      <c r="D11732" t="str">
        <f>"1567-7419"</f>
        <v>1567-7419</v>
      </c>
      <c r="E11732" t="s">
        <v>8</v>
      </c>
      <c r="F11732" t="s">
        <v>11740</v>
      </c>
      <c r="G11732">
        <v>1</v>
      </c>
    </row>
    <row r="11733" spans="1:7" x14ac:dyDescent="0.25">
      <c r="A11733">
        <v>36</v>
      </c>
      <c r="B11733" t="s">
        <v>11634</v>
      </c>
      <c r="C11733">
        <v>6102418</v>
      </c>
      <c r="D11733" t="str">
        <f>"1944-7442"</f>
        <v>1944-7442</v>
      </c>
      <c r="E11733" t="s">
        <v>8</v>
      </c>
      <c r="F11733" t="s">
        <v>11741</v>
      </c>
      <c r="G11733">
        <v>1</v>
      </c>
    </row>
    <row r="11734" spans="1:7" x14ac:dyDescent="0.25">
      <c r="A11734">
        <v>36</v>
      </c>
      <c r="B11734" t="s">
        <v>11634</v>
      </c>
      <c r="C11734">
        <v>5010078</v>
      </c>
      <c r="E11734" t="s">
        <v>2100</v>
      </c>
      <c r="F11734" t="s">
        <v>11742</v>
      </c>
      <c r="G11734">
        <v>1</v>
      </c>
    </row>
    <row r="11735" spans="1:7" x14ac:dyDescent="0.25">
      <c r="A11735">
        <v>36</v>
      </c>
      <c r="B11735" t="s">
        <v>11634</v>
      </c>
      <c r="C11735">
        <v>5010075</v>
      </c>
      <c r="E11735" t="s">
        <v>2100</v>
      </c>
      <c r="F11735" t="s">
        <v>11743</v>
      </c>
      <c r="G11735">
        <v>1</v>
      </c>
    </row>
    <row r="11736" spans="1:7" x14ac:dyDescent="0.25">
      <c r="A11736">
        <v>36</v>
      </c>
      <c r="B11736" t="s">
        <v>11634</v>
      </c>
      <c r="C11736">
        <v>5010077</v>
      </c>
      <c r="E11736" t="s">
        <v>2100</v>
      </c>
      <c r="F11736" t="s">
        <v>11744</v>
      </c>
      <c r="G11736">
        <v>1</v>
      </c>
    </row>
    <row r="11737" spans="1:7" x14ac:dyDescent="0.25">
      <c r="A11737">
        <v>36</v>
      </c>
      <c r="B11737" t="s">
        <v>11634</v>
      </c>
      <c r="C11737">
        <v>5010983</v>
      </c>
      <c r="E11737" t="s">
        <v>2100</v>
      </c>
      <c r="F11737" t="s">
        <v>11745</v>
      </c>
      <c r="G11737">
        <v>1</v>
      </c>
    </row>
    <row r="11738" spans="1:7" x14ac:dyDescent="0.25">
      <c r="A11738">
        <v>36</v>
      </c>
      <c r="B11738" t="s">
        <v>11634</v>
      </c>
      <c r="C11738">
        <v>10572</v>
      </c>
      <c r="D11738" t="str">
        <f>"8756-758X"</f>
        <v>8756-758X</v>
      </c>
      <c r="E11738" t="s">
        <v>8</v>
      </c>
      <c r="F11738" t="s">
        <v>11746</v>
      </c>
      <c r="G11738">
        <v>1</v>
      </c>
    </row>
    <row r="11739" spans="1:7" x14ac:dyDescent="0.25">
      <c r="A11739">
        <v>36</v>
      </c>
      <c r="B11739" t="s">
        <v>11634</v>
      </c>
      <c r="C11739">
        <v>8782614</v>
      </c>
      <c r="E11739" t="s">
        <v>2100</v>
      </c>
      <c r="F11739" t="s">
        <v>11747</v>
      </c>
      <c r="G11739">
        <v>1</v>
      </c>
    </row>
    <row r="11740" spans="1:7" x14ac:dyDescent="0.25">
      <c r="A11740">
        <v>36</v>
      </c>
      <c r="B11740" t="s">
        <v>11634</v>
      </c>
      <c r="C11740">
        <v>21901</v>
      </c>
      <c r="D11740" t="str">
        <f>"2095-0195"</f>
        <v>2095-0195</v>
      </c>
      <c r="E11740" t="s">
        <v>8</v>
      </c>
      <c r="F11740" t="s">
        <v>11748</v>
      </c>
      <c r="G11740">
        <v>1</v>
      </c>
    </row>
    <row r="11741" spans="1:7" x14ac:dyDescent="0.25">
      <c r="A11741">
        <v>36</v>
      </c>
      <c r="B11741" t="s">
        <v>11634</v>
      </c>
      <c r="C11741">
        <v>24950</v>
      </c>
      <c r="D11741" t="str">
        <f>"2095-0233"</f>
        <v>2095-0233</v>
      </c>
      <c r="E11741" t="s">
        <v>8</v>
      </c>
      <c r="F11741" t="s">
        <v>11749</v>
      </c>
      <c r="G11741">
        <v>1</v>
      </c>
    </row>
    <row r="11742" spans="1:7" x14ac:dyDescent="0.25">
      <c r="A11742">
        <v>36</v>
      </c>
      <c r="B11742" t="s">
        <v>11634</v>
      </c>
      <c r="C11742">
        <v>22828</v>
      </c>
      <c r="D11742" t="str">
        <f>"2095-2430"</f>
        <v>2095-2430</v>
      </c>
      <c r="E11742" t="s">
        <v>8</v>
      </c>
      <c r="F11742" t="s">
        <v>11750</v>
      </c>
      <c r="G11742">
        <v>1</v>
      </c>
    </row>
    <row r="11743" spans="1:7" x14ac:dyDescent="0.25">
      <c r="A11743">
        <v>36</v>
      </c>
      <c r="B11743" t="s">
        <v>11634</v>
      </c>
      <c r="C11743">
        <v>6124551</v>
      </c>
      <c r="D11743" t="str">
        <f>"2005-307X"</f>
        <v>2005-307X</v>
      </c>
      <c r="E11743" t="s">
        <v>8</v>
      </c>
      <c r="F11743" t="s">
        <v>11751</v>
      </c>
      <c r="G11743">
        <v>1</v>
      </c>
    </row>
    <row r="11744" spans="1:7" x14ac:dyDescent="0.25">
      <c r="A11744">
        <v>36</v>
      </c>
      <c r="B11744" t="s">
        <v>11634</v>
      </c>
      <c r="C11744">
        <v>26949</v>
      </c>
      <c r="D11744" t="str">
        <f>"1748-6025"</f>
        <v>1748-6025</v>
      </c>
      <c r="E11744" t="s">
        <v>8</v>
      </c>
      <c r="F11744" t="s">
        <v>11752</v>
      </c>
      <c r="G11744">
        <v>1</v>
      </c>
    </row>
    <row r="11745" spans="1:7" x14ac:dyDescent="0.25">
      <c r="A11745">
        <v>36</v>
      </c>
      <c r="B11745" t="s">
        <v>11634</v>
      </c>
      <c r="C11745">
        <v>14259</v>
      </c>
      <c r="D11745" t="str">
        <f>"0960-3182"</f>
        <v>0960-3182</v>
      </c>
      <c r="E11745" t="s">
        <v>8</v>
      </c>
      <c r="F11745" t="s">
        <v>11753</v>
      </c>
      <c r="G11745">
        <v>1</v>
      </c>
    </row>
    <row r="11746" spans="1:7" x14ac:dyDescent="0.25">
      <c r="A11746">
        <v>36</v>
      </c>
      <c r="B11746" t="s">
        <v>11634</v>
      </c>
      <c r="C11746">
        <v>15552</v>
      </c>
      <c r="D11746" t="str">
        <f>"0149-6115"</f>
        <v>0149-6115</v>
      </c>
      <c r="E11746" t="s">
        <v>8</v>
      </c>
      <c r="F11746" t="s">
        <v>11754</v>
      </c>
      <c r="G11746">
        <v>1</v>
      </c>
    </row>
    <row r="11747" spans="1:7" x14ac:dyDescent="0.25">
      <c r="A11747">
        <v>36</v>
      </c>
      <c r="B11747" t="s">
        <v>11634</v>
      </c>
      <c r="C11747">
        <v>83004</v>
      </c>
      <c r="D11747" t="str">
        <f>"0350-2465"</f>
        <v>0350-2465</v>
      </c>
      <c r="E11747" t="s">
        <v>8</v>
      </c>
      <c r="F11747" t="s">
        <v>11755</v>
      </c>
      <c r="G11747">
        <v>1</v>
      </c>
    </row>
    <row r="11748" spans="1:7" x14ac:dyDescent="0.25">
      <c r="A11748">
        <v>36</v>
      </c>
      <c r="B11748" t="s">
        <v>11634</v>
      </c>
      <c r="C11748">
        <v>5010979</v>
      </c>
      <c r="E11748" t="s">
        <v>2100</v>
      </c>
      <c r="F11748" t="s">
        <v>11756</v>
      </c>
      <c r="G11748">
        <v>1</v>
      </c>
    </row>
    <row r="11749" spans="1:7" x14ac:dyDescent="0.25">
      <c r="A11749">
        <v>36</v>
      </c>
      <c r="B11749" t="s">
        <v>11634</v>
      </c>
      <c r="C11749">
        <v>25438</v>
      </c>
      <c r="D11749" t="str">
        <f>"1064-2285"</f>
        <v>1064-2285</v>
      </c>
      <c r="E11749" t="s">
        <v>8</v>
      </c>
      <c r="F11749" t="s">
        <v>11757</v>
      </c>
      <c r="G11749">
        <v>1</v>
      </c>
    </row>
    <row r="11750" spans="1:7" x14ac:dyDescent="0.25">
      <c r="A11750">
        <v>36</v>
      </c>
      <c r="B11750" t="s">
        <v>11634</v>
      </c>
      <c r="C11750">
        <v>74841</v>
      </c>
      <c r="D11750" t="str">
        <f>"1992-9978"</f>
        <v>1992-9978</v>
      </c>
      <c r="E11750" t="s">
        <v>8</v>
      </c>
      <c r="F11750" t="s">
        <v>11758</v>
      </c>
      <c r="G11750">
        <v>1</v>
      </c>
    </row>
    <row r="11751" spans="1:7" x14ac:dyDescent="0.25">
      <c r="A11751">
        <v>36</v>
      </c>
      <c r="B11751" t="s">
        <v>11634</v>
      </c>
      <c r="C11751">
        <v>5010066</v>
      </c>
      <c r="E11751" t="s">
        <v>2100</v>
      </c>
      <c r="F11751" t="s">
        <v>11759</v>
      </c>
      <c r="G11751">
        <v>1</v>
      </c>
    </row>
    <row r="11752" spans="1:7" x14ac:dyDescent="0.25">
      <c r="A11752">
        <v>36</v>
      </c>
      <c r="B11752" t="s">
        <v>11634</v>
      </c>
      <c r="C11752">
        <v>5010062</v>
      </c>
      <c r="E11752" t="s">
        <v>2100</v>
      </c>
      <c r="F11752" t="s">
        <v>11760</v>
      </c>
      <c r="G11752">
        <v>1</v>
      </c>
    </row>
    <row r="11753" spans="1:7" x14ac:dyDescent="0.25">
      <c r="A11753">
        <v>36</v>
      </c>
      <c r="B11753" t="s">
        <v>11634</v>
      </c>
      <c r="C11753">
        <v>23136</v>
      </c>
      <c r="D11753" t="str">
        <f>"0020-0883"</f>
        <v>0020-0883</v>
      </c>
      <c r="E11753" t="s">
        <v>8</v>
      </c>
      <c r="F11753" t="s">
        <v>11761</v>
      </c>
      <c r="G11753">
        <v>1</v>
      </c>
    </row>
    <row r="11754" spans="1:7" x14ac:dyDescent="0.25">
      <c r="A11754">
        <v>36</v>
      </c>
      <c r="B11754" t="s">
        <v>11634</v>
      </c>
      <c r="C11754">
        <v>8782678</v>
      </c>
      <c r="E11754" t="s">
        <v>2100</v>
      </c>
      <c r="F11754" t="s">
        <v>11762</v>
      </c>
      <c r="G11754">
        <v>1</v>
      </c>
    </row>
    <row r="11755" spans="1:7" x14ac:dyDescent="0.25">
      <c r="A11755">
        <v>36</v>
      </c>
      <c r="B11755" t="s">
        <v>11634</v>
      </c>
      <c r="C11755">
        <v>5010059</v>
      </c>
      <c r="E11755" t="s">
        <v>2100</v>
      </c>
      <c r="F11755" t="s">
        <v>11763</v>
      </c>
      <c r="G11755">
        <v>1</v>
      </c>
    </row>
    <row r="11756" spans="1:7" x14ac:dyDescent="0.25">
      <c r="A11756">
        <v>36</v>
      </c>
      <c r="B11756" t="s">
        <v>11634</v>
      </c>
      <c r="C11756">
        <v>5010073</v>
      </c>
      <c r="E11756" t="s">
        <v>2100</v>
      </c>
      <c r="F11756" t="s">
        <v>11764</v>
      </c>
      <c r="G11756">
        <v>1</v>
      </c>
    </row>
    <row r="11757" spans="1:7" x14ac:dyDescent="0.25">
      <c r="A11757">
        <v>36</v>
      </c>
      <c r="B11757" t="s">
        <v>11634</v>
      </c>
      <c r="C11757">
        <v>7746768</v>
      </c>
      <c r="D11757" t="str">
        <f>"2301-394X"</f>
        <v>2301-394X</v>
      </c>
      <c r="E11757" t="s">
        <v>8</v>
      </c>
      <c r="F11757" t="s">
        <v>11765</v>
      </c>
      <c r="G11757">
        <v>1</v>
      </c>
    </row>
    <row r="11758" spans="1:7" x14ac:dyDescent="0.25">
      <c r="A11758">
        <v>36</v>
      </c>
      <c r="B11758" t="s">
        <v>11634</v>
      </c>
      <c r="C11758">
        <v>5010986</v>
      </c>
      <c r="E11758" t="s">
        <v>2100</v>
      </c>
      <c r="F11758" t="s">
        <v>11766</v>
      </c>
      <c r="G11758">
        <v>1</v>
      </c>
    </row>
    <row r="11759" spans="1:7" x14ac:dyDescent="0.25">
      <c r="A11759">
        <v>36</v>
      </c>
      <c r="B11759" t="s">
        <v>11634</v>
      </c>
      <c r="C11759">
        <v>5020077</v>
      </c>
      <c r="E11759" t="s">
        <v>2100</v>
      </c>
      <c r="F11759" t="s">
        <v>11767</v>
      </c>
      <c r="G11759">
        <v>1</v>
      </c>
    </row>
    <row r="11760" spans="1:7" x14ac:dyDescent="0.25">
      <c r="A11760">
        <v>36</v>
      </c>
      <c r="B11760" t="s">
        <v>11634</v>
      </c>
      <c r="C11760">
        <v>5010984</v>
      </c>
      <c r="E11760" t="s">
        <v>2100</v>
      </c>
      <c r="F11760" t="s">
        <v>11768</v>
      </c>
      <c r="G11760">
        <v>1</v>
      </c>
    </row>
    <row r="11761" spans="1:7" x14ac:dyDescent="0.25">
      <c r="A11761">
        <v>36</v>
      </c>
      <c r="B11761" t="s">
        <v>11634</v>
      </c>
      <c r="C11761">
        <v>5010063</v>
      </c>
      <c r="E11761" t="s">
        <v>2100</v>
      </c>
      <c r="F11761" t="s">
        <v>11769</v>
      </c>
      <c r="G11761">
        <v>1</v>
      </c>
    </row>
    <row r="11762" spans="1:7" x14ac:dyDescent="0.25">
      <c r="A11762">
        <v>36</v>
      </c>
      <c r="B11762" t="s">
        <v>11634</v>
      </c>
      <c r="C11762">
        <v>5020040</v>
      </c>
      <c r="E11762" t="s">
        <v>2100</v>
      </c>
      <c r="F11762" t="s">
        <v>11770</v>
      </c>
      <c r="G11762">
        <v>1</v>
      </c>
    </row>
    <row r="11763" spans="1:7" x14ac:dyDescent="0.25">
      <c r="A11763">
        <v>36</v>
      </c>
      <c r="B11763" t="s">
        <v>11634</v>
      </c>
      <c r="C11763">
        <v>5010067</v>
      </c>
      <c r="E11763" t="s">
        <v>2100</v>
      </c>
      <c r="F11763" t="s">
        <v>11771</v>
      </c>
      <c r="G11763">
        <v>1</v>
      </c>
    </row>
    <row r="11764" spans="1:7" x14ac:dyDescent="0.25">
      <c r="A11764">
        <v>36</v>
      </c>
      <c r="B11764" t="s">
        <v>11634</v>
      </c>
      <c r="C11764">
        <v>5010055</v>
      </c>
      <c r="E11764" t="s">
        <v>2100</v>
      </c>
      <c r="F11764" t="s">
        <v>11772</v>
      </c>
      <c r="G11764">
        <v>1</v>
      </c>
    </row>
    <row r="11765" spans="1:7" x14ac:dyDescent="0.25">
      <c r="A11765">
        <v>36</v>
      </c>
      <c r="B11765" t="s">
        <v>11634</v>
      </c>
      <c r="C11765">
        <v>5020045</v>
      </c>
      <c r="E11765" t="s">
        <v>2100</v>
      </c>
      <c r="F11765" t="s">
        <v>11773</v>
      </c>
      <c r="G11765">
        <v>1</v>
      </c>
    </row>
    <row r="11766" spans="1:7" x14ac:dyDescent="0.25">
      <c r="A11766">
        <v>36</v>
      </c>
      <c r="B11766" t="s">
        <v>11634</v>
      </c>
      <c r="C11766">
        <v>5010076</v>
      </c>
      <c r="E11766" t="s">
        <v>2100</v>
      </c>
      <c r="F11766" t="s">
        <v>11774</v>
      </c>
      <c r="G11766">
        <v>1</v>
      </c>
    </row>
    <row r="11767" spans="1:7" x14ac:dyDescent="0.25">
      <c r="A11767">
        <v>36</v>
      </c>
      <c r="B11767" t="s">
        <v>11634</v>
      </c>
      <c r="C11767">
        <v>5010074</v>
      </c>
      <c r="E11767" t="s">
        <v>2100</v>
      </c>
      <c r="F11767" t="s">
        <v>11775</v>
      </c>
      <c r="G11767">
        <v>1</v>
      </c>
    </row>
    <row r="11768" spans="1:7" x14ac:dyDescent="0.25">
      <c r="A11768">
        <v>36</v>
      </c>
      <c r="B11768" t="s">
        <v>11634</v>
      </c>
      <c r="C11768">
        <v>5020076</v>
      </c>
      <c r="E11768" t="s">
        <v>2100</v>
      </c>
      <c r="F11768" t="s">
        <v>11776</v>
      </c>
      <c r="G11768">
        <v>1</v>
      </c>
    </row>
    <row r="11769" spans="1:7" x14ac:dyDescent="0.25">
      <c r="A11769">
        <v>36</v>
      </c>
      <c r="B11769" t="s">
        <v>11634</v>
      </c>
      <c r="C11769">
        <v>17553</v>
      </c>
      <c r="D11769" t="str">
        <f>"1543-1649"</f>
        <v>1543-1649</v>
      </c>
      <c r="E11769" t="s">
        <v>8</v>
      </c>
      <c r="F11769" t="s">
        <v>11777</v>
      </c>
      <c r="G11769">
        <v>1</v>
      </c>
    </row>
    <row r="11770" spans="1:7" x14ac:dyDescent="0.25">
      <c r="A11770">
        <v>36</v>
      </c>
      <c r="B11770" t="s">
        <v>11634</v>
      </c>
      <c r="C11770">
        <v>20684</v>
      </c>
      <c r="D11770" t="str">
        <f>"1558-3058"</f>
        <v>1558-3058</v>
      </c>
      <c r="E11770" t="s">
        <v>8</v>
      </c>
      <c r="F11770" t="s">
        <v>11778</v>
      </c>
      <c r="G11770">
        <v>1</v>
      </c>
    </row>
    <row r="11771" spans="1:7" x14ac:dyDescent="0.25">
      <c r="A11771">
        <v>36</v>
      </c>
      <c r="B11771" t="s">
        <v>11634</v>
      </c>
      <c r="C11771">
        <v>20869</v>
      </c>
      <c r="D11771" t="str">
        <f>"0219-8762"</f>
        <v>0219-8762</v>
      </c>
      <c r="E11771" t="s">
        <v>8</v>
      </c>
      <c r="F11771" t="s">
        <v>11779</v>
      </c>
      <c r="G11771">
        <v>1</v>
      </c>
    </row>
    <row r="11772" spans="1:7" x14ac:dyDescent="0.25">
      <c r="A11772">
        <v>36</v>
      </c>
      <c r="B11772" t="s">
        <v>11634</v>
      </c>
      <c r="C11772">
        <v>6552</v>
      </c>
      <c r="D11772" t="str">
        <f>"1056-7895"</f>
        <v>1056-7895</v>
      </c>
      <c r="E11772" t="s">
        <v>8</v>
      </c>
      <c r="F11772" t="s">
        <v>11780</v>
      </c>
      <c r="G11772">
        <v>1</v>
      </c>
    </row>
    <row r="11773" spans="1:7" x14ac:dyDescent="0.25">
      <c r="A11773">
        <v>36</v>
      </c>
      <c r="B11773" t="s">
        <v>11634</v>
      </c>
      <c r="C11773">
        <v>7743750</v>
      </c>
      <c r="D11773" t="str">
        <f>"2008-9163"</f>
        <v>2008-9163</v>
      </c>
      <c r="E11773" t="s">
        <v>8</v>
      </c>
      <c r="F11773" t="s">
        <v>11781</v>
      </c>
      <c r="G11773">
        <v>1</v>
      </c>
    </row>
    <row r="11774" spans="1:7" x14ac:dyDescent="0.25">
      <c r="A11774">
        <v>36</v>
      </c>
      <c r="B11774" t="s">
        <v>11634</v>
      </c>
      <c r="C11774">
        <v>13664</v>
      </c>
      <c r="D11774" t="str">
        <f>"2152-5102"</f>
        <v>2152-5102</v>
      </c>
      <c r="E11774" t="s">
        <v>8</v>
      </c>
      <c r="F11774" t="s">
        <v>11782</v>
      </c>
      <c r="G11774">
        <v>1</v>
      </c>
    </row>
    <row r="11775" spans="1:7" x14ac:dyDescent="0.25">
      <c r="A11775">
        <v>36</v>
      </c>
      <c r="B11775" t="s">
        <v>11634</v>
      </c>
      <c r="C11775">
        <v>7754257</v>
      </c>
      <c r="D11775" t="str">
        <f>"2214-1669"</f>
        <v>2214-1669</v>
      </c>
      <c r="E11775" t="s">
        <v>8</v>
      </c>
      <c r="F11775" t="s">
        <v>11783</v>
      </c>
      <c r="G11775">
        <v>1</v>
      </c>
    </row>
    <row r="11776" spans="1:7" x14ac:dyDescent="0.25">
      <c r="A11776">
        <v>36</v>
      </c>
      <c r="B11776" t="s">
        <v>11634</v>
      </c>
      <c r="C11776">
        <v>131658</v>
      </c>
      <c r="D11776" t="str">
        <f>"1479-8751"</f>
        <v>1479-8751</v>
      </c>
      <c r="E11776" t="s">
        <v>8</v>
      </c>
      <c r="F11776" t="s">
        <v>11784</v>
      </c>
      <c r="G11776">
        <v>1</v>
      </c>
    </row>
    <row r="11777" spans="1:7" x14ac:dyDescent="0.25">
      <c r="A11777">
        <v>36</v>
      </c>
      <c r="B11777" t="s">
        <v>11634</v>
      </c>
      <c r="C11777">
        <v>1992</v>
      </c>
      <c r="D11777" t="str">
        <f>"1569-1713"</f>
        <v>1569-1713</v>
      </c>
      <c r="E11777" t="s">
        <v>8</v>
      </c>
      <c r="F11777" t="s">
        <v>11785</v>
      </c>
      <c r="G11777">
        <v>1</v>
      </c>
    </row>
    <row r="11778" spans="1:7" x14ac:dyDescent="0.25">
      <c r="A11778">
        <v>36</v>
      </c>
      <c r="B11778" t="s">
        <v>11634</v>
      </c>
      <c r="C11778">
        <v>6537</v>
      </c>
      <c r="D11778" t="str">
        <f>"1053-5381"</f>
        <v>1053-5381</v>
      </c>
      <c r="E11778" t="s">
        <v>8</v>
      </c>
      <c r="F11778" t="s">
        <v>11786</v>
      </c>
      <c r="G11778">
        <v>1</v>
      </c>
    </row>
    <row r="11779" spans="1:7" x14ac:dyDescent="0.25">
      <c r="A11779">
        <v>36</v>
      </c>
      <c r="B11779" t="s">
        <v>11634</v>
      </c>
      <c r="C11779">
        <v>25256</v>
      </c>
      <c r="D11779" t="str">
        <f>"1559-9612"</f>
        <v>1559-9612</v>
      </c>
      <c r="E11779" t="s">
        <v>8</v>
      </c>
      <c r="F11779" t="s">
        <v>11787</v>
      </c>
      <c r="G11779">
        <v>1</v>
      </c>
    </row>
    <row r="11780" spans="1:7" x14ac:dyDescent="0.25">
      <c r="A11780">
        <v>36</v>
      </c>
      <c r="B11780" t="s">
        <v>11634</v>
      </c>
      <c r="C11780">
        <v>19997</v>
      </c>
      <c r="D11780" t="str">
        <f>"1346-213X"</f>
        <v>1346-213X</v>
      </c>
      <c r="E11780" t="s">
        <v>8</v>
      </c>
      <c r="F11780" t="s">
        <v>11788</v>
      </c>
      <c r="G11780">
        <v>1</v>
      </c>
    </row>
    <row r="11781" spans="1:7" x14ac:dyDescent="0.25">
      <c r="A11781">
        <v>36</v>
      </c>
      <c r="B11781" t="s">
        <v>11634</v>
      </c>
      <c r="C11781">
        <v>154200</v>
      </c>
      <c r="D11781" t="str">
        <f>"2234-7593"</f>
        <v>2234-7593</v>
      </c>
      <c r="E11781" t="s">
        <v>8</v>
      </c>
      <c r="F11781" t="s">
        <v>11789</v>
      </c>
      <c r="G11781">
        <v>1</v>
      </c>
    </row>
    <row r="11782" spans="1:7" x14ac:dyDescent="0.25">
      <c r="A11782">
        <v>36</v>
      </c>
      <c r="B11782" t="s">
        <v>11634</v>
      </c>
      <c r="C11782">
        <v>33486</v>
      </c>
      <c r="D11782" t="str">
        <f>"1598-2351"</f>
        <v>1598-2351</v>
      </c>
      <c r="E11782" t="s">
        <v>8</v>
      </c>
      <c r="F11782" t="s">
        <v>11790</v>
      </c>
      <c r="G11782">
        <v>1</v>
      </c>
    </row>
    <row r="11783" spans="1:7" x14ac:dyDescent="0.25">
      <c r="A11783">
        <v>36</v>
      </c>
      <c r="B11783" t="s">
        <v>11634</v>
      </c>
      <c r="C11783">
        <v>6158651</v>
      </c>
      <c r="D11783" t="str">
        <f>"1758-7328"</f>
        <v>1758-7328</v>
      </c>
      <c r="E11783" t="s">
        <v>8</v>
      </c>
      <c r="F11783" t="s">
        <v>11791</v>
      </c>
      <c r="G11783">
        <v>1</v>
      </c>
    </row>
    <row r="11784" spans="1:7" x14ac:dyDescent="0.25">
      <c r="A11784">
        <v>36</v>
      </c>
      <c r="B11784" t="s">
        <v>11634</v>
      </c>
      <c r="C11784">
        <v>8323</v>
      </c>
      <c r="D11784" t="str">
        <f>"0020-868X"</f>
        <v>0020-868X</v>
      </c>
      <c r="E11784" t="s">
        <v>8</v>
      </c>
      <c r="F11784" t="s">
        <v>11792</v>
      </c>
      <c r="G11784">
        <v>1</v>
      </c>
    </row>
    <row r="11785" spans="1:7" x14ac:dyDescent="0.25">
      <c r="A11785">
        <v>36</v>
      </c>
      <c r="B11785" t="s">
        <v>11634</v>
      </c>
      <c r="C11785">
        <v>5010058</v>
      </c>
      <c r="E11785" t="s">
        <v>2100</v>
      </c>
      <c r="F11785" t="s">
        <v>11793</v>
      </c>
      <c r="G11785">
        <v>1</v>
      </c>
    </row>
    <row r="11786" spans="1:7" x14ac:dyDescent="0.25">
      <c r="A11786">
        <v>36</v>
      </c>
      <c r="B11786" t="s">
        <v>11634</v>
      </c>
      <c r="C11786">
        <v>5010071</v>
      </c>
      <c r="D11786" t="str">
        <f>"0105-175X"</f>
        <v>0105-175X</v>
      </c>
      <c r="E11786" t="s">
        <v>2100</v>
      </c>
      <c r="F11786" t="s">
        <v>11794</v>
      </c>
      <c r="G11786">
        <v>1</v>
      </c>
    </row>
    <row r="11787" spans="1:7" x14ac:dyDescent="0.25">
      <c r="A11787">
        <v>36</v>
      </c>
      <c r="B11787" t="s">
        <v>11634</v>
      </c>
      <c r="C11787">
        <v>137921</v>
      </c>
      <c r="D11787" t="str">
        <f>"1346-8014"</f>
        <v>1346-8014</v>
      </c>
      <c r="E11787" t="s">
        <v>8</v>
      </c>
      <c r="F11787" t="s">
        <v>11795</v>
      </c>
      <c r="G11787">
        <v>1</v>
      </c>
    </row>
    <row r="11788" spans="1:7" x14ac:dyDescent="0.25">
      <c r="A11788">
        <v>36</v>
      </c>
      <c r="B11788" t="s">
        <v>11634</v>
      </c>
      <c r="C11788">
        <v>141805</v>
      </c>
      <c r="D11788" t="str">
        <f>"1665-6423"</f>
        <v>1665-6423</v>
      </c>
      <c r="E11788" t="s">
        <v>8</v>
      </c>
      <c r="F11788" t="s">
        <v>11796</v>
      </c>
      <c r="G11788">
        <v>1</v>
      </c>
    </row>
    <row r="11789" spans="1:7" x14ac:dyDescent="0.25">
      <c r="A11789">
        <v>36</v>
      </c>
      <c r="B11789" t="s">
        <v>11634</v>
      </c>
      <c r="C11789">
        <v>75351</v>
      </c>
      <c r="D11789" t="str">
        <f>"1346-7581"</f>
        <v>1346-7581</v>
      </c>
      <c r="E11789" t="s">
        <v>8</v>
      </c>
      <c r="F11789" t="s">
        <v>11797</v>
      </c>
      <c r="G11789">
        <v>1</v>
      </c>
    </row>
    <row r="11790" spans="1:7" x14ac:dyDescent="0.25">
      <c r="A11790">
        <v>36</v>
      </c>
      <c r="B11790" t="s">
        <v>11634</v>
      </c>
      <c r="C11790">
        <v>137857</v>
      </c>
      <c r="D11790" t="str">
        <f>"0257-9731"</f>
        <v>0257-9731</v>
      </c>
      <c r="E11790" t="s">
        <v>8</v>
      </c>
      <c r="F11790" t="s">
        <v>11798</v>
      </c>
      <c r="G11790">
        <v>1</v>
      </c>
    </row>
    <row r="11791" spans="1:7" x14ac:dyDescent="0.25">
      <c r="A11791">
        <v>36</v>
      </c>
      <c r="B11791" t="s">
        <v>11634</v>
      </c>
      <c r="C11791">
        <v>9294</v>
      </c>
      <c r="D11791" t="str">
        <f>"0887-381X"</f>
        <v>0887-381X</v>
      </c>
      <c r="E11791" t="s">
        <v>8</v>
      </c>
      <c r="F11791" t="s">
        <v>11799</v>
      </c>
      <c r="G11791">
        <v>1</v>
      </c>
    </row>
    <row r="11792" spans="1:7" x14ac:dyDescent="0.25">
      <c r="A11792">
        <v>36</v>
      </c>
      <c r="B11792" t="s">
        <v>11634</v>
      </c>
      <c r="C11792">
        <v>14003</v>
      </c>
      <c r="D11792" t="str">
        <f>"1363-2469"</f>
        <v>1363-2469</v>
      </c>
      <c r="E11792" t="s">
        <v>8</v>
      </c>
      <c r="F11792" t="s">
        <v>11800</v>
      </c>
      <c r="G11792">
        <v>1</v>
      </c>
    </row>
    <row r="11793" spans="1:7" x14ac:dyDescent="0.25">
      <c r="A11793">
        <v>36</v>
      </c>
      <c r="B11793" t="s">
        <v>11634</v>
      </c>
      <c r="C11793">
        <v>81896</v>
      </c>
      <c r="D11793" t="str">
        <f>"1934-8975"</f>
        <v>1934-8975</v>
      </c>
      <c r="E11793" t="s">
        <v>8</v>
      </c>
      <c r="F11793" t="s">
        <v>11801</v>
      </c>
      <c r="G11793">
        <v>1</v>
      </c>
    </row>
    <row r="11794" spans="1:7" x14ac:dyDescent="0.25">
      <c r="A11794">
        <v>36</v>
      </c>
      <c r="B11794" t="s">
        <v>11634</v>
      </c>
      <c r="C11794">
        <v>815</v>
      </c>
      <c r="D11794" t="str">
        <f>"0733-9372"</f>
        <v>0733-9372</v>
      </c>
      <c r="E11794" t="s">
        <v>8</v>
      </c>
      <c r="F11794" t="s">
        <v>11802</v>
      </c>
      <c r="G11794">
        <v>1</v>
      </c>
    </row>
    <row r="11795" spans="1:7" x14ac:dyDescent="0.25">
      <c r="A11795">
        <v>36</v>
      </c>
      <c r="B11795" t="s">
        <v>11634</v>
      </c>
      <c r="C11795">
        <v>13604</v>
      </c>
      <c r="D11795" t="str">
        <f>"1076-0342"</f>
        <v>1076-0342</v>
      </c>
      <c r="E11795" t="s">
        <v>8</v>
      </c>
      <c r="F11795" t="s">
        <v>11803</v>
      </c>
      <c r="G11795">
        <v>1</v>
      </c>
    </row>
    <row r="11796" spans="1:7" x14ac:dyDescent="0.25">
      <c r="A11796">
        <v>36</v>
      </c>
      <c r="B11796" t="s">
        <v>11634</v>
      </c>
      <c r="C11796">
        <v>5404</v>
      </c>
      <c r="D11796" t="str">
        <f>"0733-9437"</f>
        <v>0733-9437</v>
      </c>
      <c r="E11796" t="s">
        <v>8</v>
      </c>
      <c r="F11796" t="s">
        <v>11804</v>
      </c>
      <c r="G11796">
        <v>1</v>
      </c>
    </row>
    <row r="11797" spans="1:7" x14ac:dyDescent="0.25">
      <c r="A11797">
        <v>36</v>
      </c>
      <c r="B11797" t="s">
        <v>11634</v>
      </c>
      <c r="C11797">
        <v>7714485</v>
      </c>
      <c r="D11797" t="str">
        <f>"2077-1312"</f>
        <v>2077-1312</v>
      </c>
      <c r="E11797" t="s">
        <v>8</v>
      </c>
      <c r="F11797" t="s">
        <v>11805</v>
      </c>
      <c r="G11797">
        <v>1</v>
      </c>
    </row>
    <row r="11798" spans="1:7" x14ac:dyDescent="0.25">
      <c r="A11798">
        <v>36</v>
      </c>
      <c r="B11798" t="s">
        <v>11634</v>
      </c>
      <c r="C11798">
        <v>6170670</v>
      </c>
      <c r="D11798" t="str">
        <f>"1023-2796"</f>
        <v>1023-2796</v>
      </c>
      <c r="E11798" t="s">
        <v>8</v>
      </c>
      <c r="F11798" t="s">
        <v>11806</v>
      </c>
      <c r="G11798">
        <v>1</v>
      </c>
    </row>
    <row r="11799" spans="1:7" x14ac:dyDescent="0.25">
      <c r="A11799">
        <v>36</v>
      </c>
      <c r="B11799" t="s">
        <v>11634</v>
      </c>
      <c r="C11799">
        <v>10227</v>
      </c>
      <c r="D11799" t="str">
        <f>"0899-1561"</f>
        <v>0899-1561</v>
      </c>
      <c r="E11799" t="s">
        <v>8</v>
      </c>
      <c r="F11799" t="s">
        <v>11807</v>
      </c>
      <c r="G11799">
        <v>1</v>
      </c>
    </row>
    <row r="11800" spans="1:7" x14ac:dyDescent="0.25">
      <c r="A11800">
        <v>36</v>
      </c>
      <c r="B11800" t="s">
        <v>11634</v>
      </c>
      <c r="C11800">
        <v>17062</v>
      </c>
      <c r="D11800" t="str">
        <f>"1727-7191"</f>
        <v>1727-7191</v>
      </c>
      <c r="E11800" t="s">
        <v>8</v>
      </c>
      <c r="F11800" t="s">
        <v>11808</v>
      </c>
      <c r="G11800">
        <v>1</v>
      </c>
    </row>
    <row r="11801" spans="1:7" x14ac:dyDescent="0.25">
      <c r="A11801">
        <v>36</v>
      </c>
      <c r="B11801" t="s">
        <v>11634</v>
      </c>
      <c r="C11801">
        <v>180100</v>
      </c>
      <c r="D11801" t="str">
        <f>"2310-3604"</f>
        <v>2310-3604</v>
      </c>
      <c r="E11801" t="s">
        <v>8</v>
      </c>
      <c r="F11801" t="s">
        <v>11809</v>
      </c>
      <c r="G11801">
        <v>1</v>
      </c>
    </row>
    <row r="11802" spans="1:7" x14ac:dyDescent="0.25">
      <c r="A11802">
        <v>36</v>
      </c>
      <c r="B11802" t="s">
        <v>11634</v>
      </c>
      <c r="C11802">
        <v>9637</v>
      </c>
      <c r="D11802" t="str">
        <f>"0892-7219"</f>
        <v>0892-7219</v>
      </c>
      <c r="E11802" t="s">
        <v>8</v>
      </c>
      <c r="F11802" t="s">
        <v>11810</v>
      </c>
      <c r="G11802">
        <v>1</v>
      </c>
    </row>
    <row r="11803" spans="1:7" x14ac:dyDescent="0.25">
      <c r="A11803">
        <v>36</v>
      </c>
      <c r="B11803" t="s">
        <v>11634</v>
      </c>
      <c r="C11803">
        <v>18101</v>
      </c>
      <c r="D11803" t="str">
        <f>"1544-8053"</f>
        <v>1544-8053</v>
      </c>
      <c r="E11803" t="s">
        <v>8</v>
      </c>
      <c r="F11803" t="s">
        <v>11811</v>
      </c>
      <c r="G11803">
        <v>1</v>
      </c>
    </row>
    <row r="11804" spans="1:7" x14ac:dyDescent="0.25">
      <c r="A11804">
        <v>36</v>
      </c>
      <c r="B11804" t="s">
        <v>11634</v>
      </c>
      <c r="C11804">
        <v>180104</v>
      </c>
      <c r="E11804" t="s">
        <v>8</v>
      </c>
      <c r="F11804" t="s">
        <v>11812</v>
      </c>
      <c r="G11804">
        <v>1</v>
      </c>
    </row>
    <row r="11805" spans="1:7" x14ac:dyDescent="0.25">
      <c r="A11805">
        <v>36</v>
      </c>
      <c r="B11805" t="s">
        <v>11634</v>
      </c>
      <c r="C11805">
        <v>180103</v>
      </c>
      <c r="E11805" t="s">
        <v>8</v>
      </c>
      <c r="F11805" t="s">
        <v>11813</v>
      </c>
      <c r="G11805">
        <v>1</v>
      </c>
    </row>
    <row r="11806" spans="1:7" x14ac:dyDescent="0.25">
      <c r="A11806">
        <v>36</v>
      </c>
      <c r="B11806" t="s">
        <v>11634</v>
      </c>
      <c r="C11806">
        <v>431</v>
      </c>
      <c r="D11806" t="str">
        <f>"2158-2866"</f>
        <v>2158-2866</v>
      </c>
      <c r="E11806" t="s">
        <v>8</v>
      </c>
      <c r="F11806" t="s">
        <v>11814</v>
      </c>
      <c r="G11806">
        <v>1</v>
      </c>
    </row>
    <row r="11807" spans="1:7" x14ac:dyDescent="0.25">
      <c r="A11807">
        <v>36</v>
      </c>
      <c r="B11807" t="s">
        <v>11634</v>
      </c>
      <c r="C11807">
        <v>51525</v>
      </c>
      <c r="D11807" t="str">
        <f>"1310-4772"</f>
        <v>1310-4772</v>
      </c>
      <c r="E11807" t="s">
        <v>8</v>
      </c>
      <c r="F11807" t="s">
        <v>11815</v>
      </c>
      <c r="G11807">
        <v>1</v>
      </c>
    </row>
    <row r="11808" spans="1:7" x14ac:dyDescent="0.25">
      <c r="A11808">
        <v>36</v>
      </c>
      <c r="B11808" t="s">
        <v>11634</v>
      </c>
      <c r="C11808">
        <v>12150</v>
      </c>
      <c r="D11808" t="str">
        <f>"0253-3839"</f>
        <v>0253-3839</v>
      </c>
      <c r="E11808" t="s">
        <v>8</v>
      </c>
      <c r="F11808" t="s">
        <v>11816</v>
      </c>
      <c r="G11808">
        <v>1</v>
      </c>
    </row>
    <row r="11809" spans="1:7" x14ac:dyDescent="0.25">
      <c r="A11809">
        <v>36</v>
      </c>
      <c r="B11809" t="s">
        <v>11634</v>
      </c>
      <c r="C11809">
        <v>89017</v>
      </c>
      <c r="D11809" t="str">
        <f>"1028-365X"</f>
        <v>1028-365X</v>
      </c>
      <c r="E11809" t="s">
        <v>8</v>
      </c>
      <c r="F11809" t="s">
        <v>11817</v>
      </c>
      <c r="G11809">
        <v>1</v>
      </c>
    </row>
    <row r="11810" spans="1:7" x14ac:dyDescent="0.25">
      <c r="A11810">
        <v>36</v>
      </c>
      <c r="B11810" t="s">
        <v>11634</v>
      </c>
      <c r="C11810">
        <v>99130</v>
      </c>
      <c r="D11810" t="str">
        <f>"1021-2019"</f>
        <v>1021-2019</v>
      </c>
      <c r="E11810" t="s">
        <v>8</v>
      </c>
      <c r="F11810" t="s">
        <v>11818</v>
      </c>
      <c r="G11810">
        <v>1</v>
      </c>
    </row>
    <row r="11811" spans="1:7" x14ac:dyDescent="0.25">
      <c r="A11811">
        <v>36</v>
      </c>
      <c r="B11811" t="s">
        <v>11634</v>
      </c>
      <c r="C11811">
        <v>87822</v>
      </c>
      <c r="D11811" t="str">
        <f>"1429-2955"</f>
        <v>1429-2955</v>
      </c>
      <c r="E11811" t="s">
        <v>8</v>
      </c>
      <c r="F11811" t="s">
        <v>11819</v>
      </c>
      <c r="G11811">
        <v>1</v>
      </c>
    </row>
    <row r="11812" spans="1:7" x14ac:dyDescent="0.25">
      <c r="A11812">
        <v>36</v>
      </c>
      <c r="B11812" t="s">
        <v>11634</v>
      </c>
      <c r="C11812">
        <v>26747</v>
      </c>
      <c r="D11812" t="str">
        <f>"1003-2169"</f>
        <v>1003-2169</v>
      </c>
      <c r="E11812" t="s">
        <v>8</v>
      </c>
      <c r="F11812" t="s">
        <v>11820</v>
      </c>
      <c r="G11812">
        <v>1</v>
      </c>
    </row>
    <row r="11813" spans="1:7" x14ac:dyDescent="0.25">
      <c r="A11813">
        <v>36</v>
      </c>
      <c r="B11813" t="s">
        <v>11634</v>
      </c>
      <c r="C11813">
        <v>4145</v>
      </c>
      <c r="D11813" t="str">
        <f>"0733-9488"</f>
        <v>0733-9488</v>
      </c>
      <c r="E11813" t="s">
        <v>8</v>
      </c>
      <c r="F11813" t="s">
        <v>11821</v>
      </c>
      <c r="G11813">
        <v>1</v>
      </c>
    </row>
    <row r="11814" spans="1:7" x14ac:dyDescent="0.25">
      <c r="A11814">
        <v>36</v>
      </c>
      <c r="B11814" t="s">
        <v>11634</v>
      </c>
      <c r="C11814">
        <v>17932</v>
      </c>
      <c r="D11814" t="str">
        <f>"1673-565X"</f>
        <v>1673-565X</v>
      </c>
      <c r="E11814" t="s">
        <v>8</v>
      </c>
      <c r="F11814" t="s">
        <v>11822</v>
      </c>
      <c r="G11814">
        <v>1</v>
      </c>
    </row>
    <row r="11815" spans="1:7" x14ac:dyDescent="0.25">
      <c r="A11815">
        <v>36</v>
      </c>
      <c r="B11815" t="s">
        <v>11634</v>
      </c>
      <c r="C11815">
        <v>85618</v>
      </c>
      <c r="D11815" t="str">
        <f>"1018-3647"</f>
        <v>1018-3647</v>
      </c>
      <c r="E11815" t="s">
        <v>8</v>
      </c>
      <c r="F11815" t="s">
        <v>11823</v>
      </c>
      <c r="G11815">
        <v>1</v>
      </c>
    </row>
    <row r="11816" spans="1:7" x14ac:dyDescent="0.25">
      <c r="A11816">
        <v>36</v>
      </c>
      <c r="B11816" t="s">
        <v>11634</v>
      </c>
      <c r="C11816">
        <v>154217</v>
      </c>
      <c r="D11816" t="str">
        <f>"1905-7873"</f>
        <v>1905-7873</v>
      </c>
      <c r="E11816" t="s">
        <v>8</v>
      </c>
      <c r="F11816" t="s">
        <v>11824</v>
      </c>
      <c r="G11816">
        <v>1</v>
      </c>
    </row>
    <row r="11817" spans="1:7" x14ac:dyDescent="0.25">
      <c r="A11817">
        <v>36</v>
      </c>
      <c r="B11817" t="s">
        <v>11634</v>
      </c>
      <c r="C11817">
        <v>8189</v>
      </c>
      <c r="D11817" t="str">
        <f>"0024-9831"</f>
        <v>0024-9831</v>
      </c>
      <c r="E11817" t="s">
        <v>8</v>
      </c>
      <c r="F11817" t="s">
        <v>11825</v>
      </c>
      <c r="G11817">
        <v>1</v>
      </c>
    </row>
    <row r="11818" spans="1:7" x14ac:dyDescent="0.25">
      <c r="A11818">
        <v>36</v>
      </c>
      <c r="B11818" t="s">
        <v>11634</v>
      </c>
      <c r="C11818">
        <v>9314</v>
      </c>
      <c r="D11818" t="str">
        <f>"0025-3324"</f>
        <v>0025-3324</v>
      </c>
      <c r="E11818" t="s">
        <v>8</v>
      </c>
      <c r="F11818" t="s">
        <v>11826</v>
      </c>
      <c r="G11818">
        <v>1</v>
      </c>
    </row>
    <row r="11819" spans="1:7" x14ac:dyDescent="0.25">
      <c r="A11819">
        <v>36</v>
      </c>
      <c r="B11819" t="s">
        <v>11634</v>
      </c>
      <c r="C11819">
        <v>26581</v>
      </c>
      <c r="D11819" t="str">
        <f>"0950-2289"</f>
        <v>0950-2289</v>
      </c>
      <c r="E11819" t="s">
        <v>8</v>
      </c>
      <c r="F11819" t="s">
        <v>11827</v>
      </c>
      <c r="G11819">
        <v>1</v>
      </c>
    </row>
    <row r="11820" spans="1:7" x14ac:dyDescent="0.25">
      <c r="A11820">
        <v>36</v>
      </c>
      <c r="B11820" t="s">
        <v>11634</v>
      </c>
      <c r="C11820">
        <v>3621</v>
      </c>
      <c r="D11820" t="str">
        <f>"1605-2730"</f>
        <v>1605-2730</v>
      </c>
      <c r="E11820" t="s">
        <v>8</v>
      </c>
      <c r="F11820" t="s">
        <v>11828</v>
      </c>
      <c r="G11820">
        <v>1</v>
      </c>
    </row>
    <row r="11821" spans="1:7" x14ac:dyDescent="0.25">
      <c r="A11821">
        <v>36</v>
      </c>
      <c r="B11821" t="s">
        <v>11634</v>
      </c>
      <c r="C11821">
        <v>9113</v>
      </c>
      <c r="D11821" t="str">
        <f>"1537-6494"</f>
        <v>1537-6494</v>
      </c>
      <c r="E11821" t="s">
        <v>8</v>
      </c>
      <c r="F11821" t="s">
        <v>11829</v>
      </c>
      <c r="G11821">
        <v>1</v>
      </c>
    </row>
    <row r="11822" spans="1:7" x14ac:dyDescent="0.25">
      <c r="A11822">
        <v>36</v>
      </c>
      <c r="B11822" t="s">
        <v>11634</v>
      </c>
      <c r="C11822">
        <v>137752</v>
      </c>
      <c r="D11822" t="str">
        <f>"1392-1207"</f>
        <v>1392-1207</v>
      </c>
      <c r="E11822" t="s">
        <v>8</v>
      </c>
      <c r="F11822" t="s">
        <v>11830</v>
      </c>
      <c r="G11822">
        <v>1</v>
      </c>
    </row>
    <row r="11823" spans="1:7" x14ac:dyDescent="0.25">
      <c r="A11823">
        <v>36</v>
      </c>
      <c r="B11823" t="s">
        <v>11634</v>
      </c>
      <c r="C11823">
        <v>13256</v>
      </c>
      <c r="D11823" t="str">
        <f>"0028-1425"</f>
        <v>0028-1425</v>
      </c>
      <c r="E11823" t="s">
        <v>8</v>
      </c>
      <c r="F11823" t="s">
        <v>11831</v>
      </c>
      <c r="G11823">
        <v>1</v>
      </c>
    </row>
    <row r="11824" spans="1:7" x14ac:dyDescent="0.25">
      <c r="A11824">
        <v>36</v>
      </c>
      <c r="B11824" t="s">
        <v>11634</v>
      </c>
      <c r="C11824">
        <v>3890</v>
      </c>
      <c r="D11824" t="str">
        <f>"0388-7405"</f>
        <v>0388-7405</v>
      </c>
      <c r="E11824" t="s">
        <v>8</v>
      </c>
      <c r="F11824" t="s">
        <v>11832</v>
      </c>
      <c r="G11824">
        <v>1</v>
      </c>
    </row>
    <row r="11825" spans="1:7" x14ac:dyDescent="0.25">
      <c r="A11825">
        <v>36</v>
      </c>
      <c r="B11825" t="s">
        <v>11634</v>
      </c>
      <c r="C11825">
        <v>12870</v>
      </c>
      <c r="D11825" t="str">
        <f>"0800-6377"</f>
        <v>0800-6377</v>
      </c>
      <c r="E11825" t="s">
        <v>8</v>
      </c>
      <c r="F11825" t="s">
        <v>11833</v>
      </c>
      <c r="G11825">
        <v>1</v>
      </c>
    </row>
    <row r="11826" spans="1:7" x14ac:dyDescent="0.25">
      <c r="A11826">
        <v>36</v>
      </c>
      <c r="B11826" t="s">
        <v>11634</v>
      </c>
      <c r="C11826">
        <v>5010065</v>
      </c>
      <c r="E11826" t="s">
        <v>2100</v>
      </c>
      <c r="F11826" t="s">
        <v>11834</v>
      </c>
      <c r="G11826">
        <v>1</v>
      </c>
    </row>
    <row r="11827" spans="1:7" x14ac:dyDescent="0.25">
      <c r="A11827">
        <v>36</v>
      </c>
      <c r="B11827" t="s">
        <v>11634</v>
      </c>
      <c r="C11827">
        <v>9812</v>
      </c>
      <c r="D11827" t="str">
        <f>"1402-5728"</f>
        <v>1402-5728</v>
      </c>
      <c r="E11827" t="s">
        <v>8</v>
      </c>
      <c r="F11827" t="s">
        <v>11835</v>
      </c>
      <c r="G11827">
        <v>1</v>
      </c>
    </row>
    <row r="11828" spans="1:7" x14ac:dyDescent="0.25">
      <c r="A11828">
        <v>36</v>
      </c>
      <c r="B11828" t="s">
        <v>11634</v>
      </c>
      <c r="C11828">
        <v>5010068</v>
      </c>
      <c r="E11828" t="s">
        <v>2100</v>
      </c>
      <c r="F11828" t="s">
        <v>11836</v>
      </c>
      <c r="G11828">
        <v>1</v>
      </c>
    </row>
    <row r="11829" spans="1:7" x14ac:dyDescent="0.25">
      <c r="A11829">
        <v>36</v>
      </c>
      <c r="B11829" t="s">
        <v>11634</v>
      </c>
      <c r="C11829">
        <v>5010064</v>
      </c>
      <c r="E11829" t="s">
        <v>2100</v>
      </c>
      <c r="F11829" t="s">
        <v>11837</v>
      </c>
      <c r="G11829">
        <v>1</v>
      </c>
    </row>
    <row r="11830" spans="1:7" x14ac:dyDescent="0.25">
      <c r="A11830">
        <v>36</v>
      </c>
      <c r="B11830" t="s">
        <v>11634</v>
      </c>
      <c r="C11830">
        <v>5010057</v>
      </c>
      <c r="E11830" t="s">
        <v>2100</v>
      </c>
      <c r="F11830" t="s">
        <v>11838</v>
      </c>
      <c r="G11830">
        <v>1</v>
      </c>
    </row>
    <row r="11831" spans="1:7" x14ac:dyDescent="0.25">
      <c r="A11831">
        <v>36</v>
      </c>
      <c r="B11831" t="s">
        <v>11634</v>
      </c>
      <c r="C11831">
        <v>10817</v>
      </c>
      <c r="D11831" t="str">
        <f>"0887-9672"</f>
        <v>0887-9672</v>
      </c>
      <c r="E11831" t="s">
        <v>8</v>
      </c>
      <c r="F11831" t="s">
        <v>11839</v>
      </c>
      <c r="G11831">
        <v>1</v>
      </c>
    </row>
    <row r="11832" spans="1:7" x14ac:dyDescent="0.25">
      <c r="A11832">
        <v>36</v>
      </c>
      <c r="B11832" t="s">
        <v>11634</v>
      </c>
      <c r="C11832">
        <v>110197</v>
      </c>
      <c r="D11832" t="str">
        <f>"0553-6626"</f>
        <v>0553-6626</v>
      </c>
      <c r="E11832" t="s">
        <v>8</v>
      </c>
      <c r="F11832" t="s">
        <v>11840</v>
      </c>
      <c r="G11832">
        <v>1</v>
      </c>
    </row>
    <row r="11833" spans="1:7" x14ac:dyDescent="0.25">
      <c r="A11833">
        <v>36</v>
      </c>
      <c r="B11833" t="s">
        <v>11634</v>
      </c>
      <c r="C11833">
        <v>65521</v>
      </c>
      <c r="D11833" t="str">
        <f>"1233-2585"</f>
        <v>1233-2585</v>
      </c>
      <c r="E11833" t="s">
        <v>8</v>
      </c>
      <c r="F11833" t="s">
        <v>11841</v>
      </c>
      <c r="G11833">
        <v>1</v>
      </c>
    </row>
    <row r="11834" spans="1:7" x14ac:dyDescent="0.25">
      <c r="A11834">
        <v>36</v>
      </c>
      <c r="B11834" t="s">
        <v>11634</v>
      </c>
      <c r="C11834">
        <v>577</v>
      </c>
      <c r="D11834" t="str">
        <f>"1084-0680"</f>
        <v>1084-0680</v>
      </c>
      <c r="E11834" t="s">
        <v>8</v>
      </c>
      <c r="F11834" t="s">
        <v>11842</v>
      </c>
      <c r="G11834">
        <v>1</v>
      </c>
    </row>
    <row r="11835" spans="1:7" x14ac:dyDescent="0.25">
      <c r="A11835">
        <v>36</v>
      </c>
      <c r="B11835" t="s">
        <v>11634</v>
      </c>
      <c r="C11835">
        <v>8783796</v>
      </c>
      <c r="E11835" t="s">
        <v>15</v>
      </c>
      <c r="F11835" t="s">
        <v>11843</v>
      </c>
      <c r="G11835">
        <v>1</v>
      </c>
    </row>
    <row r="11836" spans="1:7" x14ac:dyDescent="0.25">
      <c r="A11836">
        <v>36</v>
      </c>
      <c r="B11836" t="s">
        <v>11634</v>
      </c>
      <c r="C11836">
        <v>15140</v>
      </c>
      <c r="D11836" t="str">
        <f>"0965-089X"</f>
        <v>0965-089X</v>
      </c>
      <c r="E11836" t="s">
        <v>8</v>
      </c>
      <c r="F11836" t="s">
        <v>11844</v>
      </c>
      <c r="G11836">
        <v>1</v>
      </c>
    </row>
    <row r="11837" spans="1:7" x14ac:dyDescent="0.25">
      <c r="A11837">
        <v>36</v>
      </c>
      <c r="B11837" t="s">
        <v>11634</v>
      </c>
      <c r="C11837">
        <v>3550</v>
      </c>
      <c r="D11837" t="str">
        <f>"1478-4629"</f>
        <v>1478-4629</v>
      </c>
      <c r="E11837" t="s">
        <v>8</v>
      </c>
      <c r="F11837" t="s">
        <v>11845</v>
      </c>
      <c r="G11837">
        <v>1</v>
      </c>
    </row>
    <row r="11838" spans="1:7" x14ac:dyDescent="0.25">
      <c r="A11838">
        <v>36</v>
      </c>
      <c r="B11838" t="s">
        <v>11634</v>
      </c>
      <c r="C11838">
        <v>2200</v>
      </c>
      <c r="D11838" t="str">
        <f>"1353-2618"</f>
        <v>1353-2618</v>
      </c>
      <c r="E11838" t="s">
        <v>8</v>
      </c>
      <c r="F11838" t="s">
        <v>11846</v>
      </c>
      <c r="G11838">
        <v>1</v>
      </c>
    </row>
    <row r="11839" spans="1:7" x14ac:dyDescent="0.25">
      <c r="A11839">
        <v>36</v>
      </c>
      <c r="B11839" t="s">
        <v>11634</v>
      </c>
      <c r="C11839">
        <v>3612</v>
      </c>
      <c r="D11839" t="str">
        <f>"1741-7597"</f>
        <v>1741-7597</v>
      </c>
      <c r="E11839" t="s">
        <v>8</v>
      </c>
      <c r="F11839" t="s">
        <v>11847</v>
      </c>
      <c r="G11839">
        <v>1</v>
      </c>
    </row>
    <row r="11840" spans="1:7" x14ac:dyDescent="0.25">
      <c r="A11840">
        <v>36</v>
      </c>
      <c r="B11840" t="s">
        <v>11634</v>
      </c>
      <c r="C11840">
        <v>1368</v>
      </c>
      <c r="D11840" t="str">
        <f>"0965-0903"</f>
        <v>0965-0903</v>
      </c>
      <c r="E11840" t="s">
        <v>8</v>
      </c>
      <c r="F11840" t="s">
        <v>11848</v>
      </c>
      <c r="G11840">
        <v>1</v>
      </c>
    </row>
    <row r="11841" spans="1:7" x14ac:dyDescent="0.25">
      <c r="A11841">
        <v>36</v>
      </c>
      <c r="B11841" t="s">
        <v>11634</v>
      </c>
      <c r="C11841">
        <v>141</v>
      </c>
      <c r="D11841" t="str">
        <f>"0965-0911"</f>
        <v>0965-0911</v>
      </c>
      <c r="E11841" t="s">
        <v>8</v>
      </c>
      <c r="F11841" t="s">
        <v>11849</v>
      </c>
      <c r="G11841">
        <v>1</v>
      </c>
    </row>
    <row r="11842" spans="1:7" x14ac:dyDescent="0.25">
      <c r="A11842">
        <v>36</v>
      </c>
      <c r="B11842" t="s">
        <v>11634</v>
      </c>
      <c r="C11842">
        <v>11225</v>
      </c>
      <c r="D11842" t="str">
        <f>"1475-0902"</f>
        <v>1475-0902</v>
      </c>
      <c r="E11842" t="s">
        <v>8</v>
      </c>
      <c r="F11842" t="s">
        <v>11850</v>
      </c>
      <c r="G11842">
        <v>1</v>
      </c>
    </row>
    <row r="11843" spans="1:7" x14ac:dyDescent="0.25">
      <c r="A11843">
        <v>36</v>
      </c>
      <c r="B11843" t="s">
        <v>11634</v>
      </c>
      <c r="C11843">
        <v>6099</v>
      </c>
      <c r="D11843" t="str">
        <f>"1098-6189"</f>
        <v>1098-6189</v>
      </c>
      <c r="E11843" t="s">
        <v>8</v>
      </c>
      <c r="F11843" t="s">
        <v>11851</v>
      </c>
      <c r="G11843">
        <v>1</v>
      </c>
    </row>
    <row r="11844" spans="1:7" x14ac:dyDescent="0.25">
      <c r="A11844">
        <v>36</v>
      </c>
      <c r="B11844" t="s">
        <v>11634</v>
      </c>
      <c r="C11844">
        <v>156496</v>
      </c>
      <c r="E11844" t="s">
        <v>8</v>
      </c>
      <c r="F11844" t="s">
        <v>11852</v>
      </c>
      <c r="G11844">
        <v>1</v>
      </c>
    </row>
    <row r="11845" spans="1:7" x14ac:dyDescent="0.25">
      <c r="A11845">
        <v>36</v>
      </c>
      <c r="B11845" t="s">
        <v>11634</v>
      </c>
      <c r="C11845">
        <v>5010061</v>
      </c>
      <c r="E11845" t="s">
        <v>2100</v>
      </c>
      <c r="F11845" t="s">
        <v>11853</v>
      </c>
      <c r="G11845">
        <v>1</v>
      </c>
    </row>
    <row r="11846" spans="1:7" x14ac:dyDescent="0.25">
      <c r="A11846">
        <v>36</v>
      </c>
      <c r="B11846" t="s">
        <v>11634</v>
      </c>
      <c r="C11846">
        <v>82754</v>
      </c>
      <c r="D11846" t="str">
        <f>"0370-4467"</f>
        <v>0370-4467</v>
      </c>
      <c r="E11846" t="s">
        <v>8</v>
      </c>
      <c r="F11846" t="s">
        <v>11854</v>
      </c>
      <c r="G11846">
        <v>1</v>
      </c>
    </row>
    <row r="11847" spans="1:7" x14ac:dyDescent="0.25">
      <c r="A11847">
        <v>36</v>
      </c>
      <c r="B11847" t="s">
        <v>11634</v>
      </c>
      <c r="C11847">
        <v>126046</v>
      </c>
      <c r="D11847" t="str">
        <f>"0717-7925"</f>
        <v>0717-7925</v>
      </c>
      <c r="E11847" t="s">
        <v>8</v>
      </c>
      <c r="F11847" t="s">
        <v>11855</v>
      </c>
      <c r="G11847">
        <v>1</v>
      </c>
    </row>
    <row r="11848" spans="1:7" x14ac:dyDescent="0.25">
      <c r="A11848">
        <v>36</v>
      </c>
      <c r="B11848" t="s">
        <v>11634</v>
      </c>
      <c r="C11848">
        <v>54665</v>
      </c>
      <c r="D11848" t="str">
        <f>"0120-6230"</f>
        <v>0120-6230</v>
      </c>
      <c r="E11848" t="s">
        <v>8</v>
      </c>
      <c r="F11848" t="s">
        <v>11856</v>
      </c>
      <c r="G11848">
        <v>1</v>
      </c>
    </row>
    <row r="11849" spans="1:7" x14ac:dyDescent="0.25">
      <c r="A11849">
        <v>36</v>
      </c>
      <c r="B11849" t="s">
        <v>11634</v>
      </c>
      <c r="C11849">
        <v>20708</v>
      </c>
      <c r="D11849" t="str">
        <f>"0213-1315"</f>
        <v>0213-1315</v>
      </c>
      <c r="E11849" t="s">
        <v>8</v>
      </c>
      <c r="F11849" t="s">
        <v>11857</v>
      </c>
      <c r="G11849">
        <v>1</v>
      </c>
    </row>
    <row r="11850" spans="1:7" x14ac:dyDescent="0.25">
      <c r="A11850">
        <v>36</v>
      </c>
      <c r="B11850" t="s">
        <v>11634</v>
      </c>
      <c r="C11850">
        <v>57079</v>
      </c>
      <c r="D11850" t="str">
        <f>"1583-3186"</f>
        <v>1583-3186</v>
      </c>
      <c r="E11850" t="s">
        <v>8</v>
      </c>
      <c r="F11850" t="s">
        <v>11858</v>
      </c>
      <c r="G11850">
        <v>1</v>
      </c>
    </row>
    <row r="11851" spans="1:7" x14ac:dyDescent="0.25">
      <c r="A11851">
        <v>36</v>
      </c>
      <c r="B11851" t="s">
        <v>11634</v>
      </c>
      <c r="C11851">
        <v>100898</v>
      </c>
      <c r="D11851" t="str">
        <f>"0254-0770"</f>
        <v>0254-0770</v>
      </c>
      <c r="E11851" t="s">
        <v>8</v>
      </c>
      <c r="F11851" t="s">
        <v>11859</v>
      </c>
      <c r="G11851">
        <v>1</v>
      </c>
    </row>
    <row r="11852" spans="1:7" x14ac:dyDescent="0.25">
      <c r="A11852">
        <v>36</v>
      </c>
      <c r="B11852" t="s">
        <v>11634</v>
      </c>
      <c r="C11852">
        <v>6273633</v>
      </c>
      <c r="D11852" t="str">
        <f>"1674-7348"</f>
        <v>1674-7348</v>
      </c>
      <c r="E11852" t="s">
        <v>8</v>
      </c>
      <c r="F11852" t="s">
        <v>11860</v>
      </c>
      <c r="G11852">
        <v>1</v>
      </c>
    </row>
    <row r="11853" spans="1:7" x14ac:dyDescent="0.25">
      <c r="A11853">
        <v>36</v>
      </c>
      <c r="B11853" t="s">
        <v>11634</v>
      </c>
      <c r="C11853">
        <v>145933</v>
      </c>
      <c r="D11853" t="str">
        <f>"1026-3098"</f>
        <v>1026-3098</v>
      </c>
      <c r="E11853" t="s">
        <v>8</v>
      </c>
      <c r="F11853" t="s">
        <v>11861</v>
      </c>
      <c r="G11853">
        <v>1</v>
      </c>
    </row>
    <row r="11854" spans="1:7" x14ac:dyDescent="0.25">
      <c r="A11854">
        <v>36</v>
      </c>
      <c r="B11854" t="s">
        <v>11634</v>
      </c>
      <c r="C11854">
        <v>9610</v>
      </c>
      <c r="D11854" t="str">
        <f>"0093-3651"</f>
        <v>0093-3651</v>
      </c>
      <c r="E11854" t="s">
        <v>8</v>
      </c>
      <c r="F11854" t="s">
        <v>11862</v>
      </c>
      <c r="G11854">
        <v>1</v>
      </c>
    </row>
    <row r="11855" spans="1:7" x14ac:dyDescent="0.25">
      <c r="A11855">
        <v>36</v>
      </c>
      <c r="B11855" t="s">
        <v>11634</v>
      </c>
      <c r="C11855">
        <v>15717</v>
      </c>
      <c r="D11855" t="str">
        <f>"1738-1584"</f>
        <v>1738-1584</v>
      </c>
      <c r="E11855" t="s">
        <v>8</v>
      </c>
      <c r="F11855" t="s">
        <v>11863</v>
      </c>
      <c r="G11855">
        <v>1</v>
      </c>
    </row>
    <row r="11856" spans="1:7" x14ac:dyDescent="0.25">
      <c r="A11856">
        <v>36</v>
      </c>
      <c r="B11856" t="s">
        <v>11634</v>
      </c>
      <c r="C11856">
        <v>16984</v>
      </c>
      <c r="D11856" t="str">
        <f>"0038-0741"</f>
        <v>0038-0741</v>
      </c>
      <c r="E11856" t="s">
        <v>8</v>
      </c>
      <c r="F11856" t="s">
        <v>11864</v>
      </c>
      <c r="G11856">
        <v>1</v>
      </c>
    </row>
    <row r="11857" spans="1:7" x14ac:dyDescent="0.25">
      <c r="A11857">
        <v>36</v>
      </c>
      <c r="B11857" t="s">
        <v>11634</v>
      </c>
      <c r="C11857">
        <v>6940</v>
      </c>
      <c r="D11857" t="str">
        <f>"0038-0806"</f>
        <v>0038-0806</v>
      </c>
      <c r="E11857" t="s">
        <v>8</v>
      </c>
      <c r="F11857" t="s">
        <v>11865</v>
      </c>
      <c r="G11857">
        <v>1</v>
      </c>
    </row>
    <row r="11858" spans="1:7" x14ac:dyDescent="0.25">
      <c r="A11858">
        <v>36</v>
      </c>
      <c r="B11858" t="s">
        <v>11634</v>
      </c>
      <c r="C11858">
        <v>26424</v>
      </c>
      <c r="D11858" t="str">
        <f>"0038-9145"</f>
        <v>0038-9145</v>
      </c>
      <c r="E11858" t="s">
        <v>8</v>
      </c>
      <c r="F11858" t="s">
        <v>11866</v>
      </c>
      <c r="G11858">
        <v>1</v>
      </c>
    </row>
    <row r="11859" spans="1:7" x14ac:dyDescent="0.25">
      <c r="A11859">
        <v>36</v>
      </c>
      <c r="B11859" t="s">
        <v>11634</v>
      </c>
      <c r="C11859">
        <v>1128</v>
      </c>
      <c r="D11859" t="str">
        <f>"1229-9367"</f>
        <v>1229-9367</v>
      </c>
      <c r="E11859" t="s">
        <v>8</v>
      </c>
      <c r="F11859" t="s">
        <v>11867</v>
      </c>
      <c r="G11859">
        <v>1</v>
      </c>
    </row>
    <row r="11860" spans="1:7" x14ac:dyDescent="0.25">
      <c r="A11860">
        <v>36</v>
      </c>
      <c r="B11860" t="s">
        <v>11634</v>
      </c>
      <c r="C11860">
        <v>3172</v>
      </c>
      <c r="D11860" t="str">
        <f>"0039-2316"</f>
        <v>0039-2316</v>
      </c>
      <c r="E11860" t="s">
        <v>8</v>
      </c>
      <c r="F11860" t="s">
        <v>11868</v>
      </c>
      <c r="G11860">
        <v>1</v>
      </c>
    </row>
    <row r="11861" spans="1:7" x14ac:dyDescent="0.25">
      <c r="A11861">
        <v>36</v>
      </c>
      <c r="B11861" t="s">
        <v>11634</v>
      </c>
      <c r="C11861">
        <v>8002</v>
      </c>
      <c r="D11861" t="str">
        <f>"1464-4177"</f>
        <v>1464-4177</v>
      </c>
      <c r="E11861" t="s">
        <v>8</v>
      </c>
      <c r="F11861" t="s">
        <v>11869</v>
      </c>
      <c r="G11861">
        <v>1</v>
      </c>
    </row>
    <row r="11862" spans="1:7" x14ac:dyDescent="0.25">
      <c r="A11862">
        <v>36</v>
      </c>
      <c r="B11862" t="s">
        <v>11634</v>
      </c>
      <c r="C11862">
        <v>16449</v>
      </c>
      <c r="D11862" t="str">
        <f>"1466-5123"</f>
        <v>1466-5123</v>
      </c>
      <c r="E11862" t="s">
        <v>8</v>
      </c>
      <c r="F11862" t="s">
        <v>11870</v>
      </c>
      <c r="G11862">
        <v>1</v>
      </c>
    </row>
    <row r="11863" spans="1:7" x14ac:dyDescent="0.25">
      <c r="A11863">
        <v>36</v>
      </c>
      <c r="B11863" t="s">
        <v>11634</v>
      </c>
      <c r="C11863">
        <v>6257</v>
      </c>
      <c r="D11863" t="str">
        <f>"1225-4568"</f>
        <v>1225-4568</v>
      </c>
      <c r="E11863" t="s">
        <v>8</v>
      </c>
      <c r="F11863" t="s">
        <v>11871</v>
      </c>
      <c r="G11863">
        <v>1</v>
      </c>
    </row>
    <row r="11864" spans="1:7" x14ac:dyDescent="0.25">
      <c r="A11864">
        <v>36</v>
      </c>
      <c r="B11864" t="s">
        <v>11634</v>
      </c>
      <c r="C11864">
        <v>7539</v>
      </c>
      <c r="D11864" t="str">
        <f>"1016-8664"</f>
        <v>1016-8664</v>
      </c>
      <c r="E11864" t="s">
        <v>8</v>
      </c>
      <c r="F11864" t="s">
        <v>11872</v>
      </c>
      <c r="G11864">
        <v>1</v>
      </c>
    </row>
    <row r="11865" spans="1:7" x14ac:dyDescent="0.25">
      <c r="A11865">
        <v>36</v>
      </c>
      <c r="B11865" t="s">
        <v>11634</v>
      </c>
      <c r="C11865">
        <v>11350</v>
      </c>
      <c r="D11865" t="str">
        <f>"0263-080X"</f>
        <v>0263-080X</v>
      </c>
      <c r="E11865" t="s">
        <v>8</v>
      </c>
      <c r="F11865" t="s">
        <v>11873</v>
      </c>
      <c r="G11865">
        <v>1</v>
      </c>
    </row>
    <row r="11866" spans="1:7" x14ac:dyDescent="0.25">
      <c r="A11866">
        <v>36</v>
      </c>
      <c r="B11866" t="s">
        <v>11634</v>
      </c>
      <c r="C11866">
        <v>109264</v>
      </c>
      <c r="D11866" t="str">
        <f>"1330-3651"</f>
        <v>1330-3651</v>
      </c>
      <c r="E11866" t="s">
        <v>8</v>
      </c>
      <c r="F11866" t="s">
        <v>11874</v>
      </c>
      <c r="G11866">
        <v>1</v>
      </c>
    </row>
    <row r="11867" spans="1:7" x14ac:dyDescent="0.25">
      <c r="A11867">
        <v>36</v>
      </c>
      <c r="B11867" t="s">
        <v>11634</v>
      </c>
      <c r="C11867">
        <v>66299</v>
      </c>
      <c r="D11867" t="str">
        <f>"1300-3453"</f>
        <v>1300-3453</v>
      </c>
      <c r="E11867" t="s">
        <v>8</v>
      </c>
      <c r="F11867" t="s">
        <v>11875</v>
      </c>
      <c r="G11867">
        <v>1</v>
      </c>
    </row>
    <row r="11868" spans="1:7" x14ac:dyDescent="0.25">
      <c r="A11868">
        <v>36</v>
      </c>
      <c r="B11868" t="s">
        <v>11634</v>
      </c>
      <c r="C11868">
        <v>5010985</v>
      </c>
      <c r="E11868" t="s">
        <v>2100</v>
      </c>
      <c r="F11868" t="s">
        <v>11876</v>
      </c>
      <c r="G11868">
        <v>1</v>
      </c>
    </row>
    <row r="11869" spans="1:7" x14ac:dyDescent="0.25">
      <c r="A11869">
        <v>36</v>
      </c>
      <c r="B11869" t="s">
        <v>11634</v>
      </c>
      <c r="C11869">
        <v>17447</v>
      </c>
      <c r="D11869" t="str">
        <f>"1822-427X"</f>
        <v>1822-427X</v>
      </c>
      <c r="E11869" t="s">
        <v>8</v>
      </c>
      <c r="F11869" t="s">
        <v>11877</v>
      </c>
      <c r="G11869">
        <v>1</v>
      </c>
    </row>
    <row r="11870" spans="1:7" x14ac:dyDescent="0.25">
      <c r="A11870">
        <v>36</v>
      </c>
      <c r="B11870" t="s">
        <v>11634</v>
      </c>
      <c r="C11870">
        <v>5020068</v>
      </c>
      <c r="E11870" t="s">
        <v>2100</v>
      </c>
      <c r="F11870" t="s">
        <v>11878</v>
      </c>
      <c r="G11870">
        <v>1</v>
      </c>
    </row>
    <row r="11871" spans="1:7" x14ac:dyDescent="0.25">
      <c r="A11871">
        <v>36</v>
      </c>
      <c r="B11871" t="s">
        <v>11634</v>
      </c>
      <c r="C11871">
        <v>15009</v>
      </c>
      <c r="D11871" t="str">
        <f>"1029-8436"</f>
        <v>1029-8436</v>
      </c>
      <c r="E11871" t="s">
        <v>8</v>
      </c>
      <c r="F11871" t="s">
        <v>11879</v>
      </c>
      <c r="G11871">
        <v>1</v>
      </c>
    </row>
    <row r="11872" spans="1:7" x14ac:dyDescent="0.25">
      <c r="A11872">
        <v>36</v>
      </c>
      <c r="B11872" t="s">
        <v>11634</v>
      </c>
      <c r="C11872">
        <v>26442</v>
      </c>
      <c r="D11872" t="str">
        <f>"1718-3200"</f>
        <v>1718-3200</v>
      </c>
      <c r="E11872" t="s">
        <v>8</v>
      </c>
      <c r="F11872" t="s">
        <v>11880</v>
      </c>
      <c r="G11872">
        <v>1</v>
      </c>
    </row>
    <row r="11873" spans="1:7" x14ac:dyDescent="0.25">
      <c r="A11873">
        <v>36</v>
      </c>
      <c r="B11873" t="s">
        <v>11634</v>
      </c>
      <c r="C11873">
        <v>12271</v>
      </c>
      <c r="D11873" t="str">
        <f>"0306-0209"</f>
        <v>0306-0209</v>
      </c>
      <c r="E11873" t="s">
        <v>8</v>
      </c>
      <c r="F11873" t="s">
        <v>11881</v>
      </c>
      <c r="G11873">
        <v>1</v>
      </c>
    </row>
    <row r="11874" spans="1:7" x14ac:dyDescent="0.25">
      <c r="A11874">
        <v>36</v>
      </c>
      <c r="B11874" t="s">
        <v>11634</v>
      </c>
      <c r="C11874">
        <v>11588</v>
      </c>
      <c r="D11874" t="str">
        <f>"0167-8442"</f>
        <v>0167-8442</v>
      </c>
      <c r="E11874" t="s">
        <v>8</v>
      </c>
      <c r="F11874" t="s">
        <v>11882</v>
      </c>
      <c r="G11874">
        <v>1</v>
      </c>
    </row>
    <row r="11875" spans="1:7" x14ac:dyDescent="0.25">
      <c r="A11875">
        <v>36</v>
      </c>
      <c r="B11875" t="s">
        <v>11634</v>
      </c>
      <c r="C11875">
        <v>154635</v>
      </c>
      <c r="D11875" t="str">
        <f>"1903-7384"</f>
        <v>1903-7384</v>
      </c>
      <c r="E11875" t="s">
        <v>8</v>
      </c>
      <c r="F11875" t="s">
        <v>11883</v>
      </c>
      <c r="G11875">
        <v>1</v>
      </c>
    </row>
    <row r="11876" spans="1:7" x14ac:dyDescent="0.25">
      <c r="A11876">
        <v>36</v>
      </c>
      <c r="B11876" t="s">
        <v>11634</v>
      </c>
      <c r="C11876">
        <v>107097</v>
      </c>
      <c r="D11876" t="str">
        <f>"1333-1124"</f>
        <v>1333-1124</v>
      </c>
      <c r="E11876" t="s">
        <v>8</v>
      </c>
      <c r="F11876" t="s">
        <v>11884</v>
      </c>
      <c r="G11876">
        <v>1</v>
      </c>
    </row>
    <row r="11877" spans="1:7" x14ac:dyDescent="0.25">
      <c r="A11877">
        <v>36</v>
      </c>
      <c r="B11877" t="s">
        <v>11634</v>
      </c>
      <c r="C11877">
        <v>180102</v>
      </c>
      <c r="D11877" t="str">
        <f>"2214-3912"</f>
        <v>2214-3912</v>
      </c>
      <c r="E11877" t="s">
        <v>8</v>
      </c>
      <c r="F11877" t="s">
        <v>11885</v>
      </c>
      <c r="G11877">
        <v>1</v>
      </c>
    </row>
    <row r="11878" spans="1:7" x14ac:dyDescent="0.25">
      <c r="A11878">
        <v>36</v>
      </c>
      <c r="B11878" t="s">
        <v>11634</v>
      </c>
      <c r="C11878">
        <v>81227</v>
      </c>
      <c r="D11878" t="str">
        <f>"1756-0543"</f>
        <v>1756-0543</v>
      </c>
      <c r="E11878" t="s">
        <v>8</v>
      </c>
      <c r="F11878" t="s">
        <v>11886</v>
      </c>
      <c r="G11878">
        <v>1</v>
      </c>
    </row>
    <row r="11879" spans="1:7" x14ac:dyDescent="0.25">
      <c r="A11879">
        <v>36</v>
      </c>
      <c r="B11879" t="s">
        <v>11634</v>
      </c>
      <c r="C11879">
        <v>7755958</v>
      </c>
      <c r="D11879" t="str">
        <f>"2212-0955"</f>
        <v>2212-0955</v>
      </c>
      <c r="E11879" t="s">
        <v>8</v>
      </c>
      <c r="F11879" t="s">
        <v>11887</v>
      </c>
      <c r="G11879">
        <v>1</v>
      </c>
    </row>
    <row r="11880" spans="1:7" x14ac:dyDescent="0.25">
      <c r="A11880">
        <v>36</v>
      </c>
      <c r="B11880" t="s">
        <v>11634</v>
      </c>
      <c r="C11880">
        <v>13971</v>
      </c>
      <c r="D11880" t="str">
        <f>"0165-2125"</f>
        <v>0165-2125</v>
      </c>
      <c r="E11880" t="s">
        <v>8</v>
      </c>
      <c r="F11880" t="s">
        <v>11888</v>
      </c>
      <c r="G11880">
        <v>1</v>
      </c>
    </row>
    <row r="11881" spans="1:7" x14ac:dyDescent="0.25">
      <c r="A11881">
        <v>36</v>
      </c>
      <c r="B11881" t="s">
        <v>11634</v>
      </c>
      <c r="C11881">
        <v>2646</v>
      </c>
      <c r="D11881" t="str">
        <f>"1226-6116"</f>
        <v>1226-6116</v>
      </c>
      <c r="E11881" t="s">
        <v>8</v>
      </c>
      <c r="F11881" t="s">
        <v>11889</v>
      </c>
      <c r="G11881">
        <v>1</v>
      </c>
    </row>
    <row r="11882" spans="1:7" x14ac:dyDescent="0.25">
      <c r="A11882">
        <v>36</v>
      </c>
      <c r="B11882" t="s">
        <v>11634</v>
      </c>
      <c r="C11882">
        <v>5010069</v>
      </c>
      <c r="E11882" t="s">
        <v>2100</v>
      </c>
      <c r="F11882" t="s">
        <v>11890</v>
      </c>
      <c r="G11882">
        <v>1</v>
      </c>
    </row>
    <row r="11883" spans="1:7" x14ac:dyDescent="0.25">
      <c r="A11883">
        <v>37</v>
      </c>
      <c r="B11883" t="s">
        <v>11891</v>
      </c>
      <c r="C11883">
        <v>3690</v>
      </c>
      <c r="D11883" t="str">
        <f>"0001-4575"</f>
        <v>0001-4575</v>
      </c>
      <c r="E11883" t="s">
        <v>8</v>
      </c>
      <c r="F11883" t="s">
        <v>11892</v>
      </c>
      <c r="G11883">
        <v>2</v>
      </c>
    </row>
    <row r="11884" spans="1:7" x14ac:dyDescent="0.25">
      <c r="A11884">
        <v>37</v>
      </c>
      <c r="B11884" t="s">
        <v>11891</v>
      </c>
      <c r="C11884">
        <v>132505</v>
      </c>
      <c r="D11884" t="str">
        <f>"1567-7141"</f>
        <v>1567-7141</v>
      </c>
      <c r="E11884" t="s">
        <v>8</v>
      </c>
      <c r="F11884" t="s">
        <v>11893</v>
      </c>
      <c r="G11884">
        <v>2</v>
      </c>
    </row>
    <row r="11885" spans="1:7" x14ac:dyDescent="0.25">
      <c r="A11885">
        <v>37</v>
      </c>
      <c r="B11885" t="s">
        <v>11891</v>
      </c>
      <c r="C11885">
        <v>50664</v>
      </c>
      <c r="D11885" t="str">
        <f>"1931-0587"</f>
        <v>1931-0587</v>
      </c>
      <c r="E11885" t="s">
        <v>8</v>
      </c>
      <c r="F11885" t="s">
        <v>11894</v>
      </c>
      <c r="G11885">
        <v>2</v>
      </c>
    </row>
    <row r="11886" spans="1:7" x14ac:dyDescent="0.25">
      <c r="A11886">
        <v>37</v>
      </c>
      <c r="B11886" t="s">
        <v>11891</v>
      </c>
      <c r="C11886">
        <v>8277</v>
      </c>
      <c r="D11886" t="str">
        <f>"1524-9050"</f>
        <v>1524-9050</v>
      </c>
      <c r="E11886" t="s">
        <v>8</v>
      </c>
      <c r="F11886" t="s">
        <v>11895</v>
      </c>
      <c r="G11886">
        <v>2</v>
      </c>
    </row>
    <row r="11887" spans="1:7" x14ac:dyDescent="0.25">
      <c r="A11887">
        <v>37</v>
      </c>
      <c r="B11887" t="s">
        <v>11891</v>
      </c>
      <c r="C11887">
        <v>13037</v>
      </c>
      <c r="D11887" t="str">
        <f>"1751-956X"</f>
        <v>1751-956X</v>
      </c>
      <c r="E11887" t="s">
        <v>8</v>
      </c>
      <c r="F11887" t="s">
        <v>11896</v>
      </c>
      <c r="G11887">
        <v>2</v>
      </c>
    </row>
    <row r="11888" spans="1:7" x14ac:dyDescent="0.25">
      <c r="A11888">
        <v>37</v>
      </c>
      <c r="B11888" t="s">
        <v>11891</v>
      </c>
      <c r="C11888">
        <v>318</v>
      </c>
      <c r="D11888" t="str">
        <f>"1556-8318"</f>
        <v>1556-8318</v>
      </c>
      <c r="E11888" t="s">
        <v>8</v>
      </c>
      <c r="F11888" t="s">
        <v>11897</v>
      </c>
      <c r="G11888">
        <v>2</v>
      </c>
    </row>
    <row r="11889" spans="1:7" x14ac:dyDescent="0.25">
      <c r="A11889">
        <v>37</v>
      </c>
      <c r="B11889" t="s">
        <v>11891</v>
      </c>
      <c r="C11889">
        <v>27281</v>
      </c>
      <c r="D11889" t="str">
        <f>"1755-5345"</f>
        <v>1755-5345</v>
      </c>
      <c r="E11889" t="s">
        <v>8</v>
      </c>
      <c r="F11889" t="s">
        <v>11898</v>
      </c>
      <c r="G11889">
        <v>2</v>
      </c>
    </row>
    <row r="11890" spans="1:7" x14ac:dyDescent="0.25">
      <c r="A11890">
        <v>37</v>
      </c>
      <c r="B11890" t="s">
        <v>11891</v>
      </c>
      <c r="C11890">
        <v>8763232</v>
      </c>
      <c r="D11890" t="str">
        <f>"2214-1405"</f>
        <v>2214-1405</v>
      </c>
      <c r="E11890" t="s">
        <v>8</v>
      </c>
      <c r="F11890" t="s">
        <v>11899</v>
      </c>
      <c r="G11890">
        <v>2</v>
      </c>
    </row>
    <row r="11891" spans="1:7" x14ac:dyDescent="0.25">
      <c r="A11891">
        <v>37</v>
      </c>
      <c r="B11891" t="s">
        <v>11891</v>
      </c>
      <c r="C11891">
        <v>4680</v>
      </c>
      <c r="D11891" t="str">
        <f>"0966-6923"</f>
        <v>0966-6923</v>
      </c>
      <c r="E11891" t="s">
        <v>8</v>
      </c>
      <c r="F11891" t="s">
        <v>11900</v>
      </c>
      <c r="G11891">
        <v>2</v>
      </c>
    </row>
    <row r="11892" spans="1:7" x14ac:dyDescent="0.25">
      <c r="A11892">
        <v>37</v>
      </c>
      <c r="B11892" t="s">
        <v>11891</v>
      </c>
      <c r="C11892">
        <v>16843</v>
      </c>
      <c r="D11892" t="str">
        <f>"0028-3045"</f>
        <v>0028-3045</v>
      </c>
      <c r="E11892" t="s">
        <v>8</v>
      </c>
      <c r="F11892" t="s">
        <v>11901</v>
      </c>
      <c r="G11892">
        <v>2</v>
      </c>
    </row>
    <row r="11893" spans="1:7" x14ac:dyDescent="0.25">
      <c r="A11893">
        <v>37</v>
      </c>
      <c r="B11893" t="s">
        <v>11891</v>
      </c>
      <c r="C11893">
        <v>12511</v>
      </c>
      <c r="D11893" t="str">
        <f>"1566-113X"</f>
        <v>1566-113X</v>
      </c>
      <c r="E11893" t="s">
        <v>8</v>
      </c>
      <c r="F11893" t="s">
        <v>11902</v>
      </c>
      <c r="G11893">
        <v>2</v>
      </c>
    </row>
    <row r="11894" spans="1:7" x14ac:dyDescent="0.25">
      <c r="A11894">
        <v>37</v>
      </c>
      <c r="B11894" t="s">
        <v>11891</v>
      </c>
      <c r="C11894">
        <v>6252039</v>
      </c>
      <c r="D11894" t="str">
        <f>"1866-749X"</f>
        <v>1866-749X</v>
      </c>
      <c r="E11894" t="s">
        <v>8</v>
      </c>
      <c r="F11894" t="s">
        <v>11903</v>
      </c>
      <c r="G11894">
        <v>2</v>
      </c>
    </row>
    <row r="11895" spans="1:7" x14ac:dyDescent="0.25">
      <c r="A11895">
        <v>37</v>
      </c>
      <c r="B11895" t="s">
        <v>11891</v>
      </c>
      <c r="C11895">
        <v>13210</v>
      </c>
      <c r="D11895" t="str">
        <f>"0967-070X"</f>
        <v>0967-070X</v>
      </c>
      <c r="E11895" t="s">
        <v>8</v>
      </c>
      <c r="F11895" t="s">
        <v>11904</v>
      </c>
      <c r="G11895">
        <v>2</v>
      </c>
    </row>
    <row r="11896" spans="1:7" x14ac:dyDescent="0.25">
      <c r="A11896">
        <v>37</v>
      </c>
      <c r="B11896" t="s">
        <v>11891</v>
      </c>
      <c r="C11896">
        <v>13284</v>
      </c>
      <c r="D11896" t="str">
        <f>"0144-1647"</f>
        <v>0144-1647</v>
      </c>
      <c r="E11896" t="s">
        <v>8</v>
      </c>
      <c r="F11896" t="s">
        <v>11905</v>
      </c>
      <c r="G11896">
        <v>2</v>
      </c>
    </row>
    <row r="11897" spans="1:7" x14ac:dyDescent="0.25">
      <c r="A11897">
        <v>37</v>
      </c>
      <c r="B11897" t="s">
        <v>11891</v>
      </c>
      <c r="C11897">
        <v>9800</v>
      </c>
      <c r="D11897" t="str">
        <f>"0049-4488"</f>
        <v>0049-4488</v>
      </c>
      <c r="E11897" t="s">
        <v>8</v>
      </c>
      <c r="F11897" t="s">
        <v>11906</v>
      </c>
      <c r="G11897">
        <v>2</v>
      </c>
    </row>
    <row r="11898" spans="1:7" x14ac:dyDescent="0.25">
      <c r="A11898">
        <v>37</v>
      </c>
      <c r="B11898" t="s">
        <v>11891</v>
      </c>
      <c r="C11898">
        <v>12224</v>
      </c>
      <c r="D11898" t="str">
        <f>"0965-8564"</f>
        <v>0965-8564</v>
      </c>
      <c r="E11898" t="s">
        <v>8</v>
      </c>
      <c r="F11898" t="s">
        <v>11907</v>
      </c>
      <c r="G11898">
        <v>2</v>
      </c>
    </row>
    <row r="11899" spans="1:7" x14ac:dyDescent="0.25">
      <c r="A11899">
        <v>37</v>
      </c>
      <c r="B11899" t="s">
        <v>11891</v>
      </c>
      <c r="C11899">
        <v>15954</v>
      </c>
      <c r="D11899" t="str">
        <f>"0191-2615"</f>
        <v>0191-2615</v>
      </c>
      <c r="E11899" t="s">
        <v>8</v>
      </c>
      <c r="F11899" t="s">
        <v>11908</v>
      </c>
      <c r="G11899">
        <v>2</v>
      </c>
    </row>
    <row r="11900" spans="1:7" x14ac:dyDescent="0.25">
      <c r="A11900">
        <v>37</v>
      </c>
      <c r="B11900" t="s">
        <v>11891</v>
      </c>
      <c r="C11900">
        <v>3943</v>
      </c>
      <c r="D11900" t="str">
        <f>"0968-090X"</f>
        <v>0968-090X</v>
      </c>
      <c r="E11900" t="s">
        <v>8</v>
      </c>
      <c r="F11900" t="s">
        <v>11909</v>
      </c>
      <c r="G11900">
        <v>2</v>
      </c>
    </row>
    <row r="11901" spans="1:7" x14ac:dyDescent="0.25">
      <c r="A11901">
        <v>37</v>
      </c>
      <c r="B11901" t="s">
        <v>11891</v>
      </c>
      <c r="C11901">
        <v>1068</v>
      </c>
      <c r="D11901" t="str">
        <f>"1361-9209"</f>
        <v>1361-9209</v>
      </c>
      <c r="E11901" t="s">
        <v>8</v>
      </c>
      <c r="F11901" t="s">
        <v>11910</v>
      </c>
      <c r="G11901">
        <v>2</v>
      </c>
    </row>
    <row r="11902" spans="1:7" x14ac:dyDescent="0.25">
      <c r="A11902">
        <v>37</v>
      </c>
      <c r="B11902" t="s">
        <v>11891</v>
      </c>
      <c r="C11902">
        <v>8671</v>
      </c>
      <c r="D11902" t="str">
        <f>"1366-5545"</f>
        <v>1366-5545</v>
      </c>
      <c r="E11902" t="s">
        <v>8</v>
      </c>
      <c r="F11902" t="s">
        <v>11911</v>
      </c>
      <c r="G11902">
        <v>2</v>
      </c>
    </row>
    <row r="11903" spans="1:7" x14ac:dyDescent="0.25">
      <c r="A11903">
        <v>37</v>
      </c>
      <c r="B11903" t="s">
        <v>11891</v>
      </c>
      <c r="C11903">
        <v>16780</v>
      </c>
      <c r="D11903" t="str">
        <f>"1369-8478"</f>
        <v>1369-8478</v>
      </c>
      <c r="E11903" t="s">
        <v>8</v>
      </c>
      <c r="F11903" t="s">
        <v>11912</v>
      </c>
      <c r="G11903">
        <v>2</v>
      </c>
    </row>
    <row r="11904" spans="1:7" x14ac:dyDescent="0.25">
      <c r="A11904">
        <v>37</v>
      </c>
      <c r="B11904" t="s">
        <v>11891</v>
      </c>
      <c r="C11904">
        <v>3817</v>
      </c>
      <c r="D11904" t="str">
        <f>"0041-1655"</f>
        <v>0041-1655</v>
      </c>
      <c r="E11904" t="s">
        <v>8</v>
      </c>
      <c r="F11904" t="s">
        <v>11913</v>
      </c>
      <c r="G11904">
        <v>2</v>
      </c>
    </row>
    <row r="11905" spans="1:7" x14ac:dyDescent="0.25">
      <c r="A11905">
        <v>37</v>
      </c>
      <c r="B11905" t="s">
        <v>11891</v>
      </c>
      <c r="C11905">
        <v>17914</v>
      </c>
      <c r="D11905" t="str">
        <f>"2324-9935"</f>
        <v>2324-9935</v>
      </c>
      <c r="E11905" t="s">
        <v>8</v>
      </c>
      <c r="F11905" t="s">
        <v>11914</v>
      </c>
      <c r="G11905">
        <v>2</v>
      </c>
    </row>
    <row r="11906" spans="1:7" x14ac:dyDescent="0.25">
      <c r="A11906">
        <v>37</v>
      </c>
      <c r="B11906" t="s">
        <v>11891</v>
      </c>
      <c r="C11906">
        <v>149576</v>
      </c>
      <c r="D11906" t="str">
        <f>"1824-5463"</f>
        <v>1824-5463</v>
      </c>
      <c r="E11906" t="s">
        <v>8</v>
      </c>
      <c r="F11906" t="s">
        <v>11915</v>
      </c>
      <c r="G11906">
        <v>1</v>
      </c>
    </row>
    <row r="11907" spans="1:7" x14ac:dyDescent="0.25">
      <c r="A11907">
        <v>37</v>
      </c>
      <c r="B11907" t="s">
        <v>11891</v>
      </c>
      <c r="C11907">
        <v>7755077</v>
      </c>
      <c r="D11907" t="str">
        <f>"2213-6657"</f>
        <v>2213-6657</v>
      </c>
      <c r="E11907" t="s">
        <v>8</v>
      </c>
      <c r="F11907" t="s">
        <v>11916</v>
      </c>
      <c r="G11907">
        <v>1</v>
      </c>
    </row>
    <row r="11908" spans="1:7" x14ac:dyDescent="0.25">
      <c r="A11908">
        <v>37</v>
      </c>
      <c r="B11908" t="s">
        <v>11891</v>
      </c>
      <c r="C11908">
        <v>8776235</v>
      </c>
      <c r="D11908" t="str">
        <f>"2380-0127"</f>
        <v>2380-0127</v>
      </c>
      <c r="E11908" t="s">
        <v>8</v>
      </c>
      <c r="F11908" t="s">
        <v>11917</v>
      </c>
      <c r="G11908">
        <v>1</v>
      </c>
    </row>
    <row r="11909" spans="1:7" x14ac:dyDescent="0.25">
      <c r="A11909">
        <v>37</v>
      </c>
      <c r="B11909" t="s">
        <v>11891</v>
      </c>
      <c r="C11909">
        <v>7744837</v>
      </c>
      <c r="D11909" t="str">
        <f>"2213-624X"</f>
        <v>2213-624X</v>
      </c>
      <c r="E11909" t="s">
        <v>8</v>
      </c>
      <c r="F11909" t="s">
        <v>11918</v>
      </c>
      <c r="G11909">
        <v>1</v>
      </c>
    </row>
    <row r="11910" spans="1:7" x14ac:dyDescent="0.25">
      <c r="A11910">
        <v>37</v>
      </c>
      <c r="B11910" t="s">
        <v>11891</v>
      </c>
      <c r="C11910">
        <v>27473</v>
      </c>
      <c r="E11910" t="s">
        <v>8</v>
      </c>
      <c r="F11910" t="s">
        <v>11919</v>
      </c>
      <c r="G11910">
        <v>1</v>
      </c>
    </row>
    <row r="11911" spans="1:7" x14ac:dyDescent="0.25">
      <c r="A11911">
        <v>37</v>
      </c>
      <c r="B11911" t="s">
        <v>11891</v>
      </c>
      <c r="C11911">
        <v>170367</v>
      </c>
      <c r="D11911" t="str">
        <f>"2212-0122"</f>
        <v>2212-0122</v>
      </c>
      <c r="E11911" t="s">
        <v>8</v>
      </c>
      <c r="F11911" t="s">
        <v>11920</v>
      </c>
      <c r="G11911">
        <v>1</v>
      </c>
    </row>
    <row r="11912" spans="1:7" x14ac:dyDescent="0.25">
      <c r="A11912">
        <v>37</v>
      </c>
      <c r="B11912" t="s">
        <v>11891</v>
      </c>
      <c r="C11912">
        <v>7720106</v>
      </c>
      <c r="D11912" t="str">
        <f>"2192-4376"</f>
        <v>2192-4376</v>
      </c>
      <c r="E11912" t="s">
        <v>8</v>
      </c>
      <c r="F11912" t="s">
        <v>11921</v>
      </c>
      <c r="G11912">
        <v>1</v>
      </c>
    </row>
    <row r="11913" spans="1:7" x14ac:dyDescent="0.25">
      <c r="A11913">
        <v>37</v>
      </c>
      <c r="B11913" t="s">
        <v>11891</v>
      </c>
      <c r="C11913">
        <v>13194</v>
      </c>
      <c r="D11913" t="str">
        <f>"1825-3997"</f>
        <v>1825-3997</v>
      </c>
      <c r="E11913" t="s">
        <v>8</v>
      </c>
      <c r="F11913" t="s">
        <v>11922</v>
      </c>
      <c r="G11913">
        <v>1</v>
      </c>
    </row>
    <row r="11914" spans="1:7" x14ac:dyDescent="0.25">
      <c r="A11914">
        <v>37</v>
      </c>
      <c r="B11914" t="s">
        <v>11891</v>
      </c>
      <c r="C11914">
        <v>6106380</v>
      </c>
      <c r="D11914" t="str">
        <f>"1867-0717"</f>
        <v>1867-0717</v>
      </c>
      <c r="E11914" t="s">
        <v>8</v>
      </c>
      <c r="F11914" t="s">
        <v>11923</v>
      </c>
      <c r="G11914">
        <v>1</v>
      </c>
    </row>
    <row r="11915" spans="1:7" x14ac:dyDescent="0.25">
      <c r="A11915">
        <v>37</v>
      </c>
      <c r="B11915" t="s">
        <v>11891</v>
      </c>
      <c r="C11915">
        <v>21096</v>
      </c>
      <c r="D11915" t="str">
        <f>"0386-1112"</f>
        <v>0386-1112</v>
      </c>
      <c r="E11915" t="s">
        <v>8</v>
      </c>
      <c r="F11915" t="s">
        <v>11924</v>
      </c>
      <c r="G11915">
        <v>1</v>
      </c>
    </row>
    <row r="11916" spans="1:7" x14ac:dyDescent="0.25">
      <c r="A11916">
        <v>37</v>
      </c>
      <c r="B11916" t="s">
        <v>11891</v>
      </c>
      <c r="C11916">
        <v>7647374</v>
      </c>
      <c r="D11916" t="str">
        <f>"1939-1390"</f>
        <v>1939-1390</v>
      </c>
      <c r="E11916" t="s">
        <v>8</v>
      </c>
      <c r="F11916" t="s">
        <v>11925</v>
      </c>
      <c r="G11916">
        <v>1</v>
      </c>
    </row>
    <row r="11917" spans="1:7" x14ac:dyDescent="0.25">
      <c r="A11917">
        <v>37</v>
      </c>
      <c r="B11917" t="s">
        <v>11891</v>
      </c>
      <c r="C11917">
        <v>7729554</v>
      </c>
      <c r="D11917" t="str">
        <f>"2049-6745"</f>
        <v>2049-6745</v>
      </c>
      <c r="E11917" t="s">
        <v>8</v>
      </c>
      <c r="F11917" t="s">
        <v>11926</v>
      </c>
      <c r="G11917">
        <v>1</v>
      </c>
    </row>
    <row r="11918" spans="1:7" x14ac:dyDescent="0.25">
      <c r="A11918">
        <v>37</v>
      </c>
      <c r="B11918" t="s">
        <v>11891</v>
      </c>
      <c r="C11918">
        <v>154110</v>
      </c>
      <c r="D11918" t="str">
        <f>"1756-6517"</f>
        <v>1756-6517</v>
      </c>
      <c r="E11918" t="s">
        <v>8</v>
      </c>
      <c r="F11918" t="s">
        <v>11927</v>
      </c>
      <c r="G11918">
        <v>1</v>
      </c>
    </row>
    <row r="11919" spans="1:7" x14ac:dyDescent="0.25">
      <c r="A11919">
        <v>37</v>
      </c>
      <c r="B11919" t="s">
        <v>11891</v>
      </c>
      <c r="C11919">
        <v>5110</v>
      </c>
      <c r="D11919" t="str">
        <f>"0303-5247"</f>
        <v>0303-5247</v>
      </c>
      <c r="E11919" t="s">
        <v>8</v>
      </c>
      <c r="F11919" t="s">
        <v>11928</v>
      </c>
      <c r="G11919">
        <v>1</v>
      </c>
    </row>
    <row r="11920" spans="1:7" x14ac:dyDescent="0.25">
      <c r="A11920">
        <v>37</v>
      </c>
      <c r="B11920" t="s">
        <v>11891</v>
      </c>
      <c r="C11920">
        <v>6468</v>
      </c>
      <c r="D11920" t="str">
        <f>"0162-8178"</f>
        <v>0162-8178</v>
      </c>
      <c r="E11920" t="s">
        <v>8</v>
      </c>
      <c r="F11920" t="s">
        <v>11929</v>
      </c>
      <c r="G11920">
        <v>1</v>
      </c>
    </row>
    <row r="11921" spans="1:7" x14ac:dyDescent="0.25">
      <c r="A11921">
        <v>37</v>
      </c>
      <c r="B11921" t="s">
        <v>11891</v>
      </c>
      <c r="C11921">
        <v>27864</v>
      </c>
      <c r="E11921" t="s">
        <v>8</v>
      </c>
      <c r="F11921" t="s">
        <v>11930</v>
      </c>
      <c r="G11921">
        <v>1</v>
      </c>
    </row>
    <row r="11922" spans="1:7" x14ac:dyDescent="0.25">
      <c r="A11922">
        <v>37</v>
      </c>
      <c r="B11922" t="s">
        <v>11891</v>
      </c>
      <c r="C11922">
        <v>9298</v>
      </c>
      <c r="D11922" t="str">
        <f>"0197-6729"</f>
        <v>0197-6729</v>
      </c>
      <c r="E11922" t="s">
        <v>8</v>
      </c>
      <c r="F11922" t="s">
        <v>11931</v>
      </c>
      <c r="G11922">
        <v>1</v>
      </c>
    </row>
    <row r="11923" spans="1:7" x14ac:dyDescent="0.25">
      <c r="A11923">
        <v>37</v>
      </c>
      <c r="B11923" t="s">
        <v>11891</v>
      </c>
      <c r="C11923">
        <v>8270</v>
      </c>
      <c r="D11923" t="str">
        <f>"0969-6997"</f>
        <v>0969-6997</v>
      </c>
      <c r="E11923" t="s">
        <v>8</v>
      </c>
      <c r="F11923" t="s">
        <v>11932</v>
      </c>
      <c r="G11923">
        <v>1</v>
      </c>
    </row>
    <row r="11924" spans="1:7" x14ac:dyDescent="0.25">
      <c r="A11924">
        <v>37</v>
      </c>
      <c r="B11924" t="s">
        <v>11891</v>
      </c>
      <c r="C11924">
        <v>17983</v>
      </c>
      <c r="D11924" t="str">
        <f>"1547-2450"</f>
        <v>1547-2450</v>
      </c>
      <c r="E11924" t="s">
        <v>8</v>
      </c>
      <c r="F11924" t="s">
        <v>11933</v>
      </c>
      <c r="G11924">
        <v>1</v>
      </c>
    </row>
    <row r="11925" spans="1:7" x14ac:dyDescent="0.25">
      <c r="A11925">
        <v>37</v>
      </c>
      <c r="B11925" t="s">
        <v>11891</v>
      </c>
      <c r="C11925">
        <v>77684</v>
      </c>
      <c r="D11925" t="str">
        <f>"1077-291X"</f>
        <v>1077-291X</v>
      </c>
      <c r="E11925" t="s">
        <v>8</v>
      </c>
      <c r="F11925" t="s">
        <v>11934</v>
      </c>
      <c r="G11925">
        <v>1</v>
      </c>
    </row>
    <row r="11926" spans="1:7" x14ac:dyDescent="0.25">
      <c r="A11926">
        <v>37</v>
      </c>
      <c r="B11926" t="s">
        <v>11891</v>
      </c>
      <c r="C11926">
        <v>170366</v>
      </c>
      <c r="D11926" t="str">
        <f>"2210-9706"</f>
        <v>2210-9706</v>
      </c>
      <c r="E11926" t="s">
        <v>8</v>
      </c>
      <c r="F11926" t="s">
        <v>11935</v>
      </c>
      <c r="G11926">
        <v>1</v>
      </c>
    </row>
    <row r="11927" spans="1:7" x14ac:dyDescent="0.25">
      <c r="A11927">
        <v>37</v>
      </c>
      <c r="B11927" t="s">
        <v>11891</v>
      </c>
      <c r="C11927">
        <v>1902</v>
      </c>
      <c r="D11927" t="str">
        <f>"0022-4375"</f>
        <v>0022-4375</v>
      </c>
      <c r="E11927" t="s">
        <v>8</v>
      </c>
      <c r="F11927" t="s">
        <v>11936</v>
      </c>
      <c r="G11927">
        <v>1</v>
      </c>
    </row>
    <row r="11928" spans="1:7" x14ac:dyDescent="0.25">
      <c r="A11928">
        <v>37</v>
      </c>
      <c r="B11928" t="s">
        <v>11891</v>
      </c>
      <c r="C11928">
        <v>170421</v>
      </c>
      <c r="D11928" t="str">
        <f>"1906-8360"</f>
        <v>1906-8360</v>
      </c>
      <c r="E11928" t="s">
        <v>8</v>
      </c>
      <c r="F11928" t="s">
        <v>11937</v>
      </c>
      <c r="G11928">
        <v>1</v>
      </c>
    </row>
    <row r="11929" spans="1:7" x14ac:dyDescent="0.25">
      <c r="A11929">
        <v>37</v>
      </c>
      <c r="B11929" t="s">
        <v>11891</v>
      </c>
      <c r="C11929">
        <v>8782530</v>
      </c>
      <c r="D11929" t="str">
        <f>"2328-2142"</f>
        <v>2328-2142</v>
      </c>
      <c r="E11929" t="s">
        <v>8</v>
      </c>
      <c r="F11929" t="s">
        <v>11938</v>
      </c>
      <c r="G11929">
        <v>1</v>
      </c>
    </row>
    <row r="11930" spans="1:7" x14ac:dyDescent="0.25">
      <c r="A11930">
        <v>37</v>
      </c>
      <c r="B11930" t="s">
        <v>11891</v>
      </c>
      <c r="C11930">
        <v>27039</v>
      </c>
      <c r="D11930" t="str">
        <f>"1938-7849"</f>
        <v>1938-7849</v>
      </c>
      <c r="E11930" t="s">
        <v>8</v>
      </c>
      <c r="F11930" t="s">
        <v>11939</v>
      </c>
      <c r="G11930">
        <v>1</v>
      </c>
    </row>
    <row r="11931" spans="1:7" x14ac:dyDescent="0.25">
      <c r="A11931">
        <v>37</v>
      </c>
      <c r="B11931" t="s">
        <v>11891</v>
      </c>
      <c r="C11931">
        <v>825</v>
      </c>
      <c r="D11931" t="str">
        <f>"0022-5258"</f>
        <v>0022-5258</v>
      </c>
      <c r="E11931" t="s">
        <v>8</v>
      </c>
      <c r="F11931" t="s">
        <v>11940</v>
      </c>
      <c r="G11931">
        <v>1</v>
      </c>
    </row>
    <row r="11932" spans="1:7" x14ac:dyDescent="0.25">
      <c r="A11932">
        <v>37</v>
      </c>
      <c r="B11932" t="s">
        <v>11891</v>
      </c>
      <c r="C11932">
        <v>7033</v>
      </c>
      <c r="D11932" t="str">
        <f>"0733-947X"</f>
        <v>0733-947X</v>
      </c>
      <c r="E11932" t="s">
        <v>8</v>
      </c>
      <c r="F11932" t="s">
        <v>11941</v>
      </c>
      <c r="G11932">
        <v>1</v>
      </c>
    </row>
    <row r="11933" spans="1:7" x14ac:dyDescent="0.25">
      <c r="A11933">
        <v>37</v>
      </c>
      <c r="B11933" t="s">
        <v>11891</v>
      </c>
      <c r="C11933">
        <v>6172712</v>
      </c>
      <c r="D11933" t="str">
        <f>"1943-9962"</f>
        <v>1943-9962</v>
      </c>
      <c r="E11933" t="s">
        <v>8</v>
      </c>
      <c r="F11933" t="s">
        <v>11942</v>
      </c>
      <c r="G11933">
        <v>1</v>
      </c>
    </row>
    <row r="11934" spans="1:7" x14ac:dyDescent="0.25">
      <c r="A11934">
        <v>37</v>
      </c>
      <c r="B11934" t="s">
        <v>11891</v>
      </c>
      <c r="C11934">
        <v>7711834</v>
      </c>
      <c r="D11934" t="str">
        <f>"2160-0473"</f>
        <v>2160-0473</v>
      </c>
      <c r="E11934" t="s">
        <v>8</v>
      </c>
      <c r="F11934" t="s">
        <v>11943</v>
      </c>
      <c r="G11934">
        <v>1</v>
      </c>
    </row>
    <row r="11935" spans="1:7" x14ac:dyDescent="0.25">
      <c r="A11935">
        <v>37</v>
      </c>
      <c r="B11935" t="s">
        <v>11891</v>
      </c>
      <c r="C11935">
        <v>7750891</v>
      </c>
      <c r="D11935" t="str">
        <f>"2304-9405"</f>
        <v>2304-9405</v>
      </c>
      <c r="E11935" t="s">
        <v>8</v>
      </c>
      <c r="F11935" t="s">
        <v>11944</v>
      </c>
      <c r="G11935">
        <v>1</v>
      </c>
    </row>
    <row r="11936" spans="1:7" x14ac:dyDescent="0.25">
      <c r="A11936">
        <v>37</v>
      </c>
      <c r="B11936" t="s">
        <v>11891</v>
      </c>
      <c r="C11936">
        <v>27466</v>
      </c>
      <c r="D11936" t="str">
        <f>"1073-1652"</f>
        <v>1073-1652</v>
      </c>
      <c r="E11936" t="s">
        <v>8</v>
      </c>
      <c r="F11936" t="s">
        <v>11945</v>
      </c>
      <c r="G11936">
        <v>1</v>
      </c>
    </row>
    <row r="11937" spans="1:7" x14ac:dyDescent="0.25">
      <c r="A11937">
        <v>37</v>
      </c>
      <c r="B11937" t="s">
        <v>11891</v>
      </c>
      <c r="C11937">
        <v>16239</v>
      </c>
      <c r="D11937" t="str">
        <f>"0965-092X"</f>
        <v>0965-092X</v>
      </c>
      <c r="E11937" t="s">
        <v>8</v>
      </c>
      <c r="F11937" t="s">
        <v>11946</v>
      </c>
      <c r="G11937">
        <v>1</v>
      </c>
    </row>
    <row r="11938" spans="1:7" x14ac:dyDescent="0.25">
      <c r="A11938">
        <v>37</v>
      </c>
      <c r="B11938" t="s">
        <v>11891</v>
      </c>
      <c r="C11938">
        <v>10612</v>
      </c>
      <c r="D11938" t="str">
        <f>"0954-4097"</f>
        <v>0954-4097</v>
      </c>
      <c r="E11938" t="s">
        <v>8</v>
      </c>
      <c r="F11938" t="s">
        <v>11947</v>
      </c>
      <c r="G11938">
        <v>1</v>
      </c>
    </row>
    <row r="11939" spans="1:7" x14ac:dyDescent="0.25">
      <c r="A11939">
        <v>37</v>
      </c>
      <c r="B11939" t="s">
        <v>11891</v>
      </c>
      <c r="C11939">
        <v>110695</v>
      </c>
      <c r="D11939" t="str">
        <f>"0353-5320"</f>
        <v>0353-5320</v>
      </c>
      <c r="E11939" t="s">
        <v>8</v>
      </c>
      <c r="F11939" t="s">
        <v>11948</v>
      </c>
      <c r="G11939">
        <v>1</v>
      </c>
    </row>
    <row r="11940" spans="1:7" x14ac:dyDescent="0.25">
      <c r="A11940">
        <v>37</v>
      </c>
      <c r="B11940" t="s">
        <v>11891</v>
      </c>
      <c r="C11940">
        <v>5481</v>
      </c>
      <c r="D11940" t="str">
        <f>"0739-8859"</f>
        <v>0739-8859</v>
      </c>
      <c r="E11940" t="s">
        <v>8</v>
      </c>
      <c r="F11940" t="s">
        <v>11949</v>
      </c>
      <c r="G11940">
        <v>1</v>
      </c>
    </row>
    <row r="11941" spans="1:7" x14ac:dyDescent="0.25">
      <c r="A11941">
        <v>37</v>
      </c>
      <c r="B11941" t="s">
        <v>11891</v>
      </c>
      <c r="C11941">
        <v>26520</v>
      </c>
      <c r="D11941" t="str">
        <f>"1037-5783"</f>
        <v>1037-5783</v>
      </c>
      <c r="E11941" t="s">
        <v>8</v>
      </c>
      <c r="F11941" t="s">
        <v>11950</v>
      </c>
      <c r="G11941">
        <v>1</v>
      </c>
    </row>
    <row r="11942" spans="1:7" x14ac:dyDescent="0.25">
      <c r="A11942">
        <v>37</v>
      </c>
      <c r="B11942" t="s">
        <v>11891</v>
      </c>
      <c r="C11942">
        <v>8783589</v>
      </c>
      <c r="E11942" t="s">
        <v>15</v>
      </c>
      <c r="F11942" t="s">
        <v>11951</v>
      </c>
      <c r="G11942">
        <v>1</v>
      </c>
    </row>
    <row r="11943" spans="1:7" x14ac:dyDescent="0.25">
      <c r="A11943">
        <v>37</v>
      </c>
      <c r="B11943" t="s">
        <v>11891</v>
      </c>
      <c r="C11943">
        <v>8782529</v>
      </c>
      <c r="D11943" t="str">
        <f>"2313-576X"</f>
        <v>2313-576X</v>
      </c>
      <c r="E11943" t="s">
        <v>8</v>
      </c>
      <c r="F11943" t="s">
        <v>11952</v>
      </c>
      <c r="G11943">
        <v>1</v>
      </c>
    </row>
    <row r="11944" spans="1:7" x14ac:dyDescent="0.25">
      <c r="A11944">
        <v>37</v>
      </c>
      <c r="B11944" t="s">
        <v>11891</v>
      </c>
      <c r="C11944">
        <v>27833</v>
      </c>
      <c r="E11944" t="s">
        <v>8</v>
      </c>
      <c r="F11944" t="s">
        <v>11953</v>
      </c>
      <c r="G11944">
        <v>1</v>
      </c>
    </row>
    <row r="11945" spans="1:7" x14ac:dyDescent="0.25">
      <c r="A11945">
        <v>37</v>
      </c>
      <c r="B11945" t="s">
        <v>11891</v>
      </c>
      <c r="C11945">
        <v>6653</v>
      </c>
      <c r="D11945" t="str">
        <f>"0022-5266"</f>
        <v>0022-5266</v>
      </c>
      <c r="E11945" t="s">
        <v>8</v>
      </c>
      <c r="F11945" t="s">
        <v>11954</v>
      </c>
      <c r="G11945">
        <v>1</v>
      </c>
    </row>
    <row r="11946" spans="1:7" x14ac:dyDescent="0.25">
      <c r="A11946">
        <v>37</v>
      </c>
      <c r="B11946" t="s">
        <v>11891</v>
      </c>
      <c r="C11946">
        <v>9288</v>
      </c>
      <c r="D11946" t="str">
        <f>"1134-5764"</f>
        <v>1134-5764</v>
      </c>
      <c r="E11946" t="s">
        <v>8</v>
      </c>
      <c r="F11946" t="s">
        <v>11955</v>
      </c>
      <c r="G11946">
        <v>1</v>
      </c>
    </row>
    <row r="11947" spans="1:7" x14ac:dyDescent="0.25">
      <c r="A11947">
        <v>37</v>
      </c>
      <c r="B11947" t="s">
        <v>11891</v>
      </c>
      <c r="C11947">
        <v>7977</v>
      </c>
      <c r="D11947" t="str">
        <f>"1538-9588"</f>
        <v>1538-9588</v>
      </c>
      <c r="E11947" t="s">
        <v>8</v>
      </c>
      <c r="F11947" t="s">
        <v>11956</v>
      </c>
      <c r="G11947">
        <v>1</v>
      </c>
    </row>
    <row r="11948" spans="1:7" x14ac:dyDescent="0.25">
      <c r="A11948">
        <v>37</v>
      </c>
      <c r="B11948" t="s">
        <v>11891</v>
      </c>
      <c r="C11948">
        <v>7717788</v>
      </c>
      <c r="D11948" t="str">
        <f>"1802-9876"</f>
        <v>1802-9876</v>
      </c>
      <c r="E11948" t="s">
        <v>8</v>
      </c>
      <c r="F11948" t="s">
        <v>11957</v>
      </c>
      <c r="G11948">
        <v>1</v>
      </c>
    </row>
    <row r="11949" spans="1:7" x14ac:dyDescent="0.25">
      <c r="A11949">
        <v>37</v>
      </c>
      <c r="B11949" t="s">
        <v>11891</v>
      </c>
      <c r="C11949">
        <v>27159</v>
      </c>
      <c r="D11949" t="str">
        <f>"1648-4142"</f>
        <v>1648-4142</v>
      </c>
      <c r="E11949" t="s">
        <v>8</v>
      </c>
      <c r="F11949" t="s">
        <v>11958</v>
      </c>
      <c r="G11949">
        <v>1</v>
      </c>
    </row>
    <row r="11950" spans="1:7" x14ac:dyDescent="0.25">
      <c r="A11950">
        <v>37</v>
      </c>
      <c r="B11950" t="s">
        <v>11891</v>
      </c>
      <c r="C11950">
        <v>8783590</v>
      </c>
      <c r="E11950" t="s">
        <v>15</v>
      </c>
      <c r="F11950" t="s">
        <v>11959</v>
      </c>
      <c r="G11950">
        <v>1</v>
      </c>
    </row>
    <row r="11951" spans="1:7" x14ac:dyDescent="0.25">
      <c r="A11951">
        <v>37</v>
      </c>
      <c r="B11951" t="s">
        <v>11891</v>
      </c>
      <c r="C11951">
        <v>8970</v>
      </c>
      <c r="D11951" t="str">
        <f>"0041-1612"</f>
        <v>0041-1612</v>
      </c>
      <c r="E11951" t="s">
        <v>8</v>
      </c>
      <c r="F11951" t="s">
        <v>11960</v>
      </c>
      <c r="G11951">
        <v>1</v>
      </c>
    </row>
    <row r="11952" spans="1:7" x14ac:dyDescent="0.25">
      <c r="A11952">
        <v>37</v>
      </c>
      <c r="B11952" t="s">
        <v>11891</v>
      </c>
      <c r="C11952">
        <v>6307552</v>
      </c>
      <c r="D11952" t="str">
        <f>"1942-7867"</f>
        <v>1942-7867</v>
      </c>
      <c r="E11952" t="s">
        <v>8</v>
      </c>
      <c r="F11952" t="s">
        <v>11961</v>
      </c>
      <c r="G11952">
        <v>1</v>
      </c>
    </row>
    <row r="11953" spans="1:7" x14ac:dyDescent="0.25">
      <c r="A11953">
        <v>37</v>
      </c>
      <c r="B11953" t="s">
        <v>11891</v>
      </c>
      <c r="C11953">
        <v>4683</v>
      </c>
      <c r="D11953" t="str">
        <f>"0308-1060"</f>
        <v>0308-1060</v>
      </c>
      <c r="E11953" t="s">
        <v>8</v>
      </c>
      <c r="F11953" t="s">
        <v>11962</v>
      </c>
      <c r="G11953">
        <v>1</v>
      </c>
    </row>
    <row r="11954" spans="1:7" x14ac:dyDescent="0.25">
      <c r="A11954">
        <v>37</v>
      </c>
      <c r="B11954" t="s">
        <v>11891</v>
      </c>
      <c r="C11954">
        <v>7848</v>
      </c>
      <c r="D11954" t="str">
        <f>"0278-9434"</f>
        <v>0278-9434</v>
      </c>
      <c r="E11954" t="s">
        <v>8</v>
      </c>
      <c r="F11954" t="s">
        <v>11963</v>
      </c>
      <c r="G11954">
        <v>1</v>
      </c>
    </row>
    <row r="11955" spans="1:7" x14ac:dyDescent="0.25">
      <c r="A11955">
        <v>37</v>
      </c>
      <c r="B11955" t="s">
        <v>11891</v>
      </c>
      <c r="C11955">
        <v>27850</v>
      </c>
      <c r="E11955" t="s">
        <v>8</v>
      </c>
      <c r="F11955" t="s">
        <v>11964</v>
      </c>
      <c r="G11955">
        <v>1</v>
      </c>
    </row>
    <row r="11956" spans="1:7" x14ac:dyDescent="0.25">
      <c r="A11956">
        <v>37</v>
      </c>
      <c r="B11956" t="s">
        <v>11891</v>
      </c>
      <c r="C11956">
        <v>8886</v>
      </c>
      <c r="D11956" t="str">
        <f>"0361-1981"</f>
        <v>0361-1981</v>
      </c>
      <c r="E11956" t="s">
        <v>15</v>
      </c>
      <c r="F11956" t="s">
        <v>11965</v>
      </c>
      <c r="G11956">
        <v>1</v>
      </c>
    </row>
    <row r="11957" spans="1:7" x14ac:dyDescent="0.25">
      <c r="A11957">
        <v>37</v>
      </c>
      <c r="B11957" t="s">
        <v>11891</v>
      </c>
      <c r="C11957">
        <v>7744902</v>
      </c>
      <c r="D11957" t="str">
        <f>"2168-0566"</f>
        <v>2168-0566</v>
      </c>
      <c r="E11957" t="s">
        <v>8</v>
      </c>
      <c r="F11957" t="s">
        <v>11966</v>
      </c>
      <c r="G11957">
        <v>1</v>
      </c>
    </row>
    <row r="11958" spans="1:7" x14ac:dyDescent="0.25">
      <c r="A11958">
        <v>37</v>
      </c>
      <c r="B11958" t="s">
        <v>11891</v>
      </c>
      <c r="C11958">
        <v>7755579</v>
      </c>
      <c r="D11958" t="str">
        <f>"2214-367X"</f>
        <v>2214-367X</v>
      </c>
      <c r="E11958" t="s">
        <v>8</v>
      </c>
      <c r="F11958" t="s">
        <v>11967</v>
      </c>
      <c r="G11958">
        <v>1</v>
      </c>
    </row>
    <row r="11959" spans="1:7" x14ac:dyDescent="0.25">
      <c r="A11959">
        <v>37</v>
      </c>
      <c r="B11959" t="s">
        <v>11891</v>
      </c>
      <c r="C11959">
        <v>26034</v>
      </c>
      <c r="D11959" t="str">
        <f>"1749-4729"</f>
        <v>1749-4729</v>
      </c>
      <c r="E11959" t="s">
        <v>8</v>
      </c>
      <c r="F11959" t="s">
        <v>11968</v>
      </c>
      <c r="G11959">
        <v>1</v>
      </c>
    </row>
    <row r="11960" spans="1:7" x14ac:dyDescent="0.25">
      <c r="A11960">
        <v>38</v>
      </c>
      <c r="B11960" t="s">
        <v>11969</v>
      </c>
      <c r="C11960">
        <v>5000591</v>
      </c>
      <c r="E11960" t="s">
        <v>2100</v>
      </c>
      <c r="F11960" t="s">
        <v>11970</v>
      </c>
      <c r="G11960">
        <v>2</v>
      </c>
    </row>
    <row r="11961" spans="1:7" x14ac:dyDescent="0.25">
      <c r="A11961">
        <v>38</v>
      </c>
      <c r="B11961" t="s">
        <v>11969</v>
      </c>
      <c r="C11961">
        <v>5000069</v>
      </c>
      <c r="E11961" t="s">
        <v>2100</v>
      </c>
      <c r="F11961" t="s">
        <v>11971</v>
      </c>
      <c r="G11961">
        <v>2</v>
      </c>
    </row>
    <row r="11962" spans="1:7" x14ac:dyDescent="0.25">
      <c r="A11962">
        <v>38</v>
      </c>
      <c r="B11962" t="s">
        <v>11969</v>
      </c>
      <c r="C11962">
        <v>5000581</v>
      </c>
      <c r="E11962" t="s">
        <v>2100</v>
      </c>
      <c r="F11962" t="s">
        <v>11972</v>
      </c>
      <c r="G11962">
        <v>2</v>
      </c>
    </row>
    <row r="11963" spans="1:7" x14ac:dyDescent="0.25">
      <c r="A11963">
        <v>38</v>
      </c>
      <c r="B11963" t="s">
        <v>11969</v>
      </c>
      <c r="C11963">
        <v>5000240</v>
      </c>
      <c r="E11963" t="s">
        <v>2100</v>
      </c>
      <c r="F11963" t="s">
        <v>11973</v>
      </c>
      <c r="G11963">
        <v>2</v>
      </c>
    </row>
    <row r="11964" spans="1:7" x14ac:dyDescent="0.25">
      <c r="A11964">
        <v>38</v>
      </c>
      <c r="B11964" t="s">
        <v>11969</v>
      </c>
      <c r="C11964">
        <v>5000041</v>
      </c>
      <c r="E11964" t="s">
        <v>2100</v>
      </c>
      <c r="F11964" t="s">
        <v>11974</v>
      </c>
      <c r="G11964">
        <v>2</v>
      </c>
    </row>
    <row r="11965" spans="1:7" x14ac:dyDescent="0.25">
      <c r="A11965">
        <v>38</v>
      </c>
      <c r="B11965" t="s">
        <v>11969</v>
      </c>
      <c r="C11965">
        <v>5000419</v>
      </c>
      <c r="E11965" t="s">
        <v>2100</v>
      </c>
      <c r="F11965" t="s">
        <v>11975</v>
      </c>
      <c r="G11965">
        <v>2</v>
      </c>
    </row>
    <row r="11966" spans="1:7" x14ac:dyDescent="0.25">
      <c r="A11966">
        <v>38</v>
      </c>
      <c r="B11966" t="s">
        <v>11969</v>
      </c>
      <c r="C11966">
        <v>5000026</v>
      </c>
      <c r="E11966" t="s">
        <v>2100</v>
      </c>
      <c r="F11966" t="s">
        <v>11976</v>
      </c>
      <c r="G11966">
        <v>2</v>
      </c>
    </row>
    <row r="11967" spans="1:7" x14ac:dyDescent="0.25">
      <c r="A11967">
        <v>38</v>
      </c>
      <c r="B11967" t="s">
        <v>11969</v>
      </c>
      <c r="C11967">
        <v>5010644</v>
      </c>
      <c r="E11967" t="s">
        <v>2100</v>
      </c>
      <c r="F11967" t="s">
        <v>11977</v>
      </c>
      <c r="G11967">
        <v>2</v>
      </c>
    </row>
    <row r="11968" spans="1:7" x14ac:dyDescent="0.25">
      <c r="A11968">
        <v>38</v>
      </c>
      <c r="B11968" t="s">
        <v>11969</v>
      </c>
      <c r="C11968">
        <v>5000606</v>
      </c>
      <c r="E11968" t="s">
        <v>2100</v>
      </c>
      <c r="F11968" t="s">
        <v>11978</v>
      </c>
      <c r="G11968">
        <v>2</v>
      </c>
    </row>
    <row r="11969" spans="1:7" x14ac:dyDescent="0.25">
      <c r="A11969">
        <v>38</v>
      </c>
      <c r="B11969" t="s">
        <v>11969</v>
      </c>
      <c r="C11969">
        <v>5654</v>
      </c>
      <c r="E11969" t="s">
        <v>8</v>
      </c>
      <c r="F11969" t="s">
        <v>11979</v>
      </c>
      <c r="G11969">
        <v>2</v>
      </c>
    </row>
    <row r="11970" spans="1:7" x14ac:dyDescent="0.25">
      <c r="A11970">
        <v>38</v>
      </c>
      <c r="B11970" t="s">
        <v>11969</v>
      </c>
      <c r="C11970">
        <v>5000295</v>
      </c>
      <c r="E11970" t="s">
        <v>2100</v>
      </c>
      <c r="F11970" t="s">
        <v>11980</v>
      </c>
      <c r="G11970">
        <v>2</v>
      </c>
    </row>
    <row r="11971" spans="1:7" x14ac:dyDescent="0.25">
      <c r="A11971">
        <v>38</v>
      </c>
      <c r="B11971" t="s">
        <v>11969</v>
      </c>
      <c r="C11971">
        <v>5010645</v>
      </c>
      <c r="E11971" t="s">
        <v>2100</v>
      </c>
      <c r="F11971" t="s">
        <v>11981</v>
      </c>
      <c r="G11971">
        <v>2</v>
      </c>
    </row>
    <row r="11972" spans="1:7" x14ac:dyDescent="0.25">
      <c r="A11972">
        <v>38</v>
      </c>
      <c r="B11972" t="s">
        <v>11969</v>
      </c>
      <c r="C11972">
        <v>5010783</v>
      </c>
      <c r="E11972" t="s">
        <v>2100</v>
      </c>
      <c r="F11972" t="s">
        <v>11982</v>
      </c>
      <c r="G11972">
        <v>2</v>
      </c>
    </row>
    <row r="11973" spans="1:7" x14ac:dyDescent="0.25">
      <c r="A11973">
        <v>38</v>
      </c>
      <c r="B11973" t="s">
        <v>11969</v>
      </c>
      <c r="C11973">
        <v>5000511</v>
      </c>
      <c r="E11973" t="s">
        <v>2100</v>
      </c>
      <c r="F11973" t="s">
        <v>11983</v>
      </c>
      <c r="G11973">
        <v>2</v>
      </c>
    </row>
    <row r="11974" spans="1:7" x14ac:dyDescent="0.25">
      <c r="A11974">
        <v>38</v>
      </c>
      <c r="B11974" t="s">
        <v>11969</v>
      </c>
      <c r="C11974">
        <v>5000586</v>
      </c>
      <c r="E11974" t="s">
        <v>2100</v>
      </c>
      <c r="F11974" t="s">
        <v>11984</v>
      </c>
      <c r="G11974">
        <v>2</v>
      </c>
    </row>
    <row r="11975" spans="1:7" x14ac:dyDescent="0.25">
      <c r="A11975">
        <v>38</v>
      </c>
      <c r="B11975" t="s">
        <v>11969</v>
      </c>
      <c r="C11975">
        <v>5000590</v>
      </c>
      <c r="E11975" t="s">
        <v>2100</v>
      </c>
      <c r="F11975" t="s">
        <v>11985</v>
      </c>
      <c r="G11975">
        <v>2</v>
      </c>
    </row>
    <row r="11976" spans="1:7" x14ac:dyDescent="0.25">
      <c r="A11976">
        <v>38</v>
      </c>
      <c r="B11976" t="s">
        <v>11969</v>
      </c>
      <c r="C11976">
        <v>5000217</v>
      </c>
      <c r="E11976" t="s">
        <v>2100</v>
      </c>
      <c r="F11976" t="s">
        <v>11986</v>
      </c>
      <c r="G11976">
        <v>2</v>
      </c>
    </row>
    <row r="11977" spans="1:7" x14ac:dyDescent="0.25">
      <c r="A11977">
        <v>38</v>
      </c>
      <c r="B11977" t="s">
        <v>11969</v>
      </c>
      <c r="C11977">
        <v>5000441</v>
      </c>
      <c r="E11977" t="s">
        <v>2100</v>
      </c>
      <c r="F11977" t="s">
        <v>11987</v>
      </c>
      <c r="G11977">
        <v>2</v>
      </c>
    </row>
    <row r="11978" spans="1:7" x14ac:dyDescent="0.25">
      <c r="A11978">
        <v>38</v>
      </c>
      <c r="B11978" t="s">
        <v>11969</v>
      </c>
      <c r="C11978">
        <v>156497</v>
      </c>
      <c r="E11978" t="s">
        <v>8</v>
      </c>
      <c r="F11978" t="s">
        <v>11988</v>
      </c>
      <c r="G11978">
        <v>2</v>
      </c>
    </row>
    <row r="11979" spans="1:7" x14ac:dyDescent="0.25">
      <c r="A11979">
        <v>38</v>
      </c>
      <c r="B11979" t="s">
        <v>11969</v>
      </c>
      <c r="C11979">
        <v>5000252</v>
      </c>
      <c r="E11979" t="s">
        <v>2100</v>
      </c>
      <c r="F11979" t="s">
        <v>11989</v>
      </c>
      <c r="G11979">
        <v>2</v>
      </c>
    </row>
    <row r="11980" spans="1:7" x14ac:dyDescent="0.25">
      <c r="A11980">
        <v>38</v>
      </c>
      <c r="B11980" t="s">
        <v>11969</v>
      </c>
      <c r="C11980">
        <v>5000359</v>
      </c>
      <c r="E11980" t="s">
        <v>2100</v>
      </c>
      <c r="F11980" t="s">
        <v>11990</v>
      </c>
      <c r="G11980">
        <v>2</v>
      </c>
    </row>
    <row r="11981" spans="1:7" x14ac:dyDescent="0.25">
      <c r="A11981">
        <v>38</v>
      </c>
      <c r="B11981" t="s">
        <v>11969</v>
      </c>
      <c r="C11981">
        <v>5000183</v>
      </c>
      <c r="E11981" t="s">
        <v>2100</v>
      </c>
      <c r="F11981" t="s">
        <v>11991</v>
      </c>
      <c r="G11981">
        <v>2</v>
      </c>
    </row>
    <row r="11982" spans="1:7" x14ac:dyDescent="0.25">
      <c r="A11982">
        <v>38</v>
      </c>
      <c r="B11982" t="s">
        <v>11969</v>
      </c>
      <c r="C11982">
        <v>5000167</v>
      </c>
      <c r="E11982" t="s">
        <v>2100</v>
      </c>
      <c r="F11982" t="s">
        <v>11992</v>
      </c>
      <c r="G11982">
        <v>2</v>
      </c>
    </row>
    <row r="11983" spans="1:7" x14ac:dyDescent="0.25">
      <c r="A11983">
        <v>38</v>
      </c>
      <c r="B11983" t="s">
        <v>11969</v>
      </c>
      <c r="C11983">
        <v>5000012</v>
      </c>
      <c r="E11983" t="s">
        <v>2100</v>
      </c>
      <c r="F11983" t="s">
        <v>11993</v>
      </c>
      <c r="G11983">
        <v>2</v>
      </c>
    </row>
    <row r="11984" spans="1:7" x14ac:dyDescent="0.25">
      <c r="A11984">
        <v>38</v>
      </c>
      <c r="B11984" t="s">
        <v>11969</v>
      </c>
      <c r="C11984">
        <v>5010804</v>
      </c>
      <c r="E11984" t="s">
        <v>2100</v>
      </c>
      <c r="F11984" t="s">
        <v>11994</v>
      </c>
      <c r="G11984">
        <v>2</v>
      </c>
    </row>
    <row r="11985" spans="1:7" x14ac:dyDescent="0.25">
      <c r="A11985">
        <v>38</v>
      </c>
      <c r="B11985" t="s">
        <v>11969</v>
      </c>
      <c r="C11985">
        <v>5000250</v>
      </c>
      <c r="E11985" t="s">
        <v>2100</v>
      </c>
      <c r="F11985" t="s">
        <v>11995</v>
      </c>
      <c r="G11985">
        <v>2</v>
      </c>
    </row>
    <row r="11986" spans="1:7" x14ac:dyDescent="0.25">
      <c r="A11986">
        <v>38</v>
      </c>
      <c r="B11986" t="s">
        <v>11969</v>
      </c>
      <c r="C11986">
        <v>5000338</v>
      </c>
      <c r="E11986" t="s">
        <v>2100</v>
      </c>
      <c r="F11986" t="s">
        <v>11996</v>
      </c>
      <c r="G11986">
        <v>2</v>
      </c>
    </row>
    <row r="11987" spans="1:7" x14ac:dyDescent="0.25">
      <c r="A11987">
        <v>38</v>
      </c>
      <c r="B11987" t="s">
        <v>11969</v>
      </c>
      <c r="C11987">
        <v>5000548</v>
      </c>
      <c r="E11987" t="s">
        <v>2100</v>
      </c>
      <c r="F11987" t="s">
        <v>11997</v>
      </c>
      <c r="G11987">
        <v>2</v>
      </c>
    </row>
    <row r="11988" spans="1:7" x14ac:dyDescent="0.25">
      <c r="A11988">
        <v>38</v>
      </c>
      <c r="B11988" t="s">
        <v>11969</v>
      </c>
      <c r="C11988">
        <v>5000644</v>
      </c>
      <c r="E11988" t="s">
        <v>2100</v>
      </c>
      <c r="F11988" t="s">
        <v>11998</v>
      </c>
      <c r="G11988">
        <v>2</v>
      </c>
    </row>
    <row r="11989" spans="1:7" x14ac:dyDescent="0.25">
      <c r="A11989">
        <v>38</v>
      </c>
      <c r="B11989" t="s">
        <v>11969</v>
      </c>
      <c r="C11989">
        <v>5000294</v>
      </c>
      <c r="E11989" t="s">
        <v>2100</v>
      </c>
      <c r="F11989" t="s">
        <v>11999</v>
      </c>
      <c r="G11989">
        <v>2</v>
      </c>
    </row>
    <row r="11990" spans="1:7" x14ac:dyDescent="0.25">
      <c r="A11990">
        <v>38</v>
      </c>
      <c r="B11990" t="s">
        <v>11969</v>
      </c>
      <c r="C11990">
        <v>5000579</v>
      </c>
      <c r="E11990" t="s">
        <v>2100</v>
      </c>
      <c r="F11990" t="s">
        <v>12000</v>
      </c>
      <c r="G11990">
        <v>2</v>
      </c>
    </row>
    <row r="11991" spans="1:7" x14ac:dyDescent="0.25">
      <c r="A11991">
        <v>38</v>
      </c>
      <c r="B11991" t="s">
        <v>11969</v>
      </c>
      <c r="C11991">
        <v>15631</v>
      </c>
      <c r="D11991" t="str">
        <f>"1549-6325"</f>
        <v>1549-6325</v>
      </c>
      <c r="E11991" t="s">
        <v>8</v>
      </c>
      <c r="F11991" t="s">
        <v>12001</v>
      </c>
      <c r="G11991">
        <v>2</v>
      </c>
    </row>
    <row r="11992" spans="1:7" x14ac:dyDescent="0.25">
      <c r="A11992">
        <v>38</v>
      </c>
      <c r="B11992" t="s">
        <v>11969</v>
      </c>
      <c r="C11992">
        <v>27144</v>
      </c>
      <c r="D11992" t="str">
        <f>"1556-4665"</f>
        <v>1556-4665</v>
      </c>
      <c r="E11992" t="s">
        <v>8</v>
      </c>
      <c r="F11992" t="s">
        <v>12002</v>
      </c>
      <c r="G11992">
        <v>2</v>
      </c>
    </row>
    <row r="11993" spans="1:7" x14ac:dyDescent="0.25">
      <c r="A11993">
        <v>38</v>
      </c>
      <c r="B11993" t="s">
        <v>11969</v>
      </c>
      <c r="C11993">
        <v>14704</v>
      </c>
      <c r="D11993" t="str">
        <f>"1529-3785"</f>
        <v>1529-3785</v>
      </c>
      <c r="E11993" t="s">
        <v>8</v>
      </c>
      <c r="F11993" t="s">
        <v>12003</v>
      </c>
      <c r="G11993">
        <v>2</v>
      </c>
    </row>
    <row r="11994" spans="1:7" x14ac:dyDescent="0.25">
      <c r="A11994">
        <v>38</v>
      </c>
      <c r="B11994" t="s">
        <v>11969</v>
      </c>
      <c r="C11994">
        <v>16621</v>
      </c>
      <c r="D11994" t="str">
        <f>"0734-2071"</f>
        <v>0734-2071</v>
      </c>
      <c r="E11994" t="s">
        <v>8</v>
      </c>
      <c r="F11994" t="s">
        <v>12004</v>
      </c>
      <c r="G11994">
        <v>2</v>
      </c>
    </row>
    <row r="11995" spans="1:7" x14ac:dyDescent="0.25">
      <c r="A11995">
        <v>38</v>
      </c>
      <c r="B11995" t="s">
        <v>11969</v>
      </c>
      <c r="C11995">
        <v>6001285</v>
      </c>
      <c r="E11995" t="s">
        <v>8</v>
      </c>
      <c r="F11995" t="s">
        <v>12005</v>
      </c>
      <c r="G11995">
        <v>2</v>
      </c>
    </row>
    <row r="11996" spans="1:7" x14ac:dyDescent="0.25">
      <c r="A11996">
        <v>38</v>
      </c>
      <c r="B11996" t="s">
        <v>11969</v>
      </c>
      <c r="C11996">
        <v>2371</v>
      </c>
      <c r="D11996" t="str">
        <f>"1084-4309"</f>
        <v>1084-4309</v>
      </c>
      <c r="E11996" t="s">
        <v>8</v>
      </c>
      <c r="F11996" t="s">
        <v>12006</v>
      </c>
      <c r="G11996">
        <v>2</v>
      </c>
    </row>
    <row r="11997" spans="1:7" x14ac:dyDescent="0.25">
      <c r="A11997">
        <v>38</v>
      </c>
      <c r="B11997" t="s">
        <v>11969</v>
      </c>
      <c r="C11997">
        <v>458</v>
      </c>
      <c r="D11997" t="str">
        <f>"0730-0301"</f>
        <v>0730-0301</v>
      </c>
      <c r="E11997" t="s">
        <v>8</v>
      </c>
      <c r="F11997" t="s">
        <v>12007</v>
      </c>
      <c r="G11997">
        <v>2</v>
      </c>
    </row>
    <row r="11998" spans="1:7" x14ac:dyDescent="0.25">
      <c r="A11998">
        <v>38</v>
      </c>
      <c r="B11998" t="s">
        <v>11969</v>
      </c>
      <c r="C11998">
        <v>13358</v>
      </c>
      <c r="D11998" t="str">
        <f>"1533-5399"</f>
        <v>1533-5399</v>
      </c>
      <c r="E11998" t="s">
        <v>8</v>
      </c>
      <c r="F11998" t="s">
        <v>12008</v>
      </c>
      <c r="G11998">
        <v>2</v>
      </c>
    </row>
    <row r="11999" spans="1:7" x14ac:dyDescent="0.25">
      <c r="A11999">
        <v>38</v>
      </c>
      <c r="B11999" t="s">
        <v>11969</v>
      </c>
      <c r="C11999">
        <v>27383</v>
      </c>
      <c r="D11999" t="str">
        <f>"1556-4681"</f>
        <v>1556-4681</v>
      </c>
      <c r="E11999" t="s">
        <v>8</v>
      </c>
      <c r="F11999" t="s">
        <v>12009</v>
      </c>
      <c r="G11999">
        <v>2</v>
      </c>
    </row>
    <row r="12000" spans="1:7" x14ac:dyDescent="0.25">
      <c r="A12000">
        <v>38</v>
      </c>
      <c r="B12000" t="s">
        <v>11969</v>
      </c>
      <c r="C12000">
        <v>1502</v>
      </c>
      <c r="D12000" t="str">
        <f>"0098-3500"</f>
        <v>0098-3500</v>
      </c>
      <c r="E12000" t="s">
        <v>8</v>
      </c>
      <c r="F12000" t="s">
        <v>12010</v>
      </c>
      <c r="G12000">
        <v>2</v>
      </c>
    </row>
    <row r="12001" spans="1:7" x14ac:dyDescent="0.25">
      <c r="A12001">
        <v>38</v>
      </c>
      <c r="B12001" t="s">
        <v>11969</v>
      </c>
      <c r="C12001">
        <v>2745</v>
      </c>
      <c r="D12001" t="str">
        <f>"0164-0925"</f>
        <v>0164-0925</v>
      </c>
      <c r="E12001" t="s">
        <v>8</v>
      </c>
      <c r="F12001" t="s">
        <v>12011</v>
      </c>
      <c r="G12001">
        <v>2</v>
      </c>
    </row>
    <row r="12002" spans="1:7" x14ac:dyDescent="0.25">
      <c r="A12002">
        <v>38</v>
      </c>
      <c r="B12002" t="s">
        <v>11969</v>
      </c>
      <c r="C12002">
        <v>23568</v>
      </c>
      <c r="D12002" t="str">
        <f>"1550-4859"</f>
        <v>1550-4859</v>
      </c>
      <c r="E12002" t="s">
        <v>8</v>
      </c>
      <c r="F12002" t="s">
        <v>12012</v>
      </c>
      <c r="G12002">
        <v>2</v>
      </c>
    </row>
    <row r="12003" spans="1:7" x14ac:dyDescent="0.25">
      <c r="A12003">
        <v>38</v>
      </c>
      <c r="B12003" t="s">
        <v>11969</v>
      </c>
      <c r="C12003">
        <v>15191</v>
      </c>
      <c r="D12003" t="str">
        <f>"1069-529X"</f>
        <v>1069-529X</v>
      </c>
      <c r="E12003" t="s">
        <v>8</v>
      </c>
      <c r="F12003" t="s">
        <v>12013</v>
      </c>
      <c r="G12003">
        <v>2</v>
      </c>
    </row>
    <row r="12004" spans="1:7" x14ac:dyDescent="0.25">
      <c r="A12004">
        <v>38</v>
      </c>
      <c r="B12004" t="s">
        <v>11969</v>
      </c>
      <c r="C12004">
        <v>5000159</v>
      </c>
      <c r="E12004" t="s">
        <v>2100</v>
      </c>
      <c r="F12004" t="s">
        <v>12014</v>
      </c>
      <c r="G12004">
        <v>2</v>
      </c>
    </row>
    <row r="12005" spans="1:7" x14ac:dyDescent="0.25">
      <c r="A12005">
        <v>38</v>
      </c>
      <c r="B12005" t="s">
        <v>11969</v>
      </c>
      <c r="C12005">
        <v>5000643</v>
      </c>
      <c r="E12005" t="s">
        <v>2100</v>
      </c>
      <c r="F12005" t="s">
        <v>12015</v>
      </c>
      <c r="G12005">
        <v>2</v>
      </c>
    </row>
    <row r="12006" spans="1:7" x14ac:dyDescent="0.25">
      <c r="A12006">
        <v>38</v>
      </c>
      <c r="B12006" t="s">
        <v>11969</v>
      </c>
      <c r="C12006">
        <v>5000575</v>
      </c>
      <c r="E12006" t="s">
        <v>2100</v>
      </c>
      <c r="F12006" t="s">
        <v>12016</v>
      </c>
      <c r="G12006">
        <v>2</v>
      </c>
    </row>
    <row r="12007" spans="1:7" x14ac:dyDescent="0.25">
      <c r="A12007">
        <v>38</v>
      </c>
      <c r="B12007" t="s">
        <v>11969</v>
      </c>
      <c r="C12007">
        <v>3526</v>
      </c>
      <c r="D12007" t="str">
        <f>"0001-5903"</f>
        <v>0001-5903</v>
      </c>
      <c r="E12007" t="s">
        <v>8</v>
      </c>
      <c r="F12007" t="s">
        <v>12017</v>
      </c>
      <c r="G12007">
        <v>2</v>
      </c>
    </row>
    <row r="12008" spans="1:7" x14ac:dyDescent="0.25">
      <c r="A12008">
        <v>38</v>
      </c>
      <c r="B12008" t="s">
        <v>11969</v>
      </c>
      <c r="C12008">
        <v>740</v>
      </c>
      <c r="D12008" t="str">
        <f>"0178-4617"</f>
        <v>0178-4617</v>
      </c>
      <c r="E12008" t="s">
        <v>8</v>
      </c>
      <c r="F12008" t="s">
        <v>12018</v>
      </c>
      <c r="G12008">
        <v>2</v>
      </c>
    </row>
    <row r="12009" spans="1:7" x14ac:dyDescent="0.25">
      <c r="A12009">
        <v>38</v>
      </c>
      <c r="B12009" t="s">
        <v>11969</v>
      </c>
      <c r="C12009">
        <v>5000624</v>
      </c>
      <c r="E12009" t="s">
        <v>2100</v>
      </c>
      <c r="F12009" t="s">
        <v>12019</v>
      </c>
      <c r="G12009">
        <v>2</v>
      </c>
    </row>
    <row r="12010" spans="1:7" x14ac:dyDescent="0.25">
      <c r="A12010">
        <v>38</v>
      </c>
      <c r="B12010" t="s">
        <v>11969</v>
      </c>
      <c r="C12010">
        <v>703</v>
      </c>
      <c r="D12010" t="str">
        <f>"0168-0072"</f>
        <v>0168-0072</v>
      </c>
      <c r="E12010" t="s">
        <v>8</v>
      </c>
      <c r="F12010" t="s">
        <v>12020</v>
      </c>
      <c r="G12010">
        <v>2</v>
      </c>
    </row>
    <row r="12011" spans="1:7" x14ac:dyDescent="0.25">
      <c r="A12011">
        <v>38</v>
      </c>
      <c r="B12011" t="s">
        <v>11969</v>
      </c>
      <c r="C12011">
        <v>5000498</v>
      </c>
      <c r="E12011" t="s">
        <v>2100</v>
      </c>
      <c r="F12011" t="s">
        <v>12021</v>
      </c>
      <c r="G12011">
        <v>2</v>
      </c>
    </row>
    <row r="12012" spans="1:7" x14ac:dyDescent="0.25">
      <c r="A12012">
        <v>38</v>
      </c>
      <c r="B12012" t="s">
        <v>11969</v>
      </c>
      <c r="C12012">
        <v>5000341</v>
      </c>
      <c r="E12012" t="s">
        <v>2100</v>
      </c>
      <c r="F12012" t="s">
        <v>12022</v>
      </c>
      <c r="G12012">
        <v>2</v>
      </c>
    </row>
    <row r="12013" spans="1:7" x14ac:dyDescent="0.25">
      <c r="A12013">
        <v>38</v>
      </c>
      <c r="B12013" t="s">
        <v>11969</v>
      </c>
      <c r="C12013">
        <v>5000587</v>
      </c>
      <c r="E12013" t="s">
        <v>2100</v>
      </c>
      <c r="F12013" t="s">
        <v>12023</v>
      </c>
      <c r="G12013">
        <v>2</v>
      </c>
    </row>
    <row r="12014" spans="1:7" x14ac:dyDescent="0.25">
      <c r="A12014">
        <v>38</v>
      </c>
      <c r="B12014" t="s">
        <v>11969</v>
      </c>
      <c r="C12014">
        <v>5000051</v>
      </c>
      <c r="E12014" t="s">
        <v>2100</v>
      </c>
      <c r="F12014" t="s">
        <v>12024</v>
      </c>
      <c r="G12014">
        <v>2</v>
      </c>
    </row>
    <row r="12015" spans="1:7" x14ac:dyDescent="0.25">
      <c r="A12015">
        <v>38</v>
      </c>
      <c r="B12015" t="s">
        <v>11969</v>
      </c>
      <c r="C12015">
        <v>5000422</v>
      </c>
      <c r="E12015" t="s">
        <v>2100</v>
      </c>
      <c r="F12015" t="s">
        <v>12025</v>
      </c>
      <c r="G12015">
        <v>2</v>
      </c>
    </row>
    <row r="12016" spans="1:7" x14ac:dyDescent="0.25">
      <c r="A12016">
        <v>38</v>
      </c>
      <c r="B12016" t="s">
        <v>11969</v>
      </c>
      <c r="C12016">
        <v>13048</v>
      </c>
      <c r="D12016" t="str">
        <f>"0883-9514"</f>
        <v>0883-9514</v>
      </c>
      <c r="E12016" t="s">
        <v>8</v>
      </c>
      <c r="F12016" t="s">
        <v>12026</v>
      </c>
      <c r="G12016">
        <v>2</v>
      </c>
    </row>
    <row r="12017" spans="1:7" x14ac:dyDescent="0.25">
      <c r="A12017">
        <v>38</v>
      </c>
      <c r="B12017" t="s">
        <v>11969</v>
      </c>
      <c r="C12017">
        <v>10883</v>
      </c>
      <c r="D12017" t="str">
        <f>"0004-3702"</f>
        <v>0004-3702</v>
      </c>
      <c r="E12017" t="s">
        <v>8</v>
      </c>
      <c r="F12017" t="s">
        <v>12027</v>
      </c>
      <c r="G12017">
        <v>2</v>
      </c>
    </row>
    <row r="12018" spans="1:7" x14ac:dyDescent="0.25">
      <c r="A12018">
        <v>38</v>
      </c>
      <c r="B12018" t="s">
        <v>11969</v>
      </c>
      <c r="C12018">
        <v>8293</v>
      </c>
      <c r="D12018" t="str">
        <f>"0269-2821"</f>
        <v>0269-2821</v>
      </c>
      <c r="E12018" t="s">
        <v>8</v>
      </c>
      <c r="F12018" t="s">
        <v>12028</v>
      </c>
      <c r="G12018">
        <v>2</v>
      </c>
    </row>
    <row r="12019" spans="1:7" x14ac:dyDescent="0.25">
      <c r="A12019">
        <v>38</v>
      </c>
      <c r="B12019" t="s">
        <v>11969</v>
      </c>
      <c r="C12019">
        <v>10697</v>
      </c>
      <c r="D12019" t="str">
        <f>"1387-2532"</f>
        <v>1387-2532</v>
      </c>
      <c r="E12019" t="s">
        <v>8</v>
      </c>
      <c r="F12019" t="s">
        <v>12029</v>
      </c>
      <c r="G12019">
        <v>2</v>
      </c>
    </row>
    <row r="12020" spans="1:7" x14ac:dyDescent="0.25">
      <c r="A12020">
        <v>38</v>
      </c>
      <c r="B12020" t="s">
        <v>11969</v>
      </c>
      <c r="C12020">
        <v>4545</v>
      </c>
      <c r="D12020" t="str">
        <f>"0929-5593"</f>
        <v>0929-5593</v>
      </c>
      <c r="E12020" t="s">
        <v>8</v>
      </c>
      <c r="F12020" t="s">
        <v>12030</v>
      </c>
      <c r="G12020">
        <v>2</v>
      </c>
    </row>
    <row r="12021" spans="1:7" x14ac:dyDescent="0.25">
      <c r="A12021">
        <v>38</v>
      </c>
      <c r="B12021" t="s">
        <v>11969</v>
      </c>
      <c r="C12021">
        <v>2495</v>
      </c>
      <c r="D12021" t="str">
        <f>"0006-3835"</f>
        <v>0006-3835</v>
      </c>
      <c r="E12021" t="s">
        <v>8</v>
      </c>
      <c r="F12021" t="s">
        <v>12031</v>
      </c>
      <c r="G12021">
        <v>2</v>
      </c>
    </row>
    <row r="12022" spans="1:7" x14ac:dyDescent="0.25">
      <c r="A12022">
        <v>38</v>
      </c>
      <c r="B12022" t="s">
        <v>11969</v>
      </c>
      <c r="C12022">
        <v>10900</v>
      </c>
      <c r="D12022" t="str">
        <f>"0963-5483"</f>
        <v>0963-5483</v>
      </c>
      <c r="E12022" t="s">
        <v>8</v>
      </c>
      <c r="F12022" t="s">
        <v>12032</v>
      </c>
      <c r="G12022">
        <v>2</v>
      </c>
    </row>
    <row r="12023" spans="1:7" x14ac:dyDescent="0.25">
      <c r="A12023">
        <v>38</v>
      </c>
      <c r="B12023" t="s">
        <v>11969</v>
      </c>
      <c r="C12023">
        <v>2232</v>
      </c>
      <c r="D12023" t="str">
        <f>"0001-0782"</f>
        <v>0001-0782</v>
      </c>
      <c r="E12023" t="s">
        <v>8</v>
      </c>
      <c r="F12023" t="s">
        <v>12033</v>
      </c>
      <c r="G12023">
        <v>2</v>
      </c>
    </row>
    <row r="12024" spans="1:7" x14ac:dyDescent="0.25">
      <c r="A12024">
        <v>38</v>
      </c>
      <c r="B12024" t="s">
        <v>11969</v>
      </c>
      <c r="C12024">
        <v>12825</v>
      </c>
      <c r="D12024" t="str">
        <f>"1016-3328"</f>
        <v>1016-3328</v>
      </c>
      <c r="E12024" t="s">
        <v>8</v>
      </c>
      <c r="F12024" t="s">
        <v>12034</v>
      </c>
      <c r="G12024">
        <v>2</v>
      </c>
    </row>
    <row r="12025" spans="1:7" x14ac:dyDescent="0.25">
      <c r="A12025">
        <v>38</v>
      </c>
      <c r="B12025" t="s">
        <v>11969</v>
      </c>
      <c r="C12025">
        <v>5000053</v>
      </c>
      <c r="E12025" t="s">
        <v>2100</v>
      </c>
      <c r="F12025" t="s">
        <v>12035</v>
      </c>
      <c r="G12025">
        <v>2</v>
      </c>
    </row>
    <row r="12026" spans="1:7" x14ac:dyDescent="0.25">
      <c r="A12026">
        <v>38</v>
      </c>
      <c r="B12026" t="s">
        <v>11969</v>
      </c>
      <c r="C12026">
        <v>1601</v>
      </c>
      <c r="D12026" t="str">
        <f>"0925-7721"</f>
        <v>0925-7721</v>
      </c>
      <c r="E12026" t="s">
        <v>8</v>
      </c>
      <c r="F12026" t="s">
        <v>12036</v>
      </c>
      <c r="G12026">
        <v>2</v>
      </c>
    </row>
    <row r="12027" spans="1:7" x14ac:dyDescent="0.25">
      <c r="A12027">
        <v>38</v>
      </c>
      <c r="B12027" t="s">
        <v>11969</v>
      </c>
      <c r="C12027">
        <v>15163</v>
      </c>
      <c r="D12027" t="str">
        <f>"0018-9162"</f>
        <v>0018-9162</v>
      </c>
      <c r="E12027" t="s">
        <v>8</v>
      </c>
      <c r="F12027" t="s">
        <v>12037</v>
      </c>
      <c r="G12027">
        <v>2</v>
      </c>
    </row>
    <row r="12028" spans="1:7" x14ac:dyDescent="0.25">
      <c r="A12028">
        <v>38</v>
      </c>
      <c r="B12028" t="s">
        <v>11969</v>
      </c>
      <c r="C12028">
        <v>5000383</v>
      </c>
      <c r="E12028" t="s">
        <v>2100</v>
      </c>
      <c r="F12028" t="s">
        <v>12038</v>
      </c>
      <c r="G12028">
        <v>2</v>
      </c>
    </row>
    <row r="12029" spans="1:7" x14ac:dyDescent="0.25">
      <c r="A12029">
        <v>38</v>
      </c>
      <c r="B12029" t="s">
        <v>11969</v>
      </c>
      <c r="C12029">
        <v>10765</v>
      </c>
      <c r="D12029" t="str">
        <f>"1063-6919"</f>
        <v>1063-6919</v>
      </c>
      <c r="E12029" t="s">
        <v>8</v>
      </c>
      <c r="F12029" t="s">
        <v>12039</v>
      </c>
      <c r="G12029">
        <v>2</v>
      </c>
    </row>
    <row r="12030" spans="1:7" x14ac:dyDescent="0.25">
      <c r="A12030">
        <v>38</v>
      </c>
      <c r="B12030" t="s">
        <v>11969</v>
      </c>
      <c r="C12030">
        <v>13601</v>
      </c>
      <c r="D12030" t="str">
        <f>"1532-0626"</f>
        <v>1532-0626</v>
      </c>
      <c r="E12030" t="s">
        <v>8</v>
      </c>
      <c r="F12030" t="s">
        <v>12040</v>
      </c>
      <c r="G12030">
        <v>2</v>
      </c>
    </row>
    <row r="12031" spans="1:7" x14ac:dyDescent="0.25">
      <c r="A12031">
        <v>38</v>
      </c>
      <c r="B12031" t="s">
        <v>11969</v>
      </c>
      <c r="C12031">
        <v>5020004</v>
      </c>
      <c r="E12031" t="s">
        <v>2100</v>
      </c>
      <c r="F12031" t="s">
        <v>12041</v>
      </c>
      <c r="G12031">
        <v>2</v>
      </c>
    </row>
    <row r="12032" spans="1:7" x14ac:dyDescent="0.25">
      <c r="A12032">
        <v>38</v>
      </c>
      <c r="B12032" t="s">
        <v>11969</v>
      </c>
      <c r="C12032">
        <v>5010410</v>
      </c>
      <c r="E12032" t="s">
        <v>2100</v>
      </c>
      <c r="F12032" t="s">
        <v>12042</v>
      </c>
      <c r="G12032">
        <v>2</v>
      </c>
    </row>
    <row r="12033" spans="1:7" x14ac:dyDescent="0.25">
      <c r="A12033">
        <v>38</v>
      </c>
      <c r="B12033" t="s">
        <v>11969</v>
      </c>
      <c r="C12033">
        <v>5000318</v>
      </c>
      <c r="E12033" t="s">
        <v>2100</v>
      </c>
      <c r="F12033" t="s">
        <v>12043</v>
      </c>
      <c r="G12033">
        <v>2</v>
      </c>
    </row>
    <row r="12034" spans="1:7" x14ac:dyDescent="0.25">
      <c r="A12034">
        <v>38</v>
      </c>
      <c r="B12034" t="s">
        <v>11969</v>
      </c>
      <c r="C12034">
        <v>5000317</v>
      </c>
      <c r="E12034" t="s">
        <v>2100</v>
      </c>
      <c r="F12034" t="s">
        <v>12044</v>
      </c>
      <c r="G12034">
        <v>2</v>
      </c>
    </row>
    <row r="12035" spans="1:7" x14ac:dyDescent="0.25">
      <c r="A12035">
        <v>38</v>
      </c>
      <c r="B12035" t="s">
        <v>11969</v>
      </c>
      <c r="C12035">
        <v>5000050</v>
      </c>
      <c r="E12035" t="s">
        <v>2100</v>
      </c>
      <c r="F12035" t="s">
        <v>12045</v>
      </c>
      <c r="G12035">
        <v>2</v>
      </c>
    </row>
    <row r="12036" spans="1:7" x14ac:dyDescent="0.25">
      <c r="A12036">
        <v>38</v>
      </c>
      <c r="B12036" t="s">
        <v>11969</v>
      </c>
      <c r="C12036">
        <v>5000199</v>
      </c>
      <c r="E12036" t="s">
        <v>2100</v>
      </c>
      <c r="F12036" t="s">
        <v>12046</v>
      </c>
      <c r="G12036">
        <v>2</v>
      </c>
    </row>
    <row r="12037" spans="1:7" x14ac:dyDescent="0.25">
      <c r="A12037">
        <v>38</v>
      </c>
      <c r="B12037" t="s">
        <v>11969</v>
      </c>
      <c r="C12037">
        <v>5000307</v>
      </c>
      <c r="E12037" t="s">
        <v>2100</v>
      </c>
      <c r="F12037" t="s">
        <v>12047</v>
      </c>
      <c r="G12037">
        <v>2</v>
      </c>
    </row>
    <row r="12038" spans="1:7" x14ac:dyDescent="0.25">
      <c r="A12038">
        <v>38</v>
      </c>
      <c r="B12038" t="s">
        <v>11969</v>
      </c>
      <c r="C12038">
        <v>11580</v>
      </c>
      <c r="D12038" t="str">
        <f>"0169-023X"</f>
        <v>0169-023X</v>
      </c>
      <c r="E12038" t="s">
        <v>8</v>
      </c>
      <c r="F12038" t="s">
        <v>12048</v>
      </c>
      <c r="G12038">
        <v>2</v>
      </c>
    </row>
    <row r="12039" spans="1:7" x14ac:dyDescent="0.25">
      <c r="A12039">
        <v>38</v>
      </c>
      <c r="B12039" t="s">
        <v>11969</v>
      </c>
      <c r="C12039">
        <v>1467</v>
      </c>
      <c r="D12039" t="str">
        <f>"1384-5810"</f>
        <v>1384-5810</v>
      </c>
      <c r="E12039" t="s">
        <v>8</v>
      </c>
      <c r="F12039" t="s">
        <v>12049</v>
      </c>
      <c r="G12039">
        <v>2</v>
      </c>
    </row>
    <row r="12040" spans="1:7" x14ac:dyDescent="0.25">
      <c r="A12040">
        <v>38</v>
      </c>
      <c r="B12040" t="s">
        <v>11969</v>
      </c>
      <c r="C12040">
        <v>14187</v>
      </c>
      <c r="D12040" t="str">
        <f>"0929-5585"</f>
        <v>0929-5585</v>
      </c>
      <c r="E12040" t="s">
        <v>8</v>
      </c>
      <c r="F12040" t="s">
        <v>12050</v>
      </c>
      <c r="G12040">
        <v>2</v>
      </c>
    </row>
    <row r="12041" spans="1:7" x14ac:dyDescent="0.25">
      <c r="A12041">
        <v>38</v>
      </c>
      <c r="B12041" t="s">
        <v>11969</v>
      </c>
      <c r="C12041">
        <v>13980</v>
      </c>
      <c r="D12041" t="str">
        <f>"0924-6703"</f>
        <v>0924-6703</v>
      </c>
      <c r="E12041" t="s">
        <v>8</v>
      </c>
      <c r="F12041" t="s">
        <v>12051</v>
      </c>
      <c r="G12041">
        <v>2</v>
      </c>
    </row>
    <row r="12042" spans="1:7" x14ac:dyDescent="0.25">
      <c r="A12042">
        <v>38</v>
      </c>
      <c r="B12042" t="s">
        <v>11969</v>
      </c>
      <c r="C12042">
        <v>15672</v>
      </c>
      <c r="D12042" t="str">
        <f>"0926-8782"</f>
        <v>0926-8782</v>
      </c>
      <c r="E12042" t="s">
        <v>8</v>
      </c>
      <c r="F12042" t="s">
        <v>12052</v>
      </c>
      <c r="G12042">
        <v>2</v>
      </c>
    </row>
    <row r="12043" spans="1:7" x14ac:dyDescent="0.25">
      <c r="A12043">
        <v>38</v>
      </c>
      <c r="B12043" t="s">
        <v>11969</v>
      </c>
      <c r="C12043">
        <v>3964</v>
      </c>
      <c r="D12043" t="str">
        <f>"0178-2770"</f>
        <v>0178-2770</v>
      </c>
      <c r="E12043" t="s">
        <v>8</v>
      </c>
      <c r="F12043" t="s">
        <v>12053</v>
      </c>
      <c r="G12043">
        <v>2</v>
      </c>
    </row>
    <row r="12044" spans="1:7" x14ac:dyDescent="0.25">
      <c r="A12044">
        <v>38</v>
      </c>
      <c r="B12044" t="s">
        <v>11969</v>
      </c>
      <c r="C12044">
        <v>5000471</v>
      </c>
      <c r="E12044" t="s">
        <v>2100</v>
      </c>
      <c r="F12044" t="s">
        <v>12054</v>
      </c>
      <c r="G12044">
        <v>2</v>
      </c>
    </row>
    <row r="12045" spans="1:7" x14ac:dyDescent="0.25">
      <c r="A12045">
        <v>38</v>
      </c>
      <c r="B12045" t="s">
        <v>11969</v>
      </c>
      <c r="C12045">
        <v>5000092</v>
      </c>
      <c r="E12045" t="s">
        <v>2100</v>
      </c>
      <c r="F12045" t="s">
        <v>12055</v>
      </c>
      <c r="G12045">
        <v>2</v>
      </c>
    </row>
    <row r="12046" spans="1:7" x14ac:dyDescent="0.25">
      <c r="A12046">
        <v>38</v>
      </c>
      <c r="B12046" t="s">
        <v>11969</v>
      </c>
      <c r="C12046">
        <v>5000393</v>
      </c>
      <c r="E12046" t="s">
        <v>2100</v>
      </c>
      <c r="F12046" t="s">
        <v>12056</v>
      </c>
      <c r="G12046">
        <v>2</v>
      </c>
    </row>
    <row r="12047" spans="1:7" x14ac:dyDescent="0.25">
      <c r="A12047">
        <v>38</v>
      </c>
      <c r="B12047" t="s">
        <v>11969</v>
      </c>
      <c r="C12047">
        <v>5000452</v>
      </c>
      <c r="D12047" t="str">
        <f>"0302-9743"</f>
        <v>0302-9743</v>
      </c>
      <c r="E12047" t="s">
        <v>2100</v>
      </c>
      <c r="F12047" t="s">
        <v>12057</v>
      </c>
      <c r="G12047">
        <v>2</v>
      </c>
    </row>
    <row r="12048" spans="1:7" x14ac:dyDescent="0.25">
      <c r="A12048">
        <v>38</v>
      </c>
      <c r="B12048" t="s">
        <v>11969</v>
      </c>
      <c r="C12048">
        <v>5000389</v>
      </c>
      <c r="D12048" t="str">
        <f>"0302-9743"</f>
        <v>0302-9743</v>
      </c>
      <c r="E12048" t="s">
        <v>2100</v>
      </c>
      <c r="F12048" t="s">
        <v>12058</v>
      </c>
      <c r="G12048">
        <v>2</v>
      </c>
    </row>
    <row r="12049" spans="1:7" x14ac:dyDescent="0.25">
      <c r="A12049">
        <v>38</v>
      </c>
      <c r="B12049" t="s">
        <v>11969</v>
      </c>
      <c r="C12049">
        <v>5000094</v>
      </c>
      <c r="E12049" t="s">
        <v>2100</v>
      </c>
      <c r="F12049" t="s">
        <v>12059</v>
      </c>
      <c r="G12049">
        <v>2</v>
      </c>
    </row>
    <row r="12050" spans="1:7" x14ac:dyDescent="0.25">
      <c r="A12050">
        <v>38</v>
      </c>
      <c r="B12050" t="s">
        <v>11969</v>
      </c>
      <c r="C12050">
        <v>5000102</v>
      </c>
      <c r="E12050" t="s">
        <v>2100</v>
      </c>
      <c r="F12050" t="s">
        <v>12060</v>
      </c>
      <c r="G12050">
        <v>2</v>
      </c>
    </row>
    <row r="12051" spans="1:7" x14ac:dyDescent="0.25">
      <c r="A12051">
        <v>38</v>
      </c>
      <c r="B12051" t="s">
        <v>11969</v>
      </c>
      <c r="C12051">
        <v>5000249</v>
      </c>
      <c r="D12051" t="str">
        <f>"0302-9743"</f>
        <v>0302-9743</v>
      </c>
      <c r="E12051" t="s">
        <v>2100</v>
      </c>
      <c r="F12051" t="s">
        <v>12061</v>
      </c>
      <c r="G12051">
        <v>2</v>
      </c>
    </row>
    <row r="12052" spans="1:7" x14ac:dyDescent="0.25">
      <c r="A12052">
        <v>38</v>
      </c>
      <c r="B12052" t="s">
        <v>11969</v>
      </c>
      <c r="C12052">
        <v>5010386</v>
      </c>
      <c r="D12052" t="str">
        <f>"0302-9743"</f>
        <v>0302-9743</v>
      </c>
      <c r="E12052" t="s">
        <v>2100</v>
      </c>
      <c r="F12052" t="s">
        <v>12062</v>
      </c>
      <c r="G12052">
        <v>2</v>
      </c>
    </row>
    <row r="12053" spans="1:7" x14ac:dyDescent="0.25">
      <c r="A12053">
        <v>38</v>
      </c>
      <c r="B12053" t="s">
        <v>11969</v>
      </c>
      <c r="C12053">
        <v>5000105</v>
      </c>
      <c r="E12053" t="s">
        <v>2100</v>
      </c>
      <c r="F12053" t="s">
        <v>12063</v>
      </c>
      <c r="G12053">
        <v>2</v>
      </c>
    </row>
    <row r="12054" spans="1:7" x14ac:dyDescent="0.25">
      <c r="A12054">
        <v>38</v>
      </c>
      <c r="B12054" t="s">
        <v>11969</v>
      </c>
      <c r="C12054">
        <v>5000397</v>
      </c>
      <c r="D12054" t="str">
        <f>"0302-9743"</f>
        <v>0302-9743</v>
      </c>
      <c r="E12054" t="s">
        <v>2100</v>
      </c>
      <c r="F12054" t="s">
        <v>12064</v>
      </c>
      <c r="G12054">
        <v>2</v>
      </c>
    </row>
    <row r="12055" spans="1:7" x14ac:dyDescent="0.25">
      <c r="A12055">
        <v>38</v>
      </c>
      <c r="B12055" t="s">
        <v>11969</v>
      </c>
      <c r="C12055">
        <v>15706</v>
      </c>
      <c r="D12055" t="str">
        <f>"0934-5043"</f>
        <v>0934-5043</v>
      </c>
      <c r="E12055" t="s">
        <v>8</v>
      </c>
      <c r="F12055" t="s">
        <v>12065</v>
      </c>
      <c r="G12055">
        <v>2</v>
      </c>
    </row>
    <row r="12056" spans="1:7" x14ac:dyDescent="0.25">
      <c r="A12056">
        <v>38</v>
      </c>
      <c r="B12056" t="s">
        <v>11969</v>
      </c>
      <c r="C12056">
        <v>3986</v>
      </c>
      <c r="D12056" t="str">
        <f>"0925-9856"</f>
        <v>0925-9856</v>
      </c>
      <c r="E12056" t="s">
        <v>8</v>
      </c>
      <c r="F12056" t="s">
        <v>12066</v>
      </c>
      <c r="G12056">
        <v>2</v>
      </c>
    </row>
    <row r="12057" spans="1:7" x14ac:dyDescent="0.25">
      <c r="A12057">
        <v>38</v>
      </c>
      <c r="B12057" t="s">
        <v>11969</v>
      </c>
      <c r="C12057">
        <v>55861</v>
      </c>
      <c r="D12057" t="str">
        <f>"1935-8237"</f>
        <v>1935-8237</v>
      </c>
      <c r="E12057" t="s">
        <v>8</v>
      </c>
      <c r="F12057" t="s">
        <v>12067</v>
      </c>
      <c r="G12057">
        <v>2</v>
      </c>
    </row>
    <row r="12058" spans="1:7" x14ac:dyDescent="0.25">
      <c r="A12058">
        <v>38</v>
      </c>
      <c r="B12058" t="s">
        <v>11969</v>
      </c>
      <c r="C12058">
        <v>13384</v>
      </c>
      <c r="D12058" t="str">
        <f>"0169-2968"</f>
        <v>0169-2968</v>
      </c>
      <c r="E12058" t="s">
        <v>8</v>
      </c>
      <c r="F12058" t="s">
        <v>12068</v>
      </c>
      <c r="G12058">
        <v>2</v>
      </c>
    </row>
    <row r="12059" spans="1:7" x14ac:dyDescent="0.25">
      <c r="A12059">
        <v>38</v>
      </c>
      <c r="B12059" t="s">
        <v>11969</v>
      </c>
      <c r="C12059">
        <v>14091</v>
      </c>
      <c r="D12059" t="str">
        <f>"1384-6175"</f>
        <v>1384-6175</v>
      </c>
      <c r="E12059" t="s">
        <v>8</v>
      </c>
      <c r="F12059" t="s">
        <v>12069</v>
      </c>
      <c r="G12059">
        <v>2</v>
      </c>
    </row>
    <row r="12060" spans="1:7" x14ac:dyDescent="0.25">
      <c r="A12060">
        <v>38</v>
      </c>
      <c r="B12060" t="s">
        <v>11969</v>
      </c>
      <c r="C12060">
        <v>5675</v>
      </c>
      <c r="D12060" t="str">
        <f>"1388-3690"</f>
        <v>1388-3690</v>
      </c>
      <c r="E12060" t="s">
        <v>8</v>
      </c>
      <c r="F12060" t="s">
        <v>12070</v>
      </c>
      <c r="G12060">
        <v>2</v>
      </c>
    </row>
    <row r="12061" spans="1:7" x14ac:dyDescent="0.25">
      <c r="A12061">
        <v>38</v>
      </c>
      <c r="B12061" t="s">
        <v>11969</v>
      </c>
      <c r="C12061">
        <v>5000405</v>
      </c>
      <c r="E12061" t="s">
        <v>2100</v>
      </c>
      <c r="F12061" t="s">
        <v>12071</v>
      </c>
      <c r="G12061">
        <v>2</v>
      </c>
    </row>
    <row r="12062" spans="1:7" x14ac:dyDescent="0.25">
      <c r="A12062">
        <v>38</v>
      </c>
      <c r="B12062" t="s">
        <v>11969</v>
      </c>
      <c r="C12062">
        <v>5759</v>
      </c>
      <c r="D12062" t="str">
        <f>"1545-5963"</f>
        <v>1545-5963</v>
      </c>
      <c r="E12062" t="s">
        <v>8</v>
      </c>
      <c r="F12062" t="s">
        <v>12072</v>
      </c>
      <c r="G12062">
        <v>2</v>
      </c>
    </row>
    <row r="12063" spans="1:7" x14ac:dyDescent="0.25">
      <c r="A12063">
        <v>38</v>
      </c>
      <c r="B12063" t="s">
        <v>11969</v>
      </c>
      <c r="C12063">
        <v>14058</v>
      </c>
      <c r="D12063" t="str">
        <f>"1058-6180"</f>
        <v>1058-6180</v>
      </c>
      <c r="E12063" t="s">
        <v>8</v>
      </c>
      <c r="F12063" t="s">
        <v>12073</v>
      </c>
      <c r="G12063">
        <v>2</v>
      </c>
    </row>
    <row r="12064" spans="1:7" x14ac:dyDescent="0.25">
      <c r="A12064">
        <v>38</v>
      </c>
      <c r="B12064" t="s">
        <v>11969</v>
      </c>
      <c r="C12064">
        <v>4785</v>
      </c>
      <c r="D12064" t="str">
        <f>"0272-1716"</f>
        <v>0272-1716</v>
      </c>
      <c r="E12064" t="s">
        <v>8</v>
      </c>
      <c r="F12064" t="s">
        <v>12074</v>
      </c>
      <c r="G12064">
        <v>2</v>
      </c>
    </row>
    <row r="12065" spans="1:7" x14ac:dyDescent="0.25">
      <c r="A12065">
        <v>38</v>
      </c>
      <c r="B12065" t="s">
        <v>11969</v>
      </c>
      <c r="C12065">
        <v>5000075</v>
      </c>
      <c r="E12065" t="s">
        <v>2100</v>
      </c>
      <c r="F12065" t="s">
        <v>12075</v>
      </c>
      <c r="G12065">
        <v>2</v>
      </c>
    </row>
    <row r="12066" spans="1:7" x14ac:dyDescent="0.25">
      <c r="A12066">
        <v>38</v>
      </c>
      <c r="B12066" t="s">
        <v>11969</v>
      </c>
      <c r="C12066">
        <v>7240</v>
      </c>
      <c r="D12066" t="str">
        <f>"2168-2356"</f>
        <v>2168-2356</v>
      </c>
      <c r="E12066" t="s">
        <v>8</v>
      </c>
      <c r="F12066" t="s">
        <v>12076</v>
      </c>
      <c r="G12066">
        <v>2</v>
      </c>
    </row>
    <row r="12067" spans="1:7" x14ac:dyDescent="0.25">
      <c r="A12067">
        <v>38</v>
      </c>
      <c r="B12067" t="s">
        <v>11969</v>
      </c>
      <c r="C12067">
        <v>13153</v>
      </c>
      <c r="D12067" t="str">
        <f>"1541-4922"</f>
        <v>1541-4922</v>
      </c>
      <c r="E12067" t="s">
        <v>8</v>
      </c>
      <c r="F12067" t="s">
        <v>12077</v>
      </c>
      <c r="G12067">
        <v>2</v>
      </c>
    </row>
    <row r="12068" spans="1:7" x14ac:dyDescent="0.25">
      <c r="A12068">
        <v>38</v>
      </c>
      <c r="B12068" t="s">
        <v>11969</v>
      </c>
      <c r="C12068">
        <v>18155</v>
      </c>
      <c r="D12068" t="str">
        <f>"1541-1672"</f>
        <v>1541-1672</v>
      </c>
      <c r="E12068" t="s">
        <v>8</v>
      </c>
      <c r="F12068" t="s">
        <v>12078</v>
      </c>
      <c r="G12068">
        <v>2</v>
      </c>
    </row>
    <row r="12069" spans="1:7" x14ac:dyDescent="0.25">
      <c r="A12069">
        <v>38</v>
      </c>
      <c r="B12069" t="s">
        <v>11969</v>
      </c>
      <c r="C12069">
        <v>5000462</v>
      </c>
      <c r="E12069" t="s">
        <v>2100</v>
      </c>
      <c r="F12069" t="s">
        <v>12079</v>
      </c>
      <c r="G12069">
        <v>2</v>
      </c>
    </row>
    <row r="12070" spans="1:7" x14ac:dyDescent="0.25">
      <c r="A12070">
        <v>38</v>
      </c>
      <c r="B12070" t="s">
        <v>11969</v>
      </c>
      <c r="C12070">
        <v>5010530</v>
      </c>
      <c r="E12070" t="s">
        <v>2100</v>
      </c>
      <c r="F12070" t="s">
        <v>12080</v>
      </c>
      <c r="G12070">
        <v>2</v>
      </c>
    </row>
    <row r="12071" spans="1:7" x14ac:dyDescent="0.25">
      <c r="A12071">
        <v>38</v>
      </c>
      <c r="B12071" t="s">
        <v>11969</v>
      </c>
      <c r="C12071">
        <v>5000137</v>
      </c>
      <c r="E12071" t="s">
        <v>2100</v>
      </c>
      <c r="F12071" t="s">
        <v>12081</v>
      </c>
      <c r="G12071">
        <v>2</v>
      </c>
    </row>
    <row r="12072" spans="1:7" x14ac:dyDescent="0.25">
      <c r="A12072">
        <v>38</v>
      </c>
      <c r="B12072" t="s">
        <v>11969</v>
      </c>
      <c r="C12072">
        <v>5000191</v>
      </c>
      <c r="E12072" t="s">
        <v>2100</v>
      </c>
      <c r="F12072" t="s">
        <v>12082</v>
      </c>
      <c r="G12072">
        <v>2</v>
      </c>
    </row>
    <row r="12073" spans="1:7" x14ac:dyDescent="0.25">
      <c r="A12073">
        <v>38</v>
      </c>
      <c r="B12073" t="s">
        <v>11969</v>
      </c>
      <c r="C12073">
        <v>5000547</v>
      </c>
      <c r="E12073" t="s">
        <v>2100</v>
      </c>
      <c r="F12073" t="s">
        <v>12083</v>
      </c>
      <c r="G12073">
        <v>2</v>
      </c>
    </row>
    <row r="12074" spans="1:7" x14ac:dyDescent="0.25">
      <c r="A12074">
        <v>38</v>
      </c>
      <c r="B12074" t="s">
        <v>11969</v>
      </c>
      <c r="C12074">
        <v>5000374</v>
      </c>
      <c r="E12074" t="s">
        <v>2100</v>
      </c>
      <c r="F12074" t="s">
        <v>12084</v>
      </c>
      <c r="G12074">
        <v>2</v>
      </c>
    </row>
    <row r="12075" spans="1:7" x14ac:dyDescent="0.25">
      <c r="A12075">
        <v>38</v>
      </c>
      <c r="B12075" t="s">
        <v>11969</v>
      </c>
      <c r="C12075">
        <v>13091</v>
      </c>
      <c r="D12075" t="str">
        <f>"0272-1732"</f>
        <v>0272-1732</v>
      </c>
      <c r="E12075" t="s">
        <v>8</v>
      </c>
      <c r="F12075" t="s">
        <v>12085</v>
      </c>
      <c r="G12075">
        <v>2</v>
      </c>
    </row>
    <row r="12076" spans="1:7" x14ac:dyDescent="0.25">
      <c r="A12076">
        <v>38</v>
      </c>
      <c r="B12076" t="s">
        <v>11969</v>
      </c>
      <c r="C12076">
        <v>16707</v>
      </c>
      <c r="D12076" t="str">
        <f>"0740-7459"</f>
        <v>0740-7459</v>
      </c>
      <c r="E12076" t="s">
        <v>8</v>
      </c>
      <c r="F12076" t="s">
        <v>12086</v>
      </c>
      <c r="G12076">
        <v>2</v>
      </c>
    </row>
    <row r="12077" spans="1:7" x14ac:dyDescent="0.25">
      <c r="A12077">
        <v>38</v>
      </c>
      <c r="B12077" t="s">
        <v>11969</v>
      </c>
      <c r="C12077">
        <v>1452</v>
      </c>
      <c r="D12077" t="str">
        <f>"0018-9340"</f>
        <v>0018-9340</v>
      </c>
      <c r="E12077" t="s">
        <v>8</v>
      </c>
      <c r="F12077" t="s">
        <v>12087</v>
      </c>
      <c r="G12077">
        <v>2</v>
      </c>
    </row>
    <row r="12078" spans="1:7" x14ac:dyDescent="0.25">
      <c r="A12078">
        <v>38</v>
      </c>
      <c r="B12078" t="s">
        <v>11969</v>
      </c>
      <c r="C12078">
        <v>11158</v>
      </c>
      <c r="D12078" t="str">
        <f>"1545-5971"</f>
        <v>1545-5971</v>
      </c>
      <c r="E12078" t="s">
        <v>8</v>
      </c>
      <c r="F12078" t="s">
        <v>12088</v>
      </c>
      <c r="G12078">
        <v>2</v>
      </c>
    </row>
    <row r="12079" spans="1:7" x14ac:dyDescent="0.25">
      <c r="A12079">
        <v>38</v>
      </c>
      <c r="B12079" t="s">
        <v>11969</v>
      </c>
      <c r="C12079">
        <v>11764</v>
      </c>
      <c r="D12079" t="str">
        <f>"1089-778X"</f>
        <v>1089-778X</v>
      </c>
      <c r="E12079" t="s">
        <v>8</v>
      </c>
      <c r="F12079" t="s">
        <v>12089</v>
      </c>
      <c r="G12079">
        <v>2</v>
      </c>
    </row>
    <row r="12080" spans="1:7" x14ac:dyDescent="0.25">
      <c r="A12080">
        <v>38</v>
      </c>
      <c r="B12080" t="s">
        <v>11969</v>
      </c>
      <c r="C12080">
        <v>11099</v>
      </c>
      <c r="D12080" t="str">
        <f>"1063-6706"</f>
        <v>1063-6706</v>
      </c>
      <c r="E12080" t="s">
        <v>8</v>
      </c>
      <c r="F12080" t="s">
        <v>12090</v>
      </c>
      <c r="G12080">
        <v>2</v>
      </c>
    </row>
    <row r="12081" spans="1:7" x14ac:dyDescent="0.25">
      <c r="A12081">
        <v>38</v>
      </c>
      <c r="B12081" t="s">
        <v>11969</v>
      </c>
      <c r="C12081">
        <v>10902</v>
      </c>
      <c r="D12081" t="str">
        <f>"1041-4347"</f>
        <v>1041-4347</v>
      </c>
      <c r="E12081" t="s">
        <v>8</v>
      </c>
      <c r="F12081" t="s">
        <v>12091</v>
      </c>
      <c r="G12081">
        <v>2</v>
      </c>
    </row>
    <row r="12082" spans="1:7" x14ac:dyDescent="0.25">
      <c r="A12082">
        <v>38</v>
      </c>
      <c r="B12082" t="s">
        <v>11969</v>
      </c>
      <c r="C12082">
        <v>2005</v>
      </c>
      <c r="D12082" t="str">
        <f>"0098-5589"</f>
        <v>0098-5589</v>
      </c>
      <c r="E12082" t="s">
        <v>8</v>
      </c>
      <c r="F12082" t="s">
        <v>12092</v>
      </c>
      <c r="G12082">
        <v>2</v>
      </c>
    </row>
    <row r="12083" spans="1:7" x14ac:dyDescent="0.25">
      <c r="A12083">
        <v>38</v>
      </c>
      <c r="B12083" t="s">
        <v>11969</v>
      </c>
      <c r="C12083">
        <v>16349</v>
      </c>
      <c r="D12083" t="str">
        <f>"1063-8210"</f>
        <v>1063-8210</v>
      </c>
      <c r="E12083" t="s">
        <v>8</v>
      </c>
      <c r="F12083" t="s">
        <v>12093</v>
      </c>
      <c r="G12083">
        <v>2</v>
      </c>
    </row>
    <row r="12084" spans="1:7" x14ac:dyDescent="0.25">
      <c r="A12084">
        <v>38</v>
      </c>
      <c r="B12084" t="s">
        <v>11969</v>
      </c>
      <c r="C12084">
        <v>6747</v>
      </c>
      <c r="D12084" t="str">
        <f>"1077-2626"</f>
        <v>1077-2626</v>
      </c>
      <c r="E12084" t="s">
        <v>8</v>
      </c>
      <c r="F12084" t="s">
        <v>12094</v>
      </c>
      <c r="G12084">
        <v>2</v>
      </c>
    </row>
    <row r="12085" spans="1:7" x14ac:dyDescent="0.25">
      <c r="A12085">
        <v>38</v>
      </c>
      <c r="B12085" t="s">
        <v>11969</v>
      </c>
      <c r="C12085">
        <v>5000331</v>
      </c>
      <c r="E12085" t="s">
        <v>2100</v>
      </c>
      <c r="F12085" t="s">
        <v>12095</v>
      </c>
      <c r="G12085">
        <v>2</v>
      </c>
    </row>
    <row r="12086" spans="1:7" x14ac:dyDescent="0.25">
      <c r="A12086">
        <v>38</v>
      </c>
      <c r="B12086" t="s">
        <v>11969</v>
      </c>
      <c r="C12086">
        <v>5000004</v>
      </c>
      <c r="E12086" t="s">
        <v>2100</v>
      </c>
      <c r="F12086" t="s">
        <v>12096</v>
      </c>
      <c r="G12086">
        <v>2</v>
      </c>
    </row>
    <row r="12087" spans="1:7" x14ac:dyDescent="0.25">
      <c r="A12087">
        <v>38</v>
      </c>
      <c r="B12087" t="s">
        <v>11969</v>
      </c>
      <c r="C12087">
        <v>5000157</v>
      </c>
      <c r="D12087" t="str">
        <f>"0302-9743"</f>
        <v>0302-9743</v>
      </c>
      <c r="E12087" t="s">
        <v>2100</v>
      </c>
      <c r="F12087" t="s">
        <v>12097</v>
      </c>
      <c r="G12087">
        <v>2</v>
      </c>
    </row>
    <row r="12088" spans="1:7" x14ac:dyDescent="0.25">
      <c r="A12088">
        <v>38</v>
      </c>
      <c r="B12088" t="s">
        <v>11969</v>
      </c>
      <c r="C12088">
        <v>27</v>
      </c>
      <c r="D12088" t="str">
        <f>"0262-8856"</f>
        <v>0262-8856</v>
      </c>
      <c r="E12088" t="s">
        <v>8</v>
      </c>
      <c r="F12088" t="s">
        <v>12098</v>
      </c>
      <c r="G12088">
        <v>2</v>
      </c>
    </row>
    <row r="12089" spans="1:7" x14ac:dyDescent="0.25">
      <c r="A12089">
        <v>38</v>
      </c>
      <c r="B12089" t="s">
        <v>11969</v>
      </c>
      <c r="C12089">
        <v>15940</v>
      </c>
      <c r="D12089" t="str">
        <f>"0890-5401"</f>
        <v>0890-5401</v>
      </c>
      <c r="E12089" t="s">
        <v>8</v>
      </c>
      <c r="F12089" t="s">
        <v>12099</v>
      </c>
      <c r="G12089">
        <v>2</v>
      </c>
    </row>
    <row r="12090" spans="1:7" x14ac:dyDescent="0.25">
      <c r="A12090">
        <v>38</v>
      </c>
      <c r="B12090" t="s">
        <v>11969</v>
      </c>
      <c r="C12090">
        <v>5010727</v>
      </c>
      <c r="D12090" t="str">
        <f>"0302-9743"</f>
        <v>0302-9743</v>
      </c>
      <c r="E12090" t="s">
        <v>2100</v>
      </c>
      <c r="F12090" t="s">
        <v>12100</v>
      </c>
      <c r="G12090">
        <v>2</v>
      </c>
    </row>
    <row r="12091" spans="1:7" x14ac:dyDescent="0.25">
      <c r="A12091">
        <v>38</v>
      </c>
      <c r="B12091" t="s">
        <v>11969</v>
      </c>
      <c r="C12091">
        <v>16403</v>
      </c>
      <c r="D12091" t="str">
        <f>"0020-0190"</f>
        <v>0020-0190</v>
      </c>
      <c r="E12091" t="s">
        <v>8</v>
      </c>
      <c r="F12091" t="s">
        <v>12101</v>
      </c>
      <c r="G12091">
        <v>2</v>
      </c>
    </row>
    <row r="12092" spans="1:7" x14ac:dyDescent="0.25">
      <c r="A12092">
        <v>38</v>
      </c>
      <c r="B12092" t="s">
        <v>11969</v>
      </c>
      <c r="C12092">
        <v>3659</v>
      </c>
      <c r="D12092" t="str">
        <f>"0306-4379"</f>
        <v>0306-4379</v>
      </c>
      <c r="E12092" t="s">
        <v>8</v>
      </c>
      <c r="F12092" t="s">
        <v>12102</v>
      </c>
      <c r="G12092">
        <v>2</v>
      </c>
    </row>
    <row r="12093" spans="1:7" x14ac:dyDescent="0.25">
      <c r="A12093">
        <v>38</v>
      </c>
      <c r="B12093" t="s">
        <v>11969</v>
      </c>
      <c r="C12093">
        <v>11565</v>
      </c>
      <c r="D12093" t="str">
        <f>"1091-9856"</f>
        <v>1091-9856</v>
      </c>
      <c r="E12093" t="s">
        <v>8</v>
      </c>
      <c r="F12093" t="s">
        <v>12103</v>
      </c>
      <c r="G12093">
        <v>2</v>
      </c>
    </row>
    <row r="12094" spans="1:7" x14ac:dyDescent="0.25">
      <c r="A12094">
        <v>38</v>
      </c>
      <c r="B12094" t="s">
        <v>11969</v>
      </c>
      <c r="C12094">
        <v>5000133</v>
      </c>
      <c r="E12094" t="s">
        <v>2100</v>
      </c>
      <c r="F12094" t="s">
        <v>12104</v>
      </c>
      <c r="G12094">
        <v>2</v>
      </c>
    </row>
    <row r="12095" spans="1:7" x14ac:dyDescent="0.25">
      <c r="A12095">
        <v>38</v>
      </c>
      <c r="B12095" t="s">
        <v>11969</v>
      </c>
      <c r="C12095">
        <v>5000308</v>
      </c>
      <c r="E12095" t="s">
        <v>2100</v>
      </c>
      <c r="F12095" t="s">
        <v>12105</v>
      </c>
      <c r="G12095">
        <v>2</v>
      </c>
    </row>
    <row r="12096" spans="1:7" x14ac:dyDescent="0.25">
      <c r="A12096">
        <v>38</v>
      </c>
      <c r="B12096" t="s">
        <v>11969</v>
      </c>
      <c r="C12096">
        <v>5000640</v>
      </c>
      <c r="E12096" t="s">
        <v>2100</v>
      </c>
      <c r="F12096" t="s">
        <v>12106</v>
      </c>
      <c r="G12096">
        <v>2</v>
      </c>
    </row>
    <row r="12097" spans="1:7" x14ac:dyDescent="0.25">
      <c r="A12097">
        <v>38</v>
      </c>
      <c r="B12097" t="s">
        <v>11969</v>
      </c>
      <c r="C12097">
        <v>5000034</v>
      </c>
      <c r="E12097" t="s">
        <v>2100</v>
      </c>
      <c r="F12097" t="s">
        <v>12107</v>
      </c>
      <c r="G12097">
        <v>2</v>
      </c>
    </row>
    <row r="12098" spans="1:7" x14ac:dyDescent="0.25">
      <c r="A12098">
        <v>38</v>
      </c>
      <c r="B12098" t="s">
        <v>11969</v>
      </c>
      <c r="C12098">
        <v>5000327</v>
      </c>
      <c r="E12098" t="s">
        <v>2100</v>
      </c>
      <c r="F12098" t="s">
        <v>12108</v>
      </c>
      <c r="G12098">
        <v>2</v>
      </c>
    </row>
    <row r="12099" spans="1:7" x14ac:dyDescent="0.25">
      <c r="A12099">
        <v>38</v>
      </c>
      <c r="B12099" t="s">
        <v>11969</v>
      </c>
      <c r="C12099">
        <v>5000434</v>
      </c>
      <c r="E12099" t="s">
        <v>2100</v>
      </c>
      <c r="F12099" t="s">
        <v>12109</v>
      </c>
      <c r="G12099">
        <v>2</v>
      </c>
    </row>
    <row r="12100" spans="1:7" x14ac:dyDescent="0.25">
      <c r="A12100">
        <v>38</v>
      </c>
      <c r="B12100" t="s">
        <v>11969</v>
      </c>
      <c r="C12100">
        <v>5000347</v>
      </c>
      <c r="E12100" t="s">
        <v>2100</v>
      </c>
      <c r="F12100" t="s">
        <v>12110</v>
      </c>
      <c r="G12100">
        <v>2</v>
      </c>
    </row>
    <row r="12101" spans="1:7" x14ac:dyDescent="0.25">
      <c r="A12101">
        <v>38</v>
      </c>
      <c r="B12101" t="s">
        <v>11969</v>
      </c>
      <c r="C12101">
        <v>5000067</v>
      </c>
      <c r="E12101" t="s">
        <v>2100</v>
      </c>
      <c r="F12101" t="s">
        <v>12111</v>
      </c>
      <c r="G12101">
        <v>2</v>
      </c>
    </row>
    <row r="12102" spans="1:7" x14ac:dyDescent="0.25">
      <c r="A12102">
        <v>38</v>
      </c>
      <c r="B12102" t="s">
        <v>11969</v>
      </c>
      <c r="C12102">
        <v>5000054</v>
      </c>
      <c r="E12102" t="s">
        <v>2100</v>
      </c>
      <c r="F12102" t="s">
        <v>12112</v>
      </c>
      <c r="G12102">
        <v>2</v>
      </c>
    </row>
    <row r="12103" spans="1:7" x14ac:dyDescent="0.25">
      <c r="A12103">
        <v>38</v>
      </c>
      <c r="B12103" t="s">
        <v>11969</v>
      </c>
      <c r="C12103">
        <v>5000371</v>
      </c>
      <c r="E12103" t="s">
        <v>2100</v>
      </c>
      <c r="F12103" t="s">
        <v>12113</v>
      </c>
      <c r="G12103">
        <v>2</v>
      </c>
    </row>
    <row r="12104" spans="1:7" x14ac:dyDescent="0.25">
      <c r="A12104">
        <v>38</v>
      </c>
      <c r="B12104" t="s">
        <v>11969</v>
      </c>
      <c r="C12104">
        <v>5000370</v>
      </c>
      <c r="E12104" t="s">
        <v>2100</v>
      </c>
      <c r="F12104" t="s">
        <v>12114</v>
      </c>
      <c r="G12104">
        <v>2</v>
      </c>
    </row>
    <row r="12105" spans="1:7" x14ac:dyDescent="0.25">
      <c r="A12105">
        <v>38</v>
      </c>
      <c r="B12105" t="s">
        <v>11969</v>
      </c>
      <c r="C12105">
        <v>5000319</v>
      </c>
      <c r="E12105" t="s">
        <v>2100</v>
      </c>
      <c r="F12105" t="s">
        <v>12115</v>
      </c>
      <c r="G12105">
        <v>2</v>
      </c>
    </row>
    <row r="12106" spans="1:7" x14ac:dyDescent="0.25">
      <c r="A12106">
        <v>38</v>
      </c>
      <c r="B12106" t="s">
        <v>11969</v>
      </c>
      <c r="C12106">
        <v>5000095</v>
      </c>
      <c r="E12106" t="s">
        <v>2100</v>
      </c>
      <c r="F12106" t="s">
        <v>12116</v>
      </c>
      <c r="G12106">
        <v>2</v>
      </c>
    </row>
    <row r="12107" spans="1:7" x14ac:dyDescent="0.25">
      <c r="A12107">
        <v>38</v>
      </c>
      <c r="B12107" t="s">
        <v>11969</v>
      </c>
      <c r="C12107">
        <v>5000096</v>
      </c>
      <c r="E12107" t="s">
        <v>2100</v>
      </c>
      <c r="F12107" t="s">
        <v>12117</v>
      </c>
      <c r="G12107">
        <v>2</v>
      </c>
    </row>
    <row r="12108" spans="1:7" x14ac:dyDescent="0.25">
      <c r="A12108">
        <v>38</v>
      </c>
      <c r="B12108" t="s">
        <v>11969</v>
      </c>
      <c r="C12108">
        <v>5000645</v>
      </c>
      <c r="D12108" t="str">
        <f>"0302-9743"</f>
        <v>0302-9743</v>
      </c>
      <c r="E12108" t="s">
        <v>2100</v>
      </c>
      <c r="F12108" t="s">
        <v>12118</v>
      </c>
      <c r="G12108">
        <v>2</v>
      </c>
    </row>
    <row r="12109" spans="1:7" x14ac:dyDescent="0.25">
      <c r="A12109">
        <v>38</v>
      </c>
      <c r="B12109" t="s">
        <v>11969</v>
      </c>
      <c r="C12109">
        <v>5010347</v>
      </c>
      <c r="E12109" t="s">
        <v>2100</v>
      </c>
      <c r="F12109" t="s">
        <v>12119</v>
      </c>
      <c r="G12109">
        <v>2</v>
      </c>
    </row>
    <row r="12110" spans="1:7" x14ac:dyDescent="0.25">
      <c r="A12110">
        <v>38</v>
      </c>
      <c r="B12110" t="s">
        <v>11969</v>
      </c>
      <c r="C12110">
        <v>5000532</v>
      </c>
      <c r="E12110" t="s">
        <v>2100</v>
      </c>
      <c r="F12110" t="s">
        <v>12120</v>
      </c>
      <c r="G12110">
        <v>2</v>
      </c>
    </row>
    <row r="12111" spans="1:7" x14ac:dyDescent="0.25">
      <c r="A12111">
        <v>38</v>
      </c>
      <c r="B12111" t="s">
        <v>11969</v>
      </c>
      <c r="C12111">
        <v>5000450</v>
      </c>
      <c r="E12111" t="s">
        <v>2100</v>
      </c>
      <c r="F12111" t="s">
        <v>12121</v>
      </c>
      <c r="G12111">
        <v>2</v>
      </c>
    </row>
    <row r="12112" spans="1:7" x14ac:dyDescent="0.25">
      <c r="A12112">
        <v>38</v>
      </c>
      <c r="B12112" t="s">
        <v>11969</v>
      </c>
      <c r="C12112">
        <v>5000589</v>
      </c>
      <c r="E12112" t="s">
        <v>2100</v>
      </c>
      <c r="F12112" t="s">
        <v>12122</v>
      </c>
      <c r="G12112">
        <v>2</v>
      </c>
    </row>
    <row r="12113" spans="1:7" x14ac:dyDescent="0.25">
      <c r="A12113">
        <v>38</v>
      </c>
      <c r="B12113" t="s">
        <v>11969</v>
      </c>
      <c r="C12113">
        <v>5000527</v>
      </c>
      <c r="E12113" t="s">
        <v>2100</v>
      </c>
      <c r="F12113" t="s">
        <v>12123</v>
      </c>
      <c r="G12113">
        <v>2</v>
      </c>
    </row>
    <row r="12114" spans="1:7" x14ac:dyDescent="0.25">
      <c r="A12114">
        <v>38</v>
      </c>
      <c r="B12114" t="s">
        <v>11969</v>
      </c>
      <c r="C12114">
        <v>149412</v>
      </c>
      <c r="D12114" t="str">
        <f>"1931-0137"</f>
        <v>1931-0137</v>
      </c>
      <c r="E12114" t="s">
        <v>15</v>
      </c>
      <c r="F12114" t="s">
        <v>12124</v>
      </c>
      <c r="G12114">
        <v>2</v>
      </c>
    </row>
    <row r="12115" spans="1:7" x14ac:dyDescent="0.25">
      <c r="A12115">
        <v>38</v>
      </c>
      <c r="B12115" t="s">
        <v>11969</v>
      </c>
      <c r="C12115">
        <v>5000512</v>
      </c>
      <c r="E12115" t="s">
        <v>2100</v>
      </c>
      <c r="F12115" t="s">
        <v>12125</v>
      </c>
      <c r="G12115">
        <v>2</v>
      </c>
    </row>
    <row r="12116" spans="1:7" x14ac:dyDescent="0.25">
      <c r="A12116">
        <v>38</v>
      </c>
      <c r="B12116" t="s">
        <v>11969</v>
      </c>
      <c r="C12116">
        <v>5000254</v>
      </c>
      <c r="E12116" t="s">
        <v>2100</v>
      </c>
      <c r="F12116" t="s">
        <v>12126</v>
      </c>
      <c r="G12116">
        <v>2</v>
      </c>
    </row>
    <row r="12117" spans="1:7" x14ac:dyDescent="0.25">
      <c r="A12117">
        <v>38</v>
      </c>
      <c r="B12117" t="s">
        <v>11969</v>
      </c>
      <c r="C12117">
        <v>5000007</v>
      </c>
      <c r="E12117" t="s">
        <v>2100</v>
      </c>
      <c r="F12117" t="s">
        <v>12127</v>
      </c>
      <c r="G12117">
        <v>2</v>
      </c>
    </row>
    <row r="12118" spans="1:7" x14ac:dyDescent="0.25">
      <c r="A12118">
        <v>38</v>
      </c>
      <c r="B12118" t="s">
        <v>11969</v>
      </c>
      <c r="C12118">
        <v>5020046</v>
      </c>
      <c r="E12118" t="s">
        <v>2100</v>
      </c>
      <c r="F12118" t="s">
        <v>12128</v>
      </c>
      <c r="G12118">
        <v>2</v>
      </c>
    </row>
    <row r="12119" spans="1:7" x14ac:dyDescent="0.25">
      <c r="A12119">
        <v>38</v>
      </c>
      <c r="B12119" t="s">
        <v>11969</v>
      </c>
      <c r="C12119">
        <v>5000227</v>
      </c>
      <c r="E12119" t="s">
        <v>2100</v>
      </c>
      <c r="F12119" t="s">
        <v>12129</v>
      </c>
      <c r="G12119">
        <v>2</v>
      </c>
    </row>
    <row r="12120" spans="1:7" x14ac:dyDescent="0.25">
      <c r="A12120">
        <v>38</v>
      </c>
      <c r="B12120" t="s">
        <v>11969</v>
      </c>
      <c r="C12120">
        <v>5000630</v>
      </c>
      <c r="E12120" t="s">
        <v>2100</v>
      </c>
      <c r="F12120" t="s">
        <v>12130</v>
      </c>
      <c r="G12120">
        <v>2</v>
      </c>
    </row>
    <row r="12121" spans="1:7" x14ac:dyDescent="0.25">
      <c r="A12121">
        <v>38</v>
      </c>
      <c r="B12121" t="s">
        <v>11969</v>
      </c>
      <c r="C12121">
        <v>5000421</v>
      </c>
      <c r="E12121" t="s">
        <v>2100</v>
      </c>
      <c r="F12121" t="s">
        <v>12131</v>
      </c>
      <c r="G12121">
        <v>2</v>
      </c>
    </row>
    <row r="12122" spans="1:7" x14ac:dyDescent="0.25">
      <c r="A12122">
        <v>38</v>
      </c>
      <c r="B12122" t="s">
        <v>11969</v>
      </c>
      <c r="C12122">
        <v>5000150</v>
      </c>
      <c r="E12122" t="s">
        <v>2100</v>
      </c>
      <c r="F12122" t="s">
        <v>12132</v>
      </c>
      <c r="G12122">
        <v>2</v>
      </c>
    </row>
    <row r="12123" spans="1:7" x14ac:dyDescent="0.25">
      <c r="A12123">
        <v>38</v>
      </c>
      <c r="B12123" t="s">
        <v>11969</v>
      </c>
      <c r="C12123">
        <v>5000155</v>
      </c>
      <c r="E12123" t="s">
        <v>2100</v>
      </c>
      <c r="F12123" t="s">
        <v>12133</v>
      </c>
      <c r="G12123">
        <v>2</v>
      </c>
    </row>
    <row r="12124" spans="1:7" x14ac:dyDescent="0.25">
      <c r="A12124">
        <v>38</v>
      </c>
      <c r="B12124" t="s">
        <v>11969</v>
      </c>
      <c r="C12124">
        <v>11928</v>
      </c>
      <c r="D12124" t="str">
        <f>"0888-613X"</f>
        <v>0888-613X</v>
      </c>
      <c r="E12124" t="s">
        <v>8</v>
      </c>
      <c r="F12124" t="s">
        <v>12134</v>
      </c>
      <c r="G12124">
        <v>2</v>
      </c>
    </row>
    <row r="12125" spans="1:7" x14ac:dyDescent="0.25">
      <c r="A12125">
        <v>38</v>
      </c>
      <c r="B12125" t="s">
        <v>11969</v>
      </c>
      <c r="C12125">
        <v>3541</v>
      </c>
      <c r="D12125" t="str">
        <f>"0218-1959"</f>
        <v>0218-1959</v>
      </c>
      <c r="E12125" t="s">
        <v>8</v>
      </c>
      <c r="F12125" t="s">
        <v>12135</v>
      </c>
      <c r="G12125">
        <v>2</v>
      </c>
    </row>
    <row r="12126" spans="1:7" x14ac:dyDescent="0.25">
      <c r="A12126">
        <v>38</v>
      </c>
      <c r="B12126" t="s">
        <v>11969</v>
      </c>
      <c r="C12126">
        <v>24742</v>
      </c>
      <c r="D12126" t="str">
        <f>"1741-1068"</f>
        <v>1741-1068</v>
      </c>
      <c r="E12126" t="s">
        <v>8</v>
      </c>
      <c r="F12126" t="s">
        <v>12136</v>
      </c>
      <c r="G12126">
        <v>2</v>
      </c>
    </row>
    <row r="12127" spans="1:7" x14ac:dyDescent="0.25">
      <c r="A12127">
        <v>38</v>
      </c>
      <c r="B12127" t="s">
        <v>11969</v>
      </c>
      <c r="C12127">
        <v>14692</v>
      </c>
      <c r="D12127" t="str">
        <f>"0129-0541"</f>
        <v>0129-0541</v>
      </c>
      <c r="E12127" t="s">
        <v>8</v>
      </c>
      <c r="F12127" t="s">
        <v>12137</v>
      </c>
      <c r="G12127">
        <v>2</v>
      </c>
    </row>
    <row r="12128" spans="1:7" x14ac:dyDescent="0.25">
      <c r="A12128">
        <v>38</v>
      </c>
      <c r="B12128" t="s">
        <v>11969</v>
      </c>
      <c r="C12128">
        <v>15543</v>
      </c>
      <c r="D12128" t="str">
        <f>"1365-8816"</f>
        <v>1365-8816</v>
      </c>
      <c r="E12128" t="s">
        <v>8</v>
      </c>
      <c r="F12128" t="s">
        <v>12138</v>
      </c>
      <c r="G12128">
        <v>2</v>
      </c>
    </row>
    <row r="12129" spans="1:7" x14ac:dyDescent="0.25">
      <c r="A12129">
        <v>38</v>
      </c>
      <c r="B12129" t="s">
        <v>11969</v>
      </c>
      <c r="C12129">
        <v>5034</v>
      </c>
      <c r="D12129" t="str">
        <f>"1071-5819"</f>
        <v>1071-5819</v>
      </c>
      <c r="E12129" t="s">
        <v>8</v>
      </c>
      <c r="F12129" t="s">
        <v>12139</v>
      </c>
      <c r="G12129">
        <v>2</v>
      </c>
    </row>
    <row r="12130" spans="1:7" x14ac:dyDescent="0.25">
      <c r="A12130">
        <v>38</v>
      </c>
      <c r="B12130" t="s">
        <v>11969</v>
      </c>
      <c r="C12130">
        <v>10977</v>
      </c>
      <c r="D12130" t="str">
        <f>"0885-7458"</f>
        <v>0885-7458</v>
      </c>
      <c r="E12130" t="s">
        <v>8</v>
      </c>
      <c r="F12130" t="s">
        <v>12140</v>
      </c>
      <c r="G12130">
        <v>2</v>
      </c>
    </row>
    <row r="12131" spans="1:7" x14ac:dyDescent="0.25">
      <c r="A12131">
        <v>38</v>
      </c>
      <c r="B12131" t="s">
        <v>11969</v>
      </c>
      <c r="C12131">
        <v>26268</v>
      </c>
      <c r="D12131" t="str">
        <f>"1748-1279"</f>
        <v>1748-1279</v>
      </c>
      <c r="E12131" t="s">
        <v>8</v>
      </c>
      <c r="F12131" t="s">
        <v>12141</v>
      </c>
      <c r="G12131">
        <v>2</v>
      </c>
    </row>
    <row r="12132" spans="1:7" x14ac:dyDescent="0.25">
      <c r="A12132">
        <v>38</v>
      </c>
      <c r="B12132" t="s">
        <v>11969</v>
      </c>
      <c r="C12132">
        <v>5000168</v>
      </c>
      <c r="E12132" t="s">
        <v>2100</v>
      </c>
      <c r="F12132" t="s">
        <v>12142</v>
      </c>
      <c r="G12132">
        <v>2</v>
      </c>
    </row>
    <row r="12133" spans="1:7" x14ac:dyDescent="0.25">
      <c r="A12133">
        <v>38</v>
      </c>
      <c r="B12133" t="s">
        <v>11969</v>
      </c>
      <c r="C12133">
        <v>5000486</v>
      </c>
      <c r="E12133" t="s">
        <v>2100</v>
      </c>
      <c r="F12133" t="s">
        <v>12143</v>
      </c>
      <c r="G12133">
        <v>2</v>
      </c>
    </row>
    <row r="12134" spans="1:7" x14ac:dyDescent="0.25">
      <c r="A12134">
        <v>38</v>
      </c>
      <c r="B12134" t="s">
        <v>11969</v>
      </c>
      <c r="C12134">
        <v>5000213</v>
      </c>
      <c r="E12134" t="s">
        <v>2100</v>
      </c>
      <c r="F12134" t="s">
        <v>12144</v>
      </c>
      <c r="G12134">
        <v>2</v>
      </c>
    </row>
    <row r="12135" spans="1:7" x14ac:dyDescent="0.25">
      <c r="A12135">
        <v>38</v>
      </c>
      <c r="B12135" t="s">
        <v>11969</v>
      </c>
      <c r="C12135">
        <v>5000080</v>
      </c>
      <c r="E12135" t="s">
        <v>2100</v>
      </c>
      <c r="F12135" t="s">
        <v>12145</v>
      </c>
      <c r="G12135">
        <v>2</v>
      </c>
    </row>
    <row r="12136" spans="1:7" x14ac:dyDescent="0.25">
      <c r="A12136">
        <v>38</v>
      </c>
      <c r="B12136" t="s">
        <v>11969</v>
      </c>
      <c r="C12136">
        <v>5000247</v>
      </c>
      <c r="E12136" t="s">
        <v>2100</v>
      </c>
      <c r="F12136" t="s">
        <v>12146</v>
      </c>
      <c r="G12136">
        <v>2</v>
      </c>
    </row>
    <row r="12137" spans="1:7" x14ac:dyDescent="0.25">
      <c r="A12137">
        <v>38</v>
      </c>
      <c r="B12137" t="s">
        <v>11969</v>
      </c>
      <c r="C12137">
        <v>5000192</v>
      </c>
      <c r="E12137" t="s">
        <v>2100</v>
      </c>
      <c r="F12137" t="s">
        <v>12147</v>
      </c>
      <c r="G12137">
        <v>2</v>
      </c>
    </row>
    <row r="12138" spans="1:7" x14ac:dyDescent="0.25">
      <c r="A12138">
        <v>38</v>
      </c>
      <c r="B12138" t="s">
        <v>11969</v>
      </c>
      <c r="C12138">
        <v>5000255</v>
      </c>
      <c r="E12138" t="s">
        <v>2100</v>
      </c>
      <c r="F12138" t="s">
        <v>12148</v>
      </c>
      <c r="G12138">
        <v>2</v>
      </c>
    </row>
    <row r="12139" spans="1:7" x14ac:dyDescent="0.25">
      <c r="A12139">
        <v>38</v>
      </c>
      <c r="B12139" t="s">
        <v>11969</v>
      </c>
      <c r="C12139">
        <v>14685</v>
      </c>
      <c r="D12139" t="str">
        <f>"0168-7433"</f>
        <v>0168-7433</v>
      </c>
      <c r="E12139" t="s">
        <v>8</v>
      </c>
      <c r="F12139" t="s">
        <v>12149</v>
      </c>
      <c r="G12139">
        <v>2</v>
      </c>
    </row>
    <row r="12140" spans="1:7" x14ac:dyDescent="0.25">
      <c r="A12140">
        <v>38</v>
      </c>
      <c r="B12140" t="s">
        <v>11969</v>
      </c>
      <c r="C12140">
        <v>10820</v>
      </c>
      <c r="D12140" t="str">
        <f>"1066-5277"</f>
        <v>1066-5277</v>
      </c>
      <c r="E12140" t="s">
        <v>8</v>
      </c>
      <c r="F12140" t="s">
        <v>12150</v>
      </c>
      <c r="G12140">
        <v>2</v>
      </c>
    </row>
    <row r="12141" spans="1:7" x14ac:dyDescent="0.25">
      <c r="A12141">
        <v>38</v>
      </c>
      <c r="B12141" t="s">
        <v>11969</v>
      </c>
      <c r="C12141">
        <v>16035</v>
      </c>
      <c r="D12141" t="str">
        <f>"0022-0000"</f>
        <v>0022-0000</v>
      </c>
      <c r="E12141" t="s">
        <v>8</v>
      </c>
      <c r="F12141" t="s">
        <v>12151</v>
      </c>
      <c r="G12141">
        <v>2</v>
      </c>
    </row>
    <row r="12142" spans="1:7" x14ac:dyDescent="0.25">
      <c r="A12142">
        <v>38</v>
      </c>
      <c r="B12142" t="s">
        <v>11969</v>
      </c>
      <c r="C12142">
        <v>213</v>
      </c>
      <c r="D12142" t="str">
        <f>"0926-227X"</f>
        <v>0926-227X</v>
      </c>
      <c r="E12142" t="s">
        <v>8</v>
      </c>
      <c r="F12142" t="s">
        <v>12152</v>
      </c>
      <c r="G12142">
        <v>2</v>
      </c>
    </row>
    <row r="12143" spans="1:7" x14ac:dyDescent="0.25">
      <c r="A12143">
        <v>38</v>
      </c>
      <c r="B12143" t="s">
        <v>11969</v>
      </c>
      <c r="C12143">
        <v>11088</v>
      </c>
      <c r="D12143" t="str">
        <f>"1063-8016"</f>
        <v>1063-8016</v>
      </c>
      <c r="E12143" t="s">
        <v>8</v>
      </c>
      <c r="F12143" t="s">
        <v>12153</v>
      </c>
      <c r="G12143">
        <v>2</v>
      </c>
    </row>
    <row r="12144" spans="1:7" x14ac:dyDescent="0.25">
      <c r="A12144">
        <v>38</v>
      </c>
      <c r="B12144" t="s">
        <v>11969</v>
      </c>
      <c r="C12144">
        <v>10027</v>
      </c>
      <c r="D12144" t="str">
        <f>"0956-7968"</f>
        <v>0956-7968</v>
      </c>
      <c r="E12144" t="s">
        <v>8</v>
      </c>
      <c r="F12144" t="s">
        <v>12154</v>
      </c>
      <c r="G12144">
        <v>2</v>
      </c>
    </row>
    <row r="12145" spans="1:7" x14ac:dyDescent="0.25">
      <c r="A12145">
        <v>38</v>
      </c>
      <c r="B12145" t="s">
        <v>11969</v>
      </c>
      <c r="C12145">
        <v>1006</v>
      </c>
      <c r="D12145" t="str">
        <f>"1381-1231"</f>
        <v>1381-1231</v>
      </c>
      <c r="E12145" t="s">
        <v>8</v>
      </c>
      <c r="F12145" t="s">
        <v>12155</v>
      </c>
      <c r="G12145">
        <v>2</v>
      </c>
    </row>
    <row r="12146" spans="1:7" x14ac:dyDescent="0.25">
      <c r="A12146">
        <v>38</v>
      </c>
      <c r="B12146" t="s">
        <v>11969</v>
      </c>
      <c r="C12146">
        <v>6315</v>
      </c>
      <c r="D12146" t="str">
        <f>"0925-9902"</f>
        <v>0925-9902</v>
      </c>
      <c r="E12146" t="s">
        <v>8</v>
      </c>
      <c r="F12146" t="s">
        <v>12156</v>
      </c>
      <c r="G12146">
        <v>2</v>
      </c>
    </row>
    <row r="12147" spans="1:7" x14ac:dyDescent="0.25">
      <c r="A12147">
        <v>38</v>
      </c>
      <c r="B12147" t="s">
        <v>11969</v>
      </c>
      <c r="C12147">
        <v>14757</v>
      </c>
      <c r="D12147" t="str">
        <f>"0955-792X"</f>
        <v>0955-792X</v>
      </c>
      <c r="E12147" t="s">
        <v>8</v>
      </c>
      <c r="F12147" t="s">
        <v>12157</v>
      </c>
      <c r="G12147">
        <v>2</v>
      </c>
    </row>
    <row r="12148" spans="1:7" x14ac:dyDescent="0.25">
      <c r="A12148">
        <v>38</v>
      </c>
      <c r="B12148" t="s">
        <v>11969</v>
      </c>
      <c r="C12148">
        <v>10980</v>
      </c>
      <c r="D12148" t="str">
        <f>"2352-2208"</f>
        <v>2352-2208</v>
      </c>
      <c r="E12148" t="s">
        <v>8</v>
      </c>
      <c r="F12148" t="s">
        <v>12158</v>
      </c>
      <c r="G12148">
        <v>2</v>
      </c>
    </row>
    <row r="12149" spans="1:7" x14ac:dyDescent="0.25">
      <c r="A12149">
        <v>38</v>
      </c>
      <c r="B12149" t="s">
        <v>11969</v>
      </c>
      <c r="C12149">
        <v>4647</v>
      </c>
      <c r="D12149" t="str">
        <f>"0743-7315"</f>
        <v>0743-7315</v>
      </c>
      <c r="E12149" t="s">
        <v>8</v>
      </c>
      <c r="F12149" t="s">
        <v>12159</v>
      </c>
      <c r="G12149">
        <v>2</v>
      </c>
    </row>
    <row r="12150" spans="1:7" x14ac:dyDescent="0.25">
      <c r="A12150">
        <v>38</v>
      </c>
      <c r="B12150" t="s">
        <v>11969</v>
      </c>
      <c r="C12150">
        <v>4452</v>
      </c>
      <c r="D12150" t="str">
        <f>"1094-6136"</f>
        <v>1094-6136</v>
      </c>
      <c r="E12150" t="s">
        <v>8</v>
      </c>
      <c r="F12150" t="s">
        <v>12160</v>
      </c>
      <c r="G12150">
        <v>2</v>
      </c>
    </row>
    <row r="12151" spans="1:7" x14ac:dyDescent="0.25">
      <c r="A12151">
        <v>38</v>
      </c>
      <c r="B12151" t="s">
        <v>11969</v>
      </c>
      <c r="C12151">
        <v>5384</v>
      </c>
      <c r="D12151" t="str">
        <f>"1383-7621"</f>
        <v>1383-7621</v>
      </c>
      <c r="E12151" t="s">
        <v>8</v>
      </c>
      <c r="F12151" t="s">
        <v>12161</v>
      </c>
      <c r="G12151">
        <v>2</v>
      </c>
    </row>
    <row r="12152" spans="1:7" x14ac:dyDescent="0.25">
      <c r="A12152">
        <v>38</v>
      </c>
      <c r="B12152" t="s">
        <v>11969</v>
      </c>
      <c r="C12152">
        <v>8781992</v>
      </c>
      <c r="D12152" t="str">
        <f>"0004-5411"</f>
        <v>0004-5411</v>
      </c>
      <c r="E12152" t="s">
        <v>8</v>
      </c>
      <c r="F12152" t="s">
        <v>12162</v>
      </c>
      <c r="G12152">
        <v>2</v>
      </c>
    </row>
    <row r="12153" spans="1:7" x14ac:dyDescent="0.25">
      <c r="A12153">
        <v>38</v>
      </c>
      <c r="B12153" t="s">
        <v>11969</v>
      </c>
      <c r="C12153">
        <v>17547</v>
      </c>
      <c r="D12153" t="str">
        <f>"1570-8268"</f>
        <v>1570-8268</v>
      </c>
      <c r="E12153" t="s">
        <v>8</v>
      </c>
      <c r="F12153" t="s">
        <v>12163</v>
      </c>
      <c r="G12153">
        <v>2</v>
      </c>
    </row>
    <row r="12154" spans="1:7" x14ac:dyDescent="0.25">
      <c r="A12154">
        <v>38</v>
      </c>
      <c r="B12154" t="s">
        <v>11969</v>
      </c>
      <c r="C12154">
        <v>3547</v>
      </c>
      <c r="D12154" t="str">
        <f>"0269-8889"</f>
        <v>0269-8889</v>
      </c>
      <c r="E12154" t="s">
        <v>8</v>
      </c>
      <c r="F12154" t="s">
        <v>12164</v>
      </c>
      <c r="G12154">
        <v>2</v>
      </c>
    </row>
    <row r="12155" spans="1:7" x14ac:dyDescent="0.25">
      <c r="A12155">
        <v>38</v>
      </c>
      <c r="B12155" t="s">
        <v>11969</v>
      </c>
      <c r="C12155">
        <v>3792</v>
      </c>
      <c r="D12155" t="str">
        <f>"1367-0751"</f>
        <v>1367-0751</v>
      </c>
      <c r="E12155" t="s">
        <v>8</v>
      </c>
      <c r="F12155" t="s">
        <v>12165</v>
      </c>
      <c r="G12155">
        <v>2</v>
      </c>
    </row>
    <row r="12156" spans="1:7" x14ac:dyDescent="0.25">
      <c r="A12156">
        <v>38</v>
      </c>
      <c r="B12156" t="s">
        <v>11969</v>
      </c>
      <c r="C12156">
        <v>9194</v>
      </c>
      <c r="E12156" t="s">
        <v>8</v>
      </c>
      <c r="F12156" t="s">
        <v>12166</v>
      </c>
      <c r="G12156">
        <v>2</v>
      </c>
    </row>
    <row r="12157" spans="1:7" x14ac:dyDescent="0.25">
      <c r="A12157">
        <v>38</v>
      </c>
      <c r="B12157" t="s">
        <v>11969</v>
      </c>
      <c r="C12157">
        <v>7860</v>
      </c>
      <c r="D12157" t="str">
        <f>"0885-6125"</f>
        <v>0885-6125</v>
      </c>
      <c r="E12157" t="s">
        <v>8</v>
      </c>
      <c r="F12157" t="s">
        <v>12167</v>
      </c>
      <c r="G12157">
        <v>2</v>
      </c>
    </row>
    <row r="12158" spans="1:7" x14ac:dyDescent="0.25">
      <c r="A12158">
        <v>38</v>
      </c>
      <c r="B12158" t="s">
        <v>11969</v>
      </c>
      <c r="C12158">
        <v>1381</v>
      </c>
      <c r="D12158" t="str">
        <f>"0960-1295"</f>
        <v>0960-1295</v>
      </c>
      <c r="E12158" t="s">
        <v>8</v>
      </c>
      <c r="F12158" t="s">
        <v>12168</v>
      </c>
      <c r="G12158">
        <v>2</v>
      </c>
    </row>
    <row r="12159" spans="1:7" x14ac:dyDescent="0.25">
      <c r="A12159">
        <v>38</v>
      </c>
      <c r="B12159" t="s">
        <v>11969</v>
      </c>
      <c r="C12159">
        <v>14558</v>
      </c>
      <c r="D12159" t="str">
        <f>"0025-5718"</f>
        <v>0025-5718</v>
      </c>
      <c r="E12159" t="s">
        <v>8</v>
      </c>
      <c r="F12159" t="s">
        <v>12169</v>
      </c>
      <c r="G12159">
        <v>2</v>
      </c>
    </row>
    <row r="12160" spans="1:7" x14ac:dyDescent="0.25">
      <c r="A12160">
        <v>38</v>
      </c>
      <c r="B12160" t="s">
        <v>11969</v>
      </c>
      <c r="C12160">
        <v>3576</v>
      </c>
      <c r="D12160" t="str">
        <f>"1361-8415"</f>
        <v>1361-8415</v>
      </c>
      <c r="E12160" t="s">
        <v>8</v>
      </c>
      <c r="F12160" t="s">
        <v>12170</v>
      </c>
      <c r="G12160">
        <v>2</v>
      </c>
    </row>
    <row r="12161" spans="1:7" x14ac:dyDescent="0.25">
      <c r="A12161">
        <v>38</v>
      </c>
      <c r="B12161" t="s">
        <v>11969</v>
      </c>
      <c r="C12161">
        <v>8325</v>
      </c>
      <c r="D12161" t="str">
        <f>"0288-3635"</f>
        <v>0288-3635</v>
      </c>
      <c r="E12161" t="s">
        <v>8</v>
      </c>
      <c r="F12161" t="s">
        <v>12171</v>
      </c>
      <c r="G12161">
        <v>2</v>
      </c>
    </row>
    <row r="12162" spans="1:7" x14ac:dyDescent="0.25">
      <c r="A12162">
        <v>38</v>
      </c>
      <c r="B12162" t="s">
        <v>11969</v>
      </c>
      <c r="C12162">
        <v>5000637</v>
      </c>
      <c r="E12162" t="s">
        <v>2100</v>
      </c>
      <c r="F12162" t="s">
        <v>12172</v>
      </c>
      <c r="G12162">
        <v>2</v>
      </c>
    </row>
    <row r="12163" spans="1:7" x14ac:dyDescent="0.25">
      <c r="A12163">
        <v>38</v>
      </c>
      <c r="B12163" t="s">
        <v>11969</v>
      </c>
      <c r="C12163">
        <v>11522</v>
      </c>
      <c r="D12163" t="str">
        <f>"1017-1398"</f>
        <v>1017-1398</v>
      </c>
      <c r="E12163" t="s">
        <v>8</v>
      </c>
      <c r="F12163" t="s">
        <v>12173</v>
      </c>
      <c r="G12163">
        <v>2</v>
      </c>
    </row>
    <row r="12164" spans="1:7" x14ac:dyDescent="0.25">
      <c r="A12164">
        <v>38</v>
      </c>
      <c r="B12164" t="s">
        <v>11969</v>
      </c>
      <c r="C12164">
        <v>10098</v>
      </c>
      <c r="D12164" t="str">
        <f>"0167-6377"</f>
        <v>0167-6377</v>
      </c>
      <c r="E12164" t="s">
        <v>8</v>
      </c>
      <c r="F12164" t="s">
        <v>12174</v>
      </c>
      <c r="G12164">
        <v>2</v>
      </c>
    </row>
    <row r="12165" spans="1:7" x14ac:dyDescent="0.25">
      <c r="A12165">
        <v>38</v>
      </c>
      <c r="B12165" t="s">
        <v>11969</v>
      </c>
      <c r="C12165">
        <v>5000206</v>
      </c>
      <c r="E12165" t="s">
        <v>2100</v>
      </c>
      <c r="F12165" t="s">
        <v>12175</v>
      </c>
      <c r="G12165">
        <v>2</v>
      </c>
    </row>
    <row r="12166" spans="1:7" x14ac:dyDescent="0.25">
      <c r="A12166">
        <v>38</v>
      </c>
      <c r="B12166" t="s">
        <v>11969</v>
      </c>
      <c r="C12166">
        <v>2241</v>
      </c>
      <c r="D12166" t="str">
        <f>"0167-8191"</f>
        <v>0167-8191</v>
      </c>
      <c r="E12166" t="s">
        <v>8</v>
      </c>
      <c r="F12166" t="s">
        <v>12176</v>
      </c>
      <c r="G12166">
        <v>2</v>
      </c>
    </row>
    <row r="12167" spans="1:7" x14ac:dyDescent="0.25">
      <c r="A12167">
        <v>38</v>
      </c>
      <c r="B12167" t="s">
        <v>11969</v>
      </c>
      <c r="C12167">
        <v>4017</v>
      </c>
      <c r="D12167" t="str">
        <f>"0129-6264"</f>
        <v>0129-6264</v>
      </c>
      <c r="E12167" t="s">
        <v>8</v>
      </c>
      <c r="F12167" t="s">
        <v>12177</v>
      </c>
      <c r="G12167">
        <v>2</v>
      </c>
    </row>
    <row r="12168" spans="1:7" x14ac:dyDescent="0.25">
      <c r="A12168">
        <v>38</v>
      </c>
      <c r="B12168" t="s">
        <v>11969</v>
      </c>
      <c r="C12168">
        <v>5284</v>
      </c>
      <c r="D12168" t="str">
        <f>"0167-8655"</f>
        <v>0167-8655</v>
      </c>
      <c r="E12168" t="s">
        <v>8</v>
      </c>
      <c r="F12168" t="s">
        <v>12178</v>
      </c>
      <c r="G12168">
        <v>2</v>
      </c>
    </row>
    <row r="12169" spans="1:7" x14ac:dyDescent="0.25">
      <c r="A12169">
        <v>38</v>
      </c>
      <c r="B12169" t="s">
        <v>11969</v>
      </c>
      <c r="C12169">
        <v>11854</v>
      </c>
      <c r="D12169" t="str">
        <f>"0166-5316"</f>
        <v>0166-5316</v>
      </c>
      <c r="E12169" t="s">
        <v>8</v>
      </c>
      <c r="F12169" t="s">
        <v>12179</v>
      </c>
      <c r="G12169">
        <v>2</v>
      </c>
    </row>
    <row r="12170" spans="1:7" x14ac:dyDescent="0.25">
      <c r="A12170">
        <v>38</v>
      </c>
      <c r="B12170" t="s">
        <v>11969</v>
      </c>
      <c r="C12170">
        <v>3135</v>
      </c>
      <c r="D12170" t="str">
        <f>"1574-1192"</f>
        <v>1574-1192</v>
      </c>
      <c r="E12170" t="s">
        <v>8</v>
      </c>
      <c r="F12170" t="s">
        <v>12180</v>
      </c>
      <c r="G12170">
        <v>2</v>
      </c>
    </row>
    <row r="12171" spans="1:7" x14ac:dyDescent="0.25">
      <c r="A12171">
        <v>38</v>
      </c>
      <c r="B12171" t="s">
        <v>11969</v>
      </c>
      <c r="C12171">
        <v>118235</v>
      </c>
      <c r="D12171" t="str">
        <f>"1539-7521"</f>
        <v>1539-7521</v>
      </c>
      <c r="E12171" t="s">
        <v>8</v>
      </c>
      <c r="F12171" t="s">
        <v>12181</v>
      </c>
      <c r="G12171">
        <v>2</v>
      </c>
    </row>
    <row r="12172" spans="1:7" x14ac:dyDescent="0.25">
      <c r="A12172">
        <v>38</v>
      </c>
      <c r="B12172" t="s">
        <v>11969</v>
      </c>
      <c r="C12172">
        <v>7513</v>
      </c>
      <c r="D12172" t="str">
        <f>"1081-6011"</f>
        <v>1081-6011</v>
      </c>
      <c r="E12172" t="s">
        <v>8</v>
      </c>
      <c r="F12172" t="s">
        <v>12182</v>
      </c>
      <c r="G12172">
        <v>2</v>
      </c>
    </row>
    <row r="12173" spans="1:7" x14ac:dyDescent="0.25">
      <c r="A12173">
        <v>38</v>
      </c>
      <c r="B12173" t="s">
        <v>11969</v>
      </c>
      <c r="C12173">
        <v>156435</v>
      </c>
      <c r="D12173" t="str">
        <f>"2150-8097"</f>
        <v>2150-8097</v>
      </c>
      <c r="E12173" t="s">
        <v>8</v>
      </c>
      <c r="F12173" t="s">
        <v>12183</v>
      </c>
      <c r="G12173">
        <v>2</v>
      </c>
    </row>
    <row r="12174" spans="1:7" x14ac:dyDescent="0.25">
      <c r="A12174">
        <v>38</v>
      </c>
      <c r="B12174" t="s">
        <v>11969</v>
      </c>
      <c r="C12174">
        <v>1004</v>
      </c>
      <c r="D12174" t="str">
        <f>"0922-6443"</f>
        <v>0922-6443</v>
      </c>
      <c r="E12174" t="s">
        <v>8</v>
      </c>
      <c r="F12174" t="s">
        <v>12184</v>
      </c>
      <c r="G12174">
        <v>2</v>
      </c>
    </row>
    <row r="12175" spans="1:7" x14ac:dyDescent="0.25">
      <c r="A12175">
        <v>38</v>
      </c>
      <c r="B12175" t="s">
        <v>11969</v>
      </c>
      <c r="C12175">
        <v>5000202</v>
      </c>
      <c r="E12175" t="s">
        <v>2100</v>
      </c>
      <c r="F12175" t="s">
        <v>12185</v>
      </c>
      <c r="G12175">
        <v>2</v>
      </c>
    </row>
    <row r="12176" spans="1:7" x14ac:dyDescent="0.25">
      <c r="A12176">
        <v>38</v>
      </c>
      <c r="B12176" t="s">
        <v>11969</v>
      </c>
      <c r="C12176">
        <v>8047</v>
      </c>
      <c r="D12176" t="str">
        <f>"0167-6423"</f>
        <v>0167-6423</v>
      </c>
      <c r="E12176" t="s">
        <v>8</v>
      </c>
      <c r="F12176" t="s">
        <v>12186</v>
      </c>
      <c r="G12176">
        <v>2</v>
      </c>
    </row>
    <row r="12177" spans="1:7" x14ac:dyDescent="0.25">
      <c r="A12177">
        <v>38</v>
      </c>
      <c r="B12177" t="s">
        <v>11969</v>
      </c>
      <c r="C12177">
        <v>7705694</v>
      </c>
      <c r="D12177" t="str">
        <f>"1570-0844"</f>
        <v>1570-0844</v>
      </c>
      <c r="E12177" t="s">
        <v>8</v>
      </c>
      <c r="F12177" t="s">
        <v>12187</v>
      </c>
      <c r="G12177">
        <v>2</v>
      </c>
    </row>
    <row r="12178" spans="1:7" x14ac:dyDescent="0.25">
      <c r="A12178">
        <v>38</v>
      </c>
      <c r="B12178" t="s">
        <v>11969</v>
      </c>
      <c r="C12178">
        <v>5000576</v>
      </c>
      <c r="E12178" t="s">
        <v>2100</v>
      </c>
      <c r="F12178" t="s">
        <v>12188</v>
      </c>
      <c r="G12178">
        <v>2</v>
      </c>
    </row>
    <row r="12179" spans="1:7" x14ac:dyDescent="0.25">
      <c r="A12179">
        <v>38</v>
      </c>
      <c r="B12179" t="s">
        <v>11969</v>
      </c>
      <c r="C12179">
        <v>11414</v>
      </c>
      <c r="D12179" t="str">
        <f>"0097-5397"</f>
        <v>0097-5397</v>
      </c>
      <c r="E12179" t="s">
        <v>8</v>
      </c>
      <c r="F12179" t="s">
        <v>12189</v>
      </c>
      <c r="G12179">
        <v>2</v>
      </c>
    </row>
    <row r="12180" spans="1:7" x14ac:dyDescent="0.25">
      <c r="A12180">
        <v>38</v>
      </c>
      <c r="B12180" t="s">
        <v>11969</v>
      </c>
      <c r="C12180">
        <v>6955</v>
      </c>
      <c r="E12180" t="s">
        <v>8</v>
      </c>
      <c r="F12180" t="s">
        <v>12190</v>
      </c>
      <c r="G12180">
        <v>2</v>
      </c>
    </row>
    <row r="12181" spans="1:7" x14ac:dyDescent="0.25">
      <c r="A12181">
        <v>38</v>
      </c>
      <c r="B12181" t="s">
        <v>11969</v>
      </c>
      <c r="C12181">
        <v>16266</v>
      </c>
      <c r="D12181" t="str">
        <f>"0036-1429"</f>
        <v>0036-1429</v>
      </c>
      <c r="E12181" t="s">
        <v>8</v>
      </c>
      <c r="F12181" t="s">
        <v>12191</v>
      </c>
      <c r="G12181">
        <v>2</v>
      </c>
    </row>
    <row r="12182" spans="1:7" x14ac:dyDescent="0.25">
      <c r="A12182">
        <v>38</v>
      </c>
      <c r="B12182" t="s">
        <v>11969</v>
      </c>
      <c r="C12182">
        <v>12051</v>
      </c>
      <c r="D12182" t="str">
        <f>"0163-5808"</f>
        <v>0163-5808</v>
      </c>
      <c r="E12182" t="s">
        <v>8</v>
      </c>
      <c r="F12182" t="s">
        <v>12192</v>
      </c>
      <c r="G12182">
        <v>2</v>
      </c>
    </row>
    <row r="12183" spans="1:7" x14ac:dyDescent="0.25">
      <c r="A12183">
        <v>38</v>
      </c>
      <c r="B12183" t="s">
        <v>11969</v>
      </c>
      <c r="C12183">
        <v>7342</v>
      </c>
      <c r="D12183" t="str">
        <f>"1619-1366"</f>
        <v>1619-1366</v>
      </c>
      <c r="E12183" t="s">
        <v>8</v>
      </c>
      <c r="F12183" t="s">
        <v>12193</v>
      </c>
      <c r="G12183">
        <v>2</v>
      </c>
    </row>
    <row r="12184" spans="1:7" x14ac:dyDescent="0.25">
      <c r="A12184">
        <v>38</v>
      </c>
      <c r="B12184" t="s">
        <v>11969</v>
      </c>
      <c r="C12184">
        <v>9745</v>
      </c>
      <c r="D12184" t="str">
        <f>"0960-0833"</f>
        <v>0960-0833</v>
      </c>
      <c r="E12184" t="s">
        <v>8</v>
      </c>
      <c r="F12184" t="s">
        <v>12194</v>
      </c>
      <c r="G12184">
        <v>2</v>
      </c>
    </row>
    <row r="12185" spans="1:7" x14ac:dyDescent="0.25">
      <c r="A12185">
        <v>38</v>
      </c>
      <c r="B12185" t="s">
        <v>11969</v>
      </c>
      <c r="C12185">
        <v>3206</v>
      </c>
      <c r="D12185" t="str">
        <f>"0038-0644"</f>
        <v>0038-0644</v>
      </c>
      <c r="E12185" t="s">
        <v>8</v>
      </c>
      <c r="F12185" t="s">
        <v>12195</v>
      </c>
      <c r="G12185">
        <v>2</v>
      </c>
    </row>
    <row r="12186" spans="1:7" x14ac:dyDescent="0.25">
      <c r="A12186">
        <v>38</v>
      </c>
      <c r="B12186" t="s">
        <v>11969</v>
      </c>
      <c r="C12186">
        <v>5000234</v>
      </c>
      <c r="E12186" t="s">
        <v>2100</v>
      </c>
      <c r="F12186" t="s">
        <v>12196</v>
      </c>
      <c r="G12186">
        <v>2</v>
      </c>
    </row>
    <row r="12187" spans="1:7" x14ac:dyDescent="0.25">
      <c r="A12187">
        <v>38</v>
      </c>
      <c r="B12187" t="s">
        <v>11969</v>
      </c>
      <c r="C12187">
        <v>5000248</v>
      </c>
      <c r="E12187" t="s">
        <v>2100</v>
      </c>
      <c r="F12187" t="s">
        <v>12197</v>
      </c>
      <c r="G12187">
        <v>2</v>
      </c>
    </row>
    <row r="12188" spans="1:7" x14ac:dyDescent="0.25">
      <c r="A12188">
        <v>38</v>
      </c>
      <c r="B12188" t="s">
        <v>11969</v>
      </c>
      <c r="C12188">
        <v>5000599</v>
      </c>
      <c r="E12188" t="s">
        <v>2100</v>
      </c>
      <c r="F12188" t="s">
        <v>12198</v>
      </c>
      <c r="G12188">
        <v>2</v>
      </c>
    </row>
    <row r="12189" spans="1:7" x14ac:dyDescent="0.25">
      <c r="A12189">
        <v>38</v>
      </c>
      <c r="B12189" t="s">
        <v>11969</v>
      </c>
      <c r="C12189">
        <v>3755</v>
      </c>
      <c r="D12189" t="str">
        <f>"0736-5853"</f>
        <v>0736-5853</v>
      </c>
      <c r="E12189" t="s">
        <v>8</v>
      </c>
      <c r="F12189" t="s">
        <v>12199</v>
      </c>
      <c r="G12189">
        <v>2</v>
      </c>
    </row>
    <row r="12190" spans="1:7" x14ac:dyDescent="0.25">
      <c r="A12190">
        <v>38</v>
      </c>
      <c r="B12190" t="s">
        <v>11969</v>
      </c>
      <c r="C12190">
        <v>9897</v>
      </c>
      <c r="D12190" t="str">
        <f>"1079-8986"</f>
        <v>1079-8986</v>
      </c>
      <c r="E12190" t="s">
        <v>8</v>
      </c>
      <c r="F12190" t="s">
        <v>12200</v>
      </c>
      <c r="G12190">
        <v>2</v>
      </c>
    </row>
    <row r="12191" spans="1:7" x14ac:dyDescent="0.25">
      <c r="A12191">
        <v>38</v>
      </c>
      <c r="B12191" t="s">
        <v>11969</v>
      </c>
      <c r="C12191">
        <v>14450</v>
      </c>
      <c r="D12191" t="str">
        <f>"0010-4620"</f>
        <v>0010-4620</v>
      </c>
      <c r="E12191" t="s">
        <v>8</v>
      </c>
      <c r="F12191" t="s">
        <v>12201</v>
      </c>
      <c r="G12191">
        <v>2</v>
      </c>
    </row>
    <row r="12192" spans="1:7" x14ac:dyDescent="0.25">
      <c r="A12192">
        <v>38</v>
      </c>
      <c r="B12192" t="s">
        <v>11969</v>
      </c>
      <c r="C12192">
        <v>1891</v>
      </c>
      <c r="D12192" t="str">
        <f>"1076-9757"</f>
        <v>1076-9757</v>
      </c>
      <c r="E12192" t="s">
        <v>8</v>
      </c>
      <c r="F12192" t="s">
        <v>12202</v>
      </c>
      <c r="G12192">
        <v>2</v>
      </c>
    </row>
    <row r="12193" spans="1:7" x14ac:dyDescent="0.25">
      <c r="A12193">
        <v>38</v>
      </c>
      <c r="B12193" t="s">
        <v>11969</v>
      </c>
      <c r="C12193">
        <v>969</v>
      </c>
      <c r="D12193" t="str">
        <f>"1066-8888"</f>
        <v>1066-8888</v>
      </c>
      <c r="E12193" t="s">
        <v>8</v>
      </c>
      <c r="F12193" t="s">
        <v>12203</v>
      </c>
      <c r="G12193">
        <v>2</v>
      </c>
    </row>
    <row r="12194" spans="1:7" x14ac:dyDescent="0.25">
      <c r="A12194">
        <v>38</v>
      </c>
      <c r="B12194" t="s">
        <v>11969</v>
      </c>
      <c r="C12194">
        <v>5000646</v>
      </c>
      <c r="E12194" t="s">
        <v>2100</v>
      </c>
      <c r="F12194" t="s">
        <v>12204</v>
      </c>
      <c r="G12194">
        <v>2</v>
      </c>
    </row>
    <row r="12195" spans="1:7" x14ac:dyDescent="0.25">
      <c r="A12195">
        <v>38</v>
      </c>
      <c r="B12195" t="s">
        <v>11969</v>
      </c>
      <c r="C12195">
        <v>2022</v>
      </c>
      <c r="D12195" t="str">
        <f>"0304-3975"</f>
        <v>0304-3975</v>
      </c>
      <c r="E12195" t="s">
        <v>8</v>
      </c>
      <c r="F12195" t="s">
        <v>12205</v>
      </c>
      <c r="G12195">
        <v>2</v>
      </c>
    </row>
    <row r="12196" spans="1:7" x14ac:dyDescent="0.25">
      <c r="A12196">
        <v>38</v>
      </c>
      <c r="B12196" t="s">
        <v>11969</v>
      </c>
      <c r="C12196">
        <v>3330</v>
      </c>
      <c r="D12196" t="str">
        <f>"1471-0684"</f>
        <v>1471-0684</v>
      </c>
      <c r="E12196" t="s">
        <v>8</v>
      </c>
      <c r="F12196" t="s">
        <v>12206</v>
      </c>
      <c r="G12196">
        <v>2</v>
      </c>
    </row>
    <row r="12197" spans="1:7" x14ac:dyDescent="0.25">
      <c r="A12197">
        <v>38</v>
      </c>
      <c r="B12197" t="s">
        <v>11969</v>
      </c>
      <c r="C12197">
        <v>13613</v>
      </c>
      <c r="D12197" t="str">
        <f>"1431-7613"</f>
        <v>1431-7613</v>
      </c>
      <c r="E12197" t="s">
        <v>8</v>
      </c>
      <c r="F12197" t="s">
        <v>12207</v>
      </c>
      <c r="G12197">
        <v>2</v>
      </c>
    </row>
    <row r="12198" spans="1:7" x14ac:dyDescent="0.25">
      <c r="A12198">
        <v>38</v>
      </c>
      <c r="B12198" t="s">
        <v>11969</v>
      </c>
      <c r="C12198">
        <v>3416</v>
      </c>
      <c r="D12198" t="str">
        <f>"1432-4350"</f>
        <v>1432-4350</v>
      </c>
      <c r="E12198" t="s">
        <v>8</v>
      </c>
      <c r="F12198" t="s">
        <v>12208</v>
      </c>
      <c r="G12198">
        <v>2</v>
      </c>
    </row>
    <row r="12199" spans="1:7" x14ac:dyDescent="0.25">
      <c r="A12199">
        <v>38</v>
      </c>
      <c r="B12199" t="s">
        <v>11969</v>
      </c>
      <c r="C12199">
        <v>5020070</v>
      </c>
      <c r="E12199" t="s">
        <v>2100</v>
      </c>
      <c r="F12199" t="s">
        <v>12209</v>
      </c>
      <c r="G12199">
        <v>2</v>
      </c>
    </row>
    <row r="12200" spans="1:7" x14ac:dyDescent="0.25">
      <c r="A12200">
        <v>38</v>
      </c>
      <c r="B12200" t="s">
        <v>11969</v>
      </c>
      <c r="C12200">
        <v>1978</v>
      </c>
      <c r="D12200" t="str">
        <f>"1361-1682"</f>
        <v>1361-1682</v>
      </c>
      <c r="E12200" t="s">
        <v>8</v>
      </c>
      <c r="F12200" t="s">
        <v>12210</v>
      </c>
      <c r="G12200">
        <v>2</v>
      </c>
    </row>
    <row r="12201" spans="1:7" x14ac:dyDescent="0.25">
      <c r="A12201">
        <v>38</v>
      </c>
      <c r="B12201" t="s">
        <v>11969</v>
      </c>
      <c r="C12201">
        <v>5000614</v>
      </c>
      <c r="E12201" t="s">
        <v>2100</v>
      </c>
      <c r="F12201" t="s">
        <v>12211</v>
      </c>
      <c r="G12201">
        <v>2</v>
      </c>
    </row>
    <row r="12202" spans="1:7" x14ac:dyDescent="0.25">
      <c r="A12202">
        <v>38</v>
      </c>
      <c r="B12202" t="s">
        <v>11969</v>
      </c>
      <c r="C12202">
        <v>5000617</v>
      </c>
      <c r="E12202" t="s">
        <v>2100</v>
      </c>
      <c r="F12202" t="s">
        <v>12212</v>
      </c>
      <c r="G12202">
        <v>2</v>
      </c>
    </row>
    <row r="12203" spans="1:7" x14ac:dyDescent="0.25">
      <c r="A12203">
        <v>38</v>
      </c>
      <c r="B12203" t="s">
        <v>11969</v>
      </c>
      <c r="C12203">
        <v>5000616</v>
      </c>
      <c r="E12203" t="s">
        <v>2100</v>
      </c>
      <c r="F12203" t="s">
        <v>12213</v>
      </c>
      <c r="G12203">
        <v>2</v>
      </c>
    </row>
    <row r="12204" spans="1:7" x14ac:dyDescent="0.25">
      <c r="A12204">
        <v>38</v>
      </c>
      <c r="B12204" t="s">
        <v>11969</v>
      </c>
      <c r="C12204">
        <v>5000574</v>
      </c>
      <c r="E12204" t="s">
        <v>2100</v>
      </c>
      <c r="F12204" t="s">
        <v>12214</v>
      </c>
      <c r="G12204">
        <v>2</v>
      </c>
    </row>
    <row r="12205" spans="1:7" x14ac:dyDescent="0.25">
      <c r="A12205">
        <v>38</v>
      </c>
      <c r="B12205" t="s">
        <v>11969</v>
      </c>
      <c r="C12205">
        <v>5000639</v>
      </c>
      <c r="E12205" t="s">
        <v>2100</v>
      </c>
      <c r="F12205" t="s">
        <v>12215</v>
      </c>
      <c r="G12205">
        <v>2</v>
      </c>
    </row>
    <row r="12206" spans="1:7" x14ac:dyDescent="0.25">
      <c r="A12206">
        <v>38</v>
      </c>
      <c r="B12206" t="s">
        <v>11969</v>
      </c>
      <c r="C12206">
        <v>8782538</v>
      </c>
      <c r="E12206" t="s">
        <v>2100</v>
      </c>
      <c r="F12206" t="s">
        <v>12216</v>
      </c>
      <c r="G12206">
        <v>1</v>
      </c>
    </row>
    <row r="12207" spans="1:7" x14ac:dyDescent="0.25">
      <c r="A12207">
        <v>38</v>
      </c>
      <c r="B12207" t="s">
        <v>11969</v>
      </c>
      <c r="C12207">
        <v>8782830</v>
      </c>
      <c r="E12207" t="s">
        <v>2100</v>
      </c>
      <c r="F12207" t="s">
        <v>12217</v>
      </c>
      <c r="G12207">
        <v>1</v>
      </c>
    </row>
    <row r="12208" spans="1:7" x14ac:dyDescent="0.25">
      <c r="A12208">
        <v>38</v>
      </c>
      <c r="B12208" t="s">
        <v>11969</v>
      </c>
      <c r="C12208">
        <v>21736</v>
      </c>
      <c r="D12208" t="str">
        <f>"1932-2232"</f>
        <v>1932-2232</v>
      </c>
      <c r="E12208" t="s">
        <v>8</v>
      </c>
      <c r="F12208" t="s">
        <v>12218</v>
      </c>
      <c r="G12208">
        <v>1</v>
      </c>
    </row>
    <row r="12209" spans="1:7" x14ac:dyDescent="0.25">
      <c r="A12209">
        <v>38</v>
      </c>
      <c r="B12209" t="s">
        <v>11969</v>
      </c>
      <c r="C12209">
        <v>8783375</v>
      </c>
      <c r="E12209" t="s">
        <v>2100</v>
      </c>
      <c r="F12209" t="s">
        <v>12219</v>
      </c>
      <c r="G12209">
        <v>1</v>
      </c>
    </row>
    <row r="12210" spans="1:7" x14ac:dyDescent="0.25">
      <c r="A12210">
        <v>38</v>
      </c>
      <c r="B12210" t="s">
        <v>11969</v>
      </c>
      <c r="C12210">
        <v>5010611</v>
      </c>
      <c r="E12210" t="s">
        <v>2100</v>
      </c>
      <c r="F12210" t="s">
        <v>12220</v>
      </c>
      <c r="G12210">
        <v>1</v>
      </c>
    </row>
    <row r="12211" spans="1:7" x14ac:dyDescent="0.25">
      <c r="A12211">
        <v>38</v>
      </c>
      <c r="B12211" t="s">
        <v>11969</v>
      </c>
      <c r="C12211">
        <v>5010087</v>
      </c>
      <c r="E12211" t="s">
        <v>2100</v>
      </c>
      <c r="F12211" t="s">
        <v>12221</v>
      </c>
      <c r="G12211">
        <v>1</v>
      </c>
    </row>
    <row r="12212" spans="1:7" x14ac:dyDescent="0.25">
      <c r="A12212">
        <v>38</v>
      </c>
      <c r="B12212" t="s">
        <v>11969</v>
      </c>
      <c r="C12212">
        <v>5010285</v>
      </c>
      <c r="E12212" t="s">
        <v>2100</v>
      </c>
      <c r="F12212" t="s">
        <v>12222</v>
      </c>
      <c r="G12212">
        <v>1</v>
      </c>
    </row>
    <row r="12213" spans="1:7" x14ac:dyDescent="0.25">
      <c r="A12213">
        <v>38</v>
      </c>
      <c r="B12213" t="s">
        <v>11969</v>
      </c>
      <c r="C12213">
        <v>35689</v>
      </c>
      <c r="D12213" t="str">
        <f>"2153-2184"</f>
        <v>2153-2184</v>
      </c>
      <c r="E12213" t="s">
        <v>8</v>
      </c>
      <c r="F12213" t="s">
        <v>12223</v>
      </c>
      <c r="G12213">
        <v>1</v>
      </c>
    </row>
    <row r="12214" spans="1:7" x14ac:dyDescent="0.25">
      <c r="A12214">
        <v>38</v>
      </c>
      <c r="B12214" t="s">
        <v>11969</v>
      </c>
      <c r="C12214">
        <v>5000066</v>
      </c>
      <c r="E12214" t="s">
        <v>2100</v>
      </c>
      <c r="F12214" t="s">
        <v>12224</v>
      </c>
      <c r="G12214">
        <v>1</v>
      </c>
    </row>
    <row r="12215" spans="1:7" x14ac:dyDescent="0.25">
      <c r="A12215">
        <v>38</v>
      </c>
      <c r="B12215" t="s">
        <v>11969</v>
      </c>
      <c r="C12215">
        <v>5010086</v>
      </c>
      <c r="E12215" t="s">
        <v>2100</v>
      </c>
      <c r="F12215" t="s">
        <v>12225</v>
      </c>
      <c r="G12215">
        <v>1</v>
      </c>
    </row>
    <row r="12216" spans="1:7" x14ac:dyDescent="0.25">
      <c r="A12216">
        <v>38</v>
      </c>
      <c r="B12216" t="s">
        <v>11969</v>
      </c>
      <c r="C12216">
        <v>5000181</v>
      </c>
      <c r="E12216" t="s">
        <v>2100</v>
      </c>
      <c r="F12216" t="s">
        <v>12226</v>
      </c>
      <c r="G12216">
        <v>1</v>
      </c>
    </row>
    <row r="12217" spans="1:7" x14ac:dyDescent="0.25">
      <c r="A12217">
        <v>38</v>
      </c>
      <c r="B12217" t="s">
        <v>11969</v>
      </c>
      <c r="C12217">
        <v>5010419</v>
      </c>
      <c r="E12217" t="s">
        <v>2100</v>
      </c>
      <c r="F12217" t="s">
        <v>12227</v>
      </c>
      <c r="G12217">
        <v>1</v>
      </c>
    </row>
    <row r="12218" spans="1:7" x14ac:dyDescent="0.25">
      <c r="A12218">
        <v>38</v>
      </c>
      <c r="B12218" t="s">
        <v>11969</v>
      </c>
      <c r="C12218">
        <v>5000580</v>
      </c>
      <c r="E12218" t="s">
        <v>2100</v>
      </c>
      <c r="F12218" t="s">
        <v>12228</v>
      </c>
      <c r="G12218">
        <v>1</v>
      </c>
    </row>
    <row r="12219" spans="1:7" x14ac:dyDescent="0.25">
      <c r="A12219">
        <v>38</v>
      </c>
      <c r="B12219" t="s">
        <v>11969</v>
      </c>
      <c r="C12219">
        <v>8782828</v>
      </c>
      <c r="E12219" t="s">
        <v>2100</v>
      </c>
      <c r="F12219" t="s">
        <v>12229</v>
      </c>
      <c r="G12219">
        <v>1</v>
      </c>
    </row>
    <row r="12220" spans="1:7" x14ac:dyDescent="0.25">
      <c r="A12220">
        <v>38</v>
      </c>
      <c r="B12220" t="s">
        <v>11969</v>
      </c>
      <c r="C12220">
        <v>8782000</v>
      </c>
      <c r="E12220" t="s">
        <v>2100</v>
      </c>
      <c r="F12220" t="s">
        <v>12230</v>
      </c>
      <c r="G12220">
        <v>1</v>
      </c>
    </row>
    <row r="12221" spans="1:7" x14ac:dyDescent="0.25">
      <c r="A12221">
        <v>38</v>
      </c>
      <c r="B12221" t="s">
        <v>11969</v>
      </c>
      <c r="C12221">
        <v>5010255</v>
      </c>
      <c r="E12221" t="s">
        <v>2100</v>
      </c>
      <c r="F12221" t="s">
        <v>12231</v>
      </c>
      <c r="G12221">
        <v>1</v>
      </c>
    </row>
    <row r="12222" spans="1:7" x14ac:dyDescent="0.25">
      <c r="A12222">
        <v>38</v>
      </c>
      <c r="B12222" t="s">
        <v>11969</v>
      </c>
      <c r="C12222">
        <v>5010185</v>
      </c>
      <c r="E12222" t="s">
        <v>2100</v>
      </c>
      <c r="F12222" t="s">
        <v>12232</v>
      </c>
      <c r="G12222">
        <v>1</v>
      </c>
    </row>
    <row r="12223" spans="1:7" x14ac:dyDescent="0.25">
      <c r="A12223">
        <v>38</v>
      </c>
      <c r="B12223" t="s">
        <v>11969</v>
      </c>
      <c r="C12223">
        <v>5000293</v>
      </c>
      <c r="E12223" t="s">
        <v>2100</v>
      </c>
      <c r="F12223" t="s">
        <v>12233</v>
      </c>
      <c r="G12223">
        <v>1</v>
      </c>
    </row>
    <row r="12224" spans="1:7" x14ac:dyDescent="0.25">
      <c r="A12224">
        <v>38</v>
      </c>
      <c r="B12224" t="s">
        <v>11969</v>
      </c>
      <c r="C12224">
        <v>5000291</v>
      </c>
      <c r="E12224" t="s">
        <v>2100</v>
      </c>
      <c r="F12224" t="s">
        <v>12234</v>
      </c>
      <c r="G12224">
        <v>1</v>
      </c>
    </row>
    <row r="12225" spans="1:7" x14ac:dyDescent="0.25">
      <c r="A12225">
        <v>38</v>
      </c>
      <c r="B12225" t="s">
        <v>11969</v>
      </c>
      <c r="C12225">
        <v>5000588</v>
      </c>
      <c r="E12225" t="s">
        <v>2100</v>
      </c>
      <c r="F12225" t="s">
        <v>12235</v>
      </c>
      <c r="G12225">
        <v>1</v>
      </c>
    </row>
    <row r="12226" spans="1:7" x14ac:dyDescent="0.25">
      <c r="A12226">
        <v>38</v>
      </c>
      <c r="B12226" t="s">
        <v>11969</v>
      </c>
      <c r="C12226">
        <v>5010231</v>
      </c>
      <c r="E12226" t="s">
        <v>2100</v>
      </c>
      <c r="F12226" t="s">
        <v>12236</v>
      </c>
      <c r="G12226">
        <v>1</v>
      </c>
    </row>
    <row r="12227" spans="1:7" x14ac:dyDescent="0.25">
      <c r="A12227">
        <v>38</v>
      </c>
      <c r="B12227" t="s">
        <v>11969</v>
      </c>
      <c r="C12227">
        <v>5010423</v>
      </c>
      <c r="E12227" t="s">
        <v>2100</v>
      </c>
      <c r="F12227" t="s">
        <v>12237</v>
      </c>
      <c r="G12227">
        <v>1</v>
      </c>
    </row>
    <row r="12228" spans="1:7" x14ac:dyDescent="0.25">
      <c r="A12228">
        <v>38</v>
      </c>
      <c r="B12228" t="s">
        <v>11969</v>
      </c>
      <c r="C12228">
        <v>5010856</v>
      </c>
      <c r="E12228" t="s">
        <v>2100</v>
      </c>
      <c r="F12228" t="s">
        <v>12238</v>
      </c>
      <c r="G12228">
        <v>1</v>
      </c>
    </row>
    <row r="12229" spans="1:7" x14ac:dyDescent="0.25">
      <c r="A12229">
        <v>38</v>
      </c>
      <c r="B12229" t="s">
        <v>11969</v>
      </c>
      <c r="C12229">
        <v>5010499</v>
      </c>
      <c r="E12229" t="s">
        <v>2100</v>
      </c>
      <c r="F12229" t="s">
        <v>12239</v>
      </c>
      <c r="G12229">
        <v>1</v>
      </c>
    </row>
    <row r="12230" spans="1:7" x14ac:dyDescent="0.25">
      <c r="A12230">
        <v>38</v>
      </c>
      <c r="B12230" t="s">
        <v>11969</v>
      </c>
      <c r="C12230">
        <v>5010424</v>
      </c>
      <c r="E12230" t="s">
        <v>2100</v>
      </c>
      <c r="F12230" t="s">
        <v>12240</v>
      </c>
      <c r="G12230">
        <v>1</v>
      </c>
    </row>
    <row r="12231" spans="1:7" x14ac:dyDescent="0.25">
      <c r="A12231">
        <v>38</v>
      </c>
      <c r="B12231" t="s">
        <v>11969</v>
      </c>
      <c r="C12231">
        <v>5000171</v>
      </c>
      <c r="E12231" t="s">
        <v>2100</v>
      </c>
      <c r="F12231" t="s">
        <v>12241</v>
      </c>
      <c r="G12231">
        <v>1</v>
      </c>
    </row>
    <row r="12232" spans="1:7" x14ac:dyDescent="0.25">
      <c r="A12232">
        <v>38</v>
      </c>
      <c r="B12232" t="s">
        <v>11969</v>
      </c>
      <c r="C12232">
        <v>5000281</v>
      </c>
      <c r="E12232" t="s">
        <v>2100</v>
      </c>
      <c r="F12232" t="s">
        <v>12242</v>
      </c>
      <c r="G12232">
        <v>1</v>
      </c>
    </row>
    <row r="12233" spans="1:7" x14ac:dyDescent="0.25">
      <c r="A12233">
        <v>38</v>
      </c>
      <c r="B12233" t="s">
        <v>11969</v>
      </c>
      <c r="C12233">
        <v>5010208</v>
      </c>
      <c r="E12233" t="s">
        <v>2100</v>
      </c>
      <c r="F12233" t="s">
        <v>12243</v>
      </c>
      <c r="G12233">
        <v>1</v>
      </c>
    </row>
    <row r="12234" spans="1:7" x14ac:dyDescent="0.25">
      <c r="A12234">
        <v>38</v>
      </c>
      <c r="B12234" t="s">
        <v>11969</v>
      </c>
      <c r="C12234">
        <v>13461</v>
      </c>
      <c r="D12234" t="str">
        <f>"0095-2737"</f>
        <v>0095-2737</v>
      </c>
      <c r="E12234" t="s">
        <v>8</v>
      </c>
      <c r="F12234" t="s">
        <v>12244</v>
      </c>
      <c r="G12234">
        <v>1</v>
      </c>
    </row>
    <row r="12235" spans="1:7" x14ac:dyDescent="0.25">
      <c r="A12235">
        <v>38</v>
      </c>
      <c r="B12235" t="s">
        <v>11969</v>
      </c>
      <c r="C12235">
        <v>5000098</v>
      </c>
      <c r="E12235" t="s">
        <v>2100</v>
      </c>
      <c r="F12235" t="s">
        <v>12245</v>
      </c>
      <c r="G12235">
        <v>1</v>
      </c>
    </row>
    <row r="12236" spans="1:7" x14ac:dyDescent="0.25">
      <c r="A12236">
        <v>38</v>
      </c>
      <c r="B12236" t="s">
        <v>11969</v>
      </c>
      <c r="C12236">
        <v>5010641</v>
      </c>
      <c r="E12236" t="s">
        <v>2100</v>
      </c>
      <c r="F12236" t="s">
        <v>12246</v>
      </c>
      <c r="G12236">
        <v>1</v>
      </c>
    </row>
    <row r="12237" spans="1:7" x14ac:dyDescent="0.25">
      <c r="A12237">
        <v>38</v>
      </c>
      <c r="B12237" t="s">
        <v>11969</v>
      </c>
      <c r="C12237">
        <v>5010495</v>
      </c>
      <c r="E12237" t="s">
        <v>2100</v>
      </c>
      <c r="F12237" t="s">
        <v>12247</v>
      </c>
      <c r="G12237">
        <v>1</v>
      </c>
    </row>
    <row r="12238" spans="1:7" x14ac:dyDescent="0.25">
      <c r="A12238">
        <v>38</v>
      </c>
      <c r="B12238" t="s">
        <v>11969</v>
      </c>
      <c r="C12238">
        <v>5010175</v>
      </c>
      <c r="E12238" t="s">
        <v>2100</v>
      </c>
      <c r="F12238" t="s">
        <v>12248</v>
      </c>
      <c r="G12238">
        <v>1</v>
      </c>
    </row>
    <row r="12239" spans="1:7" x14ac:dyDescent="0.25">
      <c r="A12239">
        <v>38</v>
      </c>
      <c r="B12239" t="s">
        <v>11969</v>
      </c>
      <c r="C12239">
        <v>5010510</v>
      </c>
      <c r="E12239" t="s">
        <v>2100</v>
      </c>
      <c r="F12239" t="s">
        <v>12249</v>
      </c>
      <c r="G12239">
        <v>1</v>
      </c>
    </row>
    <row r="12240" spans="1:7" x14ac:dyDescent="0.25">
      <c r="A12240">
        <v>38</v>
      </c>
      <c r="B12240" t="s">
        <v>11969</v>
      </c>
      <c r="C12240">
        <v>5010805</v>
      </c>
      <c r="E12240" t="s">
        <v>2100</v>
      </c>
      <c r="F12240" t="s">
        <v>12250</v>
      </c>
      <c r="G12240">
        <v>1</v>
      </c>
    </row>
    <row r="12241" spans="1:7" x14ac:dyDescent="0.25">
      <c r="A12241">
        <v>38</v>
      </c>
      <c r="B12241" t="s">
        <v>11969</v>
      </c>
      <c r="C12241">
        <v>5010737</v>
      </c>
      <c r="E12241" t="s">
        <v>2100</v>
      </c>
      <c r="F12241" t="s">
        <v>12251</v>
      </c>
      <c r="G12241">
        <v>1</v>
      </c>
    </row>
    <row r="12242" spans="1:7" x14ac:dyDescent="0.25">
      <c r="A12242">
        <v>38</v>
      </c>
      <c r="B12242" t="s">
        <v>11969</v>
      </c>
      <c r="C12242">
        <v>5010144</v>
      </c>
      <c r="E12242" t="s">
        <v>2100</v>
      </c>
      <c r="F12242" t="s">
        <v>12252</v>
      </c>
      <c r="G12242">
        <v>1</v>
      </c>
    </row>
    <row r="12243" spans="1:7" x14ac:dyDescent="0.25">
      <c r="A12243">
        <v>38</v>
      </c>
      <c r="B12243" t="s">
        <v>11969</v>
      </c>
      <c r="C12243">
        <v>5010091</v>
      </c>
      <c r="E12243" t="s">
        <v>2100</v>
      </c>
      <c r="F12243" t="s">
        <v>12253</v>
      </c>
      <c r="G12243">
        <v>1</v>
      </c>
    </row>
    <row r="12244" spans="1:7" x14ac:dyDescent="0.25">
      <c r="A12244">
        <v>38</v>
      </c>
      <c r="B12244" t="s">
        <v>11969</v>
      </c>
      <c r="C12244">
        <v>5010823</v>
      </c>
      <c r="E12244" t="s">
        <v>2100</v>
      </c>
      <c r="F12244" t="s">
        <v>12254</v>
      </c>
      <c r="G12244">
        <v>1</v>
      </c>
    </row>
    <row r="12245" spans="1:7" x14ac:dyDescent="0.25">
      <c r="A12245">
        <v>38</v>
      </c>
      <c r="B12245" t="s">
        <v>11969</v>
      </c>
      <c r="C12245">
        <v>5010574</v>
      </c>
      <c r="E12245" t="s">
        <v>2100</v>
      </c>
      <c r="F12245" t="s">
        <v>12255</v>
      </c>
      <c r="G12245">
        <v>1</v>
      </c>
    </row>
    <row r="12246" spans="1:7" x14ac:dyDescent="0.25">
      <c r="A12246">
        <v>38</v>
      </c>
      <c r="B12246" t="s">
        <v>11969</v>
      </c>
      <c r="C12246">
        <v>8783372</v>
      </c>
      <c r="E12246" t="s">
        <v>2100</v>
      </c>
      <c r="F12246" t="s">
        <v>12256</v>
      </c>
      <c r="G12246">
        <v>1</v>
      </c>
    </row>
    <row r="12247" spans="1:7" x14ac:dyDescent="0.25">
      <c r="A12247">
        <v>38</v>
      </c>
      <c r="B12247" t="s">
        <v>11969</v>
      </c>
      <c r="C12247">
        <v>8783146</v>
      </c>
      <c r="E12247" t="s">
        <v>2100</v>
      </c>
      <c r="F12247" t="s">
        <v>12257</v>
      </c>
      <c r="G12247">
        <v>1</v>
      </c>
    </row>
    <row r="12248" spans="1:7" x14ac:dyDescent="0.25">
      <c r="A12248">
        <v>38</v>
      </c>
      <c r="B12248" t="s">
        <v>11969</v>
      </c>
      <c r="C12248">
        <v>82538</v>
      </c>
      <c r="D12248" t="str">
        <f>"1523-2867"</f>
        <v>1523-2867</v>
      </c>
      <c r="E12248" t="s">
        <v>8</v>
      </c>
      <c r="F12248" t="s">
        <v>12258</v>
      </c>
      <c r="G12248">
        <v>1</v>
      </c>
    </row>
    <row r="12249" spans="1:7" x14ac:dyDescent="0.25">
      <c r="A12249">
        <v>38</v>
      </c>
      <c r="B12249" t="s">
        <v>11969</v>
      </c>
      <c r="C12249">
        <v>5000218</v>
      </c>
      <c r="E12249" t="s">
        <v>2100</v>
      </c>
      <c r="F12249" t="s">
        <v>12259</v>
      </c>
      <c r="G12249">
        <v>1</v>
      </c>
    </row>
    <row r="12250" spans="1:7" x14ac:dyDescent="0.25">
      <c r="A12250">
        <v>38</v>
      </c>
      <c r="B12250" t="s">
        <v>11969</v>
      </c>
      <c r="C12250">
        <v>5010393</v>
      </c>
      <c r="E12250" t="s">
        <v>2100</v>
      </c>
      <c r="F12250" t="s">
        <v>12260</v>
      </c>
      <c r="G12250">
        <v>1</v>
      </c>
    </row>
    <row r="12251" spans="1:7" x14ac:dyDescent="0.25">
      <c r="A12251">
        <v>38</v>
      </c>
      <c r="B12251" t="s">
        <v>11969</v>
      </c>
      <c r="C12251">
        <v>5000550</v>
      </c>
      <c r="E12251" t="s">
        <v>2100</v>
      </c>
      <c r="F12251" t="s">
        <v>12261</v>
      </c>
      <c r="G12251">
        <v>1</v>
      </c>
    </row>
    <row r="12252" spans="1:7" x14ac:dyDescent="0.25">
      <c r="A12252">
        <v>38</v>
      </c>
      <c r="B12252" t="s">
        <v>11969</v>
      </c>
      <c r="C12252">
        <v>5010546</v>
      </c>
      <c r="E12252" t="s">
        <v>2100</v>
      </c>
      <c r="F12252" t="s">
        <v>12262</v>
      </c>
      <c r="G12252">
        <v>1</v>
      </c>
    </row>
    <row r="12253" spans="1:7" x14ac:dyDescent="0.25">
      <c r="A12253">
        <v>38</v>
      </c>
      <c r="B12253" t="s">
        <v>11969</v>
      </c>
      <c r="C12253">
        <v>5010479</v>
      </c>
      <c r="E12253" t="s">
        <v>2100</v>
      </c>
      <c r="F12253" t="s">
        <v>12263</v>
      </c>
      <c r="G12253">
        <v>1</v>
      </c>
    </row>
    <row r="12254" spans="1:7" x14ac:dyDescent="0.25">
      <c r="A12254">
        <v>38</v>
      </c>
      <c r="B12254" t="s">
        <v>11969</v>
      </c>
      <c r="C12254">
        <v>5000246</v>
      </c>
      <c r="E12254" t="s">
        <v>2100</v>
      </c>
      <c r="F12254" t="s">
        <v>12264</v>
      </c>
      <c r="G12254">
        <v>1</v>
      </c>
    </row>
    <row r="12255" spans="1:7" x14ac:dyDescent="0.25">
      <c r="A12255">
        <v>38</v>
      </c>
      <c r="B12255" t="s">
        <v>11969</v>
      </c>
      <c r="C12255">
        <v>5000656</v>
      </c>
      <c r="E12255" t="s">
        <v>2100</v>
      </c>
      <c r="F12255" t="s">
        <v>12265</v>
      </c>
      <c r="G12255">
        <v>1</v>
      </c>
    </row>
    <row r="12256" spans="1:7" x14ac:dyDescent="0.25">
      <c r="A12256">
        <v>38</v>
      </c>
      <c r="B12256" t="s">
        <v>11969</v>
      </c>
      <c r="C12256">
        <v>5010558</v>
      </c>
      <c r="E12256" t="s">
        <v>2100</v>
      </c>
      <c r="F12256" t="s">
        <v>12266</v>
      </c>
      <c r="G12256">
        <v>1</v>
      </c>
    </row>
    <row r="12257" spans="1:7" x14ac:dyDescent="0.25">
      <c r="A12257">
        <v>38</v>
      </c>
      <c r="B12257" t="s">
        <v>11969</v>
      </c>
      <c r="C12257">
        <v>5010556</v>
      </c>
      <c r="E12257" t="s">
        <v>2100</v>
      </c>
      <c r="F12257" t="s">
        <v>12267</v>
      </c>
      <c r="G12257">
        <v>1</v>
      </c>
    </row>
    <row r="12258" spans="1:7" x14ac:dyDescent="0.25">
      <c r="A12258">
        <v>38</v>
      </c>
      <c r="B12258" t="s">
        <v>11969</v>
      </c>
      <c r="C12258">
        <v>5010560</v>
      </c>
      <c r="E12258" t="s">
        <v>2100</v>
      </c>
      <c r="F12258" t="s">
        <v>12268</v>
      </c>
      <c r="G12258">
        <v>1</v>
      </c>
    </row>
    <row r="12259" spans="1:7" x14ac:dyDescent="0.25">
      <c r="A12259">
        <v>38</v>
      </c>
      <c r="B12259" t="s">
        <v>11969</v>
      </c>
      <c r="C12259">
        <v>5010602</v>
      </c>
      <c r="E12259" t="s">
        <v>2100</v>
      </c>
      <c r="F12259" t="s">
        <v>12269</v>
      </c>
      <c r="G12259">
        <v>1</v>
      </c>
    </row>
    <row r="12260" spans="1:7" x14ac:dyDescent="0.25">
      <c r="A12260">
        <v>38</v>
      </c>
      <c r="B12260" t="s">
        <v>11969</v>
      </c>
      <c r="C12260">
        <v>5010452</v>
      </c>
      <c r="E12260" t="s">
        <v>2100</v>
      </c>
      <c r="F12260" t="s">
        <v>12270</v>
      </c>
      <c r="G12260">
        <v>1</v>
      </c>
    </row>
    <row r="12261" spans="1:7" x14ac:dyDescent="0.25">
      <c r="A12261">
        <v>38</v>
      </c>
      <c r="B12261" t="s">
        <v>11969</v>
      </c>
      <c r="C12261">
        <v>5010814</v>
      </c>
      <c r="E12261" t="s">
        <v>2100</v>
      </c>
      <c r="F12261" t="s">
        <v>12271</v>
      </c>
      <c r="G12261">
        <v>1</v>
      </c>
    </row>
    <row r="12262" spans="1:7" x14ac:dyDescent="0.25">
      <c r="A12262">
        <v>38</v>
      </c>
      <c r="B12262" t="s">
        <v>11969</v>
      </c>
      <c r="C12262">
        <v>5010821</v>
      </c>
      <c r="E12262" t="s">
        <v>2100</v>
      </c>
      <c r="F12262" t="s">
        <v>12272</v>
      </c>
      <c r="G12262">
        <v>1</v>
      </c>
    </row>
    <row r="12263" spans="1:7" x14ac:dyDescent="0.25">
      <c r="A12263">
        <v>38</v>
      </c>
      <c r="B12263" t="s">
        <v>11969</v>
      </c>
      <c r="C12263">
        <v>5000013</v>
      </c>
      <c r="E12263" t="s">
        <v>2100</v>
      </c>
      <c r="F12263" t="s">
        <v>12273</v>
      </c>
      <c r="G12263">
        <v>1</v>
      </c>
    </row>
    <row r="12264" spans="1:7" x14ac:dyDescent="0.25">
      <c r="A12264">
        <v>38</v>
      </c>
      <c r="B12264" t="s">
        <v>11969</v>
      </c>
      <c r="C12264">
        <v>5000563</v>
      </c>
      <c r="E12264" t="s">
        <v>2100</v>
      </c>
      <c r="F12264" t="s">
        <v>12274</v>
      </c>
      <c r="G12264">
        <v>1</v>
      </c>
    </row>
    <row r="12265" spans="1:7" x14ac:dyDescent="0.25">
      <c r="A12265">
        <v>38</v>
      </c>
      <c r="B12265" t="s">
        <v>11969</v>
      </c>
      <c r="C12265">
        <v>5000292</v>
      </c>
      <c r="E12265" t="s">
        <v>2100</v>
      </c>
      <c r="F12265" t="s">
        <v>12275</v>
      </c>
      <c r="G12265">
        <v>1</v>
      </c>
    </row>
    <row r="12266" spans="1:7" x14ac:dyDescent="0.25">
      <c r="A12266">
        <v>38</v>
      </c>
      <c r="B12266" t="s">
        <v>11969</v>
      </c>
      <c r="C12266">
        <v>5010232</v>
      </c>
      <c r="E12266" t="s">
        <v>2100</v>
      </c>
      <c r="F12266" t="s">
        <v>12276</v>
      </c>
      <c r="G12266">
        <v>1</v>
      </c>
    </row>
    <row r="12267" spans="1:7" x14ac:dyDescent="0.25">
      <c r="A12267">
        <v>38</v>
      </c>
      <c r="B12267" t="s">
        <v>11969</v>
      </c>
      <c r="C12267">
        <v>5000244</v>
      </c>
      <c r="E12267" t="s">
        <v>2100</v>
      </c>
      <c r="F12267" t="s">
        <v>12277</v>
      </c>
      <c r="G12267">
        <v>1</v>
      </c>
    </row>
    <row r="12268" spans="1:7" x14ac:dyDescent="0.25">
      <c r="A12268">
        <v>38</v>
      </c>
      <c r="B12268" t="s">
        <v>11969</v>
      </c>
      <c r="C12268">
        <v>5000103</v>
      </c>
      <c r="E12268" t="s">
        <v>2100</v>
      </c>
      <c r="F12268" t="s">
        <v>12278</v>
      </c>
      <c r="G12268">
        <v>1</v>
      </c>
    </row>
    <row r="12269" spans="1:7" x14ac:dyDescent="0.25">
      <c r="A12269">
        <v>38</v>
      </c>
      <c r="B12269" t="s">
        <v>11969</v>
      </c>
      <c r="C12269">
        <v>5010845</v>
      </c>
      <c r="E12269" t="s">
        <v>2100</v>
      </c>
      <c r="F12269" t="s">
        <v>12279</v>
      </c>
      <c r="G12269">
        <v>1</v>
      </c>
    </row>
    <row r="12270" spans="1:7" x14ac:dyDescent="0.25">
      <c r="A12270">
        <v>38</v>
      </c>
      <c r="B12270" t="s">
        <v>11969</v>
      </c>
      <c r="C12270">
        <v>5000622</v>
      </c>
      <c r="E12270" t="s">
        <v>2100</v>
      </c>
      <c r="F12270" t="s">
        <v>12280</v>
      </c>
      <c r="G12270">
        <v>1</v>
      </c>
    </row>
    <row r="12271" spans="1:7" x14ac:dyDescent="0.25">
      <c r="A12271">
        <v>38</v>
      </c>
      <c r="B12271" t="s">
        <v>11969</v>
      </c>
      <c r="C12271">
        <v>3611</v>
      </c>
      <c r="D12271" t="str">
        <f>"1544-3558"</f>
        <v>1544-3558</v>
      </c>
      <c r="E12271" t="s">
        <v>8</v>
      </c>
      <c r="F12271" t="s">
        <v>12281</v>
      </c>
      <c r="G12271">
        <v>1</v>
      </c>
    </row>
    <row r="12272" spans="1:7" x14ac:dyDescent="0.25">
      <c r="A12272">
        <v>38</v>
      </c>
      <c r="B12272" t="s">
        <v>11969</v>
      </c>
      <c r="C12272">
        <v>18174</v>
      </c>
      <c r="D12272" t="str">
        <f>"1544-3566"</f>
        <v>1544-3566</v>
      </c>
      <c r="E12272" t="s">
        <v>8</v>
      </c>
      <c r="F12272" t="s">
        <v>12282</v>
      </c>
      <c r="G12272">
        <v>1</v>
      </c>
    </row>
    <row r="12273" spans="1:7" x14ac:dyDescent="0.25">
      <c r="A12273">
        <v>38</v>
      </c>
      <c r="B12273" t="s">
        <v>11969</v>
      </c>
      <c r="C12273">
        <v>8782002</v>
      </c>
      <c r="D12273" t="str">
        <f>"2375-4699"</f>
        <v>2375-4699</v>
      </c>
      <c r="E12273" t="s">
        <v>8</v>
      </c>
      <c r="F12273" t="s">
        <v>12283</v>
      </c>
      <c r="G12273">
        <v>1</v>
      </c>
    </row>
    <row r="12274" spans="1:7" x14ac:dyDescent="0.25">
      <c r="A12274">
        <v>38</v>
      </c>
      <c r="B12274" t="s">
        <v>11969</v>
      </c>
      <c r="C12274">
        <v>6001282</v>
      </c>
      <c r="D12274" t="str">
        <f>"1942-3454"</f>
        <v>1942-3454</v>
      </c>
      <c r="E12274" t="s">
        <v>8</v>
      </c>
      <c r="F12274" t="s">
        <v>12284</v>
      </c>
      <c r="G12274">
        <v>1</v>
      </c>
    </row>
    <row r="12275" spans="1:7" x14ac:dyDescent="0.25">
      <c r="A12275">
        <v>38</v>
      </c>
      <c r="B12275" t="s">
        <v>11969</v>
      </c>
      <c r="C12275">
        <v>8782473</v>
      </c>
      <c r="E12275" t="s">
        <v>8</v>
      </c>
      <c r="F12275" t="s">
        <v>12285</v>
      </c>
      <c r="G12275">
        <v>1</v>
      </c>
    </row>
    <row r="12276" spans="1:7" x14ac:dyDescent="0.25">
      <c r="A12276">
        <v>38</v>
      </c>
      <c r="B12276" t="s">
        <v>11969</v>
      </c>
      <c r="C12276">
        <v>7719363</v>
      </c>
      <c r="D12276" t="str">
        <f>"2157-6904"</f>
        <v>2157-6904</v>
      </c>
      <c r="E12276" t="s">
        <v>8</v>
      </c>
      <c r="F12276" t="s">
        <v>12286</v>
      </c>
      <c r="G12276">
        <v>1</v>
      </c>
    </row>
    <row r="12277" spans="1:7" x14ac:dyDescent="0.25">
      <c r="A12277">
        <v>38</v>
      </c>
      <c r="B12277" t="s">
        <v>11969</v>
      </c>
      <c r="C12277">
        <v>9646</v>
      </c>
      <c r="D12277" t="str">
        <f>"1049-3301"</f>
        <v>1049-3301</v>
      </c>
      <c r="E12277" t="s">
        <v>8</v>
      </c>
      <c r="F12277" t="s">
        <v>12287</v>
      </c>
      <c r="G12277">
        <v>1</v>
      </c>
    </row>
    <row r="12278" spans="1:7" x14ac:dyDescent="0.25">
      <c r="A12278">
        <v>38</v>
      </c>
      <c r="B12278" t="s">
        <v>11969</v>
      </c>
      <c r="C12278">
        <v>12480</v>
      </c>
      <c r="D12278" t="str">
        <f>"1551-6857"</f>
        <v>1551-6857</v>
      </c>
      <c r="E12278" t="s">
        <v>8</v>
      </c>
      <c r="F12278" t="s">
        <v>12288</v>
      </c>
      <c r="G12278">
        <v>1</v>
      </c>
    </row>
    <row r="12279" spans="1:7" x14ac:dyDescent="0.25">
      <c r="A12279">
        <v>38</v>
      </c>
      <c r="B12279" t="s">
        <v>11969</v>
      </c>
      <c r="C12279">
        <v>8783378</v>
      </c>
      <c r="D12279" t="str">
        <f>"2471-2566"</f>
        <v>2471-2566</v>
      </c>
      <c r="E12279" t="s">
        <v>8</v>
      </c>
      <c r="F12279" t="s">
        <v>12289</v>
      </c>
      <c r="G12279">
        <v>1</v>
      </c>
    </row>
    <row r="12280" spans="1:7" x14ac:dyDescent="0.25">
      <c r="A12280">
        <v>38</v>
      </c>
      <c r="B12280" t="s">
        <v>11969</v>
      </c>
      <c r="C12280">
        <v>23696</v>
      </c>
      <c r="D12280" t="str">
        <f>"1553-3077"</f>
        <v>1553-3077</v>
      </c>
      <c r="E12280" t="s">
        <v>8</v>
      </c>
      <c r="F12280" t="s">
        <v>12290</v>
      </c>
      <c r="G12280">
        <v>1</v>
      </c>
    </row>
    <row r="12281" spans="1:7" x14ac:dyDescent="0.25">
      <c r="A12281">
        <v>38</v>
      </c>
      <c r="B12281" t="s">
        <v>11969</v>
      </c>
      <c r="C12281">
        <v>27901</v>
      </c>
      <c r="D12281" t="str">
        <f>"1559-1131"</f>
        <v>1559-1131</v>
      </c>
      <c r="E12281" t="s">
        <v>8</v>
      </c>
      <c r="F12281" t="s">
        <v>12291</v>
      </c>
      <c r="G12281">
        <v>1</v>
      </c>
    </row>
    <row r="12282" spans="1:7" x14ac:dyDescent="0.25">
      <c r="A12282">
        <v>38</v>
      </c>
      <c r="B12282" t="s">
        <v>11969</v>
      </c>
      <c r="C12282">
        <v>5010343</v>
      </c>
      <c r="E12282" t="s">
        <v>2100</v>
      </c>
      <c r="F12282" t="s">
        <v>12292</v>
      </c>
      <c r="G12282">
        <v>1</v>
      </c>
    </row>
    <row r="12283" spans="1:7" x14ac:dyDescent="0.25">
      <c r="A12283">
        <v>38</v>
      </c>
      <c r="B12283" t="s">
        <v>11969</v>
      </c>
      <c r="C12283">
        <v>5010193</v>
      </c>
      <c r="E12283" t="s">
        <v>2100</v>
      </c>
      <c r="F12283" t="s">
        <v>12293</v>
      </c>
      <c r="G12283">
        <v>1</v>
      </c>
    </row>
    <row r="12284" spans="1:7" x14ac:dyDescent="0.25">
      <c r="A12284">
        <v>38</v>
      </c>
      <c r="B12284" t="s">
        <v>11969</v>
      </c>
      <c r="C12284">
        <v>5010635</v>
      </c>
      <c r="E12284" t="s">
        <v>2100</v>
      </c>
      <c r="F12284" t="s">
        <v>12294</v>
      </c>
      <c r="G12284">
        <v>1</v>
      </c>
    </row>
    <row r="12285" spans="1:7" x14ac:dyDescent="0.25">
      <c r="A12285">
        <v>38</v>
      </c>
      <c r="B12285" t="s">
        <v>11969</v>
      </c>
      <c r="C12285">
        <v>5010861</v>
      </c>
      <c r="E12285" t="s">
        <v>2100</v>
      </c>
      <c r="F12285" t="s">
        <v>12295</v>
      </c>
      <c r="G12285">
        <v>1</v>
      </c>
    </row>
    <row r="12286" spans="1:7" x14ac:dyDescent="0.25">
      <c r="A12286">
        <v>38</v>
      </c>
      <c r="B12286" t="s">
        <v>11969</v>
      </c>
      <c r="C12286">
        <v>5010849</v>
      </c>
      <c r="E12286" t="s">
        <v>2100</v>
      </c>
      <c r="F12286" t="s">
        <v>12296</v>
      </c>
      <c r="G12286">
        <v>1</v>
      </c>
    </row>
    <row r="12287" spans="1:7" x14ac:dyDescent="0.25">
      <c r="A12287">
        <v>38</v>
      </c>
      <c r="B12287" t="s">
        <v>11969</v>
      </c>
      <c r="C12287">
        <v>5010505</v>
      </c>
      <c r="E12287" t="s">
        <v>2100</v>
      </c>
      <c r="F12287" t="s">
        <v>12297</v>
      </c>
      <c r="G12287">
        <v>1</v>
      </c>
    </row>
    <row r="12288" spans="1:7" x14ac:dyDescent="0.25">
      <c r="A12288">
        <v>38</v>
      </c>
      <c r="B12288" t="s">
        <v>11969</v>
      </c>
      <c r="C12288">
        <v>5010506</v>
      </c>
      <c r="E12288" t="s">
        <v>2100</v>
      </c>
      <c r="F12288" t="s">
        <v>12298</v>
      </c>
      <c r="G12288">
        <v>1</v>
      </c>
    </row>
    <row r="12289" spans="1:7" x14ac:dyDescent="0.25">
      <c r="A12289">
        <v>38</v>
      </c>
      <c r="B12289" t="s">
        <v>11969</v>
      </c>
      <c r="C12289">
        <v>5010624</v>
      </c>
      <c r="E12289" t="s">
        <v>2100</v>
      </c>
      <c r="F12289" t="s">
        <v>12299</v>
      </c>
      <c r="G12289">
        <v>1</v>
      </c>
    </row>
    <row r="12290" spans="1:7" x14ac:dyDescent="0.25">
      <c r="A12290">
        <v>38</v>
      </c>
      <c r="B12290" t="s">
        <v>11969</v>
      </c>
      <c r="C12290">
        <v>8783370</v>
      </c>
      <c r="E12290" t="s">
        <v>2100</v>
      </c>
      <c r="F12290" t="s">
        <v>12300</v>
      </c>
      <c r="G12290">
        <v>1</v>
      </c>
    </row>
    <row r="12291" spans="1:7" x14ac:dyDescent="0.25">
      <c r="A12291">
        <v>38</v>
      </c>
      <c r="B12291" t="s">
        <v>11969</v>
      </c>
      <c r="C12291">
        <v>5000533</v>
      </c>
      <c r="E12291" t="s">
        <v>2100</v>
      </c>
      <c r="F12291" t="s">
        <v>12301</v>
      </c>
      <c r="G12291">
        <v>1</v>
      </c>
    </row>
    <row r="12292" spans="1:7" x14ac:dyDescent="0.25">
      <c r="A12292">
        <v>38</v>
      </c>
      <c r="B12292" t="s">
        <v>11969</v>
      </c>
      <c r="C12292">
        <v>5000489</v>
      </c>
      <c r="E12292" t="s">
        <v>2100</v>
      </c>
      <c r="F12292" t="s">
        <v>12302</v>
      </c>
      <c r="G12292">
        <v>1</v>
      </c>
    </row>
    <row r="12293" spans="1:7" x14ac:dyDescent="0.25">
      <c r="A12293">
        <v>38</v>
      </c>
      <c r="B12293" t="s">
        <v>11969</v>
      </c>
      <c r="C12293">
        <v>5000300</v>
      </c>
      <c r="E12293" t="s">
        <v>2100</v>
      </c>
      <c r="F12293" t="s">
        <v>12303</v>
      </c>
      <c r="G12293">
        <v>1</v>
      </c>
    </row>
    <row r="12294" spans="1:7" x14ac:dyDescent="0.25">
      <c r="A12294">
        <v>38</v>
      </c>
      <c r="B12294" t="s">
        <v>11969</v>
      </c>
      <c r="C12294">
        <v>5010384</v>
      </c>
      <c r="E12294" t="s">
        <v>2100</v>
      </c>
      <c r="F12294" t="s">
        <v>12304</v>
      </c>
      <c r="G12294">
        <v>1</v>
      </c>
    </row>
    <row r="12295" spans="1:7" x14ac:dyDescent="0.25">
      <c r="A12295">
        <v>38</v>
      </c>
      <c r="B12295" t="s">
        <v>11969</v>
      </c>
      <c r="C12295">
        <v>5000529</v>
      </c>
      <c r="E12295" t="s">
        <v>2100</v>
      </c>
      <c r="F12295" t="s">
        <v>12305</v>
      </c>
      <c r="G12295">
        <v>1</v>
      </c>
    </row>
    <row r="12296" spans="1:7" x14ac:dyDescent="0.25">
      <c r="A12296">
        <v>38</v>
      </c>
      <c r="B12296" t="s">
        <v>11969</v>
      </c>
      <c r="C12296">
        <v>5000225</v>
      </c>
      <c r="E12296" t="s">
        <v>2100</v>
      </c>
      <c r="F12296" t="s">
        <v>12306</v>
      </c>
      <c r="G12296">
        <v>1</v>
      </c>
    </row>
    <row r="12297" spans="1:7" x14ac:dyDescent="0.25">
      <c r="A12297">
        <v>38</v>
      </c>
      <c r="B12297" t="s">
        <v>11969</v>
      </c>
      <c r="C12297">
        <v>5010215</v>
      </c>
      <c r="E12297" t="s">
        <v>2100</v>
      </c>
      <c r="F12297" t="s">
        <v>12307</v>
      </c>
      <c r="G12297">
        <v>1</v>
      </c>
    </row>
    <row r="12298" spans="1:7" x14ac:dyDescent="0.25">
      <c r="A12298">
        <v>38</v>
      </c>
      <c r="B12298" t="s">
        <v>11969</v>
      </c>
      <c r="C12298">
        <v>27631</v>
      </c>
      <c r="D12298" t="str">
        <f>"0324-721X"</f>
        <v>0324-721X</v>
      </c>
      <c r="E12298" t="s">
        <v>8</v>
      </c>
      <c r="F12298" t="s">
        <v>12308</v>
      </c>
      <c r="G12298">
        <v>1</v>
      </c>
    </row>
    <row r="12299" spans="1:7" x14ac:dyDescent="0.25">
      <c r="A12299">
        <v>38</v>
      </c>
      <c r="B12299" t="s">
        <v>11969</v>
      </c>
      <c r="C12299">
        <v>2126</v>
      </c>
      <c r="D12299" t="str">
        <f>"0065-2458"</f>
        <v>0065-2458</v>
      </c>
      <c r="E12299" t="s">
        <v>8</v>
      </c>
      <c r="F12299" t="s">
        <v>12309</v>
      </c>
      <c r="G12299">
        <v>1</v>
      </c>
    </row>
    <row r="12300" spans="1:7" x14ac:dyDescent="0.25">
      <c r="A12300">
        <v>38</v>
      </c>
      <c r="B12300" t="s">
        <v>11969</v>
      </c>
      <c r="C12300">
        <v>12876</v>
      </c>
      <c r="D12300" t="str">
        <f>"0965-9978"</f>
        <v>0965-9978</v>
      </c>
      <c r="E12300" t="s">
        <v>8</v>
      </c>
      <c r="F12300" t="s">
        <v>12310</v>
      </c>
      <c r="G12300">
        <v>1</v>
      </c>
    </row>
    <row r="12301" spans="1:7" x14ac:dyDescent="0.25">
      <c r="A12301">
        <v>38</v>
      </c>
      <c r="B12301" t="s">
        <v>11969</v>
      </c>
      <c r="C12301">
        <v>27784</v>
      </c>
      <c r="D12301" t="str">
        <f>"1687-5893"</f>
        <v>1687-5893</v>
      </c>
      <c r="E12301" t="s">
        <v>8</v>
      </c>
      <c r="F12301" t="s">
        <v>12311</v>
      </c>
      <c r="G12301">
        <v>1</v>
      </c>
    </row>
    <row r="12302" spans="1:7" x14ac:dyDescent="0.25">
      <c r="A12302">
        <v>38</v>
      </c>
      <c r="B12302" t="s">
        <v>11969</v>
      </c>
      <c r="C12302">
        <v>8782005</v>
      </c>
      <c r="D12302" t="str">
        <f>"2194-5357"</f>
        <v>2194-5357</v>
      </c>
      <c r="E12302" t="s">
        <v>15</v>
      </c>
      <c r="F12302" t="s">
        <v>12312</v>
      </c>
      <c r="G12302">
        <v>1</v>
      </c>
    </row>
    <row r="12303" spans="1:7" x14ac:dyDescent="0.25">
      <c r="A12303">
        <v>38</v>
      </c>
      <c r="B12303" t="s">
        <v>11969</v>
      </c>
      <c r="C12303">
        <v>5010219</v>
      </c>
      <c r="E12303" t="s">
        <v>2100</v>
      </c>
      <c r="F12303" t="s">
        <v>12313</v>
      </c>
      <c r="G12303">
        <v>1</v>
      </c>
    </row>
    <row r="12304" spans="1:7" x14ac:dyDescent="0.25">
      <c r="A12304">
        <v>38</v>
      </c>
      <c r="B12304" t="s">
        <v>11969</v>
      </c>
      <c r="C12304">
        <v>180105</v>
      </c>
      <c r="D12304" t="str">
        <f>"2287-4976"</f>
        <v>2287-4976</v>
      </c>
      <c r="E12304" t="s">
        <v>8</v>
      </c>
      <c r="F12304" t="s">
        <v>12314</v>
      </c>
      <c r="G12304">
        <v>1</v>
      </c>
    </row>
    <row r="12305" spans="1:7" x14ac:dyDescent="0.25">
      <c r="A12305">
        <v>38</v>
      </c>
      <c r="B12305" t="s">
        <v>11969</v>
      </c>
      <c r="C12305">
        <v>5010214</v>
      </c>
      <c r="E12305" t="s">
        <v>2100</v>
      </c>
      <c r="F12305" t="s">
        <v>12315</v>
      </c>
      <c r="G12305">
        <v>1</v>
      </c>
    </row>
    <row r="12306" spans="1:7" x14ac:dyDescent="0.25">
      <c r="A12306">
        <v>38</v>
      </c>
      <c r="B12306" t="s">
        <v>11969</v>
      </c>
      <c r="C12306">
        <v>6242</v>
      </c>
      <c r="D12306" t="str">
        <f>"0951-5666"</f>
        <v>0951-5666</v>
      </c>
      <c r="E12306" t="s">
        <v>8</v>
      </c>
      <c r="F12306" t="s">
        <v>12316</v>
      </c>
      <c r="G12306">
        <v>1</v>
      </c>
    </row>
    <row r="12307" spans="1:7" x14ac:dyDescent="0.25">
      <c r="A12307">
        <v>38</v>
      </c>
      <c r="B12307" t="s">
        <v>11969</v>
      </c>
      <c r="C12307">
        <v>9679</v>
      </c>
      <c r="D12307" t="str">
        <f>"0921-7126"</f>
        <v>0921-7126</v>
      </c>
      <c r="E12307" t="s">
        <v>8</v>
      </c>
      <c r="F12307" t="s">
        <v>12317</v>
      </c>
      <c r="G12307">
        <v>1</v>
      </c>
    </row>
    <row r="12308" spans="1:7" x14ac:dyDescent="0.25">
      <c r="A12308">
        <v>38</v>
      </c>
      <c r="B12308" t="s">
        <v>11969</v>
      </c>
      <c r="C12308">
        <v>5569</v>
      </c>
      <c r="D12308" t="str">
        <f>"0738-4602"</f>
        <v>0738-4602</v>
      </c>
      <c r="E12308" t="s">
        <v>8</v>
      </c>
      <c r="F12308" t="s">
        <v>12318</v>
      </c>
      <c r="G12308">
        <v>1</v>
      </c>
    </row>
    <row r="12309" spans="1:7" x14ac:dyDescent="0.25">
      <c r="A12309">
        <v>38</v>
      </c>
      <c r="B12309" t="s">
        <v>11969</v>
      </c>
      <c r="C12309">
        <v>8783207</v>
      </c>
      <c r="E12309" t="s">
        <v>2100</v>
      </c>
      <c r="F12309" t="s">
        <v>12319</v>
      </c>
      <c r="G12309">
        <v>1</v>
      </c>
    </row>
    <row r="12310" spans="1:7" x14ac:dyDescent="0.25">
      <c r="A12310">
        <v>38</v>
      </c>
      <c r="B12310" t="s">
        <v>11969</v>
      </c>
      <c r="C12310">
        <v>5000021</v>
      </c>
      <c r="E12310" t="s">
        <v>2100</v>
      </c>
      <c r="F12310" t="s">
        <v>12320</v>
      </c>
      <c r="G12310">
        <v>1</v>
      </c>
    </row>
    <row r="12311" spans="1:7" x14ac:dyDescent="0.25">
      <c r="A12311">
        <v>38</v>
      </c>
      <c r="B12311" t="s">
        <v>11969</v>
      </c>
      <c r="C12311">
        <v>17396</v>
      </c>
      <c r="E12311" t="s">
        <v>8</v>
      </c>
      <c r="F12311" t="s">
        <v>12321</v>
      </c>
      <c r="G12311">
        <v>1</v>
      </c>
    </row>
    <row r="12312" spans="1:7" x14ac:dyDescent="0.25">
      <c r="A12312">
        <v>38</v>
      </c>
      <c r="B12312" t="s">
        <v>11969</v>
      </c>
      <c r="C12312">
        <v>5000018</v>
      </c>
      <c r="E12312" t="s">
        <v>2100</v>
      </c>
      <c r="F12312" t="s">
        <v>12322</v>
      </c>
      <c r="G12312">
        <v>1</v>
      </c>
    </row>
    <row r="12313" spans="1:7" x14ac:dyDescent="0.25">
      <c r="A12313">
        <v>38</v>
      </c>
      <c r="B12313" t="s">
        <v>11969</v>
      </c>
      <c r="C12313">
        <v>14917</v>
      </c>
      <c r="D12313" t="str">
        <f>"1216-6014"</f>
        <v>1216-6014</v>
      </c>
      <c r="E12313" t="s">
        <v>8</v>
      </c>
      <c r="F12313" t="s">
        <v>12323</v>
      </c>
      <c r="G12313">
        <v>1</v>
      </c>
    </row>
    <row r="12314" spans="1:7" x14ac:dyDescent="0.25">
      <c r="A12314">
        <v>38</v>
      </c>
      <c r="B12314" t="s">
        <v>11969</v>
      </c>
      <c r="C12314">
        <v>5000296</v>
      </c>
      <c r="E12314" t="s">
        <v>2100</v>
      </c>
      <c r="F12314" t="s">
        <v>12324</v>
      </c>
      <c r="G12314">
        <v>1</v>
      </c>
    </row>
    <row r="12315" spans="1:7" x14ac:dyDescent="0.25">
      <c r="A12315">
        <v>38</v>
      </c>
      <c r="B12315" t="s">
        <v>11969</v>
      </c>
      <c r="C12315">
        <v>5010565</v>
      </c>
      <c r="E12315" t="s">
        <v>2100</v>
      </c>
      <c r="F12315" t="s">
        <v>12325</v>
      </c>
      <c r="G12315">
        <v>1</v>
      </c>
    </row>
    <row r="12316" spans="1:7" x14ac:dyDescent="0.25">
      <c r="A12316">
        <v>38</v>
      </c>
      <c r="B12316" t="s">
        <v>11969</v>
      </c>
      <c r="C12316">
        <v>5010797</v>
      </c>
      <c r="E12316" t="s">
        <v>2100</v>
      </c>
      <c r="F12316" t="s">
        <v>12326</v>
      </c>
      <c r="G12316">
        <v>1</v>
      </c>
    </row>
    <row r="12317" spans="1:7" x14ac:dyDescent="0.25">
      <c r="A12317">
        <v>38</v>
      </c>
      <c r="B12317" t="s">
        <v>11969</v>
      </c>
      <c r="C12317">
        <v>5010865</v>
      </c>
      <c r="E12317" t="s">
        <v>2100</v>
      </c>
      <c r="F12317" t="s">
        <v>12327</v>
      </c>
      <c r="G12317">
        <v>1</v>
      </c>
    </row>
    <row r="12318" spans="1:7" x14ac:dyDescent="0.25">
      <c r="A12318">
        <v>38</v>
      </c>
      <c r="B12318" t="s">
        <v>11969</v>
      </c>
      <c r="C12318">
        <v>5010869</v>
      </c>
      <c r="E12318" t="s">
        <v>2100</v>
      </c>
      <c r="F12318" t="s">
        <v>12328</v>
      </c>
      <c r="G12318">
        <v>1</v>
      </c>
    </row>
    <row r="12319" spans="1:7" x14ac:dyDescent="0.25">
      <c r="A12319">
        <v>38</v>
      </c>
      <c r="B12319" t="s">
        <v>11969</v>
      </c>
      <c r="C12319">
        <v>5000265</v>
      </c>
      <c r="E12319" t="s">
        <v>2100</v>
      </c>
      <c r="F12319" t="s">
        <v>12329</v>
      </c>
      <c r="G12319">
        <v>1</v>
      </c>
    </row>
    <row r="12320" spans="1:7" x14ac:dyDescent="0.25">
      <c r="A12320">
        <v>38</v>
      </c>
      <c r="B12320" t="s">
        <v>11969</v>
      </c>
      <c r="C12320">
        <v>5010147</v>
      </c>
      <c r="E12320" t="s">
        <v>2100</v>
      </c>
      <c r="F12320" t="s">
        <v>12330</v>
      </c>
      <c r="G12320">
        <v>1</v>
      </c>
    </row>
    <row r="12321" spans="1:7" x14ac:dyDescent="0.25">
      <c r="A12321">
        <v>38</v>
      </c>
      <c r="B12321" t="s">
        <v>11969</v>
      </c>
      <c r="C12321">
        <v>5000086</v>
      </c>
      <c r="E12321" t="s">
        <v>2100</v>
      </c>
      <c r="F12321" t="s">
        <v>12331</v>
      </c>
      <c r="G12321">
        <v>1</v>
      </c>
    </row>
    <row r="12322" spans="1:7" x14ac:dyDescent="0.25">
      <c r="A12322">
        <v>38</v>
      </c>
      <c r="B12322" t="s">
        <v>11969</v>
      </c>
      <c r="C12322">
        <v>5000064</v>
      </c>
      <c r="E12322" t="s">
        <v>2100</v>
      </c>
      <c r="F12322" t="s">
        <v>12332</v>
      </c>
      <c r="G12322">
        <v>1</v>
      </c>
    </row>
    <row r="12323" spans="1:7" x14ac:dyDescent="0.25">
      <c r="A12323">
        <v>38</v>
      </c>
      <c r="B12323" t="s">
        <v>11969</v>
      </c>
      <c r="C12323">
        <v>8782692</v>
      </c>
      <c r="E12323" t="s">
        <v>2100</v>
      </c>
      <c r="F12323" t="s">
        <v>12333</v>
      </c>
      <c r="G12323">
        <v>1</v>
      </c>
    </row>
    <row r="12324" spans="1:7" x14ac:dyDescent="0.25">
      <c r="A12324">
        <v>38</v>
      </c>
      <c r="B12324" t="s">
        <v>11969</v>
      </c>
      <c r="C12324">
        <v>7758</v>
      </c>
      <c r="D12324" t="str">
        <f>"1043-6871"</f>
        <v>1043-6871</v>
      </c>
      <c r="E12324" t="s">
        <v>8</v>
      </c>
      <c r="F12324" t="s">
        <v>12334</v>
      </c>
      <c r="G12324">
        <v>1</v>
      </c>
    </row>
    <row r="12325" spans="1:7" x14ac:dyDescent="0.25">
      <c r="A12325">
        <v>38</v>
      </c>
      <c r="B12325" t="s">
        <v>11969</v>
      </c>
      <c r="C12325">
        <v>5010790</v>
      </c>
      <c r="E12325" t="s">
        <v>2100</v>
      </c>
      <c r="F12325" t="s">
        <v>12335</v>
      </c>
      <c r="G12325">
        <v>1</v>
      </c>
    </row>
    <row r="12326" spans="1:7" x14ac:dyDescent="0.25">
      <c r="A12326">
        <v>38</v>
      </c>
      <c r="B12326" t="s">
        <v>11969</v>
      </c>
      <c r="C12326">
        <v>1684</v>
      </c>
      <c r="D12326" t="str">
        <f>"0924-669X"</f>
        <v>0924-669X</v>
      </c>
      <c r="E12326" t="s">
        <v>8</v>
      </c>
      <c r="F12326" t="s">
        <v>12336</v>
      </c>
      <c r="G12326">
        <v>1</v>
      </c>
    </row>
    <row r="12327" spans="1:7" x14ac:dyDescent="0.25">
      <c r="A12327">
        <v>38</v>
      </c>
      <c r="B12327" t="s">
        <v>11969</v>
      </c>
      <c r="C12327">
        <v>15376</v>
      </c>
      <c r="D12327" t="str">
        <f>"1568-4946"</f>
        <v>1568-4946</v>
      </c>
      <c r="E12327" t="s">
        <v>8</v>
      </c>
      <c r="F12327" t="s">
        <v>12337</v>
      </c>
      <c r="G12327">
        <v>1</v>
      </c>
    </row>
    <row r="12328" spans="1:7" x14ac:dyDescent="0.25">
      <c r="A12328">
        <v>38</v>
      </c>
      <c r="B12328" t="s">
        <v>11969</v>
      </c>
      <c r="C12328">
        <v>5000298</v>
      </c>
      <c r="E12328" t="s">
        <v>2100</v>
      </c>
      <c r="F12328" t="s">
        <v>12338</v>
      </c>
      <c r="G12328">
        <v>1</v>
      </c>
    </row>
    <row r="12329" spans="1:7" x14ac:dyDescent="0.25">
      <c r="A12329">
        <v>38</v>
      </c>
      <c r="B12329" t="s">
        <v>11969</v>
      </c>
      <c r="C12329">
        <v>4189</v>
      </c>
      <c r="D12329" t="str">
        <f>"1064-5462"</f>
        <v>1064-5462</v>
      </c>
      <c r="E12329" t="s">
        <v>8</v>
      </c>
      <c r="F12329" t="s">
        <v>12339</v>
      </c>
      <c r="G12329">
        <v>1</v>
      </c>
    </row>
    <row r="12330" spans="1:7" x14ac:dyDescent="0.25">
      <c r="A12330">
        <v>38</v>
      </c>
      <c r="B12330" t="s">
        <v>11969</v>
      </c>
      <c r="C12330">
        <v>5000305</v>
      </c>
      <c r="E12330" t="s">
        <v>2100</v>
      </c>
      <c r="F12330" t="s">
        <v>12340</v>
      </c>
      <c r="G12330">
        <v>1</v>
      </c>
    </row>
    <row r="12331" spans="1:7" x14ac:dyDescent="0.25">
      <c r="A12331">
        <v>38</v>
      </c>
      <c r="B12331" t="s">
        <v>11969</v>
      </c>
      <c r="C12331">
        <v>5010222</v>
      </c>
      <c r="E12331" t="s">
        <v>2100</v>
      </c>
      <c r="F12331" t="s">
        <v>12341</v>
      </c>
      <c r="G12331">
        <v>1</v>
      </c>
    </row>
    <row r="12332" spans="1:7" x14ac:dyDescent="0.25">
      <c r="A12332">
        <v>38</v>
      </c>
      <c r="B12332" t="s">
        <v>11969</v>
      </c>
      <c r="C12332">
        <v>5000262</v>
      </c>
      <c r="E12332" t="s">
        <v>2100</v>
      </c>
      <c r="F12332" t="s">
        <v>12342</v>
      </c>
      <c r="G12332">
        <v>1</v>
      </c>
    </row>
    <row r="12333" spans="1:7" x14ac:dyDescent="0.25">
      <c r="A12333">
        <v>38</v>
      </c>
      <c r="B12333" t="s">
        <v>11969</v>
      </c>
      <c r="C12333">
        <v>5000544</v>
      </c>
      <c r="E12333" t="s">
        <v>2100</v>
      </c>
      <c r="F12333" t="s">
        <v>12343</v>
      </c>
      <c r="G12333">
        <v>1</v>
      </c>
    </row>
    <row r="12334" spans="1:7" x14ac:dyDescent="0.25">
      <c r="A12334">
        <v>38</v>
      </c>
      <c r="B12334" t="s">
        <v>11969</v>
      </c>
      <c r="C12334">
        <v>5010198</v>
      </c>
      <c r="E12334" t="s">
        <v>2100</v>
      </c>
      <c r="F12334" t="s">
        <v>12344</v>
      </c>
      <c r="G12334">
        <v>1</v>
      </c>
    </row>
    <row r="12335" spans="1:7" x14ac:dyDescent="0.25">
      <c r="A12335">
        <v>38</v>
      </c>
      <c r="B12335" t="s">
        <v>11969</v>
      </c>
      <c r="C12335">
        <v>5000481</v>
      </c>
      <c r="E12335" t="s">
        <v>2100</v>
      </c>
      <c r="F12335" t="s">
        <v>12345</v>
      </c>
      <c r="G12335">
        <v>1</v>
      </c>
    </row>
    <row r="12336" spans="1:7" x14ac:dyDescent="0.25">
      <c r="A12336">
        <v>38</v>
      </c>
      <c r="B12336" t="s">
        <v>11969</v>
      </c>
      <c r="C12336">
        <v>5000112</v>
      </c>
      <c r="E12336" t="s">
        <v>2100</v>
      </c>
      <c r="F12336" t="s">
        <v>12346</v>
      </c>
      <c r="G12336">
        <v>1</v>
      </c>
    </row>
    <row r="12337" spans="1:7" x14ac:dyDescent="0.25">
      <c r="A12337">
        <v>38</v>
      </c>
      <c r="B12337" t="s">
        <v>11969</v>
      </c>
      <c r="C12337">
        <v>5000391</v>
      </c>
      <c r="E12337" t="s">
        <v>2100</v>
      </c>
      <c r="F12337" t="s">
        <v>12347</v>
      </c>
      <c r="G12337">
        <v>1</v>
      </c>
    </row>
    <row r="12338" spans="1:7" x14ac:dyDescent="0.25">
      <c r="A12338">
        <v>38</v>
      </c>
      <c r="B12338" t="s">
        <v>11969</v>
      </c>
      <c r="C12338">
        <v>5010085</v>
      </c>
      <c r="E12338" t="s">
        <v>2100</v>
      </c>
      <c r="F12338" t="s">
        <v>12348</v>
      </c>
      <c r="G12338">
        <v>1</v>
      </c>
    </row>
    <row r="12339" spans="1:7" x14ac:dyDescent="0.25">
      <c r="A12339">
        <v>38</v>
      </c>
      <c r="B12339" t="s">
        <v>11969</v>
      </c>
      <c r="C12339">
        <v>5000001</v>
      </c>
      <c r="E12339" t="s">
        <v>2100</v>
      </c>
      <c r="F12339" t="s">
        <v>12349</v>
      </c>
      <c r="G12339">
        <v>1</v>
      </c>
    </row>
    <row r="12340" spans="1:7" x14ac:dyDescent="0.25">
      <c r="A12340">
        <v>38</v>
      </c>
      <c r="B12340" t="s">
        <v>11969</v>
      </c>
      <c r="C12340">
        <v>5000302</v>
      </c>
      <c r="E12340" t="s">
        <v>2100</v>
      </c>
      <c r="F12340" t="s">
        <v>12350</v>
      </c>
      <c r="G12340">
        <v>1</v>
      </c>
    </row>
    <row r="12341" spans="1:7" x14ac:dyDescent="0.25">
      <c r="A12341">
        <v>38</v>
      </c>
      <c r="B12341" t="s">
        <v>11969</v>
      </c>
      <c r="C12341">
        <v>5000101</v>
      </c>
      <c r="E12341" t="s">
        <v>2100</v>
      </c>
      <c r="F12341" t="s">
        <v>12351</v>
      </c>
      <c r="G12341">
        <v>1</v>
      </c>
    </row>
    <row r="12342" spans="1:7" x14ac:dyDescent="0.25">
      <c r="A12342">
        <v>38</v>
      </c>
      <c r="B12342" t="s">
        <v>11969</v>
      </c>
      <c r="C12342">
        <v>5000014</v>
      </c>
      <c r="E12342" t="s">
        <v>2100</v>
      </c>
      <c r="F12342" t="s">
        <v>12352</v>
      </c>
      <c r="G12342">
        <v>1</v>
      </c>
    </row>
    <row r="12343" spans="1:7" x14ac:dyDescent="0.25">
      <c r="A12343">
        <v>38</v>
      </c>
      <c r="B12343" t="s">
        <v>11969</v>
      </c>
      <c r="C12343">
        <v>5000569</v>
      </c>
      <c r="E12343" t="s">
        <v>2100</v>
      </c>
      <c r="F12343" t="s">
        <v>12353</v>
      </c>
      <c r="G12343">
        <v>1</v>
      </c>
    </row>
    <row r="12344" spans="1:7" x14ac:dyDescent="0.25">
      <c r="A12344">
        <v>38</v>
      </c>
      <c r="B12344" t="s">
        <v>11969</v>
      </c>
      <c r="C12344">
        <v>5000272</v>
      </c>
      <c r="E12344" t="s">
        <v>2100</v>
      </c>
      <c r="F12344" t="s">
        <v>12354</v>
      </c>
      <c r="G12344">
        <v>1</v>
      </c>
    </row>
    <row r="12345" spans="1:7" x14ac:dyDescent="0.25">
      <c r="A12345">
        <v>38</v>
      </c>
      <c r="B12345" t="s">
        <v>11969</v>
      </c>
      <c r="C12345">
        <v>5010764</v>
      </c>
      <c r="E12345" t="s">
        <v>2100</v>
      </c>
      <c r="F12345" t="s">
        <v>12355</v>
      </c>
      <c r="G12345">
        <v>1</v>
      </c>
    </row>
    <row r="12346" spans="1:7" x14ac:dyDescent="0.25">
      <c r="A12346">
        <v>38</v>
      </c>
      <c r="B12346" t="s">
        <v>11969</v>
      </c>
      <c r="C12346">
        <v>5000169</v>
      </c>
      <c r="E12346" t="s">
        <v>2100</v>
      </c>
      <c r="F12346" t="s">
        <v>12356</v>
      </c>
      <c r="G12346">
        <v>1</v>
      </c>
    </row>
    <row r="12347" spans="1:7" x14ac:dyDescent="0.25">
      <c r="A12347">
        <v>38</v>
      </c>
      <c r="B12347" t="s">
        <v>11969</v>
      </c>
      <c r="C12347">
        <v>5000495</v>
      </c>
      <c r="E12347" t="s">
        <v>2100</v>
      </c>
      <c r="F12347" t="s">
        <v>12357</v>
      </c>
      <c r="G12347">
        <v>1</v>
      </c>
    </row>
    <row r="12348" spans="1:7" x14ac:dyDescent="0.25">
      <c r="A12348">
        <v>38</v>
      </c>
      <c r="B12348" t="s">
        <v>11969</v>
      </c>
      <c r="C12348">
        <v>5000659</v>
      </c>
      <c r="E12348" t="s">
        <v>2100</v>
      </c>
      <c r="F12348" t="s">
        <v>12358</v>
      </c>
      <c r="G12348">
        <v>1</v>
      </c>
    </row>
    <row r="12349" spans="1:7" x14ac:dyDescent="0.25">
      <c r="A12349">
        <v>38</v>
      </c>
      <c r="B12349" t="s">
        <v>11969</v>
      </c>
      <c r="C12349">
        <v>5000229</v>
      </c>
      <c r="E12349" t="s">
        <v>2100</v>
      </c>
      <c r="F12349" t="s">
        <v>12359</v>
      </c>
      <c r="G12349">
        <v>1</v>
      </c>
    </row>
    <row r="12350" spans="1:7" x14ac:dyDescent="0.25">
      <c r="A12350">
        <v>38</v>
      </c>
      <c r="B12350" t="s">
        <v>11969</v>
      </c>
      <c r="C12350">
        <v>24049</v>
      </c>
      <c r="D12350" t="str">
        <f>"1321-2133"</f>
        <v>1321-2133</v>
      </c>
      <c r="E12350" t="s">
        <v>8</v>
      </c>
      <c r="F12350" t="s">
        <v>12360</v>
      </c>
      <c r="G12350">
        <v>1</v>
      </c>
    </row>
    <row r="12351" spans="1:7" x14ac:dyDescent="0.25">
      <c r="A12351">
        <v>38</v>
      </c>
      <c r="B12351" t="s">
        <v>11969</v>
      </c>
      <c r="C12351">
        <v>6608</v>
      </c>
      <c r="D12351" t="str">
        <f>"0928-8910"</f>
        <v>0928-8910</v>
      </c>
      <c r="E12351" t="s">
        <v>8</v>
      </c>
      <c r="F12351" t="s">
        <v>12361</v>
      </c>
      <c r="G12351">
        <v>1</v>
      </c>
    </row>
    <row r="12352" spans="1:7" x14ac:dyDescent="0.25">
      <c r="A12352">
        <v>38</v>
      </c>
      <c r="B12352" t="s">
        <v>11969</v>
      </c>
      <c r="C12352">
        <v>16540</v>
      </c>
      <c r="D12352" t="str">
        <f>"0146-4116"</f>
        <v>0146-4116</v>
      </c>
      <c r="E12352" t="s">
        <v>8</v>
      </c>
      <c r="F12352" t="s">
        <v>12362</v>
      </c>
      <c r="G12352">
        <v>1</v>
      </c>
    </row>
    <row r="12353" spans="1:7" x14ac:dyDescent="0.25">
      <c r="A12353">
        <v>38</v>
      </c>
      <c r="B12353" t="s">
        <v>11969</v>
      </c>
      <c r="C12353">
        <v>5010250</v>
      </c>
      <c r="E12353" t="s">
        <v>2100</v>
      </c>
      <c r="F12353" t="s">
        <v>12363</v>
      </c>
      <c r="G12353">
        <v>1</v>
      </c>
    </row>
    <row r="12354" spans="1:7" x14ac:dyDescent="0.25">
      <c r="A12354">
        <v>38</v>
      </c>
      <c r="B12354" t="s">
        <v>11969</v>
      </c>
      <c r="C12354">
        <v>5010811</v>
      </c>
      <c r="E12354" t="s">
        <v>2100</v>
      </c>
      <c r="F12354" t="s">
        <v>12364</v>
      </c>
      <c r="G12354">
        <v>1</v>
      </c>
    </row>
    <row r="12355" spans="1:7" x14ac:dyDescent="0.25">
      <c r="A12355">
        <v>38</v>
      </c>
      <c r="B12355" t="s">
        <v>11969</v>
      </c>
      <c r="C12355">
        <v>5010262</v>
      </c>
      <c r="D12355" t="str">
        <f>"1568-7805"</f>
        <v>1568-7805</v>
      </c>
      <c r="E12355" t="s">
        <v>2100</v>
      </c>
      <c r="F12355" t="s">
        <v>12365</v>
      </c>
      <c r="G12355">
        <v>1</v>
      </c>
    </row>
    <row r="12356" spans="1:7" x14ac:dyDescent="0.25">
      <c r="A12356">
        <v>38</v>
      </c>
      <c r="B12356" t="s">
        <v>11969</v>
      </c>
      <c r="C12356">
        <v>7738505</v>
      </c>
      <c r="D12356" t="str">
        <f>"2167-6461"</f>
        <v>2167-6461</v>
      </c>
      <c r="E12356" t="s">
        <v>8</v>
      </c>
      <c r="F12356" t="s">
        <v>12366</v>
      </c>
      <c r="G12356">
        <v>1</v>
      </c>
    </row>
    <row r="12357" spans="1:7" x14ac:dyDescent="0.25">
      <c r="A12357">
        <v>38</v>
      </c>
      <c r="B12357" t="s">
        <v>11969</v>
      </c>
      <c r="C12357">
        <v>5010267</v>
      </c>
      <c r="E12357" t="s">
        <v>2100</v>
      </c>
      <c r="F12357" t="s">
        <v>12367</v>
      </c>
      <c r="G12357">
        <v>1</v>
      </c>
    </row>
    <row r="12358" spans="1:7" x14ac:dyDescent="0.25">
      <c r="A12358">
        <v>38</v>
      </c>
      <c r="B12358" t="s">
        <v>11969</v>
      </c>
      <c r="C12358">
        <v>5010803</v>
      </c>
      <c r="E12358" t="s">
        <v>2100</v>
      </c>
      <c r="F12358" t="s">
        <v>12368</v>
      </c>
      <c r="G12358">
        <v>1</v>
      </c>
    </row>
    <row r="12359" spans="1:7" x14ac:dyDescent="0.25">
      <c r="A12359">
        <v>38</v>
      </c>
      <c r="B12359" t="s">
        <v>11969</v>
      </c>
      <c r="C12359">
        <v>5010892</v>
      </c>
      <c r="E12359" t="s">
        <v>2100</v>
      </c>
      <c r="F12359" t="s">
        <v>12369</v>
      </c>
      <c r="G12359">
        <v>1</v>
      </c>
    </row>
    <row r="12360" spans="1:7" x14ac:dyDescent="0.25">
      <c r="A12360">
        <v>38</v>
      </c>
      <c r="B12360" t="s">
        <v>11969</v>
      </c>
      <c r="C12360">
        <v>5000567</v>
      </c>
      <c r="E12360" t="s">
        <v>2100</v>
      </c>
      <c r="F12360" t="s">
        <v>12370</v>
      </c>
      <c r="G12360">
        <v>1</v>
      </c>
    </row>
    <row r="12361" spans="1:7" x14ac:dyDescent="0.25">
      <c r="A12361">
        <v>38</v>
      </c>
      <c r="B12361" t="s">
        <v>11969</v>
      </c>
      <c r="C12361">
        <v>5010781</v>
      </c>
      <c r="E12361" t="s">
        <v>2100</v>
      </c>
      <c r="F12361" t="s">
        <v>12371</v>
      </c>
      <c r="G12361">
        <v>1</v>
      </c>
    </row>
    <row r="12362" spans="1:7" x14ac:dyDescent="0.25">
      <c r="A12362">
        <v>38</v>
      </c>
      <c r="B12362" t="s">
        <v>11969</v>
      </c>
      <c r="C12362">
        <v>5000330</v>
      </c>
      <c r="E12362" t="s">
        <v>2100</v>
      </c>
      <c r="F12362" t="s">
        <v>12372</v>
      </c>
      <c r="G12362">
        <v>1</v>
      </c>
    </row>
    <row r="12363" spans="1:7" x14ac:dyDescent="0.25">
      <c r="A12363">
        <v>38</v>
      </c>
      <c r="B12363" t="s">
        <v>11969</v>
      </c>
      <c r="C12363">
        <v>5000033</v>
      </c>
      <c r="E12363" t="s">
        <v>2100</v>
      </c>
      <c r="F12363" t="s">
        <v>12373</v>
      </c>
      <c r="G12363">
        <v>1</v>
      </c>
    </row>
    <row r="12364" spans="1:7" x14ac:dyDescent="0.25">
      <c r="A12364">
        <v>38</v>
      </c>
      <c r="B12364" t="s">
        <v>11969</v>
      </c>
      <c r="C12364">
        <v>5010269</v>
      </c>
      <c r="E12364" t="s">
        <v>2100</v>
      </c>
      <c r="F12364" t="s">
        <v>12374</v>
      </c>
      <c r="G12364">
        <v>1</v>
      </c>
    </row>
    <row r="12365" spans="1:7" x14ac:dyDescent="0.25">
      <c r="A12365">
        <v>38</v>
      </c>
      <c r="B12365" t="s">
        <v>11969</v>
      </c>
      <c r="C12365">
        <v>5010184</v>
      </c>
      <c r="E12365" t="s">
        <v>2100</v>
      </c>
      <c r="F12365" t="s">
        <v>12375</v>
      </c>
      <c r="G12365">
        <v>1</v>
      </c>
    </row>
    <row r="12366" spans="1:7" x14ac:dyDescent="0.25">
      <c r="A12366">
        <v>38</v>
      </c>
      <c r="B12366" t="s">
        <v>11969</v>
      </c>
      <c r="C12366">
        <v>5000309</v>
      </c>
      <c r="E12366" t="s">
        <v>2100</v>
      </c>
      <c r="F12366" t="s">
        <v>12376</v>
      </c>
      <c r="G12366">
        <v>1</v>
      </c>
    </row>
    <row r="12367" spans="1:7" x14ac:dyDescent="0.25">
      <c r="A12367">
        <v>38</v>
      </c>
      <c r="B12367" t="s">
        <v>11969</v>
      </c>
      <c r="C12367">
        <v>5000329</v>
      </c>
      <c r="E12367" t="s">
        <v>2100</v>
      </c>
      <c r="F12367" t="s">
        <v>12377</v>
      </c>
      <c r="G12367">
        <v>1</v>
      </c>
    </row>
    <row r="12368" spans="1:7" x14ac:dyDescent="0.25">
      <c r="A12368">
        <v>38</v>
      </c>
      <c r="B12368" t="s">
        <v>11969</v>
      </c>
      <c r="C12368">
        <v>5010406</v>
      </c>
      <c r="E12368" t="s">
        <v>2100</v>
      </c>
      <c r="F12368" t="s">
        <v>12378</v>
      </c>
      <c r="G12368">
        <v>1</v>
      </c>
    </row>
    <row r="12369" spans="1:7" x14ac:dyDescent="0.25">
      <c r="A12369">
        <v>38</v>
      </c>
      <c r="B12369" t="s">
        <v>11969</v>
      </c>
      <c r="C12369">
        <v>8542</v>
      </c>
      <c r="D12369" t="str">
        <f>"0840-8688"</f>
        <v>0840-8688</v>
      </c>
      <c r="E12369" t="s">
        <v>8</v>
      </c>
      <c r="F12369" t="s">
        <v>12379</v>
      </c>
      <c r="G12369">
        <v>1</v>
      </c>
    </row>
    <row r="12370" spans="1:7" x14ac:dyDescent="0.25">
      <c r="A12370">
        <v>38</v>
      </c>
      <c r="B12370" t="s">
        <v>11969</v>
      </c>
      <c r="C12370">
        <v>5010817</v>
      </c>
      <c r="E12370" t="s">
        <v>2100</v>
      </c>
      <c r="F12370" t="s">
        <v>12380</v>
      </c>
      <c r="G12370">
        <v>1</v>
      </c>
    </row>
    <row r="12371" spans="1:7" x14ac:dyDescent="0.25">
      <c r="A12371">
        <v>38</v>
      </c>
      <c r="B12371" t="s">
        <v>11969</v>
      </c>
      <c r="C12371">
        <v>16831</v>
      </c>
      <c r="E12371" t="s">
        <v>8</v>
      </c>
      <c r="F12371" t="s">
        <v>12381</v>
      </c>
      <c r="G12371">
        <v>1</v>
      </c>
    </row>
    <row r="12372" spans="1:7" x14ac:dyDescent="0.25">
      <c r="A12372">
        <v>38</v>
      </c>
      <c r="B12372" t="s">
        <v>11969</v>
      </c>
      <c r="C12372">
        <v>5010401</v>
      </c>
      <c r="E12372" t="s">
        <v>2100</v>
      </c>
      <c r="F12372" t="s">
        <v>12382</v>
      </c>
      <c r="G12372">
        <v>1</v>
      </c>
    </row>
    <row r="12373" spans="1:7" x14ac:dyDescent="0.25">
      <c r="A12373">
        <v>38</v>
      </c>
      <c r="B12373" t="s">
        <v>11969</v>
      </c>
      <c r="C12373">
        <v>10276</v>
      </c>
      <c r="D12373" t="str">
        <f>"1386-7857"</f>
        <v>1386-7857</v>
      </c>
      <c r="E12373" t="s">
        <v>8</v>
      </c>
      <c r="F12373" t="s">
        <v>12383</v>
      </c>
      <c r="G12373">
        <v>1</v>
      </c>
    </row>
    <row r="12374" spans="1:7" x14ac:dyDescent="0.25">
      <c r="A12374">
        <v>38</v>
      </c>
      <c r="B12374" t="s">
        <v>11969</v>
      </c>
      <c r="C12374">
        <v>5010414</v>
      </c>
      <c r="E12374" t="s">
        <v>2100</v>
      </c>
      <c r="F12374" t="s">
        <v>12384</v>
      </c>
      <c r="G12374">
        <v>1</v>
      </c>
    </row>
    <row r="12375" spans="1:7" x14ac:dyDescent="0.25">
      <c r="A12375">
        <v>38</v>
      </c>
      <c r="B12375" t="s">
        <v>11969</v>
      </c>
      <c r="C12375">
        <v>8782542</v>
      </c>
      <c r="E12375" t="s">
        <v>2100</v>
      </c>
      <c r="F12375" t="s">
        <v>12385</v>
      </c>
      <c r="G12375">
        <v>1</v>
      </c>
    </row>
    <row r="12376" spans="1:7" x14ac:dyDescent="0.25">
      <c r="A12376">
        <v>38</v>
      </c>
      <c r="B12376" t="s">
        <v>11969</v>
      </c>
      <c r="C12376">
        <v>5010481</v>
      </c>
      <c r="E12376" t="s">
        <v>2100</v>
      </c>
      <c r="F12376" t="s">
        <v>12386</v>
      </c>
      <c r="G12376">
        <v>1</v>
      </c>
    </row>
    <row r="12377" spans="1:7" x14ac:dyDescent="0.25">
      <c r="A12377">
        <v>38</v>
      </c>
      <c r="B12377" t="s">
        <v>11969</v>
      </c>
      <c r="C12377">
        <v>5010489</v>
      </c>
      <c r="E12377" t="s">
        <v>2100</v>
      </c>
      <c r="F12377" t="s">
        <v>12387</v>
      </c>
      <c r="G12377">
        <v>1</v>
      </c>
    </row>
    <row r="12378" spans="1:7" x14ac:dyDescent="0.25">
      <c r="A12378">
        <v>38</v>
      </c>
      <c r="B12378" t="s">
        <v>11969</v>
      </c>
      <c r="C12378">
        <v>5000045</v>
      </c>
      <c r="E12378" t="s">
        <v>2100</v>
      </c>
      <c r="F12378" t="s">
        <v>12388</v>
      </c>
      <c r="G12378">
        <v>1</v>
      </c>
    </row>
    <row r="12379" spans="1:7" x14ac:dyDescent="0.25">
      <c r="A12379">
        <v>38</v>
      </c>
      <c r="B12379" t="s">
        <v>11969</v>
      </c>
      <c r="C12379">
        <v>5010520</v>
      </c>
      <c r="E12379" t="s">
        <v>2100</v>
      </c>
      <c r="F12379" t="s">
        <v>12389</v>
      </c>
      <c r="G12379">
        <v>1</v>
      </c>
    </row>
    <row r="12380" spans="1:7" x14ac:dyDescent="0.25">
      <c r="A12380">
        <v>38</v>
      </c>
      <c r="B12380" t="s">
        <v>11969</v>
      </c>
      <c r="C12380">
        <v>13666</v>
      </c>
      <c r="D12380" t="str">
        <f>"0824-7935"</f>
        <v>0824-7935</v>
      </c>
      <c r="E12380" t="s">
        <v>8</v>
      </c>
      <c r="F12380" t="s">
        <v>12390</v>
      </c>
      <c r="G12380">
        <v>1</v>
      </c>
    </row>
    <row r="12381" spans="1:7" x14ac:dyDescent="0.25">
      <c r="A12381">
        <v>38</v>
      </c>
      <c r="B12381" t="s">
        <v>11969</v>
      </c>
      <c r="C12381">
        <v>5000046</v>
      </c>
      <c r="E12381" t="s">
        <v>2100</v>
      </c>
      <c r="F12381" t="s">
        <v>12391</v>
      </c>
      <c r="G12381">
        <v>1</v>
      </c>
    </row>
    <row r="12382" spans="1:7" x14ac:dyDescent="0.25">
      <c r="A12382">
        <v>38</v>
      </c>
      <c r="B12382" t="s">
        <v>11969</v>
      </c>
      <c r="C12382">
        <v>2197</v>
      </c>
      <c r="D12382" t="str">
        <f>"0146-4833"</f>
        <v>0146-4833</v>
      </c>
      <c r="E12382" t="s">
        <v>8</v>
      </c>
      <c r="F12382" t="s">
        <v>12392</v>
      </c>
      <c r="G12382">
        <v>1</v>
      </c>
    </row>
    <row r="12383" spans="1:7" x14ac:dyDescent="0.25">
      <c r="A12383">
        <v>38</v>
      </c>
      <c r="B12383" t="s">
        <v>11969</v>
      </c>
      <c r="C12383">
        <v>5010874</v>
      </c>
      <c r="E12383" t="s">
        <v>2100</v>
      </c>
      <c r="F12383" t="s">
        <v>12393</v>
      </c>
      <c r="G12383">
        <v>1</v>
      </c>
    </row>
    <row r="12384" spans="1:7" x14ac:dyDescent="0.25">
      <c r="A12384">
        <v>38</v>
      </c>
      <c r="B12384" t="s">
        <v>11969</v>
      </c>
      <c r="C12384">
        <v>7143875</v>
      </c>
      <c r="D12384" t="str">
        <f>"1467-8659"</f>
        <v>1467-8659</v>
      </c>
      <c r="E12384" t="s">
        <v>8</v>
      </c>
      <c r="F12384" t="s">
        <v>12394</v>
      </c>
      <c r="G12384">
        <v>1</v>
      </c>
    </row>
    <row r="12385" spans="1:7" x14ac:dyDescent="0.25">
      <c r="A12385">
        <v>38</v>
      </c>
      <c r="B12385" t="s">
        <v>11969</v>
      </c>
      <c r="C12385">
        <v>5000040</v>
      </c>
      <c r="E12385" t="s">
        <v>2100</v>
      </c>
      <c r="F12385" t="s">
        <v>12395</v>
      </c>
      <c r="G12385">
        <v>1</v>
      </c>
    </row>
    <row r="12386" spans="1:7" x14ac:dyDescent="0.25">
      <c r="A12386">
        <v>38</v>
      </c>
      <c r="B12386" t="s">
        <v>11969</v>
      </c>
      <c r="C12386">
        <v>14068</v>
      </c>
      <c r="D12386" t="str">
        <f>"0271-4159"</f>
        <v>0271-4159</v>
      </c>
      <c r="E12386" t="s">
        <v>8</v>
      </c>
      <c r="F12386" t="s">
        <v>12396</v>
      </c>
      <c r="G12386">
        <v>1</v>
      </c>
    </row>
    <row r="12387" spans="1:7" x14ac:dyDescent="0.25">
      <c r="A12387">
        <v>38</v>
      </c>
      <c r="B12387" t="s">
        <v>11969</v>
      </c>
      <c r="C12387">
        <v>9604</v>
      </c>
      <c r="D12387" t="str">
        <f>"1477-8424"</f>
        <v>1477-8424</v>
      </c>
      <c r="E12387" t="s">
        <v>8</v>
      </c>
      <c r="F12387" t="s">
        <v>12397</v>
      </c>
      <c r="G12387">
        <v>1</v>
      </c>
    </row>
    <row r="12388" spans="1:7" x14ac:dyDescent="0.25">
      <c r="A12388">
        <v>38</v>
      </c>
      <c r="B12388" t="s">
        <v>11969</v>
      </c>
      <c r="C12388">
        <v>156466</v>
      </c>
      <c r="D12388" t="str">
        <f>"1820-0214"</f>
        <v>1820-0214</v>
      </c>
      <c r="E12388" t="s">
        <v>8</v>
      </c>
      <c r="F12388" t="s">
        <v>12398</v>
      </c>
      <c r="G12388">
        <v>1</v>
      </c>
    </row>
    <row r="12389" spans="1:7" x14ac:dyDescent="0.25">
      <c r="A12389">
        <v>38</v>
      </c>
      <c r="B12389" t="s">
        <v>11969</v>
      </c>
      <c r="C12389">
        <v>11165</v>
      </c>
      <c r="D12389" t="str">
        <f>"0920-5489"</f>
        <v>0920-5489</v>
      </c>
      <c r="E12389" t="s">
        <v>8</v>
      </c>
      <c r="F12389" t="s">
        <v>12399</v>
      </c>
      <c r="G12389">
        <v>1</v>
      </c>
    </row>
    <row r="12390" spans="1:7" x14ac:dyDescent="0.25">
      <c r="A12390">
        <v>38</v>
      </c>
      <c r="B12390" t="s">
        <v>11969</v>
      </c>
      <c r="C12390">
        <v>16176</v>
      </c>
      <c r="D12390" t="str">
        <f>"0045-7906"</f>
        <v>0045-7906</v>
      </c>
      <c r="E12390" t="s">
        <v>8</v>
      </c>
      <c r="F12390" t="s">
        <v>12400</v>
      </c>
      <c r="G12390">
        <v>1</v>
      </c>
    </row>
    <row r="12391" spans="1:7" x14ac:dyDescent="0.25">
      <c r="A12391">
        <v>38</v>
      </c>
      <c r="B12391" t="s">
        <v>11969</v>
      </c>
      <c r="C12391">
        <v>11174</v>
      </c>
      <c r="D12391" t="str">
        <f>"0097-8493"</f>
        <v>0097-8493</v>
      </c>
      <c r="E12391" t="s">
        <v>8</v>
      </c>
      <c r="F12391" t="s">
        <v>12401</v>
      </c>
      <c r="G12391">
        <v>1</v>
      </c>
    </row>
    <row r="12392" spans="1:7" x14ac:dyDescent="0.25">
      <c r="A12392">
        <v>38</v>
      </c>
      <c r="B12392" t="s">
        <v>11969</v>
      </c>
      <c r="C12392">
        <v>14923</v>
      </c>
      <c r="D12392" t="str">
        <f>"1759-3425"</f>
        <v>1759-3425</v>
      </c>
      <c r="E12392" t="s">
        <v>8</v>
      </c>
      <c r="F12392" t="s">
        <v>12402</v>
      </c>
      <c r="G12392">
        <v>1</v>
      </c>
    </row>
    <row r="12393" spans="1:7" x14ac:dyDescent="0.25">
      <c r="A12393">
        <v>38</v>
      </c>
      <c r="B12393" t="s">
        <v>11969</v>
      </c>
      <c r="C12393">
        <v>6591</v>
      </c>
      <c r="D12393" t="str">
        <f>"1335-9150"</f>
        <v>1335-9150</v>
      </c>
      <c r="E12393" t="s">
        <v>8</v>
      </c>
      <c r="F12393" t="s">
        <v>12403</v>
      </c>
      <c r="G12393">
        <v>1</v>
      </c>
    </row>
    <row r="12394" spans="1:7" x14ac:dyDescent="0.25">
      <c r="A12394">
        <v>38</v>
      </c>
      <c r="B12394" t="s">
        <v>11969</v>
      </c>
      <c r="C12394">
        <v>3483</v>
      </c>
      <c r="D12394" t="str">
        <f>"1521-9615"</f>
        <v>1521-9615</v>
      </c>
      <c r="E12394" t="s">
        <v>8</v>
      </c>
      <c r="F12394" t="s">
        <v>12404</v>
      </c>
      <c r="G12394">
        <v>1</v>
      </c>
    </row>
    <row r="12395" spans="1:7" x14ac:dyDescent="0.25">
      <c r="A12395">
        <v>38</v>
      </c>
      <c r="B12395" t="s">
        <v>11969</v>
      </c>
      <c r="C12395">
        <v>8782540</v>
      </c>
      <c r="E12395" t="s">
        <v>2100</v>
      </c>
      <c r="F12395" t="s">
        <v>12405</v>
      </c>
      <c r="G12395">
        <v>1</v>
      </c>
    </row>
    <row r="12396" spans="1:7" x14ac:dyDescent="0.25">
      <c r="A12396">
        <v>38</v>
      </c>
      <c r="B12396" t="s">
        <v>11969</v>
      </c>
      <c r="C12396">
        <v>5000545</v>
      </c>
      <c r="E12396" t="s">
        <v>2100</v>
      </c>
      <c r="F12396" t="s">
        <v>12406</v>
      </c>
      <c r="G12396">
        <v>1</v>
      </c>
    </row>
    <row r="12397" spans="1:7" x14ac:dyDescent="0.25">
      <c r="A12397">
        <v>38</v>
      </c>
      <c r="B12397" t="s">
        <v>11969</v>
      </c>
      <c r="C12397">
        <v>5010372</v>
      </c>
      <c r="E12397" t="s">
        <v>2100</v>
      </c>
      <c r="F12397" t="s">
        <v>12407</v>
      </c>
      <c r="G12397">
        <v>1</v>
      </c>
    </row>
    <row r="12398" spans="1:7" x14ac:dyDescent="0.25">
      <c r="A12398">
        <v>38</v>
      </c>
      <c r="B12398" t="s">
        <v>11969</v>
      </c>
      <c r="C12398">
        <v>5000036</v>
      </c>
      <c r="E12398" t="s">
        <v>2100</v>
      </c>
      <c r="F12398" t="s">
        <v>12408</v>
      </c>
      <c r="G12398">
        <v>1</v>
      </c>
    </row>
    <row r="12399" spans="1:7" x14ac:dyDescent="0.25">
      <c r="A12399">
        <v>38</v>
      </c>
      <c r="B12399" t="s">
        <v>11969</v>
      </c>
      <c r="C12399">
        <v>5010802</v>
      </c>
      <c r="E12399" t="s">
        <v>2100</v>
      </c>
      <c r="F12399" t="s">
        <v>12409</v>
      </c>
      <c r="G12399">
        <v>1</v>
      </c>
    </row>
    <row r="12400" spans="1:7" x14ac:dyDescent="0.25">
      <c r="A12400">
        <v>38</v>
      </c>
      <c r="B12400" t="s">
        <v>11969</v>
      </c>
      <c r="C12400">
        <v>5000016</v>
      </c>
      <c r="D12400" t="str">
        <f>"0302-9743"</f>
        <v>0302-9743</v>
      </c>
      <c r="E12400" t="s">
        <v>2100</v>
      </c>
      <c r="F12400" t="s">
        <v>12410</v>
      </c>
      <c r="G12400">
        <v>1</v>
      </c>
    </row>
    <row r="12401" spans="1:7" x14ac:dyDescent="0.25">
      <c r="A12401">
        <v>38</v>
      </c>
      <c r="B12401" t="s">
        <v>11969</v>
      </c>
      <c r="C12401">
        <v>5010801</v>
      </c>
      <c r="E12401" t="s">
        <v>2100</v>
      </c>
      <c r="F12401" t="s">
        <v>12411</v>
      </c>
      <c r="G12401">
        <v>1</v>
      </c>
    </row>
    <row r="12402" spans="1:7" x14ac:dyDescent="0.25">
      <c r="A12402">
        <v>38</v>
      </c>
      <c r="B12402" t="s">
        <v>11969</v>
      </c>
      <c r="C12402">
        <v>5000423</v>
      </c>
      <c r="D12402" t="str">
        <f>"2569-2925"</f>
        <v>2569-2925</v>
      </c>
      <c r="E12402" t="s">
        <v>2100</v>
      </c>
      <c r="F12402" t="s">
        <v>12412</v>
      </c>
      <c r="G12402">
        <v>1</v>
      </c>
    </row>
    <row r="12403" spans="1:7" x14ac:dyDescent="0.25">
      <c r="A12403">
        <v>38</v>
      </c>
      <c r="B12403" t="s">
        <v>11969</v>
      </c>
      <c r="C12403">
        <v>5010089</v>
      </c>
      <c r="E12403" t="s">
        <v>2100</v>
      </c>
      <c r="F12403" t="s">
        <v>12413</v>
      </c>
      <c r="G12403">
        <v>1</v>
      </c>
    </row>
    <row r="12404" spans="1:7" x14ac:dyDescent="0.25">
      <c r="A12404">
        <v>38</v>
      </c>
      <c r="B12404" t="s">
        <v>11969</v>
      </c>
      <c r="C12404">
        <v>8782545</v>
      </c>
      <c r="E12404" t="s">
        <v>2100</v>
      </c>
      <c r="F12404" t="s">
        <v>12414</v>
      </c>
      <c r="G12404">
        <v>1</v>
      </c>
    </row>
    <row r="12405" spans="1:7" x14ac:dyDescent="0.25">
      <c r="A12405">
        <v>38</v>
      </c>
      <c r="B12405" t="s">
        <v>11969</v>
      </c>
      <c r="C12405">
        <v>5010885</v>
      </c>
      <c r="E12405" t="s">
        <v>2100</v>
      </c>
      <c r="F12405" t="s">
        <v>12415</v>
      </c>
      <c r="G12405">
        <v>1</v>
      </c>
    </row>
    <row r="12406" spans="1:7" x14ac:dyDescent="0.25">
      <c r="A12406">
        <v>38</v>
      </c>
      <c r="B12406" t="s">
        <v>11969</v>
      </c>
      <c r="C12406">
        <v>5000638</v>
      </c>
      <c r="E12406" t="s">
        <v>2100</v>
      </c>
      <c r="F12406" t="s">
        <v>12416</v>
      </c>
      <c r="G12406">
        <v>1</v>
      </c>
    </row>
    <row r="12407" spans="1:7" x14ac:dyDescent="0.25">
      <c r="A12407">
        <v>38</v>
      </c>
      <c r="B12407" t="s">
        <v>11969</v>
      </c>
      <c r="C12407">
        <v>5010127</v>
      </c>
      <c r="E12407" t="s">
        <v>2100</v>
      </c>
      <c r="F12407" t="s">
        <v>12417</v>
      </c>
      <c r="G12407">
        <v>1</v>
      </c>
    </row>
    <row r="12408" spans="1:7" x14ac:dyDescent="0.25">
      <c r="A12408">
        <v>38</v>
      </c>
      <c r="B12408" t="s">
        <v>11969</v>
      </c>
      <c r="C12408">
        <v>5000056</v>
      </c>
      <c r="D12408" t="str">
        <f>"1093-0175"</f>
        <v>1093-0175</v>
      </c>
      <c r="E12408" t="s">
        <v>2100</v>
      </c>
      <c r="F12408" t="s">
        <v>12418</v>
      </c>
      <c r="G12408">
        <v>1</v>
      </c>
    </row>
    <row r="12409" spans="1:7" x14ac:dyDescent="0.25">
      <c r="A12409">
        <v>38</v>
      </c>
      <c r="B12409" t="s">
        <v>11969</v>
      </c>
      <c r="C12409">
        <v>5000332</v>
      </c>
      <c r="E12409" t="s">
        <v>2100</v>
      </c>
      <c r="F12409" t="s">
        <v>12419</v>
      </c>
      <c r="G12409">
        <v>1</v>
      </c>
    </row>
    <row r="12410" spans="1:7" x14ac:dyDescent="0.25">
      <c r="A12410">
        <v>38</v>
      </c>
      <c r="B12410" t="s">
        <v>11969</v>
      </c>
      <c r="C12410">
        <v>5020066</v>
      </c>
      <c r="E12410" t="s">
        <v>2100</v>
      </c>
      <c r="F12410" t="s">
        <v>12420</v>
      </c>
      <c r="G12410">
        <v>1</v>
      </c>
    </row>
    <row r="12411" spans="1:7" x14ac:dyDescent="0.25">
      <c r="A12411">
        <v>38</v>
      </c>
      <c r="B12411" t="s">
        <v>11969</v>
      </c>
      <c r="C12411">
        <v>5000077</v>
      </c>
      <c r="E12411" t="s">
        <v>2100</v>
      </c>
      <c r="F12411" t="s">
        <v>12421</v>
      </c>
      <c r="G12411">
        <v>1</v>
      </c>
    </row>
    <row r="12412" spans="1:7" x14ac:dyDescent="0.25">
      <c r="A12412">
        <v>38</v>
      </c>
      <c r="B12412" t="s">
        <v>11969</v>
      </c>
      <c r="C12412">
        <v>5010876</v>
      </c>
      <c r="E12412" t="s">
        <v>2100</v>
      </c>
      <c r="F12412" t="s">
        <v>12422</v>
      </c>
      <c r="G12412">
        <v>1</v>
      </c>
    </row>
    <row r="12413" spans="1:7" x14ac:dyDescent="0.25">
      <c r="A12413">
        <v>38</v>
      </c>
      <c r="B12413" t="s">
        <v>11969</v>
      </c>
      <c r="C12413">
        <v>5010868</v>
      </c>
      <c r="E12413" t="s">
        <v>2100</v>
      </c>
      <c r="F12413" t="s">
        <v>12423</v>
      </c>
      <c r="G12413">
        <v>1</v>
      </c>
    </row>
    <row r="12414" spans="1:7" x14ac:dyDescent="0.25">
      <c r="A12414">
        <v>38</v>
      </c>
      <c r="B12414" t="s">
        <v>11969</v>
      </c>
      <c r="C12414">
        <v>5000609</v>
      </c>
      <c r="E12414" t="s">
        <v>2100</v>
      </c>
      <c r="F12414" t="s">
        <v>12424</v>
      </c>
      <c r="G12414">
        <v>1</v>
      </c>
    </row>
    <row r="12415" spans="1:7" x14ac:dyDescent="0.25">
      <c r="A12415">
        <v>38</v>
      </c>
      <c r="B12415" t="s">
        <v>11969</v>
      </c>
      <c r="C12415">
        <v>9465</v>
      </c>
      <c r="D12415" t="str">
        <f>"0954-0091"</f>
        <v>0954-0091</v>
      </c>
      <c r="E12415" t="s">
        <v>8</v>
      </c>
      <c r="F12415" t="s">
        <v>12425</v>
      </c>
      <c r="G12415">
        <v>1</v>
      </c>
    </row>
    <row r="12416" spans="1:7" x14ac:dyDescent="0.25">
      <c r="A12416">
        <v>38</v>
      </c>
      <c r="B12416" t="s">
        <v>11969</v>
      </c>
      <c r="C12416">
        <v>441</v>
      </c>
      <c r="D12416" t="str">
        <f>"1383-7133"</f>
        <v>1383-7133</v>
      </c>
      <c r="E12416" t="s">
        <v>8</v>
      </c>
      <c r="F12416" t="s">
        <v>12426</v>
      </c>
      <c r="G12416">
        <v>1</v>
      </c>
    </row>
    <row r="12417" spans="1:7" x14ac:dyDescent="0.25">
      <c r="A12417">
        <v>38</v>
      </c>
      <c r="B12417" t="s">
        <v>11969</v>
      </c>
      <c r="C12417">
        <v>380</v>
      </c>
      <c r="D12417" t="str">
        <f>"0196-9722"</f>
        <v>0196-9722</v>
      </c>
      <c r="E12417" t="s">
        <v>8</v>
      </c>
      <c r="F12417" t="s">
        <v>12427</v>
      </c>
      <c r="G12417">
        <v>1</v>
      </c>
    </row>
    <row r="12418" spans="1:7" x14ac:dyDescent="0.25">
      <c r="A12418">
        <v>38</v>
      </c>
      <c r="B12418" t="s">
        <v>11969</v>
      </c>
      <c r="C12418">
        <v>16182</v>
      </c>
      <c r="D12418" t="str">
        <f>"1060-0396"</f>
        <v>1060-0396</v>
      </c>
      <c r="E12418" t="s">
        <v>8</v>
      </c>
      <c r="F12418" t="s">
        <v>12428</v>
      </c>
      <c r="G12418">
        <v>1</v>
      </c>
    </row>
    <row r="12419" spans="1:7" x14ac:dyDescent="0.25">
      <c r="A12419">
        <v>38</v>
      </c>
      <c r="B12419" t="s">
        <v>11969</v>
      </c>
      <c r="C12419">
        <v>5010886</v>
      </c>
      <c r="E12419" t="s">
        <v>2100</v>
      </c>
      <c r="F12419" t="s">
        <v>12429</v>
      </c>
      <c r="G12419">
        <v>1</v>
      </c>
    </row>
    <row r="12420" spans="1:7" x14ac:dyDescent="0.25">
      <c r="A12420">
        <v>38</v>
      </c>
      <c r="B12420" t="s">
        <v>11969</v>
      </c>
      <c r="C12420">
        <v>5000205</v>
      </c>
      <c r="E12420" t="s">
        <v>2100</v>
      </c>
      <c r="F12420" t="s">
        <v>12430</v>
      </c>
      <c r="G12420">
        <v>1</v>
      </c>
    </row>
    <row r="12421" spans="1:7" x14ac:dyDescent="0.25">
      <c r="A12421">
        <v>38</v>
      </c>
      <c r="B12421" t="s">
        <v>11969</v>
      </c>
      <c r="C12421">
        <v>9920</v>
      </c>
      <c r="E12421" t="s">
        <v>8</v>
      </c>
      <c r="F12421" t="s">
        <v>12431</v>
      </c>
      <c r="G12421">
        <v>1</v>
      </c>
    </row>
    <row r="12422" spans="1:7" x14ac:dyDescent="0.25">
      <c r="A12422">
        <v>38</v>
      </c>
      <c r="B12422" t="s">
        <v>11969</v>
      </c>
      <c r="C12422">
        <v>5000184</v>
      </c>
      <c r="E12422" t="s">
        <v>2100</v>
      </c>
      <c r="F12422" t="s">
        <v>12432</v>
      </c>
      <c r="G12422">
        <v>1</v>
      </c>
    </row>
    <row r="12423" spans="1:7" x14ac:dyDescent="0.25">
      <c r="A12423">
        <v>38</v>
      </c>
      <c r="B12423" t="s">
        <v>11969</v>
      </c>
      <c r="C12423">
        <v>135145</v>
      </c>
      <c r="D12423" t="str">
        <f>"1618-2162"</f>
        <v>1618-2162</v>
      </c>
      <c r="E12423" t="s">
        <v>8</v>
      </c>
      <c r="F12423" t="s">
        <v>12433</v>
      </c>
      <c r="G12423">
        <v>1</v>
      </c>
    </row>
    <row r="12424" spans="1:7" x14ac:dyDescent="0.25">
      <c r="A12424">
        <v>38</v>
      </c>
      <c r="B12424" t="s">
        <v>11969</v>
      </c>
      <c r="C12424">
        <v>5000362</v>
      </c>
      <c r="E12424" t="s">
        <v>2100</v>
      </c>
      <c r="F12424" t="s">
        <v>12434</v>
      </c>
      <c r="G12424">
        <v>1</v>
      </c>
    </row>
    <row r="12425" spans="1:7" x14ac:dyDescent="0.25">
      <c r="A12425">
        <v>38</v>
      </c>
      <c r="B12425" t="s">
        <v>11969</v>
      </c>
      <c r="C12425">
        <v>5000366</v>
      </c>
      <c r="E12425" t="s">
        <v>2100</v>
      </c>
      <c r="F12425" t="s">
        <v>12435</v>
      </c>
      <c r="G12425">
        <v>1</v>
      </c>
    </row>
    <row r="12426" spans="1:7" x14ac:dyDescent="0.25">
      <c r="A12426">
        <v>38</v>
      </c>
      <c r="B12426" t="s">
        <v>11969</v>
      </c>
      <c r="C12426">
        <v>5010098</v>
      </c>
      <c r="E12426" t="s">
        <v>2100</v>
      </c>
      <c r="F12426" t="s">
        <v>12436</v>
      </c>
      <c r="G12426">
        <v>1</v>
      </c>
    </row>
    <row r="12427" spans="1:7" x14ac:dyDescent="0.25">
      <c r="A12427">
        <v>38</v>
      </c>
      <c r="B12427" t="s">
        <v>11969</v>
      </c>
      <c r="C12427">
        <v>8783362</v>
      </c>
      <c r="D12427" t="str">
        <f>"2413-6700"</f>
        <v>2413-6700</v>
      </c>
      <c r="E12427" t="s">
        <v>2100</v>
      </c>
      <c r="F12427" t="s">
        <v>12437</v>
      </c>
      <c r="G12427">
        <v>1</v>
      </c>
    </row>
    <row r="12428" spans="1:7" x14ac:dyDescent="0.25">
      <c r="A12428">
        <v>38</v>
      </c>
      <c r="B12428" t="s">
        <v>11969</v>
      </c>
      <c r="C12428">
        <v>5731</v>
      </c>
      <c r="D12428" t="str">
        <f>"1742-2876"</f>
        <v>1742-2876</v>
      </c>
      <c r="E12428" t="s">
        <v>8</v>
      </c>
      <c r="F12428" t="s">
        <v>12438</v>
      </c>
      <c r="G12428">
        <v>1</v>
      </c>
    </row>
    <row r="12429" spans="1:7" x14ac:dyDescent="0.25">
      <c r="A12429">
        <v>38</v>
      </c>
      <c r="B12429" t="s">
        <v>11969</v>
      </c>
      <c r="C12429">
        <v>5010428</v>
      </c>
      <c r="E12429" t="s">
        <v>2100</v>
      </c>
      <c r="F12429" t="s">
        <v>12439</v>
      </c>
      <c r="G12429">
        <v>1</v>
      </c>
    </row>
    <row r="12430" spans="1:7" x14ac:dyDescent="0.25">
      <c r="A12430">
        <v>38</v>
      </c>
      <c r="B12430" t="s">
        <v>11969</v>
      </c>
      <c r="C12430">
        <v>5010409</v>
      </c>
      <c r="D12430" t="str">
        <f>"1868-4238"</f>
        <v>1868-4238</v>
      </c>
      <c r="E12430" t="s">
        <v>2100</v>
      </c>
      <c r="F12430" t="s">
        <v>12440</v>
      </c>
      <c r="G12430">
        <v>1</v>
      </c>
    </row>
    <row r="12431" spans="1:7" x14ac:dyDescent="0.25">
      <c r="A12431">
        <v>38</v>
      </c>
      <c r="B12431" t="s">
        <v>11969</v>
      </c>
      <c r="C12431">
        <v>5010162</v>
      </c>
      <c r="E12431" t="s">
        <v>2100</v>
      </c>
      <c r="F12431" t="s">
        <v>12441</v>
      </c>
      <c r="G12431">
        <v>1</v>
      </c>
    </row>
    <row r="12432" spans="1:7" x14ac:dyDescent="0.25">
      <c r="A12432">
        <v>38</v>
      </c>
      <c r="B12432" t="s">
        <v>11969</v>
      </c>
      <c r="C12432">
        <v>5010418</v>
      </c>
      <c r="E12432" t="s">
        <v>2100</v>
      </c>
      <c r="F12432" t="s">
        <v>12442</v>
      </c>
      <c r="G12432">
        <v>1</v>
      </c>
    </row>
    <row r="12433" spans="1:7" x14ac:dyDescent="0.25">
      <c r="A12433">
        <v>38</v>
      </c>
      <c r="B12433" t="s">
        <v>11969</v>
      </c>
      <c r="C12433">
        <v>5010362</v>
      </c>
      <c r="E12433" t="s">
        <v>2100</v>
      </c>
      <c r="F12433" t="s">
        <v>12443</v>
      </c>
      <c r="G12433">
        <v>1</v>
      </c>
    </row>
    <row r="12434" spans="1:7" x14ac:dyDescent="0.25">
      <c r="A12434">
        <v>38</v>
      </c>
      <c r="B12434" t="s">
        <v>11969</v>
      </c>
      <c r="C12434">
        <v>5010442</v>
      </c>
      <c r="E12434" t="s">
        <v>2100</v>
      </c>
      <c r="F12434" t="s">
        <v>12444</v>
      </c>
      <c r="G12434">
        <v>1</v>
      </c>
    </row>
    <row r="12435" spans="1:7" x14ac:dyDescent="0.25">
      <c r="A12435">
        <v>38</v>
      </c>
      <c r="B12435" t="s">
        <v>11969</v>
      </c>
      <c r="C12435">
        <v>5000195</v>
      </c>
      <c r="E12435" t="s">
        <v>2100</v>
      </c>
      <c r="F12435" t="s">
        <v>12445</v>
      </c>
      <c r="G12435">
        <v>1</v>
      </c>
    </row>
    <row r="12436" spans="1:7" x14ac:dyDescent="0.25">
      <c r="A12436">
        <v>38</v>
      </c>
      <c r="B12436" t="s">
        <v>11969</v>
      </c>
      <c r="C12436">
        <v>5010210</v>
      </c>
      <c r="E12436" t="s">
        <v>2100</v>
      </c>
      <c r="F12436" t="s">
        <v>12446</v>
      </c>
      <c r="G12436">
        <v>1</v>
      </c>
    </row>
    <row r="12437" spans="1:7" x14ac:dyDescent="0.25">
      <c r="A12437">
        <v>38</v>
      </c>
      <c r="B12437" t="s">
        <v>11969</v>
      </c>
      <c r="C12437">
        <v>5010224</v>
      </c>
      <c r="E12437" t="s">
        <v>2100</v>
      </c>
      <c r="F12437" t="s">
        <v>12447</v>
      </c>
      <c r="G12437">
        <v>1</v>
      </c>
    </row>
    <row r="12438" spans="1:7" x14ac:dyDescent="0.25">
      <c r="A12438">
        <v>38</v>
      </c>
      <c r="B12438" t="s">
        <v>11969</v>
      </c>
      <c r="C12438">
        <v>5010247</v>
      </c>
      <c r="E12438" t="s">
        <v>2100</v>
      </c>
      <c r="F12438" t="s">
        <v>12448</v>
      </c>
      <c r="G12438">
        <v>1</v>
      </c>
    </row>
    <row r="12439" spans="1:7" x14ac:dyDescent="0.25">
      <c r="A12439">
        <v>38</v>
      </c>
      <c r="B12439" t="s">
        <v>11969</v>
      </c>
      <c r="C12439">
        <v>5010458</v>
      </c>
      <c r="E12439" t="s">
        <v>2100</v>
      </c>
      <c r="F12439" t="s">
        <v>12449</v>
      </c>
      <c r="G12439">
        <v>1</v>
      </c>
    </row>
    <row r="12440" spans="1:7" x14ac:dyDescent="0.25">
      <c r="A12440">
        <v>38</v>
      </c>
      <c r="B12440" t="s">
        <v>11969</v>
      </c>
      <c r="C12440">
        <v>5000216</v>
      </c>
      <c r="E12440" t="s">
        <v>2100</v>
      </c>
      <c r="F12440" t="s">
        <v>12450</v>
      </c>
      <c r="G12440">
        <v>1</v>
      </c>
    </row>
    <row r="12441" spans="1:7" x14ac:dyDescent="0.25">
      <c r="A12441">
        <v>38</v>
      </c>
      <c r="B12441" t="s">
        <v>11969</v>
      </c>
      <c r="C12441">
        <v>5010826</v>
      </c>
      <c r="E12441" t="s">
        <v>2100</v>
      </c>
      <c r="F12441" t="s">
        <v>12451</v>
      </c>
      <c r="G12441">
        <v>1</v>
      </c>
    </row>
    <row r="12442" spans="1:7" x14ac:dyDescent="0.25">
      <c r="A12442">
        <v>38</v>
      </c>
      <c r="B12442" t="s">
        <v>11969</v>
      </c>
      <c r="C12442">
        <v>5010786</v>
      </c>
      <c r="E12442" t="s">
        <v>2100</v>
      </c>
      <c r="F12442" t="s">
        <v>12452</v>
      </c>
      <c r="G12442">
        <v>1</v>
      </c>
    </row>
    <row r="12443" spans="1:7" x14ac:dyDescent="0.25">
      <c r="A12443">
        <v>38</v>
      </c>
      <c r="B12443" t="s">
        <v>11969</v>
      </c>
      <c r="C12443">
        <v>5010879</v>
      </c>
      <c r="E12443" t="s">
        <v>2100</v>
      </c>
      <c r="F12443" t="s">
        <v>12453</v>
      </c>
      <c r="G12443">
        <v>1</v>
      </c>
    </row>
    <row r="12444" spans="1:7" x14ac:dyDescent="0.25">
      <c r="A12444">
        <v>38</v>
      </c>
      <c r="B12444" t="s">
        <v>11969</v>
      </c>
      <c r="C12444">
        <v>5010213</v>
      </c>
      <c r="E12444" t="s">
        <v>2100</v>
      </c>
      <c r="F12444" t="s">
        <v>12454</v>
      </c>
      <c r="G12444">
        <v>1</v>
      </c>
    </row>
    <row r="12445" spans="1:7" x14ac:dyDescent="0.25">
      <c r="A12445">
        <v>38</v>
      </c>
      <c r="B12445" t="s">
        <v>11969</v>
      </c>
      <c r="C12445">
        <v>5010383</v>
      </c>
      <c r="D12445" t="str">
        <f>"0302-9743"</f>
        <v>0302-9743</v>
      </c>
      <c r="E12445" t="s">
        <v>2100</v>
      </c>
      <c r="F12445" t="s">
        <v>12455</v>
      </c>
      <c r="G12445">
        <v>1</v>
      </c>
    </row>
    <row r="12446" spans="1:7" x14ac:dyDescent="0.25">
      <c r="A12446">
        <v>38</v>
      </c>
      <c r="B12446" t="s">
        <v>11969</v>
      </c>
      <c r="C12446">
        <v>8782629</v>
      </c>
      <c r="E12446" t="s">
        <v>2100</v>
      </c>
      <c r="F12446" t="s">
        <v>12456</v>
      </c>
      <c r="G12446">
        <v>1</v>
      </c>
    </row>
    <row r="12447" spans="1:7" x14ac:dyDescent="0.25">
      <c r="A12447">
        <v>38</v>
      </c>
      <c r="B12447" t="s">
        <v>11969</v>
      </c>
      <c r="C12447">
        <v>156437</v>
      </c>
      <c r="D12447" t="str">
        <f>"1897-7979"</f>
        <v>1897-7979</v>
      </c>
      <c r="E12447" t="s">
        <v>8</v>
      </c>
      <c r="F12447" t="s">
        <v>12457</v>
      </c>
      <c r="G12447">
        <v>1</v>
      </c>
    </row>
    <row r="12448" spans="1:7" x14ac:dyDescent="0.25">
      <c r="A12448">
        <v>38</v>
      </c>
      <c r="B12448" t="s">
        <v>11969</v>
      </c>
      <c r="C12448">
        <v>27761</v>
      </c>
      <c r="D12448" t="str">
        <f>"1577-5097"</f>
        <v>1577-5097</v>
      </c>
      <c r="E12448" t="s">
        <v>8</v>
      </c>
      <c r="F12448" t="s">
        <v>12458</v>
      </c>
      <c r="G12448">
        <v>1</v>
      </c>
    </row>
    <row r="12449" spans="1:7" x14ac:dyDescent="0.25">
      <c r="A12449">
        <v>38</v>
      </c>
      <c r="B12449" t="s">
        <v>11969</v>
      </c>
      <c r="C12449">
        <v>16016</v>
      </c>
      <c r="E12449" t="s">
        <v>8</v>
      </c>
      <c r="F12449" t="s">
        <v>12459</v>
      </c>
      <c r="G12449">
        <v>1</v>
      </c>
    </row>
    <row r="12450" spans="1:7" x14ac:dyDescent="0.25">
      <c r="A12450">
        <v>38</v>
      </c>
      <c r="B12450" t="s">
        <v>11969</v>
      </c>
      <c r="C12450">
        <v>8783204</v>
      </c>
      <c r="E12450" t="s">
        <v>8</v>
      </c>
      <c r="F12450" t="s">
        <v>12460</v>
      </c>
      <c r="G12450">
        <v>1</v>
      </c>
    </row>
    <row r="12451" spans="1:7" x14ac:dyDescent="0.25">
      <c r="A12451">
        <v>38</v>
      </c>
      <c r="B12451" t="s">
        <v>11969</v>
      </c>
      <c r="C12451">
        <v>7612</v>
      </c>
      <c r="D12451" t="str">
        <f>"0177-0667"</f>
        <v>0177-0667</v>
      </c>
      <c r="E12451" t="s">
        <v>8</v>
      </c>
      <c r="F12451" t="s">
        <v>12461</v>
      </c>
      <c r="G12451">
        <v>1</v>
      </c>
    </row>
    <row r="12452" spans="1:7" x14ac:dyDescent="0.25">
      <c r="A12452">
        <v>38</v>
      </c>
      <c r="B12452" t="s">
        <v>11969</v>
      </c>
      <c r="C12452">
        <v>5010400</v>
      </c>
      <c r="E12452" t="s">
        <v>2100</v>
      </c>
      <c r="F12452" t="s">
        <v>12462</v>
      </c>
      <c r="G12452">
        <v>1</v>
      </c>
    </row>
    <row r="12453" spans="1:7" x14ac:dyDescent="0.25">
      <c r="A12453">
        <v>38</v>
      </c>
      <c r="B12453" t="s">
        <v>11969</v>
      </c>
      <c r="C12453">
        <v>6101709</v>
      </c>
      <c r="D12453" t="str">
        <f>"1875-9521"</f>
        <v>1875-9521</v>
      </c>
      <c r="E12453" t="s">
        <v>8</v>
      </c>
      <c r="F12453" t="s">
        <v>12463</v>
      </c>
      <c r="G12453">
        <v>1</v>
      </c>
    </row>
    <row r="12454" spans="1:7" x14ac:dyDescent="0.25">
      <c r="A12454">
        <v>38</v>
      </c>
      <c r="B12454" t="s">
        <v>11969</v>
      </c>
      <c r="C12454">
        <v>5010394</v>
      </c>
      <c r="E12454" t="s">
        <v>2100</v>
      </c>
      <c r="F12454" t="s">
        <v>12464</v>
      </c>
      <c r="G12454">
        <v>1</v>
      </c>
    </row>
    <row r="12455" spans="1:7" x14ac:dyDescent="0.25">
      <c r="A12455">
        <v>38</v>
      </c>
      <c r="B12455" t="s">
        <v>11969</v>
      </c>
      <c r="C12455">
        <v>5010488</v>
      </c>
      <c r="E12455" t="s">
        <v>2100</v>
      </c>
      <c r="F12455" t="s">
        <v>12465</v>
      </c>
      <c r="G12455">
        <v>1</v>
      </c>
    </row>
    <row r="12456" spans="1:7" x14ac:dyDescent="0.25">
      <c r="A12456">
        <v>38</v>
      </c>
      <c r="B12456" t="s">
        <v>11969</v>
      </c>
      <c r="C12456">
        <v>133097</v>
      </c>
      <c r="D12456" t="str">
        <f>"0926-4981"</f>
        <v>0926-4981</v>
      </c>
      <c r="E12456" t="s">
        <v>8</v>
      </c>
      <c r="F12456" t="s">
        <v>12466</v>
      </c>
      <c r="G12456">
        <v>1</v>
      </c>
    </row>
    <row r="12457" spans="1:7" x14ac:dyDescent="0.25">
      <c r="A12457">
        <v>38</v>
      </c>
      <c r="B12457" t="s">
        <v>11969</v>
      </c>
      <c r="C12457">
        <v>5010361</v>
      </c>
      <c r="E12457" t="s">
        <v>2100</v>
      </c>
      <c r="F12457" t="s">
        <v>12467</v>
      </c>
      <c r="G12457">
        <v>1</v>
      </c>
    </row>
    <row r="12458" spans="1:7" x14ac:dyDescent="0.25">
      <c r="A12458">
        <v>38</v>
      </c>
      <c r="B12458" t="s">
        <v>11969</v>
      </c>
      <c r="C12458">
        <v>6402</v>
      </c>
      <c r="D12458" t="str">
        <f>"1687-5176"</f>
        <v>1687-5176</v>
      </c>
      <c r="E12458" t="s">
        <v>8</v>
      </c>
      <c r="F12458" t="s">
        <v>12468</v>
      </c>
      <c r="G12458">
        <v>1</v>
      </c>
    </row>
    <row r="12459" spans="1:7" x14ac:dyDescent="0.25">
      <c r="A12459">
        <v>38</v>
      </c>
      <c r="B12459" t="s">
        <v>11969</v>
      </c>
      <c r="C12459">
        <v>5010329</v>
      </c>
      <c r="E12459" t="s">
        <v>2100</v>
      </c>
      <c r="F12459" t="s">
        <v>12469</v>
      </c>
      <c r="G12459">
        <v>1</v>
      </c>
    </row>
    <row r="12460" spans="1:7" x14ac:dyDescent="0.25">
      <c r="A12460">
        <v>38</v>
      </c>
      <c r="B12460" t="s">
        <v>11969</v>
      </c>
      <c r="C12460">
        <v>5010524</v>
      </c>
      <c r="E12460" t="s">
        <v>2100</v>
      </c>
      <c r="F12460" t="s">
        <v>12470</v>
      </c>
      <c r="G12460">
        <v>1</v>
      </c>
    </row>
    <row r="12461" spans="1:7" x14ac:dyDescent="0.25">
      <c r="A12461">
        <v>38</v>
      </c>
      <c r="B12461" t="s">
        <v>11969</v>
      </c>
      <c r="C12461">
        <v>5010381</v>
      </c>
      <c r="E12461" t="s">
        <v>2100</v>
      </c>
      <c r="F12461" t="s">
        <v>12471</v>
      </c>
      <c r="G12461">
        <v>1</v>
      </c>
    </row>
    <row r="12462" spans="1:7" x14ac:dyDescent="0.25">
      <c r="A12462">
        <v>38</v>
      </c>
      <c r="B12462" t="s">
        <v>11969</v>
      </c>
      <c r="C12462">
        <v>5010351</v>
      </c>
      <c r="E12462" t="s">
        <v>2100</v>
      </c>
      <c r="F12462" t="s">
        <v>12472</v>
      </c>
      <c r="G12462">
        <v>1</v>
      </c>
    </row>
    <row r="12463" spans="1:7" x14ac:dyDescent="0.25">
      <c r="A12463">
        <v>38</v>
      </c>
      <c r="B12463" t="s">
        <v>11969</v>
      </c>
      <c r="C12463">
        <v>5010365</v>
      </c>
      <c r="E12463" t="s">
        <v>2100</v>
      </c>
      <c r="F12463" t="s">
        <v>12473</v>
      </c>
      <c r="G12463">
        <v>1</v>
      </c>
    </row>
    <row r="12464" spans="1:7" x14ac:dyDescent="0.25">
      <c r="A12464">
        <v>38</v>
      </c>
      <c r="B12464" t="s">
        <v>11969</v>
      </c>
      <c r="C12464">
        <v>5010466</v>
      </c>
      <c r="E12464" t="s">
        <v>2100</v>
      </c>
      <c r="F12464" t="s">
        <v>12474</v>
      </c>
      <c r="G12464">
        <v>1</v>
      </c>
    </row>
    <row r="12465" spans="1:7" x14ac:dyDescent="0.25">
      <c r="A12465">
        <v>38</v>
      </c>
      <c r="B12465" t="s">
        <v>11969</v>
      </c>
      <c r="C12465">
        <v>5000608</v>
      </c>
      <c r="E12465" t="s">
        <v>2100</v>
      </c>
      <c r="F12465" t="s">
        <v>12475</v>
      </c>
      <c r="G12465">
        <v>1</v>
      </c>
    </row>
    <row r="12466" spans="1:7" x14ac:dyDescent="0.25">
      <c r="A12466">
        <v>38</v>
      </c>
      <c r="B12466" t="s">
        <v>11969</v>
      </c>
      <c r="C12466">
        <v>5010379</v>
      </c>
      <c r="E12466" t="s">
        <v>2100</v>
      </c>
      <c r="F12466" t="s">
        <v>12476</v>
      </c>
      <c r="G12466">
        <v>1</v>
      </c>
    </row>
    <row r="12467" spans="1:7" x14ac:dyDescent="0.25">
      <c r="A12467">
        <v>38</v>
      </c>
      <c r="B12467" t="s">
        <v>11969</v>
      </c>
      <c r="C12467">
        <v>5000380</v>
      </c>
      <c r="E12467" t="s">
        <v>2100</v>
      </c>
      <c r="F12467" t="s">
        <v>12477</v>
      </c>
      <c r="G12467">
        <v>1</v>
      </c>
    </row>
    <row r="12468" spans="1:7" x14ac:dyDescent="0.25">
      <c r="A12468">
        <v>38</v>
      </c>
      <c r="B12468" t="s">
        <v>11969</v>
      </c>
      <c r="C12468">
        <v>5000322</v>
      </c>
      <c r="E12468" t="s">
        <v>2100</v>
      </c>
      <c r="F12468" t="s">
        <v>12478</v>
      </c>
      <c r="G12468">
        <v>1</v>
      </c>
    </row>
    <row r="12469" spans="1:7" x14ac:dyDescent="0.25">
      <c r="A12469">
        <v>38</v>
      </c>
      <c r="B12469" t="s">
        <v>11969</v>
      </c>
      <c r="C12469">
        <v>5000242</v>
      </c>
      <c r="E12469" t="s">
        <v>2100</v>
      </c>
      <c r="F12469" t="s">
        <v>12479</v>
      </c>
      <c r="G12469">
        <v>1</v>
      </c>
    </row>
    <row r="12470" spans="1:7" x14ac:dyDescent="0.25">
      <c r="A12470">
        <v>38</v>
      </c>
      <c r="B12470" t="s">
        <v>11969</v>
      </c>
      <c r="C12470">
        <v>5010371</v>
      </c>
      <c r="E12470" t="s">
        <v>2100</v>
      </c>
      <c r="F12470" t="s">
        <v>12480</v>
      </c>
      <c r="G12470">
        <v>1</v>
      </c>
    </row>
    <row r="12471" spans="1:7" x14ac:dyDescent="0.25">
      <c r="A12471">
        <v>38</v>
      </c>
      <c r="B12471" t="s">
        <v>11969</v>
      </c>
      <c r="C12471">
        <v>5000299</v>
      </c>
      <c r="E12471" t="s">
        <v>2100</v>
      </c>
      <c r="F12471" t="s">
        <v>12481</v>
      </c>
      <c r="G12471">
        <v>1</v>
      </c>
    </row>
    <row r="12472" spans="1:7" x14ac:dyDescent="0.25">
      <c r="A12472">
        <v>38</v>
      </c>
      <c r="B12472" t="s">
        <v>11969</v>
      </c>
      <c r="C12472">
        <v>5000384</v>
      </c>
      <c r="E12472" t="s">
        <v>2100</v>
      </c>
      <c r="F12472" t="s">
        <v>12482</v>
      </c>
      <c r="G12472">
        <v>1</v>
      </c>
    </row>
    <row r="12473" spans="1:7" x14ac:dyDescent="0.25">
      <c r="A12473">
        <v>38</v>
      </c>
      <c r="B12473" t="s">
        <v>11969</v>
      </c>
      <c r="C12473">
        <v>5010330</v>
      </c>
      <c r="E12473" t="s">
        <v>2100</v>
      </c>
      <c r="F12473" t="s">
        <v>12483</v>
      </c>
      <c r="G12473">
        <v>1</v>
      </c>
    </row>
    <row r="12474" spans="1:7" x14ac:dyDescent="0.25">
      <c r="A12474">
        <v>38</v>
      </c>
      <c r="B12474" t="s">
        <v>11969</v>
      </c>
      <c r="C12474">
        <v>5000093</v>
      </c>
      <c r="E12474" t="s">
        <v>2100</v>
      </c>
      <c r="F12474" t="s">
        <v>12484</v>
      </c>
      <c r="G12474">
        <v>1</v>
      </c>
    </row>
    <row r="12475" spans="1:7" x14ac:dyDescent="0.25">
      <c r="A12475">
        <v>38</v>
      </c>
      <c r="B12475" t="s">
        <v>11969</v>
      </c>
      <c r="C12475">
        <v>5000108</v>
      </c>
      <c r="E12475" t="s">
        <v>2100</v>
      </c>
      <c r="F12475" t="s">
        <v>12485</v>
      </c>
      <c r="G12475">
        <v>1</v>
      </c>
    </row>
    <row r="12476" spans="1:7" x14ac:dyDescent="0.25">
      <c r="A12476">
        <v>38</v>
      </c>
      <c r="B12476" t="s">
        <v>11969</v>
      </c>
      <c r="C12476">
        <v>5010421</v>
      </c>
      <c r="E12476" t="s">
        <v>2100</v>
      </c>
      <c r="F12476" t="s">
        <v>12486</v>
      </c>
      <c r="G12476">
        <v>1</v>
      </c>
    </row>
    <row r="12477" spans="1:7" x14ac:dyDescent="0.25">
      <c r="A12477">
        <v>38</v>
      </c>
      <c r="B12477" t="s">
        <v>11969</v>
      </c>
      <c r="C12477">
        <v>5000107</v>
      </c>
      <c r="D12477" t="str">
        <f>"0302-9743"</f>
        <v>0302-9743</v>
      </c>
      <c r="E12477" t="s">
        <v>2100</v>
      </c>
      <c r="F12477" t="s">
        <v>12487</v>
      </c>
      <c r="G12477">
        <v>1</v>
      </c>
    </row>
    <row r="12478" spans="1:7" x14ac:dyDescent="0.25">
      <c r="A12478">
        <v>38</v>
      </c>
      <c r="B12478" t="s">
        <v>11969</v>
      </c>
      <c r="C12478">
        <v>5010332</v>
      </c>
      <c r="D12478" t="str">
        <f>"2048-8602"</f>
        <v>2048-8602</v>
      </c>
      <c r="E12478" t="s">
        <v>2100</v>
      </c>
      <c r="F12478" t="s">
        <v>12488</v>
      </c>
      <c r="G12478">
        <v>1</v>
      </c>
    </row>
    <row r="12479" spans="1:7" x14ac:dyDescent="0.25">
      <c r="A12479">
        <v>38</v>
      </c>
      <c r="B12479" t="s">
        <v>11969</v>
      </c>
      <c r="C12479">
        <v>5000400</v>
      </c>
      <c r="E12479" t="s">
        <v>2100</v>
      </c>
      <c r="F12479" t="s">
        <v>12489</v>
      </c>
      <c r="G12479">
        <v>1</v>
      </c>
    </row>
    <row r="12480" spans="1:7" x14ac:dyDescent="0.25">
      <c r="A12480">
        <v>38</v>
      </c>
      <c r="B12480" t="s">
        <v>11969</v>
      </c>
      <c r="C12480">
        <v>5010333</v>
      </c>
      <c r="E12480" t="s">
        <v>2100</v>
      </c>
      <c r="F12480" t="s">
        <v>12490</v>
      </c>
      <c r="G12480">
        <v>1</v>
      </c>
    </row>
    <row r="12481" spans="1:7" x14ac:dyDescent="0.25">
      <c r="A12481">
        <v>38</v>
      </c>
      <c r="B12481" t="s">
        <v>11969</v>
      </c>
      <c r="C12481">
        <v>5000175</v>
      </c>
      <c r="E12481" t="s">
        <v>2100</v>
      </c>
      <c r="F12481" t="s">
        <v>12491</v>
      </c>
      <c r="G12481">
        <v>1</v>
      </c>
    </row>
    <row r="12482" spans="1:7" x14ac:dyDescent="0.25">
      <c r="A12482">
        <v>38</v>
      </c>
      <c r="B12482" t="s">
        <v>11969</v>
      </c>
      <c r="C12482">
        <v>5010335</v>
      </c>
      <c r="E12482" t="s">
        <v>2100</v>
      </c>
      <c r="F12482" t="s">
        <v>12492</v>
      </c>
      <c r="G12482">
        <v>1</v>
      </c>
    </row>
    <row r="12483" spans="1:7" x14ac:dyDescent="0.25">
      <c r="A12483">
        <v>38</v>
      </c>
      <c r="B12483" t="s">
        <v>11969</v>
      </c>
      <c r="C12483">
        <v>5000388</v>
      </c>
      <c r="D12483" t="str">
        <f>"0302-9743"</f>
        <v>0302-9743</v>
      </c>
      <c r="E12483" t="s">
        <v>2100</v>
      </c>
      <c r="F12483" t="s">
        <v>12493</v>
      </c>
      <c r="G12483">
        <v>1</v>
      </c>
    </row>
    <row r="12484" spans="1:7" x14ac:dyDescent="0.25">
      <c r="A12484">
        <v>38</v>
      </c>
      <c r="B12484" t="s">
        <v>11969</v>
      </c>
      <c r="C12484">
        <v>5000104</v>
      </c>
      <c r="D12484" t="str">
        <f>"0302-9743"</f>
        <v>0302-9743</v>
      </c>
      <c r="E12484" t="s">
        <v>2100</v>
      </c>
      <c r="F12484" t="s">
        <v>12494</v>
      </c>
      <c r="G12484">
        <v>1</v>
      </c>
    </row>
    <row r="12485" spans="1:7" x14ac:dyDescent="0.25">
      <c r="A12485">
        <v>38</v>
      </c>
      <c r="B12485" t="s">
        <v>11969</v>
      </c>
      <c r="C12485">
        <v>5010373</v>
      </c>
      <c r="E12485" t="s">
        <v>2100</v>
      </c>
      <c r="F12485" t="s">
        <v>12495</v>
      </c>
      <c r="G12485">
        <v>1</v>
      </c>
    </row>
    <row r="12486" spans="1:7" x14ac:dyDescent="0.25">
      <c r="A12486">
        <v>38</v>
      </c>
      <c r="B12486" t="s">
        <v>11969</v>
      </c>
      <c r="C12486">
        <v>5010336</v>
      </c>
      <c r="E12486" t="s">
        <v>2100</v>
      </c>
      <c r="F12486" t="s">
        <v>12496</v>
      </c>
      <c r="G12486">
        <v>1</v>
      </c>
    </row>
    <row r="12487" spans="1:7" x14ac:dyDescent="0.25">
      <c r="A12487">
        <v>38</v>
      </c>
      <c r="B12487" t="s">
        <v>11969</v>
      </c>
      <c r="C12487">
        <v>5010366</v>
      </c>
      <c r="D12487" t="str">
        <f>"0302-9743"</f>
        <v>0302-9743</v>
      </c>
      <c r="E12487" t="s">
        <v>2100</v>
      </c>
      <c r="F12487" t="s">
        <v>12497</v>
      </c>
      <c r="G12487">
        <v>1</v>
      </c>
    </row>
    <row r="12488" spans="1:7" x14ac:dyDescent="0.25">
      <c r="A12488">
        <v>38</v>
      </c>
      <c r="B12488" t="s">
        <v>11969</v>
      </c>
      <c r="C12488">
        <v>5000392</v>
      </c>
      <c r="D12488" t="str">
        <f>"0302-9743"</f>
        <v>0302-9743</v>
      </c>
      <c r="E12488" t="s">
        <v>2100</v>
      </c>
      <c r="F12488" t="s">
        <v>12498</v>
      </c>
      <c r="G12488">
        <v>1</v>
      </c>
    </row>
    <row r="12489" spans="1:7" x14ac:dyDescent="0.25">
      <c r="A12489">
        <v>38</v>
      </c>
      <c r="B12489" t="s">
        <v>11969</v>
      </c>
      <c r="C12489">
        <v>8783142</v>
      </c>
      <c r="E12489" t="s">
        <v>2100</v>
      </c>
      <c r="F12489" t="s">
        <v>12499</v>
      </c>
      <c r="G12489">
        <v>1</v>
      </c>
    </row>
    <row r="12490" spans="1:7" x14ac:dyDescent="0.25">
      <c r="A12490">
        <v>38</v>
      </c>
      <c r="B12490" t="s">
        <v>11969</v>
      </c>
      <c r="C12490">
        <v>5000570</v>
      </c>
      <c r="D12490" t="str">
        <f>"1944-2793"</f>
        <v>1944-2793</v>
      </c>
      <c r="E12490" t="s">
        <v>2100</v>
      </c>
      <c r="F12490" t="s">
        <v>12500</v>
      </c>
      <c r="G12490">
        <v>1</v>
      </c>
    </row>
    <row r="12491" spans="1:7" x14ac:dyDescent="0.25">
      <c r="A12491">
        <v>38</v>
      </c>
      <c r="B12491" t="s">
        <v>11969</v>
      </c>
      <c r="C12491">
        <v>5000006</v>
      </c>
      <c r="E12491" t="s">
        <v>2100</v>
      </c>
      <c r="F12491" t="s">
        <v>12501</v>
      </c>
      <c r="G12491">
        <v>1</v>
      </c>
    </row>
    <row r="12492" spans="1:7" x14ac:dyDescent="0.25">
      <c r="A12492">
        <v>38</v>
      </c>
      <c r="B12492" t="s">
        <v>11969</v>
      </c>
      <c r="C12492">
        <v>5000394</v>
      </c>
      <c r="D12492" t="str">
        <f>"0302-9743"</f>
        <v>0302-9743</v>
      </c>
      <c r="E12492" t="s">
        <v>2100</v>
      </c>
      <c r="F12492" t="s">
        <v>12502</v>
      </c>
      <c r="G12492">
        <v>1</v>
      </c>
    </row>
    <row r="12493" spans="1:7" x14ac:dyDescent="0.25">
      <c r="A12493">
        <v>38</v>
      </c>
      <c r="B12493" t="s">
        <v>11969</v>
      </c>
      <c r="C12493">
        <v>5000395</v>
      </c>
      <c r="D12493" t="str">
        <f>"0302-9743"</f>
        <v>0302-9743</v>
      </c>
      <c r="E12493" t="s">
        <v>2100</v>
      </c>
      <c r="F12493" t="s">
        <v>12503</v>
      </c>
      <c r="G12493">
        <v>1</v>
      </c>
    </row>
    <row r="12494" spans="1:7" x14ac:dyDescent="0.25">
      <c r="A12494">
        <v>38</v>
      </c>
      <c r="B12494" t="s">
        <v>11969</v>
      </c>
      <c r="C12494">
        <v>5010363</v>
      </c>
      <c r="D12494" t="str">
        <f>"0302-9743"</f>
        <v>0302-9743</v>
      </c>
      <c r="E12494" t="s">
        <v>2100</v>
      </c>
      <c r="F12494" t="s">
        <v>12504</v>
      </c>
      <c r="G12494">
        <v>1</v>
      </c>
    </row>
    <row r="12495" spans="1:7" x14ac:dyDescent="0.25">
      <c r="A12495">
        <v>38</v>
      </c>
      <c r="B12495" t="s">
        <v>11969</v>
      </c>
      <c r="C12495">
        <v>5000263</v>
      </c>
      <c r="E12495" t="s">
        <v>2100</v>
      </c>
      <c r="F12495" t="s">
        <v>12505</v>
      </c>
      <c r="G12495">
        <v>1</v>
      </c>
    </row>
    <row r="12496" spans="1:7" x14ac:dyDescent="0.25">
      <c r="A12496">
        <v>38</v>
      </c>
      <c r="B12496" t="s">
        <v>11969</v>
      </c>
      <c r="C12496">
        <v>5000008</v>
      </c>
      <c r="E12496" t="s">
        <v>2100</v>
      </c>
      <c r="F12496" t="s">
        <v>12506</v>
      </c>
      <c r="G12496">
        <v>1</v>
      </c>
    </row>
    <row r="12497" spans="1:7" x14ac:dyDescent="0.25">
      <c r="A12497">
        <v>38</v>
      </c>
      <c r="B12497" t="s">
        <v>11969</v>
      </c>
      <c r="C12497">
        <v>5000326</v>
      </c>
      <c r="E12497" t="s">
        <v>2100</v>
      </c>
      <c r="F12497" t="s">
        <v>12507</v>
      </c>
      <c r="G12497">
        <v>1</v>
      </c>
    </row>
    <row r="12498" spans="1:7" x14ac:dyDescent="0.25">
      <c r="A12498">
        <v>38</v>
      </c>
      <c r="B12498" t="s">
        <v>11969</v>
      </c>
      <c r="C12498">
        <v>5010355</v>
      </c>
      <c r="E12498" t="s">
        <v>2100</v>
      </c>
      <c r="F12498" t="s">
        <v>12508</v>
      </c>
      <c r="G12498">
        <v>1</v>
      </c>
    </row>
    <row r="12499" spans="1:7" x14ac:dyDescent="0.25">
      <c r="A12499">
        <v>38</v>
      </c>
      <c r="B12499" t="s">
        <v>11969</v>
      </c>
      <c r="C12499">
        <v>5010905</v>
      </c>
      <c r="E12499" t="s">
        <v>2100</v>
      </c>
      <c r="F12499" t="s">
        <v>12509</v>
      </c>
      <c r="G12499">
        <v>1</v>
      </c>
    </row>
    <row r="12500" spans="1:7" x14ac:dyDescent="0.25">
      <c r="A12500">
        <v>38</v>
      </c>
      <c r="B12500" t="s">
        <v>11969</v>
      </c>
      <c r="C12500">
        <v>5000129</v>
      </c>
      <c r="D12500" t="str">
        <f>"0302-9743"</f>
        <v>0302-9743</v>
      </c>
      <c r="E12500" t="s">
        <v>2100</v>
      </c>
      <c r="F12500" t="s">
        <v>12510</v>
      </c>
      <c r="G12500">
        <v>1</v>
      </c>
    </row>
    <row r="12501" spans="1:7" x14ac:dyDescent="0.25">
      <c r="A12501">
        <v>38</v>
      </c>
      <c r="B12501" t="s">
        <v>11969</v>
      </c>
      <c r="C12501">
        <v>5010376</v>
      </c>
      <c r="D12501" t="str">
        <f>"0302-9743"</f>
        <v>0302-9743</v>
      </c>
      <c r="E12501" t="s">
        <v>2100</v>
      </c>
      <c r="F12501" t="s">
        <v>12511</v>
      </c>
      <c r="G12501">
        <v>1</v>
      </c>
    </row>
    <row r="12502" spans="1:7" x14ac:dyDescent="0.25">
      <c r="A12502">
        <v>38</v>
      </c>
      <c r="B12502" t="s">
        <v>11969</v>
      </c>
      <c r="C12502">
        <v>5010364</v>
      </c>
      <c r="E12502" t="s">
        <v>2100</v>
      </c>
      <c r="F12502" t="s">
        <v>12512</v>
      </c>
      <c r="G12502">
        <v>1</v>
      </c>
    </row>
    <row r="12503" spans="1:7" x14ac:dyDescent="0.25">
      <c r="A12503">
        <v>38</v>
      </c>
      <c r="B12503" t="s">
        <v>11969</v>
      </c>
      <c r="C12503">
        <v>5000005</v>
      </c>
      <c r="E12503" t="s">
        <v>2100</v>
      </c>
      <c r="F12503" t="s">
        <v>12513</v>
      </c>
      <c r="G12503">
        <v>1</v>
      </c>
    </row>
    <row r="12504" spans="1:7" x14ac:dyDescent="0.25">
      <c r="A12504">
        <v>38</v>
      </c>
      <c r="B12504" t="s">
        <v>11969</v>
      </c>
      <c r="C12504">
        <v>5010389</v>
      </c>
      <c r="E12504" t="s">
        <v>2100</v>
      </c>
      <c r="F12504" t="s">
        <v>12514</v>
      </c>
      <c r="G12504">
        <v>1</v>
      </c>
    </row>
    <row r="12505" spans="1:7" x14ac:dyDescent="0.25">
      <c r="A12505">
        <v>38</v>
      </c>
      <c r="B12505" t="s">
        <v>11969</v>
      </c>
      <c r="C12505">
        <v>5010405</v>
      </c>
      <c r="E12505" t="s">
        <v>2100</v>
      </c>
      <c r="F12505" t="s">
        <v>12515</v>
      </c>
      <c r="G12505">
        <v>1</v>
      </c>
    </row>
    <row r="12506" spans="1:7" x14ac:dyDescent="0.25">
      <c r="A12506">
        <v>38</v>
      </c>
      <c r="B12506" t="s">
        <v>11969</v>
      </c>
      <c r="C12506">
        <v>5010357</v>
      </c>
      <c r="E12506" t="s">
        <v>2100</v>
      </c>
      <c r="F12506" t="s">
        <v>12516</v>
      </c>
      <c r="G12506">
        <v>1</v>
      </c>
    </row>
    <row r="12507" spans="1:7" x14ac:dyDescent="0.25">
      <c r="A12507">
        <v>38</v>
      </c>
      <c r="B12507" t="s">
        <v>11969</v>
      </c>
      <c r="C12507">
        <v>5000214</v>
      </c>
      <c r="E12507" t="s">
        <v>2100</v>
      </c>
      <c r="F12507" t="s">
        <v>12517</v>
      </c>
      <c r="G12507">
        <v>1</v>
      </c>
    </row>
    <row r="12508" spans="1:7" x14ac:dyDescent="0.25">
      <c r="A12508">
        <v>38</v>
      </c>
      <c r="B12508" t="s">
        <v>11969</v>
      </c>
      <c r="C12508">
        <v>5010368</v>
      </c>
      <c r="E12508" t="s">
        <v>2100</v>
      </c>
      <c r="F12508" t="s">
        <v>12518</v>
      </c>
      <c r="G12508">
        <v>1</v>
      </c>
    </row>
    <row r="12509" spans="1:7" x14ac:dyDescent="0.25">
      <c r="A12509">
        <v>38</v>
      </c>
      <c r="B12509" t="s">
        <v>11969</v>
      </c>
      <c r="C12509">
        <v>5010331</v>
      </c>
      <c r="E12509" t="s">
        <v>2100</v>
      </c>
      <c r="F12509" t="s">
        <v>12519</v>
      </c>
      <c r="G12509">
        <v>1</v>
      </c>
    </row>
    <row r="12510" spans="1:7" x14ac:dyDescent="0.25">
      <c r="A12510">
        <v>38</v>
      </c>
      <c r="B12510" t="s">
        <v>11969</v>
      </c>
      <c r="C12510">
        <v>3460</v>
      </c>
      <c r="D12510" t="str">
        <f>"1063-6560"</f>
        <v>1063-6560</v>
      </c>
      <c r="E12510" t="s">
        <v>8</v>
      </c>
      <c r="F12510" t="s">
        <v>12520</v>
      </c>
      <c r="G12510">
        <v>1</v>
      </c>
    </row>
    <row r="12511" spans="1:7" x14ac:dyDescent="0.25">
      <c r="A12511">
        <v>38</v>
      </c>
      <c r="B12511" t="s">
        <v>11969</v>
      </c>
      <c r="C12511">
        <v>6106949</v>
      </c>
      <c r="D12511" t="str">
        <f>"1868-6478"</f>
        <v>1868-6478</v>
      </c>
      <c r="E12511" t="s">
        <v>8</v>
      </c>
      <c r="F12511" t="s">
        <v>12521</v>
      </c>
      <c r="G12511">
        <v>1</v>
      </c>
    </row>
    <row r="12512" spans="1:7" x14ac:dyDescent="0.25">
      <c r="A12512">
        <v>38</v>
      </c>
      <c r="B12512" t="s">
        <v>11969</v>
      </c>
      <c r="C12512">
        <v>11460</v>
      </c>
      <c r="D12512" t="str">
        <f>"0266-4720"</f>
        <v>0266-4720</v>
      </c>
      <c r="E12512" t="s">
        <v>8</v>
      </c>
      <c r="F12512" t="s">
        <v>12522</v>
      </c>
      <c r="G12512">
        <v>1</v>
      </c>
    </row>
    <row r="12513" spans="1:7" x14ac:dyDescent="0.25">
      <c r="A12513">
        <v>38</v>
      </c>
      <c r="B12513" t="s">
        <v>11969</v>
      </c>
      <c r="C12513">
        <v>5010356</v>
      </c>
      <c r="E12513" t="s">
        <v>2100</v>
      </c>
      <c r="F12513" t="s">
        <v>12523</v>
      </c>
      <c r="G12513">
        <v>1</v>
      </c>
    </row>
    <row r="12514" spans="1:7" x14ac:dyDescent="0.25">
      <c r="A12514">
        <v>38</v>
      </c>
      <c r="B12514" t="s">
        <v>11969</v>
      </c>
      <c r="C12514">
        <v>5010298</v>
      </c>
      <c r="E12514" t="s">
        <v>2100</v>
      </c>
      <c r="F12514" t="s">
        <v>12524</v>
      </c>
      <c r="G12514">
        <v>1</v>
      </c>
    </row>
    <row r="12515" spans="1:7" x14ac:dyDescent="0.25">
      <c r="A12515">
        <v>38</v>
      </c>
      <c r="B12515" t="s">
        <v>11969</v>
      </c>
      <c r="C12515">
        <v>5000348</v>
      </c>
      <c r="E12515" t="s">
        <v>2100</v>
      </c>
      <c r="F12515" t="s">
        <v>12525</v>
      </c>
      <c r="G12515">
        <v>1</v>
      </c>
    </row>
    <row r="12516" spans="1:7" x14ac:dyDescent="0.25">
      <c r="A12516">
        <v>38</v>
      </c>
      <c r="B12516" t="s">
        <v>11969</v>
      </c>
      <c r="C12516">
        <v>5010327</v>
      </c>
      <c r="E12516" t="s">
        <v>2100</v>
      </c>
      <c r="F12516" t="s">
        <v>12526</v>
      </c>
      <c r="G12516">
        <v>1</v>
      </c>
    </row>
    <row r="12517" spans="1:7" x14ac:dyDescent="0.25">
      <c r="A12517">
        <v>38</v>
      </c>
      <c r="B12517" t="s">
        <v>11969</v>
      </c>
      <c r="C12517">
        <v>27379</v>
      </c>
      <c r="D12517" t="str">
        <f>"1931-7883"</f>
        <v>1931-7883</v>
      </c>
      <c r="E12517" t="s">
        <v>8</v>
      </c>
      <c r="F12517" t="s">
        <v>12527</v>
      </c>
      <c r="G12517">
        <v>1</v>
      </c>
    </row>
    <row r="12518" spans="1:7" x14ac:dyDescent="0.25">
      <c r="A12518">
        <v>38</v>
      </c>
      <c r="B12518" t="s">
        <v>11969</v>
      </c>
      <c r="C12518">
        <v>27598</v>
      </c>
      <c r="D12518" t="str">
        <f>"1551-3955"</f>
        <v>1551-3955</v>
      </c>
      <c r="E12518" t="s">
        <v>8</v>
      </c>
      <c r="F12518" t="s">
        <v>12528</v>
      </c>
      <c r="G12518">
        <v>1</v>
      </c>
    </row>
    <row r="12519" spans="1:7" x14ac:dyDescent="0.25">
      <c r="A12519">
        <v>38</v>
      </c>
      <c r="B12519" t="s">
        <v>11969</v>
      </c>
      <c r="C12519">
        <v>1621</v>
      </c>
      <c r="D12519" t="str">
        <f>"0922-6389"</f>
        <v>0922-6389</v>
      </c>
      <c r="E12519" t="s">
        <v>15</v>
      </c>
      <c r="F12519" t="s">
        <v>12529</v>
      </c>
      <c r="G12519">
        <v>1</v>
      </c>
    </row>
    <row r="12520" spans="1:7" x14ac:dyDescent="0.25">
      <c r="A12520">
        <v>38</v>
      </c>
      <c r="B12520" t="s">
        <v>11969</v>
      </c>
      <c r="C12520">
        <v>6120279</v>
      </c>
      <c r="D12520" t="str">
        <f>"1662-5218"</f>
        <v>1662-5218</v>
      </c>
      <c r="E12520" t="s">
        <v>8</v>
      </c>
      <c r="F12520" t="s">
        <v>12530</v>
      </c>
      <c r="G12520">
        <v>1</v>
      </c>
    </row>
    <row r="12521" spans="1:7" x14ac:dyDescent="0.25">
      <c r="A12521">
        <v>38</v>
      </c>
      <c r="B12521" t="s">
        <v>11969</v>
      </c>
      <c r="C12521">
        <v>8764465</v>
      </c>
      <c r="E12521" t="s">
        <v>8</v>
      </c>
      <c r="F12521" t="s">
        <v>12531</v>
      </c>
      <c r="G12521">
        <v>1</v>
      </c>
    </row>
    <row r="12522" spans="1:7" x14ac:dyDescent="0.25">
      <c r="A12522">
        <v>38</v>
      </c>
      <c r="B12522" t="s">
        <v>11969</v>
      </c>
      <c r="C12522">
        <v>12367</v>
      </c>
      <c r="D12522" t="str">
        <f>"0167-739X"</f>
        <v>0167-739X</v>
      </c>
      <c r="E12522" t="s">
        <v>8</v>
      </c>
      <c r="F12522" t="s">
        <v>12532</v>
      </c>
      <c r="G12522">
        <v>1</v>
      </c>
    </row>
    <row r="12523" spans="1:7" x14ac:dyDescent="0.25">
      <c r="A12523">
        <v>38</v>
      </c>
      <c r="B12523" t="s">
        <v>11969</v>
      </c>
      <c r="C12523">
        <v>5010325</v>
      </c>
      <c r="E12523" t="s">
        <v>2100</v>
      </c>
      <c r="F12523" t="s">
        <v>12533</v>
      </c>
      <c r="G12523">
        <v>1</v>
      </c>
    </row>
    <row r="12524" spans="1:7" x14ac:dyDescent="0.25">
      <c r="A12524">
        <v>38</v>
      </c>
      <c r="B12524" t="s">
        <v>11969</v>
      </c>
      <c r="C12524">
        <v>5000582</v>
      </c>
      <c r="E12524" t="s">
        <v>2100</v>
      </c>
      <c r="F12524" t="s">
        <v>12534</v>
      </c>
      <c r="G12524">
        <v>1</v>
      </c>
    </row>
    <row r="12525" spans="1:7" x14ac:dyDescent="0.25">
      <c r="A12525">
        <v>38</v>
      </c>
      <c r="B12525" t="s">
        <v>11969</v>
      </c>
      <c r="C12525">
        <v>12751</v>
      </c>
      <c r="D12525" t="str">
        <f>"1389-2576"</f>
        <v>1389-2576</v>
      </c>
      <c r="E12525" t="s">
        <v>8</v>
      </c>
      <c r="F12525" t="s">
        <v>12535</v>
      </c>
      <c r="G12525">
        <v>1</v>
      </c>
    </row>
    <row r="12526" spans="1:7" x14ac:dyDescent="0.25">
      <c r="A12526">
        <v>38</v>
      </c>
      <c r="B12526" t="s">
        <v>11969</v>
      </c>
      <c r="C12526">
        <v>5010294</v>
      </c>
      <c r="E12526" t="s">
        <v>2100</v>
      </c>
      <c r="F12526" t="s">
        <v>12536</v>
      </c>
      <c r="G12526">
        <v>1</v>
      </c>
    </row>
    <row r="12527" spans="1:7" x14ac:dyDescent="0.25">
      <c r="A12527">
        <v>38</v>
      </c>
      <c r="B12527" t="s">
        <v>11969</v>
      </c>
      <c r="C12527">
        <v>5000407</v>
      </c>
      <c r="E12527" t="s">
        <v>2100</v>
      </c>
      <c r="F12527" t="s">
        <v>12537</v>
      </c>
      <c r="G12527">
        <v>1</v>
      </c>
    </row>
    <row r="12528" spans="1:7" x14ac:dyDescent="0.25">
      <c r="A12528">
        <v>38</v>
      </c>
      <c r="B12528" t="s">
        <v>11969</v>
      </c>
      <c r="C12528">
        <v>5000420</v>
      </c>
      <c r="E12528" t="s">
        <v>2100</v>
      </c>
      <c r="F12528" t="s">
        <v>12538</v>
      </c>
      <c r="G12528">
        <v>1</v>
      </c>
    </row>
    <row r="12529" spans="1:7" x14ac:dyDescent="0.25">
      <c r="A12529">
        <v>38</v>
      </c>
      <c r="B12529" t="s">
        <v>11969</v>
      </c>
      <c r="C12529">
        <v>5000363</v>
      </c>
      <c r="E12529" t="s">
        <v>2100</v>
      </c>
      <c r="F12529" t="s">
        <v>12539</v>
      </c>
      <c r="G12529">
        <v>1</v>
      </c>
    </row>
    <row r="12530" spans="1:7" x14ac:dyDescent="0.25">
      <c r="A12530">
        <v>38</v>
      </c>
      <c r="B12530" t="s">
        <v>11969</v>
      </c>
      <c r="C12530">
        <v>5020014</v>
      </c>
      <c r="E12530" t="s">
        <v>2100</v>
      </c>
      <c r="F12530" t="s">
        <v>12540</v>
      </c>
      <c r="G12530">
        <v>1</v>
      </c>
    </row>
    <row r="12531" spans="1:7" x14ac:dyDescent="0.25">
      <c r="A12531">
        <v>38</v>
      </c>
      <c r="B12531" t="s">
        <v>11969</v>
      </c>
      <c r="C12531">
        <v>122113</v>
      </c>
      <c r="D12531" t="str">
        <f>"1569-1101"</f>
        <v>1569-1101</v>
      </c>
      <c r="E12531" t="s">
        <v>8</v>
      </c>
      <c r="F12531" t="s">
        <v>12541</v>
      </c>
      <c r="G12531">
        <v>1</v>
      </c>
    </row>
    <row r="12532" spans="1:7" x14ac:dyDescent="0.25">
      <c r="A12532">
        <v>38</v>
      </c>
      <c r="B12532" t="s">
        <v>11969</v>
      </c>
      <c r="C12532">
        <v>8783360</v>
      </c>
      <c r="E12532" t="s">
        <v>2100</v>
      </c>
      <c r="F12532" t="s">
        <v>12542</v>
      </c>
      <c r="G12532">
        <v>1</v>
      </c>
    </row>
    <row r="12533" spans="1:7" x14ac:dyDescent="0.25">
      <c r="A12533">
        <v>38</v>
      </c>
      <c r="B12533" t="s">
        <v>11969</v>
      </c>
      <c r="C12533">
        <v>5010871</v>
      </c>
      <c r="E12533" t="s">
        <v>2100</v>
      </c>
      <c r="F12533" t="s">
        <v>12543</v>
      </c>
      <c r="G12533">
        <v>1</v>
      </c>
    </row>
    <row r="12534" spans="1:7" x14ac:dyDescent="0.25">
      <c r="A12534">
        <v>38</v>
      </c>
      <c r="B12534" t="s">
        <v>11969</v>
      </c>
      <c r="C12534">
        <v>3518</v>
      </c>
      <c r="D12534" t="str">
        <f>"1524-0703"</f>
        <v>1524-0703</v>
      </c>
      <c r="E12534" t="s">
        <v>8</v>
      </c>
      <c r="F12534" t="s">
        <v>12544</v>
      </c>
      <c r="G12534">
        <v>1</v>
      </c>
    </row>
    <row r="12535" spans="1:7" x14ac:dyDescent="0.25">
      <c r="A12535">
        <v>38</v>
      </c>
      <c r="B12535" t="s">
        <v>11969</v>
      </c>
      <c r="C12535">
        <v>5000573</v>
      </c>
      <c r="E12535" t="s">
        <v>2100</v>
      </c>
      <c r="F12535" t="s">
        <v>12545</v>
      </c>
      <c r="G12535">
        <v>1</v>
      </c>
    </row>
    <row r="12536" spans="1:7" x14ac:dyDescent="0.25">
      <c r="A12536">
        <v>38</v>
      </c>
      <c r="B12536" t="s">
        <v>11969</v>
      </c>
      <c r="C12536">
        <v>5000411</v>
      </c>
      <c r="E12536" t="s">
        <v>2100</v>
      </c>
      <c r="F12536" t="s">
        <v>12546</v>
      </c>
      <c r="G12536">
        <v>1</v>
      </c>
    </row>
    <row r="12537" spans="1:7" x14ac:dyDescent="0.25">
      <c r="A12537">
        <v>38</v>
      </c>
      <c r="B12537" t="s">
        <v>11969</v>
      </c>
      <c r="C12537">
        <v>5000537</v>
      </c>
      <c r="E12537" t="s">
        <v>2100</v>
      </c>
      <c r="F12537" t="s">
        <v>12547</v>
      </c>
      <c r="G12537">
        <v>1</v>
      </c>
    </row>
    <row r="12538" spans="1:7" x14ac:dyDescent="0.25">
      <c r="A12538">
        <v>38</v>
      </c>
      <c r="B12538" t="s">
        <v>11969</v>
      </c>
      <c r="C12538">
        <v>5000361</v>
      </c>
      <c r="E12538" t="s">
        <v>2100</v>
      </c>
      <c r="F12538" t="s">
        <v>12548</v>
      </c>
      <c r="G12538">
        <v>1</v>
      </c>
    </row>
    <row r="12539" spans="1:7" x14ac:dyDescent="0.25">
      <c r="A12539">
        <v>38</v>
      </c>
      <c r="B12539" t="s">
        <v>11969</v>
      </c>
      <c r="C12539">
        <v>5010855</v>
      </c>
      <c r="E12539" t="s">
        <v>2100</v>
      </c>
      <c r="F12539" t="s">
        <v>12549</v>
      </c>
      <c r="G12539">
        <v>1</v>
      </c>
    </row>
    <row r="12540" spans="1:7" x14ac:dyDescent="0.25">
      <c r="A12540">
        <v>38</v>
      </c>
      <c r="B12540" t="s">
        <v>11969</v>
      </c>
      <c r="C12540">
        <v>5000427</v>
      </c>
      <c r="E12540" t="s">
        <v>2100</v>
      </c>
      <c r="F12540" t="s">
        <v>12550</v>
      </c>
      <c r="G12540">
        <v>1</v>
      </c>
    </row>
    <row r="12541" spans="1:7" x14ac:dyDescent="0.25">
      <c r="A12541">
        <v>38</v>
      </c>
      <c r="B12541" t="s">
        <v>11969</v>
      </c>
      <c r="C12541">
        <v>5000428</v>
      </c>
      <c r="E12541" t="s">
        <v>2100</v>
      </c>
      <c r="F12541" t="s">
        <v>12551</v>
      </c>
      <c r="G12541">
        <v>1</v>
      </c>
    </row>
    <row r="12542" spans="1:7" x14ac:dyDescent="0.25">
      <c r="A12542">
        <v>38</v>
      </c>
      <c r="B12542" t="s">
        <v>11969</v>
      </c>
      <c r="C12542">
        <v>5020017</v>
      </c>
      <c r="E12542" t="s">
        <v>2100</v>
      </c>
      <c r="F12542" t="s">
        <v>12552</v>
      </c>
      <c r="G12542">
        <v>1</v>
      </c>
    </row>
    <row r="12543" spans="1:7" x14ac:dyDescent="0.25">
      <c r="A12543">
        <v>38</v>
      </c>
      <c r="B12543" t="s">
        <v>11969</v>
      </c>
      <c r="C12543">
        <v>5000425</v>
      </c>
      <c r="E12543" t="s">
        <v>2100</v>
      </c>
      <c r="F12543" t="s">
        <v>12553</v>
      </c>
      <c r="G12543">
        <v>1</v>
      </c>
    </row>
    <row r="12544" spans="1:7" x14ac:dyDescent="0.25">
      <c r="A12544">
        <v>38</v>
      </c>
      <c r="B12544" t="s">
        <v>11969</v>
      </c>
      <c r="C12544">
        <v>5010847</v>
      </c>
      <c r="E12544" t="s">
        <v>2100</v>
      </c>
      <c r="F12544" t="s">
        <v>12554</v>
      </c>
      <c r="G12544">
        <v>1</v>
      </c>
    </row>
    <row r="12545" spans="1:7" x14ac:dyDescent="0.25">
      <c r="A12545">
        <v>38</v>
      </c>
      <c r="B12545" t="s">
        <v>11969</v>
      </c>
      <c r="C12545">
        <v>5010487</v>
      </c>
      <c r="E12545" t="s">
        <v>2100</v>
      </c>
      <c r="F12545" t="s">
        <v>12555</v>
      </c>
      <c r="G12545">
        <v>1</v>
      </c>
    </row>
    <row r="12546" spans="1:7" x14ac:dyDescent="0.25">
      <c r="A12546">
        <v>38</v>
      </c>
      <c r="B12546" t="s">
        <v>11969</v>
      </c>
      <c r="C12546">
        <v>5000430</v>
      </c>
      <c r="E12546" t="s">
        <v>2100</v>
      </c>
      <c r="F12546" t="s">
        <v>12556</v>
      </c>
      <c r="G12546">
        <v>1</v>
      </c>
    </row>
    <row r="12547" spans="1:7" x14ac:dyDescent="0.25">
      <c r="A12547">
        <v>38</v>
      </c>
      <c r="B12547" t="s">
        <v>11969</v>
      </c>
      <c r="C12547">
        <v>5000315</v>
      </c>
      <c r="E12547" t="s">
        <v>2100</v>
      </c>
      <c r="F12547" t="s">
        <v>12557</v>
      </c>
      <c r="G12547">
        <v>1</v>
      </c>
    </row>
    <row r="12548" spans="1:7" x14ac:dyDescent="0.25">
      <c r="A12548">
        <v>38</v>
      </c>
      <c r="B12548" t="s">
        <v>11969</v>
      </c>
      <c r="C12548">
        <v>2614</v>
      </c>
      <c r="D12548" t="str">
        <f>"0018-8646"</f>
        <v>0018-8646</v>
      </c>
      <c r="E12548" t="s">
        <v>8</v>
      </c>
      <c r="F12548" t="s">
        <v>12558</v>
      </c>
      <c r="G12548">
        <v>1</v>
      </c>
    </row>
    <row r="12549" spans="1:7" x14ac:dyDescent="0.25">
      <c r="A12549">
        <v>38</v>
      </c>
      <c r="B12549" t="s">
        <v>11969</v>
      </c>
      <c r="C12549">
        <v>5010831</v>
      </c>
      <c r="E12549" t="s">
        <v>2100</v>
      </c>
      <c r="F12549" t="s">
        <v>12559</v>
      </c>
      <c r="G12549">
        <v>1</v>
      </c>
    </row>
    <row r="12550" spans="1:7" x14ac:dyDescent="0.25">
      <c r="A12550">
        <v>38</v>
      </c>
      <c r="B12550" t="s">
        <v>11969</v>
      </c>
      <c r="C12550">
        <v>5010710</v>
      </c>
      <c r="E12550" t="s">
        <v>2100</v>
      </c>
      <c r="F12550" t="s">
        <v>12560</v>
      </c>
      <c r="G12550">
        <v>1</v>
      </c>
    </row>
    <row r="12551" spans="1:7" x14ac:dyDescent="0.25">
      <c r="A12551">
        <v>38</v>
      </c>
      <c r="B12551" t="s">
        <v>11969</v>
      </c>
      <c r="C12551">
        <v>8782547</v>
      </c>
      <c r="E12551" t="s">
        <v>2100</v>
      </c>
      <c r="F12551" t="s">
        <v>12561</v>
      </c>
      <c r="G12551">
        <v>1</v>
      </c>
    </row>
    <row r="12552" spans="1:7" x14ac:dyDescent="0.25">
      <c r="A12552">
        <v>38</v>
      </c>
      <c r="B12552" t="s">
        <v>11969</v>
      </c>
      <c r="C12552">
        <v>5000311</v>
      </c>
      <c r="E12552" t="s">
        <v>2100</v>
      </c>
      <c r="F12552" t="s">
        <v>12562</v>
      </c>
      <c r="G12552">
        <v>1</v>
      </c>
    </row>
    <row r="12553" spans="1:7" x14ac:dyDescent="0.25">
      <c r="A12553">
        <v>38</v>
      </c>
      <c r="B12553" t="s">
        <v>11969</v>
      </c>
      <c r="C12553">
        <v>20342</v>
      </c>
      <c r="D12553" t="str">
        <f>"1556-6056"</f>
        <v>1556-6056</v>
      </c>
      <c r="E12553" t="s">
        <v>8</v>
      </c>
      <c r="F12553" t="s">
        <v>12563</v>
      </c>
      <c r="G12553">
        <v>1</v>
      </c>
    </row>
    <row r="12554" spans="1:7" x14ac:dyDescent="0.25">
      <c r="A12554">
        <v>38</v>
      </c>
      <c r="B12554" t="s">
        <v>11969</v>
      </c>
      <c r="C12554">
        <v>5010682</v>
      </c>
      <c r="D12554" t="str">
        <f>"2159-3469"</f>
        <v>2159-3469</v>
      </c>
      <c r="E12554" t="s">
        <v>2100</v>
      </c>
      <c r="F12554" t="s">
        <v>12564</v>
      </c>
      <c r="G12554">
        <v>1</v>
      </c>
    </row>
    <row r="12555" spans="1:7" x14ac:dyDescent="0.25">
      <c r="A12555">
        <v>38</v>
      </c>
      <c r="B12555" t="s">
        <v>11969</v>
      </c>
      <c r="C12555">
        <v>5010434</v>
      </c>
      <c r="E12555" t="s">
        <v>2100</v>
      </c>
      <c r="F12555" t="s">
        <v>12565</v>
      </c>
      <c r="G12555">
        <v>1</v>
      </c>
    </row>
    <row r="12556" spans="1:7" x14ac:dyDescent="0.25">
      <c r="A12556">
        <v>38</v>
      </c>
      <c r="B12556" t="s">
        <v>11969</v>
      </c>
      <c r="C12556">
        <v>5010429</v>
      </c>
      <c r="E12556" t="s">
        <v>2100</v>
      </c>
      <c r="F12556" t="s">
        <v>12566</v>
      </c>
      <c r="G12556">
        <v>1</v>
      </c>
    </row>
    <row r="12557" spans="1:7" x14ac:dyDescent="0.25">
      <c r="A12557">
        <v>38</v>
      </c>
      <c r="B12557" t="s">
        <v>11969</v>
      </c>
      <c r="C12557">
        <v>5000465</v>
      </c>
      <c r="E12557" t="s">
        <v>2100</v>
      </c>
      <c r="F12557" t="s">
        <v>12567</v>
      </c>
      <c r="G12557">
        <v>1</v>
      </c>
    </row>
    <row r="12558" spans="1:7" x14ac:dyDescent="0.25">
      <c r="A12558">
        <v>38</v>
      </c>
      <c r="B12558" t="s">
        <v>11969</v>
      </c>
      <c r="C12558">
        <v>5000059</v>
      </c>
      <c r="E12558" t="s">
        <v>2100</v>
      </c>
      <c r="F12558" t="s">
        <v>12568</v>
      </c>
      <c r="G12558">
        <v>1</v>
      </c>
    </row>
    <row r="12559" spans="1:7" x14ac:dyDescent="0.25">
      <c r="A12559">
        <v>38</v>
      </c>
      <c r="B12559" t="s">
        <v>11969</v>
      </c>
      <c r="C12559">
        <v>5010464</v>
      </c>
      <c r="E12559" t="s">
        <v>2100</v>
      </c>
      <c r="F12559" t="s">
        <v>12569</v>
      </c>
      <c r="G12559">
        <v>1</v>
      </c>
    </row>
    <row r="12560" spans="1:7" x14ac:dyDescent="0.25">
      <c r="A12560">
        <v>38</v>
      </c>
      <c r="B12560" t="s">
        <v>11969</v>
      </c>
      <c r="C12560">
        <v>5000038</v>
      </c>
      <c r="E12560" t="s">
        <v>2100</v>
      </c>
      <c r="F12560" t="s">
        <v>12570</v>
      </c>
      <c r="G12560">
        <v>1</v>
      </c>
    </row>
    <row r="12561" spans="1:7" x14ac:dyDescent="0.25">
      <c r="A12561">
        <v>38</v>
      </c>
      <c r="B12561" t="s">
        <v>11969</v>
      </c>
      <c r="C12561">
        <v>5010430</v>
      </c>
      <c r="D12561" t="str">
        <f>"0886-5930"</f>
        <v>0886-5930</v>
      </c>
      <c r="E12561" t="s">
        <v>2100</v>
      </c>
      <c r="F12561" t="s">
        <v>12571</v>
      </c>
      <c r="G12561">
        <v>1</v>
      </c>
    </row>
    <row r="12562" spans="1:7" x14ac:dyDescent="0.25">
      <c r="A12562">
        <v>38</v>
      </c>
      <c r="B12562" t="s">
        <v>11969</v>
      </c>
      <c r="C12562">
        <v>5000396</v>
      </c>
      <c r="E12562" t="s">
        <v>2100</v>
      </c>
      <c r="F12562" t="s">
        <v>12572</v>
      </c>
      <c r="G12562">
        <v>1</v>
      </c>
    </row>
    <row r="12563" spans="1:7" x14ac:dyDescent="0.25">
      <c r="A12563">
        <v>38</v>
      </c>
      <c r="B12563" t="s">
        <v>11969</v>
      </c>
      <c r="C12563">
        <v>5000468</v>
      </c>
      <c r="E12563" t="s">
        <v>2100</v>
      </c>
      <c r="F12563" t="s">
        <v>12573</v>
      </c>
      <c r="G12563">
        <v>1</v>
      </c>
    </row>
    <row r="12564" spans="1:7" x14ac:dyDescent="0.25">
      <c r="A12564">
        <v>38</v>
      </c>
      <c r="B12564" t="s">
        <v>11969</v>
      </c>
      <c r="C12564">
        <v>5000410</v>
      </c>
      <c r="E12564" t="s">
        <v>2100</v>
      </c>
      <c r="F12564" t="s">
        <v>12574</v>
      </c>
      <c r="G12564">
        <v>1</v>
      </c>
    </row>
    <row r="12565" spans="1:7" x14ac:dyDescent="0.25">
      <c r="A12565">
        <v>38</v>
      </c>
      <c r="B12565" t="s">
        <v>11969</v>
      </c>
      <c r="C12565">
        <v>5010522</v>
      </c>
      <c r="E12565" t="s">
        <v>2100</v>
      </c>
      <c r="F12565" t="s">
        <v>12575</v>
      </c>
      <c r="G12565">
        <v>1</v>
      </c>
    </row>
    <row r="12566" spans="1:7" x14ac:dyDescent="0.25">
      <c r="A12566">
        <v>38</v>
      </c>
      <c r="B12566" t="s">
        <v>11969</v>
      </c>
      <c r="C12566">
        <v>8783083</v>
      </c>
      <c r="E12566" t="s">
        <v>2100</v>
      </c>
      <c r="F12566" t="s">
        <v>12576</v>
      </c>
      <c r="G12566">
        <v>1</v>
      </c>
    </row>
    <row r="12567" spans="1:7" x14ac:dyDescent="0.25">
      <c r="A12567">
        <v>38</v>
      </c>
      <c r="B12567" t="s">
        <v>11969</v>
      </c>
      <c r="C12567">
        <v>8782535</v>
      </c>
      <c r="E12567" t="s">
        <v>2100</v>
      </c>
      <c r="F12567" t="s">
        <v>12577</v>
      </c>
      <c r="G12567">
        <v>1</v>
      </c>
    </row>
    <row r="12568" spans="1:7" x14ac:dyDescent="0.25">
      <c r="A12568">
        <v>38</v>
      </c>
      <c r="B12568" t="s">
        <v>11969</v>
      </c>
      <c r="C12568">
        <v>8782556</v>
      </c>
      <c r="E12568" t="s">
        <v>2100</v>
      </c>
      <c r="F12568" t="s">
        <v>12578</v>
      </c>
      <c r="G12568">
        <v>1</v>
      </c>
    </row>
    <row r="12569" spans="1:7" x14ac:dyDescent="0.25">
      <c r="A12569">
        <v>38</v>
      </c>
      <c r="B12569" t="s">
        <v>11969</v>
      </c>
      <c r="C12569">
        <v>5010123</v>
      </c>
      <c r="E12569" t="s">
        <v>2100</v>
      </c>
      <c r="F12569" t="s">
        <v>12579</v>
      </c>
      <c r="G12569">
        <v>1</v>
      </c>
    </row>
    <row r="12570" spans="1:7" x14ac:dyDescent="0.25">
      <c r="A12570">
        <v>38</v>
      </c>
      <c r="B12570" t="s">
        <v>11969</v>
      </c>
      <c r="C12570">
        <v>8782543</v>
      </c>
      <c r="E12570" t="s">
        <v>2100</v>
      </c>
      <c r="F12570" t="s">
        <v>12580</v>
      </c>
      <c r="G12570">
        <v>1</v>
      </c>
    </row>
    <row r="12571" spans="1:7" x14ac:dyDescent="0.25">
      <c r="A12571">
        <v>38</v>
      </c>
      <c r="B12571" t="s">
        <v>11969</v>
      </c>
      <c r="C12571">
        <v>8782549</v>
      </c>
      <c r="E12571" t="s">
        <v>2100</v>
      </c>
      <c r="F12571" t="s">
        <v>12581</v>
      </c>
      <c r="G12571">
        <v>1</v>
      </c>
    </row>
    <row r="12572" spans="1:7" x14ac:dyDescent="0.25">
      <c r="A12572">
        <v>38</v>
      </c>
      <c r="B12572" t="s">
        <v>11969</v>
      </c>
      <c r="C12572">
        <v>5000024</v>
      </c>
      <c r="E12572" t="s">
        <v>2100</v>
      </c>
      <c r="F12572" t="s">
        <v>12582</v>
      </c>
      <c r="G12572">
        <v>1</v>
      </c>
    </row>
    <row r="12573" spans="1:7" x14ac:dyDescent="0.25">
      <c r="A12573">
        <v>38</v>
      </c>
      <c r="B12573" t="s">
        <v>11969</v>
      </c>
      <c r="C12573">
        <v>5000342</v>
      </c>
      <c r="E12573" t="s">
        <v>2100</v>
      </c>
      <c r="F12573" t="s">
        <v>12583</v>
      </c>
      <c r="G12573">
        <v>1</v>
      </c>
    </row>
    <row r="12574" spans="1:7" x14ac:dyDescent="0.25">
      <c r="A12574">
        <v>38</v>
      </c>
      <c r="B12574" t="s">
        <v>11969</v>
      </c>
      <c r="C12574">
        <v>5010392</v>
      </c>
      <c r="E12574" t="s">
        <v>2100</v>
      </c>
      <c r="F12574" t="s">
        <v>12584</v>
      </c>
      <c r="G12574">
        <v>1</v>
      </c>
    </row>
    <row r="12575" spans="1:7" x14ac:dyDescent="0.25">
      <c r="A12575">
        <v>38</v>
      </c>
      <c r="B12575" t="s">
        <v>11969</v>
      </c>
      <c r="C12575">
        <v>5010244</v>
      </c>
      <c r="E12575" t="s">
        <v>2100</v>
      </c>
      <c r="F12575" t="s">
        <v>12585</v>
      </c>
      <c r="G12575">
        <v>1</v>
      </c>
    </row>
    <row r="12576" spans="1:7" x14ac:dyDescent="0.25">
      <c r="A12576">
        <v>38</v>
      </c>
      <c r="B12576" t="s">
        <v>11969</v>
      </c>
      <c r="C12576">
        <v>8783206</v>
      </c>
      <c r="E12576" t="s">
        <v>2100</v>
      </c>
      <c r="F12576" t="s">
        <v>12586</v>
      </c>
      <c r="G12576">
        <v>1</v>
      </c>
    </row>
    <row r="12577" spans="1:7" x14ac:dyDescent="0.25">
      <c r="A12577">
        <v>38</v>
      </c>
      <c r="B12577" t="s">
        <v>11969</v>
      </c>
      <c r="C12577">
        <v>5010252</v>
      </c>
      <c r="E12577" t="s">
        <v>2100</v>
      </c>
      <c r="F12577" t="s">
        <v>12587</v>
      </c>
      <c r="G12577">
        <v>1</v>
      </c>
    </row>
    <row r="12578" spans="1:7" x14ac:dyDescent="0.25">
      <c r="A12578">
        <v>38</v>
      </c>
      <c r="B12578" t="s">
        <v>11969</v>
      </c>
      <c r="C12578">
        <v>5010253</v>
      </c>
      <c r="E12578" t="s">
        <v>2100</v>
      </c>
      <c r="F12578" t="s">
        <v>12588</v>
      </c>
      <c r="G12578">
        <v>1</v>
      </c>
    </row>
    <row r="12579" spans="1:7" x14ac:dyDescent="0.25">
      <c r="A12579">
        <v>38</v>
      </c>
      <c r="B12579" t="s">
        <v>11969</v>
      </c>
      <c r="C12579">
        <v>5000605</v>
      </c>
      <c r="E12579" t="s">
        <v>2100</v>
      </c>
      <c r="F12579" t="s">
        <v>12589</v>
      </c>
      <c r="G12579">
        <v>1</v>
      </c>
    </row>
    <row r="12580" spans="1:7" x14ac:dyDescent="0.25">
      <c r="A12580">
        <v>38</v>
      </c>
      <c r="B12580" t="s">
        <v>11969</v>
      </c>
      <c r="C12580">
        <v>5010454</v>
      </c>
      <c r="E12580" t="s">
        <v>2100</v>
      </c>
      <c r="F12580" t="s">
        <v>12590</v>
      </c>
      <c r="G12580">
        <v>1</v>
      </c>
    </row>
    <row r="12581" spans="1:7" x14ac:dyDescent="0.25">
      <c r="A12581">
        <v>38</v>
      </c>
      <c r="B12581" t="s">
        <v>11969</v>
      </c>
      <c r="C12581">
        <v>5020021</v>
      </c>
      <c r="E12581" t="s">
        <v>2100</v>
      </c>
      <c r="F12581" t="s">
        <v>12591</v>
      </c>
      <c r="G12581">
        <v>1</v>
      </c>
    </row>
    <row r="12582" spans="1:7" x14ac:dyDescent="0.25">
      <c r="A12582">
        <v>38</v>
      </c>
      <c r="B12582" t="s">
        <v>11969</v>
      </c>
      <c r="C12582">
        <v>5000658</v>
      </c>
      <c r="E12582" t="s">
        <v>2100</v>
      </c>
      <c r="F12582" t="s">
        <v>12592</v>
      </c>
      <c r="G12582">
        <v>1</v>
      </c>
    </row>
    <row r="12583" spans="1:7" x14ac:dyDescent="0.25">
      <c r="A12583">
        <v>38</v>
      </c>
      <c r="B12583" t="s">
        <v>11969</v>
      </c>
      <c r="C12583">
        <v>5010124</v>
      </c>
      <c r="E12583" t="s">
        <v>2100</v>
      </c>
      <c r="F12583" t="s">
        <v>12593</v>
      </c>
      <c r="G12583">
        <v>1</v>
      </c>
    </row>
    <row r="12584" spans="1:7" x14ac:dyDescent="0.25">
      <c r="A12584">
        <v>38</v>
      </c>
      <c r="B12584" t="s">
        <v>11969</v>
      </c>
      <c r="C12584">
        <v>5010490</v>
      </c>
      <c r="E12584" t="s">
        <v>2100</v>
      </c>
      <c r="F12584" t="s">
        <v>12594</v>
      </c>
      <c r="G12584">
        <v>1</v>
      </c>
    </row>
    <row r="12585" spans="1:7" x14ac:dyDescent="0.25">
      <c r="A12585">
        <v>38</v>
      </c>
      <c r="B12585" t="s">
        <v>11969</v>
      </c>
      <c r="C12585">
        <v>5010445</v>
      </c>
      <c r="E12585" t="s">
        <v>2100</v>
      </c>
      <c r="F12585" t="s">
        <v>12595</v>
      </c>
      <c r="G12585">
        <v>1</v>
      </c>
    </row>
    <row r="12586" spans="1:7" x14ac:dyDescent="0.25">
      <c r="A12586">
        <v>38</v>
      </c>
      <c r="B12586" t="s">
        <v>11969</v>
      </c>
      <c r="C12586">
        <v>5000433</v>
      </c>
      <c r="E12586" t="s">
        <v>2100</v>
      </c>
      <c r="F12586" t="s">
        <v>12596</v>
      </c>
      <c r="G12586">
        <v>1</v>
      </c>
    </row>
    <row r="12587" spans="1:7" x14ac:dyDescent="0.25">
      <c r="A12587">
        <v>38</v>
      </c>
      <c r="B12587" t="s">
        <v>11969</v>
      </c>
      <c r="C12587">
        <v>5000052</v>
      </c>
      <c r="E12587" t="s">
        <v>2100</v>
      </c>
      <c r="F12587" t="s">
        <v>12597</v>
      </c>
      <c r="G12587">
        <v>1</v>
      </c>
    </row>
    <row r="12588" spans="1:7" x14ac:dyDescent="0.25">
      <c r="A12588">
        <v>38</v>
      </c>
      <c r="B12588" t="s">
        <v>11969</v>
      </c>
      <c r="C12588">
        <v>8782541</v>
      </c>
      <c r="E12588" t="s">
        <v>2100</v>
      </c>
      <c r="F12588" t="s">
        <v>12598</v>
      </c>
      <c r="G12588">
        <v>1</v>
      </c>
    </row>
    <row r="12589" spans="1:7" x14ac:dyDescent="0.25">
      <c r="A12589">
        <v>38</v>
      </c>
      <c r="B12589" t="s">
        <v>11969</v>
      </c>
      <c r="C12589">
        <v>5010088</v>
      </c>
      <c r="E12589" t="s">
        <v>2100</v>
      </c>
      <c r="F12589" t="s">
        <v>12599</v>
      </c>
      <c r="G12589">
        <v>1</v>
      </c>
    </row>
    <row r="12590" spans="1:7" x14ac:dyDescent="0.25">
      <c r="A12590">
        <v>38</v>
      </c>
      <c r="B12590" t="s">
        <v>11969</v>
      </c>
      <c r="C12590">
        <v>5010338</v>
      </c>
      <c r="E12590" t="s">
        <v>2100</v>
      </c>
      <c r="F12590" t="s">
        <v>12600</v>
      </c>
      <c r="G12590">
        <v>1</v>
      </c>
    </row>
    <row r="12591" spans="1:7" x14ac:dyDescent="0.25">
      <c r="A12591">
        <v>38</v>
      </c>
      <c r="B12591" t="s">
        <v>11969</v>
      </c>
      <c r="C12591">
        <v>5000571</v>
      </c>
      <c r="E12591" t="s">
        <v>2100</v>
      </c>
      <c r="F12591" t="s">
        <v>12601</v>
      </c>
      <c r="G12591">
        <v>1</v>
      </c>
    </row>
    <row r="12592" spans="1:7" x14ac:dyDescent="0.25">
      <c r="A12592">
        <v>38</v>
      </c>
      <c r="B12592" t="s">
        <v>11969</v>
      </c>
      <c r="C12592">
        <v>5000020</v>
      </c>
      <c r="E12592" t="s">
        <v>2100</v>
      </c>
      <c r="F12592" t="s">
        <v>12602</v>
      </c>
      <c r="G12592">
        <v>1</v>
      </c>
    </row>
    <row r="12593" spans="1:7" x14ac:dyDescent="0.25">
      <c r="A12593">
        <v>38</v>
      </c>
      <c r="B12593" t="s">
        <v>11969</v>
      </c>
      <c r="C12593">
        <v>5010417</v>
      </c>
      <c r="E12593" t="s">
        <v>2100</v>
      </c>
      <c r="F12593" t="s">
        <v>12603</v>
      </c>
      <c r="G12593">
        <v>1</v>
      </c>
    </row>
    <row r="12594" spans="1:7" x14ac:dyDescent="0.25">
      <c r="A12594">
        <v>38</v>
      </c>
      <c r="B12594" t="s">
        <v>11969</v>
      </c>
      <c r="C12594">
        <v>5000055</v>
      </c>
      <c r="E12594" t="s">
        <v>2100</v>
      </c>
      <c r="F12594" t="s">
        <v>12604</v>
      </c>
      <c r="G12594">
        <v>1</v>
      </c>
    </row>
    <row r="12595" spans="1:7" x14ac:dyDescent="0.25">
      <c r="A12595">
        <v>38</v>
      </c>
      <c r="B12595" t="s">
        <v>11969</v>
      </c>
      <c r="C12595">
        <v>5000357</v>
      </c>
      <c r="E12595" t="s">
        <v>2100</v>
      </c>
      <c r="F12595" t="s">
        <v>12605</v>
      </c>
      <c r="G12595">
        <v>1</v>
      </c>
    </row>
    <row r="12596" spans="1:7" x14ac:dyDescent="0.25">
      <c r="A12596">
        <v>38</v>
      </c>
      <c r="B12596" t="s">
        <v>11969</v>
      </c>
      <c r="C12596">
        <v>5010326</v>
      </c>
      <c r="E12596" t="s">
        <v>2100</v>
      </c>
      <c r="F12596" t="s">
        <v>12606</v>
      </c>
      <c r="G12596">
        <v>1</v>
      </c>
    </row>
    <row r="12597" spans="1:7" x14ac:dyDescent="0.25">
      <c r="A12597">
        <v>38</v>
      </c>
      <c r="B12597" t="s">
        <v>11969</v>
      </c>
      <c r="C12597">
        <v>5010290</v>
      </c>
      <c r="E12597" t="s">
        <v>2100</v>
      </c>
      <c r="F12597" t="s">
        <v>12607</v>
      </c>
      <c r="G12597">
        <v>1</v>
      </c>
    </row>
    <row r="12598" spans="1:7" x14ac:dyDescent="0.25">
      <c r="A12598">
        <v>38</v>
      </c>
      <c r="B12598" t="s">
        <v>11969</v>
      </c>
      <c r="C12598">
        <v>5010293</v>
      </c>
      <c r="E12598" t="s">
        <v>2100</v>
      </c>
      <c r="F12598" t="s">
        <v>12608</v>
      </c>
      <c r="G12598">
        <v>1</v>
      </c>
    </row>
    <row r="12599" spans="1:7" x14ac:dyDescent="0.25">
      <c r="A12599">
        <v>38</v>
      </c>
      <c r="B12599" t="s">
        <v>11969</v>
      </c>
      <c r="C12599">
        <v>5020022</v>
      </c>
      <c r="E12599" t="s">
        <v>2100</v>
      </c>
      <c r="F12599" t="s">
        <v>12609</v>
      </c>
      <c r="G12599">
        <v>1</v>
      </c>
    </row>
    <row r="12600" spans="1:7" x14ac:dyDescent="0.25">
      <c r="A12600">
        <v>38</v>
      </c>
      <c r="B12600" t="s">
        <v>11969</v>
      </c>
      <c r="C12600">
        <v>5000414</v>
      </c>
      <c r="E12600" t="s">
        <v>2100</v>
      </c>
      <c r="F12600" t="s">
        <v>12610</v>
      </c>
      <c r="G12600">
        <v>1</v>
      </c>
    </row>
    <row r="12601" spans="1:7" x14ac:dyDescent="0.25">
      <c r="A12601">
        <v>38</v>
      </c>
      <c r="B12601" t="s">
        <v>11969</v>
      </c>
      <c r="C12601">
        <v>8783082</v>
      </c>
      <c r="D12601" t="str">
        <f>"2325-5595"</f>
        <v>2325-5595</v>
      </c>
      <c r="E12601" t="s">
        <v>2100</v>
      </c>
      <c r="F12601" t="s">
        <v>12611</v>
      </c>
      <c r="G12601">
        <v>1</v>
      </c>
    </row>
    <row r="12602" spans="1:7" x14ac:dyDescent="0.25">
      <c r="A12602">
        <v>38</v>
      </c>
      <c r="B12602" t="s">
        <v>11969</v>
      </c>
      <c r="C12602">
        <v>8782732</v>
      </c>
      <c r="E12602" t="s">
        <v>2100</v>
      </c>
      <c r="F12602" t="s">
        <v>12612</v>
      </c>
      <c r="G12602">
        <v>1</v>
      </c>
    </row>
    <row r="12603" spans="1:7" x14ac:dyDescent="0.25">
      <c r="A12603">
        <v>38</v>
      </c>
      <c r="B12603" t="s">
        <v>11969</v>
      </c>
      <c r="C12603">
        <v>5000593</v>
      </c>
      <c r="E12603" t="s">
        <v>2100</v>
      </c>
      <c r="F12603" t="s">
        <v>12613</v>
      </c>
      <c r="G12603">
        <v>1</v>
      </c>
    </row>
    <row r="12604" spans="1:7" x14ac:dyDescent="0.25">
      <c r="A12604">
        <v>38</v>
      </c>
      <c r="B12604" t="s">
        <v>11969</v>
      </c>
      <c r="C12604">
        <v>5000464</v>
      </c>
      <c r="E12604" t="s">
        <v>2100</v>
      </c>
      <c r="F12604" t="s">
        <v>12614</v>
      </c>
      <c r="G12604">
        <v>1</v>
      </c>
    </row>
    <row r="12605" spans="1:7" x14ac:dyDescent="0.25">
      <c r="A12605">
        <v>38</v>
      </c>
      <c r="B12605" t="s">
        <v>11969</v>
      </c>
      <c r="C12605">
        <v>5000346</v>
      </c>
      <c r="E12605" t="s">
        <v>2100</v>
      </c>
      <c r="F12605" t="s">
        <v>12615</v>
      </c>
      <c r="G12605">
        <v>1</v>
      </c>
    </row>
    <row r="12606" spans="1:7" x14ac:dyDescent="0.25">
      <c r="A12606">
        <v>38</v>
      </c>
      <c r="B12606" t="s">
        <v>11969</v>
      </c>
      <c r="C12606">
        <v>5010637</v>
      </c>
      <c r="E12606" t="s">
        <v>2100</v>
      </c>
      <c r="F12606" t="s">
        <v>12616</v>
      </c>
      <c r="G12606">
        <v>1</v>
      </c>
    </row>
    <row r="12607" spans="1:7" x14ac:dyDescent="0.25">
      <c r="A12607">
        <v>38</v>
      </c>
      <c r="B12607" t="s">
        <v>11969</v>
      </c>
      <c r="C12607">
        <v>5010701</v>
      </c>
      <c r="E12607" t="s">
        <v>2100</v>
      </c>
      <c r="F12607" t="s">
        <v>12617</v>
      </c>
      <c r="G12607">
        <v>1</v>
      </c>
    </row>
    <row r="12608" spans="1:7" x14ac:dyDescent="0.25">
      <c r="A12608">
        <v>38</v>
      </c>
      <c r="B12608" t="s">
        <v>11969</v>
      </c>
      <c r="C12608">
        <v>5000461</v>
      </c>
      <c r="E12608" t="s">
        <v>2100</v>
      </c>
      <c r="F12608" t="s">
        <v>12618</v>
      </c>
      <c r="G12608">
        <v>1</v>
      </c>
    </row>
    <row r="12609" spans="1:7" x14ac:dyDescent="0.25">
      <c r="A12609">
        <v>38</v>
      </c>
      <c r="B12609" t="s">
        <v>11969</v>
      </c>
      <c r="C12609">
        <v>5010712</v>
      </c>
      <c r="E12609" t="s">
        <v>2100</v>
      </c>
      <c r="F12609" t="s">
        <v>12619</v>
      </c>
      <c r="G12609">
        <v>1</v>
      </c>
    </row>
    <row r="12610" spans="1:7" x14ac:dyDescent="0.25">
      <c r="A12610">
        <v>38</v>
      </c>
      <c r="B12610" t="s">
        <v>11969</v>
      </c>
      <c r="C12610">
        <v>5000203</v>
      </c>
      <c r="E12610" t="s">
        <v>2100</v>
      </c>
      <c r="F12610" t="s">
        <v>12620</v>
      </c>
      <c r="G12610">
        <v>1</v>
      </c>
    </row>
    <row r="12611" spans="1:7" x14ac:dyDescent="0.25">
      <c r="A12611">
        <v>38</v>
      </c>
      <c r="B12611" t="s">
        <v>11969</v>
      </c>
      <c r="C12611">
        <v>5010897</v>
      </c>
      <c r="E12611" t="s">
        <v>2100</v>
      </c>
      <c r="F12611" t="s">
        <v>12621</v>
      </c>
      <c r="G12611">
        <v>1</v>
      </c>
    </row>
    <row r="12612" spans="1:7" x14ac:dyDescent="0.25">
      <c r="A12612">
        <v>38</v>
      </c>
      <c r="B12612" t="s">
        <v>11969</v>
      </c>
      <c r="C12612">
        <v>8783373</v>
      </c>
      <c r="E12612" t="s">
        <v>2100</v>
      </c>
      <c r="F12612" t="s">
        <v>12622</v>
      </c>
      <c r="G12612">
        <v>1</v>
      </c>
    </row>
    <row r="12613" spans="1:7" x14ac:dyDescent="0.25">
      <c r="A12613">
        <v>38</v>
      </c>
      <c r="B12613" t="s">
        <v>11969</v>
      </c>
      <c r="C12613">
        <v>5000451</v>
      </c>
      <c r="E12613" t="s">
        <v>2100</v>
      </c>
      <c r="F12613" t="s">
        <v>12623</v>
      </c>
      <c r="G12613">
        <v>1</v>
      </c>
    </row>
    <row r="12614" spans="1:7" x14ac:dyDescent="0.25">
      <c r="A12614">
        <v>38</v>
      </c>
      <c r="B12614" t="s">
        <v>11969</v>
      </c>
      <c r="C12614">
        <v>8782551</v>
      </c>
      <c r="E12614" t="s">
        <v>2100</v>
      </c>
      <c r="F12614" t="s">
        <v>12624</v>
      </c>
      <c r="G12614">
        <v>1</v>
      </c>
    </row>
    <row r="12615" spans="1:7" x14ac:dyDescent="0.25">
      <c r="A12615">
        <v>38</v>
      </c>
      <c r="B12615" t="s">
        <v>11969</v>
      </c>
      <c r="C12615">
        <v>5010785</v>
      </c>
      <c r="E12615" t="s">
        <v>2100</v>
      </c>
      <c r="F12615" t="s">
        <v>12625</v>
      </c>
      <c r="G12615">
        <v>1</v>
      </c>
    </row>
    <row r="12616" spans="1:7" x14ac:dyDescent="0.25">
      <c r="A12616">
        <v>38</v>
      </c>
      <c r="B12616" t="s">
        <v>11969</v>
      </c>
      <c r="C12616">
        <v>5000354</v>
      </c>
      <c r="E12616" t="s">
        <v>2100</v>
      </c>
      <c r="F12616" t="s">
        <v>12626</v>
      </c>
      <c r="G12616">
        <v>1</v>
      </c>
    </row>
    <row r="12617" spans="1:7" x14ac:dyDescent="0.25">
      <c r="A12617">
        <v>38</v>
      </c>
      <c r="B12617" t="s">
        <v>11969</v>
      </c>
      <c r="C12617">
        <v>5010810</v>
      </c>
      <c r="E12617" t="s">
        <v>2100</v>
      </c>
      <c r="F12617" t="s">
        <v>12627</v>
      </c>
      <c r="G12617">
        <v>1</v>
      </c>
    </row>
    <row r="12618" spans="1:7" x14ac:dyDescent="0.25">
      <c r="A12618">
        <v>38</v>
      </c>
      <c r="B12618" t="s">
        <v>11969</v>
      </c>
      <c r="C12618">
        <v>5000260</v>
      </c>
      <c r="E12618" t="s">
        <v>2100</v>
      </c>
      <c r="F12618" t="s">
        <v>12628</v>
      </c>
      <c r="G12618">
        <v>1</v>
      </c>
    </row>
    <row r="12619" spans="1:7" x14ac:dyDescent="0.25">
      <c r="A12619">
        <v>38</v>
      </c>
      <c r="B12619" t="s">
        <v>11969</v>
      </c>
      <c r="C12619">
        <v>5010842</v>
      </c>
      <c r="E12619" t="s">
        <v>2100</v>
      </c>
      <c r="F12619" t="s">
        <v>12629</v>
      </c>
      <c r="G12619">
        <v>1</v>
      </c>
    </row>
    <row r="12620" spans="1:7" x14ac:dyDescent="0.25">
      <c r="A12620">
        <v>38</v>
      </c>
      <c r="B12620" t="s">
        <v>11969</v>
      </c>
      <c r="C12620">
        <v>5000058</v>
      </c>
      <c r="E12620" t="s">
        <v>2100</v>
      </c>
      <c r="F12620" t="s">
        <v>12630</v>
      </c>
      <c r="G12620">
        <v>1</v>
      </c>
    </row>
    <row r="12621" spans="1:7" x14ac:dyDescent="0.25">
      <c r="A12621">
        <v>38</v>
      </c>
      <c r="B12621" t="s">
        <v>11969</v>
      </c>
      <c r="C12621">
        <v>5010791</v>
      </c>
      <c r="E12621" t="s">
        <v>2100</v>
      </c>
      <c r="F12621" t="s">
        <v>12631</v>
      </c>
      <c r="G12621">
        <v>1</v>
      </c>
    </row>
    <row r="12622" spans="1:7" x14ac:dyDescent="0.25">
      <c r="A12622">
        <v>38</v>
      </c>
      <c r="B12622" t="s">
        <v>11969</v>
      </c>
      <c r="C12622">
        <v>8782539</v>
      </c>
      <c r="E12622" t="s">
        <v>2100</v>
      </c>
      <c r="F12622" t="s">
        <v>12632</v>
      </c>
      <c r="G12622">
        <v>1</v>
      </c>
    </row>
    <row r="12623" spans="1:7" x14ac:dyDescent="0.25">
      <c r="A12623">
        <v>38</v>
      </c>
      <c r="B12623" t="s">
        <v>11969</v>
      </c>
      <c r="C12623">
        <v>5010848</v>
      </c>
      <c r="E12623" t="s">
        <v>2100</v>
      </c>
      <c r="F12623" t="s">
        <v>12633</v>
      </c>
      <c r="G12623">
        <v>1</v>
      </c>
    </row>
    <row r="12624" spans="1:7" x14ac:dyDescent="0.25">
      <c r="A12624">
        <v>38</v>
      </c>
      <c r="B12624" t="s">
        <v>11969</v>
      </c>
      <c r="C12624">
        <v>5010562</v>
      </c>
      <c r="E12624" t="s">
        <v>2100</v>
      </c>
      <c r="F12624" t="s">
        <v>12634</v>
      </c>
      <c r="G12624">
        <v>1</v>
      </c>
    </row>
    <row r="12625" spans="1:7" x14ac:dyDescent="0.25">
      <c r="A12625">
        <v>38</v>
      </c>
      <c r="B12625" t="s">
        <v>11969</v>
      </c>
      <c r="C12625">
        <v>5010860</v>
      </c>
      <c r="E12625" t="s">
        <v>2100</v>
      </c>
      <c r="F12625" t="s">
        <v>12635</v>
      </c>
      <c r="G12625">
        <v>1</v>
      </c>
    </row>
    <row r="12626" spans="1:7" x14ac:dyDescent="0.25">
      <c r="A12626">
        <v>38</v>
      </c>
      <c r="B12626" t="s">
        <v>11969</v>
      </c>
      <c r="C12626">
        <v>5010734</v>
      </c>
      <c r="E12626" t="s">
        <v>2100</v>
      </c>
      <c r="F12626" t="s">
        <v>12636</v>
      </c>
      <c r="G12626">
        <v>1</v>
      </c>
    </row>
    <row r="12627" spans="1:7" x14ac:dyDescent="0.25">
      <c r="A12627">
        <v>38</v>
      </c>
      <c r="B12627" t="s">
        <v>11969</v>
      </c>
      <c r="C12627">
        <v>5010719</v>
      </c>
      <c r="E12627" t="s">
        <v>2100</v>
      </c>
      <c r="F12627" t="s">
        <v>12637</v>
      </c>
      <c r="G12627">
        <v>1</v>
      </c>
    </row>
    <row r="12628" spans="1:7" x14ac:dyDescent="0.25">
      <c r="A12628">
        <v>38</v>
      </c>
      <c r="B12628" t="s">
        <v>11969</v>
      </c>
      <c r="C12628">
        <v>5010833</v>
      </c>
      <c r="E12628" t="s">
        <v>2100</v>
      </c>
      <c r="F12628" t="s">
        <v>12638</v>
      </c>
      <c r="G12628">
        <v>1</v>
      </c>
    </row>
    <row r="12629" spans="1:7" x14ac:dyDescent="0.25">
      <c r="A12629">
        <v>38</v>
      </c>
      <c r="B12629" t="s">
        <v>11969</v>
      </c>
      <c r="C12629">
        <v>5010924</v>
      </c>
      <c r="E12629" t="s">
        <v>2100</v>
      </c>
      <c r="F12629" t="s">
        <v>12639</v>
      </c>
      <c r="G12629">
        <v>1</v>
      </c>
    </row>
    <row r="12630" spans="1:7" x14ac:dyDescent="0.25">
      <c r="A12630">
        <v>38</v>
      </c>
      <c r="B12630" t="s">
        <v>11969</v>
      </c>
      <c r="C12630">
        <v>5010474</v>
      </c>
      <c r="E12630" t="s">
        <v>2100</v>
      </c>
      <c r="F12630" t="s">
        <v>12640</v>
      </c>
      <c r="G12630">
        <v>1</v>
      </c>
    </row>
    <row r="12631" spans="1:7" x14ac:dyDescent="0.25">
      <c r="A12631">
        <v>38</v>
      </c>
      <c r="B12631" t="s">
        <v>11969</v>
      </c>
      <c r="C12631">
        <v>5010469</v>
      </c>
      <c r="E12631" t="s">
        <v>2100</v>
      </c>
      <c r="F12631" t="s">
        <v>12641</v>
      </c>
      <c r="G12631">
        <v>1</v>
      </c>
    </row>
    <row r="12632" spans="1:7" x14ac:dyDescent="0.25">
      <c r="A12632">
        <v>38</v>
      </c>
      <c r="B12632" t="s">
        <v>11969</v>
      </c>
      <c r="C12632">
        <v>5000284</v>
      </c>
      <c r="E12632" t="s">
        <v>2100</v>
      </c>
      <c r="F12632" t="s">
        <v>12642</v>
      </c>
      <c r="G12632">
        <v>1</v>
      </c>
    </row>
    <row r="12633" spans="1:7" x14ac:dyDescent="0.25">
      <c r="A12633">
        <v>38</v>
      </c>
      <c r="B12633" t="s">
        <v>11969</v>
      </c>
      <c r="C12633">
        <v>5000097</v>
      </c>
      <c r="E12633" t="s">
        <v>2100</v>
      </c>
      <c r="F12633" t="s">
        <v>12643</v>
      </c>
      <c r="G12633">
        <v>1</v>
      </c>
    </row>
    <row r="12634" spans="1:7" x14ac:dyDescent="0.25">
      <c r="A12634">
        <v>38</v>
      </c>
      <c r="B12634" t="s">
        <v>11969</v>
      </c>
      <c r="C12634">
        <v>5010772</v>
      </c>
      <c r="E12634" t="s">
        <v>2100</v>
      </c>
      <c r="F12634" t="s">
        <v>12644</v>
      </c>
      <c r="G12634">
        <v>1</v>
      </c>
    </row>
    <row r="12635" spans="1:7" x14ac:dyDescent="0.25">
      <c r="A12635">
        <v>38</v>
      </c>
      <c r="B12635" t="s">
        <v>11969</v>
      </c>
      <c r="C12635">
        <v>5000483</v>
      </c>
      <c r="E12635" t="s">
        <v>2100</v>
      </c>
      <c r="F12635" t="s">
        <v>12645</v>
      </c>
      <c r="G12635">
        <v>1</v>
      </c>
    </row>
    <row r="12636" spans="1:7" x14ac:dyDescent="0.25">
      <c r="A12636">
        <v>38</v>
      </c>
      <c r="B12636" t="s">
        <v>11969</v>
      </c>
      <c r="C12636">
        <v>5000223</v>
      </c>
      <c r="E12636" t="s">
        <v>2100</v>
      </c>
      <c r="F12636" t="s">
        <v>12646</v>
      </c>
      <c r="G12636">
        <v>1</v>
      </c>
    </row>
    <row r="12637" spans="1:7" x14ac:dyDescent="0.25">
      <c r="A12637">
        <v>38</v>
      </c>
      <c r="B12637" t="s">
        <v>11969</v>
      </c>
      <c r="C12637">
        <v>5000286</v>
      </c>
      <c r="E12637" t="s">
        <v>2100</v>
      </c>
      <c r="F12637" t="s">
        <v>12647</v>
      </c>
      <c r="G12637">
        <v>1</v>
      </c>
    </row>
    <row r="12638" spans="1:7" x14ac:dyDescent="0.25">
      <c r="A12638">
        <v>38</v>
      </c>
      <c r="B12638" t="s">
        <v>11969</v>
      </c>
      <c r="C12638">
        <v>5000027</v>
      </c>
      <c r="E12638" t="s">
        <v>2100</v>
      </c>
      <c r="F12638" t="s">
        <v>12648</v>
      </c>
      <c r="G12638">
        <v>1</v>
      </c>
    </row>
    <row r="12639" spans="1:7" x14ac:dyDescent="0.25">
      <c r="A12639">
        <v>38</v>
      </c>
      <c r="B12639" t="s">
        <v>11969</v>
      </c>
      <c r="C12639">
        <v>5010577</v>
      </c>
      <c r="E12639" t="s">
        <v>2100</v>
      </c>
      <c r="F12639" t="s">
        <v>12649</v>
      </c>
      <c r="G12639">
        <v>1</v>
      </c>
    </row>
    <row r="12640" spans="1:7" x14ac:dyDescent="0.25">
      <c r="A12640">
        <v>38</v>
      </c>
      <c r="B12640" t="s">
        <v>11969</v>
      </c>
      <c r="C12640">
        <v>5010436</v>
      </c>
      <c r="E12640" t="s">
        <v>2100</v>
      </c>
      <c r="F12640" t="s">
        <v>12650</v>
      </c>
      <c r="G12640">
        <v>1</v>
      </c>
    </row>
    <row r="12641" spans="1:7" x14ac:dyDescent="0.25">
      <c r="A12641">
        <v>38</v>
      </c>
      <c r="B12641" t="s">
        <v>11969</v>
      </c>
      <c r="C12641">
        <v>5000372</v>
      </c>
      <c r="D12641" t="str">
        <f>"2377-7966"</f>
        <v>2377-7966</v>
      </c>
      <c r="E12641" t="s">
        <v>2100</v>
      </c>
      <c r="F12641" t="s">
        <v>12651</v>
      </c>
      <c r="G12641">
        <v>1</v>
      </c>
    </row>
    <row r="12642" spans="1:7" x14ac:dyDescent="0.25">
      <c r="A12642">
        <v>38</v>
      </c>
      <c r="B12642" t="s">
        <v>11969</v>
      </c>
      <c r="C12642">
        <v>5010095</v>
      </c>
      <c r="E12642" t="s">
        <v>2100</v>
      </c>
      <c r="F12642" t="s">
        <v>12652</v>
      </c>
      <c r="G12642">
        <v>1</v>
      </c>
    </row>
    <row r="12643" spans="1:7" x14ac:dyDescent="0.25">
      <c r="A12643">
        <v>38</v>
      </c>
      <c r="B12643" t="s">
        <v>11969</v>
      </c>
      <c r="C12643">
        <v>5000126</v>
      </c>
      <c r="E12643" t="s">
        <v>2100</v>
      </c>
      <c r="F12643" t="s">
        <v>12653</v>
      </c>
      <c r="G12643">
        <v>1</v>
      </c>
    </row>
    <row r="12644" spans="1:7" x14ac:dyDescent="0.25">
      <c r="A12644">
        <v>38</v>
      </c>
      <c r="B12644" t="s">
        <v>11969</v>
      </c>
      <c r="C12644">
        <v>5000416</v>
      </c>
      <c r="E12644" t="s">
        <v>2100</v>
      </c>
      <c r="F12644" t="s">
        <v>12654</v>
      </c>
      <c r="G12644">
        <v>1</v>
      </c>
    </row>
    <row r="12645" spans="1:7" x14ac:dyDescent="0.25">
      <c r="A12645">
        <v>38</v>
      </c>
      <c r="B12645" t="s">
        <v>11969</v>
      </c>
      <c r="C12645">
        <v>5000536</v>
      </c>
      <c r="E12645" t="s">
        <v>2100</v>
      </c>
      <c r="F12645" t="s">
        <v>12655</v>
      </c>
      <c r="G12645">
        <v>1</v>
      </c>
    </row>
    <row r="12646" spans="1:7" x14ac:dyDescent="0.25">
      <c r="A12646">
        <v>38</v>
      </c>
      <c r="B12646" t="s">
        <v>11969</v>
      </c>
      <c r="C12646">
        <v>5000490</v>
      </c>
      <c r="E12646" t="s">
        <v>2100</v>
      </c>
      <c r="F12646" t="s">
        <v>12656</v>
      </c>
      <c r="G12646">
        <v>1</v>
      </c>
    </row>
    <row r="12647" spans="1:7" x14ac:dyDescent="0.25">
      <c r="A12647">
        <v>38</v>
      </c>
      <c r="B12647" t="s">
        <v>11969</v>
      </c>
      <c r="C12647">
        <v>5000163</v>
      </c>
      <c r="E12647" t="s">
        <v>2100</v>
      </c>
      <c r="F12647" t="s">
        <v>12657</v>
      </c>
      <c r="G12647">
        <v>1</v>
      </c>
    </row>
    <row r="12648" spans="1:7" x14ac:dyDescent="0.25">
      <c r="A12648">
        <v>38</v>
      </c>
      <c r="B12648" t="s">
        <v>11969</v>
      </c>
      <c r="C12648">
        <v>5000267</v>
      </c>
      <c r="E12648" t="s">
        <v>2100</v>
      </c>
      <c r="F12648" t="s">
        <v>12658</v>
      </c>
      <c r="G12648">
        <v>1</v>
      </c>
    </row>
    <row r="12649" spans="1:7" x14ac:dyDescent="0.25">
      <c r="A12649">
        <v>38</v>
      </c>
      <c r="B12649" t="s">
        <v>11969</v>
      </c>
      <c r="C12649">
        <v>5000268</v>
      </c>
      <c r="E12649" t="s">
        <v>2100</v>
      </c>
      <c r="F12649" t="s">
        <v>12659</v>
      </c>
      <c r="G12649">
        <v>1</v>
      </c>
    </row>
    <row r="12650" spans="1:7" x14ac:dyDescent="0.25">
      <c r="A12650">
        <v>38</v>
      </c>
      <c r="B12650" t="s">
        <v>11969</v>
      </c>
      <c r="C12650">
        <v>5000406</v>
      </c>
      <c r="E12650" t="s">
        <v>2100</v>
      </c>
      <c r="F12650" t="s">
        <v>12660</v>
      </c>
      <c r="G12650">
        <v>1</v>
      </c>
    </row>
    <row r="12651" spans="1:7" x14ac:dyDescent="0.25">
      <c r="A12651">
        <v>38</v>
      </c>
      <c r="B12651" t="s">
        <v>11969</v>
      </c>
      <c r="C12651">
        <v>5010690</v>
      </c>
      <c r="E12651" t="s">
        <v>2100</v>
      </c>
      <c r="F12651" t="s">
        <v>12661</v>
      </c>
      <c r="G12651">
        <v>1</v>
      </c>
    </row>
    <row r="12652" spans="1:7" x14ac:dyDescent="0.25">
      <c r="A12652">
        <v>38</v>
      </c>
      <c r="B12652" t="s">
        <v>11969</v>
      </c>
      <c r="C12652">
        <v>5000415</v>
      </c>
      <c r="E12652" t="s">
        <v>2100</v>
      </c>
      <c r="F12652" t="s">
        <v>12662</v>
      </c>
      <c r="G12652">
        <v>1</v>
      </c>
    </row>
    <row r="12653" spans="1:7" x14ac:dyDescent="0.25">
      <c r="A12653">
        <v>38</v>
      </c>
      <c r="B12653" t="s">
        <v>11969</v>
      </c>
      <c r="C12653">
        <v>5010882</v>
      </c>
      <c r="E12653" t="s">
        <v>2100</v>
      </c>
      <c r="F12653" t="s">
        <v>12663</v>
      </c>
      <c r="G12653">
        <v>1</v>
      </c>
    </row>
    <row r="12654" spans="1:7" x14ac:dyDescent="0.25">
      <c r="A12654">
        <v>38</v>
      </c>
      <c r="B12654" t="s">
        <v>11969</v>
      </c>
      <c r="C12654">
        <v>5010835</v>
      </c>
      <c r="E12654" t="s">
        <v>2100</v>
      </c>
      <c r="F12654" t="s">
        <v>12664</v>
      </c>
      <c r="G12654">
        <v>1</v>
      </c>
    </row>
    <row r="12655" spans="1:7" x14ac:dyDescent="0.25">
      <c r="A12655">
        <v>38</v>
      </c>
      <c r="B12655" t="s">
        <v>11969</v>
      </c>
      <c r="C12655">
        <v>5010684</v>
      </c>
      <c r="E12655" t="s">
        <v>2100</v>
      </c>
      <c r="F12655" t="s">
        <v>12665</v>
      </c>
      <c r="G12655">
        <v>1</v>
      </c>
    </row>
    <row r="12656" spans="1:7" x14ac:dyDescent="0.25">
      <c r="A12656">
        <v>38</v>
      </c>
      <c r="B12656" t="s">
        <v>11969</v>
      </c>
      <c r="C12656">
        <v>5000212</v>
      </c>
      <c r="E12656" t="s">
        <v>2100</v>
      </c>
      <c r="F12656" t="s">
        <v>12666</v>
      </c>
      <c r="G12656">
        <v>1</v>
      </c>
    </row>
    <row r="12657" spans="1:7" x14ac:dyDescent="0.25">
      <c r="A12657">
        <v>38</v>
      </c>
      <c r="B12657" t="s">
        <v>11969</v>
      </c>
      <c r="C12657">
        <v>5000352</v>
      </c>
      <c r="E12657" t="s">
        <v>2100</v>
      </c>
      <c r="F12657" t="s">
        <v>12667</v>
      </c>
      <c r="G12657">
        <v>1</v>
      </c>
    </row>
    <row r="12658" spans="1:7" x14ac:dyDescent="0.25">
      <c r="A12658">
        <v>38</v>
      </c>
      <c r="B12658" t="s">
        <v>11969</v>
      </c>
      <c r="C12658">
        <v>5000472</v>
      </c>
      <c r="E12658" t="s">
        <v>2100</v>
      </c>
      <c r="F12658" t="s">
        <v>12668</v>
      </c>
      <c r="G12658">
        <v>1</v>
      </c>
    </row>
    <row r="12659" spans="1:7" x14ac:dyDescent="0.25">
      <c r="A12659">
        <v>38</v>
      </c>
      <c r="B12659" t="s">
        <v>11969</v>
      </c>
      <c r="C12659">
        <v>5010846</v>
      </c>
      <c r="E12659" t="s">
        <v>2100</v>
      </c>
      <c r="F12659" t="s">
        <v>12669</v>
      </c>
      <c r="G12659">
        <v>1</v>
      </c>
    </row>
    <row r="12660" spans="1:7" x14ac:dyDescent="0.25">
      <c r="A12660">
        <v>38</v>
      </c>
      <c r="B12660" t="s">
        <v>11969</v>
      </c>
      <c r="C12660">
        <v>5010377</v>
      </c>
      <c r="E12660" t="s">
        <v>2100</v>
      </c>
      <c r="F12660" t="s">
        <v>12670</v>
      </c>
      <c r="G12660">
        <v>1</v>
      </c>
    </row>
    <row r="12661" spans="1:7" x14ac:dyDescent="0.25">
      <c r="A12661">
        <v>38</v>
      </c>
      <c r="B12661" t="s">
        <v>11969</v>
      </c>
      <c r="C12661">
        <v>5000201</v>
      </c>
      <c r="D12661" t="str">
        <f>"1087-4852"</f>
        <v>1087-4852</v>
      </c>
      <c r="E12661" t="s">
        <v>2100</v>
      </c>
      <c r="F12661" t="s">
        <v>12671</v>
      </c>
      <c r="G12661">
        <v>1</v>
      </c>
    </row>
    <row r="12662" spans="1:7" x14ac:dyDescent="0.25">
      <c r="A12662">
        <v>38</v>
      </c>
      <c r="B12662" t="s">
        <v>11969</v>
      </c>
      <c r="C12662">
        <v>5010203</v>
      </c>
      <c r="E12662" t="s">
        <v>2100</v>
      </c>
      <c r="F12662" t="s">
        <v>12672</v>
      </c>
      <c r="G12662">
        <v>1</v>
      </c>
    </row>
    <row r="12663" spans="1:7" x14ac:dyDescent="0.25">
      <c r="A12663">
        <v>38</v>
      </c>
      <c r="B12663" t="s">
        <v>11969</v>
      </c>
      <c r="C12663">
        <v>5010784</v>
      </c>
      <c r="E12663" t="s">
        <v>2100</v>
      </c>
      <c r="F12663" t="s">
        <v>12673</v>
      </c>
      <c r="G12663">
        <v>1</v>
      </c>
    </row>
    <row r="12664" spans="1:7" x14ac:dyDescent="0.25">
      <c r="A12664">
        <v>38</v>
      </c>
      <c r="B12664" t="s">
        <v>11969</v>
      </c>
      <c r="C12664">
        <v>5010599</v>
      </c>
      <c r="E12664" t="s">
        <v>2100</v>
      </c>
      <c r="F12664" t="s">
        <v>12674</v>
      </c>
      <c r="G12664">
        <v>1</v>
      </c>
    </row>
    <row r="12665" spans="1:7" x14ac:dyDescent="0.25">
      <c r="A12665">
        <v>38</v>
      </c>
      <c r="B12665" t="s">
        <v>11969</v>
      </c>
      <c r="C12665">
        <v>14102</v>
      </c>
      <c r="D12665" t="str">
        <f>"1089-7801"</f>
        <v>1089-7801</v>
      </c>
      <c r="E12665" t="s">
        <v>8</v>
      </c>
      <c r="F12665" t="s">
        <v>12675</v>
      </c>
      <c r="G12665">
        <v>1</v>
      </c>
    </row>
    <row r="12666" spans="1:7" x14ac:dyDescent="0.25">
      <c r="A12666">
        <v>38</v>
      </c>
      <c r="B12666" t="s">
        <v>11969</v>
      </c>
      <c r="C12666">
        <v>7755751</v>
      </c>
      <c r="E12666" t="s">
        <v>8</v>
      </c>
      <c r="F12666" t="s">
        <v>12676</v>
      </c>
      <c r="G12666">
        <v>1</v>
      </c>
    </row>
    <row r="12667" spans="1:7" x14ac:dyDescent="0.25">
      <c r="A12667">
        <v>38</v>
      </c>
      <c r="B12667" t="s">
        <v>11969</v>
      </c>
      <c r="C12667">
        <v>5010234</v>
      </c>
      <c r="E12667" t="s">
        <v>2100</v>
      </c>
      <c r="F12667" t="s">
        <v>12677</v>
      </c>
      <c r="G12667">
        <v>1</v>
      </c>
    </row>
    <row r="12668" spans="1:7" x14ac:dyDescent="0.25">
      <c r="A12668">
        <v>38</v>
      </c>
      <c r="B12668" t="s">
        <v>11969</v>
      </c>
      <c r="C12668">
        <v>8782700</v>
      </c>
      <c r="E12668" t="s">
        <v>2100</v>
      </c>
      <c r="F12668" t="s">
        <v>12678</v>
      </c>
      <c r="G12668">
        <v>1</v>
      </c>
    </row>
    <row r="12669" spans="1:7" x14ac:dyDescent="0.25">
      <c r="A12669">
        <v>38</v>
      </c>
      <c r="B12669" t="s">
        <v>11969</v>
      </c>
      <c r="C12669">
        <v>8782546</v>
      </c>
      <c r="E12669" t="s">
        <v>2100</v>
      </c>
      <c r="F12669" t="s">
        <v>12679</v>
      </c>
      <c r="G12669">
        <v>1</v>
      </c>
    </row>
    <row r="12670" spans="1:7" x14ac:dyDescent="0.25">
      <c r="A12670">
        <v>38</v>
      </c>
      <c r="B12670" t="s">
        <v>11969</v>
      </c>
      <c r="C12670">
        <v>5000560</v>
      </c>
      <c r="E12670" t="s">
        <v>2100</v>
      </c>
      <c r="F12670" t="s">
        <v>12680</v>
      </c>
      <c r="G12670">
        <v>1</v>
      </c>
    </row>
    <row r="12671" spans="1:7" x14ac:dyDescent="0.25">
      <c r="A12671">
        <v>38</v>
      </c>
      <c r="B12671" t="s">
        <v>11969</v>
      </c>
      <c r="C12671">
        <v>5000561</v>
      </c>
      <c r="E12671" t="s">
        <v>2100</v>
      </c>
      <c r="F12671" t="s">
        <v>12681</v>
      </c>
      <c r="G12671">
        <v>1</v>
      </c>
    </row>
    <row r="12672" spans="1:7" x14ac:dyDescent="0.25">
      <c r="A12672">
        <v>38</v>
      </c>
      <c r="B12672" t="s">
        <v>11969</v>
      </c>
      <c r="C12672">
        <v>5010819</v>
      </c>
      <c r="E12672" t="s">
        <v>2100</v>
      </c>
      <c r="F12672" t="s">
        <v>12682</v>
      </c>
      <c r="G12672">
        <v>1</v>
      </c>
    </row>
    <row r="12673" spans="1:7" x14ac:dyDescent="0.25">
      <c r="A12673">
        <v>38</v>
      </c>
      <c r="B12673" t="s">
        <v>11969</v>
      </c>
      <c r="C12673">
        <v>16948</v>
      </c>
      <c r="D12673" t="str">
        <f>"1540-7993"</f>
        <v>1540-7993</v>
      </c>
      <c r="E12673" t="s">
        <v>8</v>
      </c>
      <c r="F12673" t="s">
        <v>12683</v>
      </c>
      <c r="G12673">
        <v>1</v>
      </c>
    </row>
    <row r="12674" spans="1:7" x14ac:dyDescent="0.25">
      <c r="A12674">
        <v>38</v>
      </c>
      <c r="B12674" t="s">
        <v>11969</v>
      </c>
      <c r="C12674">
        <v>5010815</v>
      </c>
      <c r="E12674" t="s">
        <v>2100</v>
      </c>
      <c r="F12674" t="s">
        <v>12684</v>
      </c>
      <c r="G12674">
        <v>1</v>
      </c>
    </row>
    <row r="12675" spans="1:7" x14ac:dyDescent="0.25">
      <c r="A12675">
        <v>38</v>
      </c>
      <c r="B12675" t="s">
        <v>11969</v>
      </c>
      <c r="C12675">
        <v>5010853</v>
      </c>
      <c r="E12675" t="s">
        <v>2100</v>
      </c>
      <c r="F12675" t="s">
        <v>12685</v>
      </c>
      <c r="G12675">
        <v>1</v>
      </c>
    </row>
    <row r="12676" spans="1:7" x14ac:dyDescent="0.25">
      <c r="A12676">
        <v>38</v>
      </c>
      <c r="B12676" t="s">
        <v>11969</v>
      </c>
      <c r="C12676">
        <v>5010529</v>
      </c>
      <c r="E12676" t="s">
        <v>2100</v>
      </c>
      <c r="F12676" t="s">
        <v>12686</v>
      </c>
      <c r="G12676">
        <v>1</v>
      </c>
    </row>
    <row r="12677" spans="1:7" x14ac:dyDescent="0.25">
      <c r="A12677">
        <v>38</v>
      </c>
      <c r="B12677" t="s">
        <v>11969</v>
      </c>
      <c r="C12677">
        <v>5010525</v>
      </c>
      <c r="E12677" t="s">
        <v>2100</v>
      </c>
      <c r="F12677" t="s">
        <v>12687</v>
      </c>
      <c r="G12677">
        <v>1</v>
      </c>
    </row>
    <row r="12678" spans="1:7" x14ac:dyDescent="0.25">
      <c r="A12678">
        <v>38</v>
      </c>
      <c r="B12678" t="s">
        <v>11969</v>
      </c>
      <c r="C12678">
        <v>5000466</v>
      </c>
      <c r="E12678" t="s">
        <v>2100</v>
      </c>
      <c r="F12678" t="s">
        <v>12688</v>
      </c>
      <c r="G12678">
        <v>1</v>
      </c>
    </row>
    <row r="12679" spans="1:7" x14ac:dyDescent="0.25">
      <c r="A12679">
        <v>38</v>
      </c>
      <c r="B12679" t="s">
        <v>11969</v>
      </c>
      <c r="C12679">
        <v>5000288</v>
      </c>
      <c r="E12679" t="s">
        <v>2100</v>
      </c>
      <c r="F12679" t="s">
        <v>12689</v>
      </c>
      <c r="G12679">
        <v>1</v>
      </c>
    </row>
    <row r="12680" spans="1:7" x14ac:dyDescent="0.25">
      <c r="A12680">
        <v>38</v>
      </c>
      <c r="B12680" t="s">
        <v>11969</v>
      </c>
      <c r="C12680">
        <v>5000463</v>
      </c>
      <c r="E12680" t="s">
        <v>2100</v>
      </c>
      <c r="F12680" t="s">
        <v>12690</v>
      </c>
      <c r="G12680">
        <v>1</v>
      </c>
    </row>
    <row r="12681" spans="1:7" x14ac:dyDescent="0.25">
      <c r="A12681">
        <v>38</v>
      </c>
      <c r="B12681" t="s">
        <v>11969</v>
      </c>
      <c r="C12681">
        <v>5000540</v>
      </c>
      <c r="E12681" t="s">
        <v>2100</v>
      </c>
      <c r="F12681" t="s">
        <v>12691</v>
      </c>
      <c r="G12681">
        <v>1</v>
      </c>
    </row>
    <row r="12682" spans="1:7" x14ac:dyDescent="0.25">
      <c r="A12682">
        <v>38</v>
      </c>
      <c r="B12682" t="s">
        <v>11969</v>
      </c>
      <c r="C12682">
        <v>5000274</v>
      </c>
      <c r="E12682" t="s">
        <v>2100</v>
      </c>
      <c r="F12682" t="s">
        <v>12692</v>
      </c>
      <c r="G12682">
        <v>1</v>
      </c>
    </row>
    <row r="12683" spans="1:7" x14ac:dyDescent="0.25">
      <c r="A12683">
        <v>38</v>
      </c>
      <c r="B12683" t="s">
        <v>11969</v>
      </c>
      <c r="C12683">
        <v>5000189</v>
      </c>
      <c r="E12683" t="s">
        <v>2100</v>
      </c>
      <c r="F12683" t="s">
        <v>12693</v>
      </c>
      <c r="G12683">
        <v>1</v>
      </c>
    </row>
    <row r="12684" spans="1:7" x14ac:dyDescent="0.25">
      <c r="A12684">
        <v>38</v>
      </c>
      <c r="B12684" t="s">
        <v>11969</v>
      </c>
      <c r="C12684">
        <v>5000335</v>
      </c>
      <c r="E12684" t="s">
        <v>2100</v>
      </c>
      <c r="F12684" t="s">
        <v>12694</v>
      </c>
      <c r="G12684">
        <v>1</v>
      </c>
    </row>
    <row r="12685" spans="1:7" x14ac:dyDescent="0.25">
      <c r="A12685">
        <v>38</v>
      </c>
      <c r="B12685" t="s">
        <v>11969</v>
      </c>
      <c r="C12685">
        <v>5000619</v>
      </c>
      <c r="E12685" t="s">
        <v>2100</v>
      </c>
      <c r="F12685" t="s">
        <v>12695</v>
      </c>
      <c r="G12685">
        <v>1</v>
      </c>
    </row>
    <row r="12686" spans="1:7" x14ac:dyDescent="0.25">
      <c r="A12686">
        <v>38</v>
      </c>
      <c r="B12686" t="s">
        <v>11969</v>
      </c>
      <c r="C12686">
        <v>5010307</v>
      </c>
      <c r="E12686" t="s">
        <v>2100</v>
      </c>
      <c r="F12686" t="s">
        <v>12696</v>
      </c>
      <c r="G12686">
        <v>1</v>
      </c>
    </row>
    <row r="12687" spans="1:7" x14ac:dyDescent="0.25">
      <c r="A12687">
        <v>38</v>
      </c>
      <c r="B12687" t="s">
        <v>11969</v>
      </c>
      <c r="C12687">
        <v>24482</v>
      </c>
      <c r="D12687" t="str">
        <f>"1932-8184"</f>
        <v>1932-8184</v>
      </c>
      <c r="E12687" t="s">
        <v>8</v>
      </c>
      <c r="F12687" t="s">
        <v>12697</v>
      </c>
      <c r="G12687">
        <v>1</v>
      </c>
    </row>
    <row r="12688" spans="1:7" x14ac:dyDescent="0.25">
      <c r="A12688">
        <v>38</v>
      </c>
      <c r="B12688" t="s">
        <v>11969</v>
      </c>
      <c r="C12688">
        <v>835</v>
      </c>
      <c r="D12688" t="str">
        <f>"1545-5955"</f>
        <v>1545-5955</v>
      </c>
      <c r="E12688" t="s">
        <v>8</v>
      </c>
      <c r="F12688" t="s">
        <v>12698</v>
      </c>
      <c r="G12688">
        <v>1</v>
      </c>
    </row>
    <row r="12689" spans="1:7" x14ac:dyDescent="0.25">
      <c r="A12689">
        <v>38</v>
      </c>
      <c r="B12689" t="s">
        <v>11969</v>
      </c>
      <c r="C12689">
        <v>6144331</v>
      </c>
      <c r="D12689" t="str">
        <f>"1943-0604"</f>
        <v>1943-0604</v>
      </c>
      <c r="E12689" t="s">
        <v>8</v>
      </c>
      <c r="F12689" t="s">
        <v>12699</v>
      </c>
      <c r="G12689">
        <v>1</v>
      </c>
    </row>
    <row r="12690" spans="1:7" x14ac:dyDescent="0.25">
      <c r="A12690">
        <v>38</v>
      </c>
      <c r="B12690" t="s">
        <v>11969</v>
      </c>
      <c r="C12690">
        <v>8768018</v>
      </c>
      <c r="E12690" t="s">
        <v>8</v>
      </c>
      <c r="F12690" t="s">
        <v>12700</v>
      </c>
      <c r="G12690">
        <v>1</v>
      </c>
    </row>
    <row r="12691" spans="1:7" x14ac:dyDescent="0.25">
      <c r="A12691">
        <v>38</v>
      </c>
      <c r="B12691" t="s">
        <v>11969</v>
      </c>
      <c r="C12691">
        <v>6144341</v>
      </c>
      <c r="D12691" t="str">
        <f>"1943-068X"</f>
        <v>1943-068X</v>
      </c>
      <c r="E12691" t="s">
        <v>8</v>
      </c>
      <c r="F12691" t="s">
        <v>12701</v>
      </c>
      <c r="G12691">
        <v>1</v>
      </c>
    </row>
    <row r="12692" spans="1:7" x14ac:dyDescent="0.25">
      <c r="A12692">
        <v>38</v>
      </c>
      <c r="B12692" t="s">
        <v>11969</v>
      </c>
      <c r="C12692">
        <v>17770</v>
      </c>
      <c r="D12692" t="str">
        <f>"1551-3203"</f>
        <v>1551-3203</v>
      </c>
      <c r="E12692" t="s">
        <v>8</v>
      </c>
      <c r="F12692" t="s">
        <v>12702</v>
      </c>
      <c r="G12692">
        <v>1</v>
      </c>
    </row>
    <row r="12693" spans="1:7" x14ac:dyDescent="0.25">
      <c r="A12693">
        <v>38</v>
      </c>
      <c r="B12693" t="s">
        <v>11969</v>
      </c>
      <c r="C12693">
        <v>8131</v>
      </c>
      <c r="D12693" t="str">
        <f>"1556-6013"</f>
        <v>1556-6013</v>
      </c>
      <c r="E12693" t="s">
        <v>8</v>
      </c>
      <c r="F12693" t="s">
        <v>12703</v>
      </c>
      <c r="G12693">
        <v>1</v>
      </c>
    </row>
    <row r="12694" spans="1:7" x14ac:dyDescent="0.25">
      <c r="A12694">
        <v>38</v>
      </c>
      <c r="B12694" t="s">
        <v>11969</v>
      </c>
      <c r="C12694">
        <v>13155</v>
      </c>
      <c r="D12694" t="str">
        <f>"1536-1241"</f>
        <v>1536-1241</v>
      </c>
      <c r="E12694" t="s">
        <v>8</v>
      </c>
      <c r="F12694" t="s">
        <v>12704</v>
      </c>
      <c r="G12694">
        <v>1</v>
      </c>
    </row>
    <row r="12695" spans="1:7" x14ac:dyDescent="0.25">
      <c r="A12695">
        <v>38</v>
      </c>
      <c r="B12695" t="s">
        <v>11969</v>
      </c>
      <c r="C12695">
        <v>4050</v>
      </c>
      <c r="E12695" t="s">
        <v>8</v>
      </c>
      <c r="F12695" t="s">
        <v>12705</v>
      </c>
      <c r="G12695">
        <v>1</v>
      </c>
    </row>
    <row r="12696" spans="1:7" x14ac:dyDescent="0.25">
      <c r="A12696">
        <v>38</v>
      </c>
      <c r="B12696" t="s">
        <v>11969</v>
      </c>
      <c r="C12696">
        <v>6144391</v>
      </c>
      <c r="D12696" t="str">
        <f>"1939-1374"</f>
        <v>1939-1374</v>
      </c>
      <c r="E12696" t="s">
        <v>8</v>
      </c>
      <c r="F12696" t="s">
        <v>12706</v>
      </c>
      <c r="G12696">
        <v>1</v>
      </c>
    </row>
    <row r="12697" spans="1:7" x14ac:dyDescent="0.25">
      <c r="A12697">
        <v>38</v>
      </c>
      <c r="B12697" t="s">
        <v>11969</v>
      </c>
      <c r="C12697">
        <v>5010507</v>
      </c>
      <c r="E12697" t="s">
        <v>2100</v>
      </c>
      <c r="F12697" t="s">
        <v>12707</v>
      </c>
      <c r="G12697">
        <v>1</v>
      </c>
    </row>
    <row r="12698" spans="1:7" x14ac:dyDescent="0.25">
      <c r="A12698">
        <v>38</v>
      </c>
      <c r="B12698" t="s">
        <v>11969</v>
      </c>
      <c r="C12698">
        <v>5010516</v>
      </c>
      <c r="E12698" t="s">
        <v>2100</v>
      </c>
      <c r="F12698" t="s">
        <v>12708</v>
      </c>
      <c r="G12698">
        <v>1</v>
      </c>
    </row>
    <row r="12699" spans="1:7" x14ac:dyDescent="0.25">
      <c r="A12699">
        <v>38</v>
      </c>
      <c r="B12699" t="s">
        <v>11969</v>
      </c>
      <c r="C12699">
        <v>5010502</v>
      </c>
      <c r="E12699" t="s">
        <v>2100</v>
      </c>
      <c r="F12699" t="s">
        <v>12709</v>
      </c>
      <c r="G12699">
        <v>1</v>
      </c>
    </row>
    <row r="12700" spans="1:7" x14ac:dyDescent="0.25">
      <c r="A12700">
        <v>38</v>
      </c>
      <c r="B12700" t="s">
        <v>11969</v>
      </c>
      <c r="C12700">
        <v>5000604</v>
      </c>
      <c r="E12700" t="s">
        <v>2100</v>
      </c>
      <c r="F12700" t="s">
        <v>12710</v>
      </c>
      <c r="G12700">
        <v>1</v>
      </c>
    </row>
    <row r="12701" spans="1:7" x14ac:dyDescent="0.25">
      <c r="A12701">
        <v>38</v>
      </c>
      <c r="B12701" t="s">
        <v>11969</v>
      </c>
      <c r="C12701">
        <v>5010561</v>
      </c>
      <c r="E12701" t="s">
        <v>2100</v>
      </c>
      <c r="F12701" t="s">
        <v>12711</v>
      </c>
      <c r="G12701">
        <v>1</v>
      </c>
    </row>
    <row r="12702" spans="1:7" x14ac:dyDescent="0.25">
      <c r="A12702">
        <v>38</v>
      </c>
      <c r="B12702" t="s">
        <v>11969</v>
      </c>
      <c r="C12702">
        <v>5010589</v>
      </c>
      <c r="E12702" t="s">
        <v>2100</v>
      </c>
      <c r="F12702" t="s">
        <v>12712</v>
      </c>
      <c r="G12702">
        <v>1</v>
      </c>
    </row>
    <row r="12703" spans="1:7" x14ac:dyDescent="0.25">
      <c r="A12703">
        <v>38</v>
      </c>
      <c r="B12703" t="s">
        <v>11969</v>
      </c>
      <c r="C12703">
        <v>5000598</v>
      </c>
      <c r="E12703" t="s">
        <v>2100</v>
      </c>
      <c r="F12703" t="s">
        <v>12713</v>
      </c>
      <c r="G12703">
        <v>1</v>
      </c>
    </row>
    <row r="12704" spans="1:7" x14ac:dyDescent="0.25">
      <c r="A12704">
        <v>38</v>
      </c>
      <c r="B12704" t="s">
        <v>11969</v>
      </c>
      <c r="C12704">
        <v>5010542</v>
      </c>
      <c r="E12704" t="s">
        <v>2100</v>
      </c>
      <c r="F12704" t="s">
        <v>12714</v>
      </c>
      <c r="G12704">
        <v>1</v>
      </c>
    </row>
    <row r="12705" spans="1:7" x14ac:dyDescent="0.25">
      <c r="A12705">
        <v>38</v>
      </c>
      <c r="B12705" t="s">
        <v>11969</v>
      </c>
      <c r="C12705">
        <v>8783084</v>
      </c>
      <c r="E12705" t="s">
        <v>2100</v>
      </c>
      <c r="F12705" t="s">
        <v>12715</v>
      </c>
      <c r="G12705">
        <v>1</v>
      </c>
    </row>
    <row r="12706" spans="1:7" x14ac:dyDescent="0.25">
      <c r="A12706">
        <v>38</v>
      </c>
      <c r="B12706" t="s">
        <v>11969</v>
      </c>
      <c r="C12706">
        <v>5000011</v>
      </c>
      <c r="E12706" t="s">
        <v>2100</v>
      </c>
      <c r="F12706" t="s">
        <v>12716</v>
      </c>
      <c r="G12706">
        <v>1</v>
      </c>
    </row>
    <row r="12707" spans="1:7" x14ac:dyDescent="0.25">
      <c r="A12707">
        <v>38</v>
      </c>
      <c r="B12707" t="s">
        <v>11969</v>
      </c>
      <c r="C12707">
        <v>5010824</v>
      </c>
      <c r="E12707" t="s">
        <v>2100</v>
      </c>
      <c r="F12707" t="s">
        <v>12717</v>
      </c>
      <c r="G12707">
        <v>1</v>
      </c>
    </row>
    <row r="12708" spans="1:7" x14ac:dyDescent="0.25">
      <c r="A12708">
        <v>38</v>
      </c>
      <c r="B12708" t="s">
        <v>11969</v>
      </c>
      <c r="C12708">
        <v>5020026</v>
      </c>
      <c r="E12708" t="s">
        <v>2100</v>
      </c>
      <c r="F12708" t="s">
        <v>12718</v>
      </c>
      <c r="G12708">
        <v>1</v>
      </c>
    </row>
    <row r="12709" spans="1:7" x14ac:dyDescent="0.25">
      <c r="A12709">
        <v>38</v>
      </c>
      <c r="B12709" t="s">
        <v>11969</v>
      </c>
      <c r="C12709">
        <v>5010550</v>
      </c>
      <c r="E12709" t="s">
        <v>2100</v>
      </c>
      <c r="F12709" t="s">
        <v>12719</v>
      </c>
      <c r="G12709">
        <v>1</v>
      </c>
    </row>
    <row r="12710" spans="1:7" x14ac:dyDescent="0.25">
      <c r="A12710">
        <v>38</v>
      </c>
      <c r="B12710" t="s">
        <v>11969</v>
      </c>
      <c r="C12710">
        <v>5000142</v>
      </c>
      <c r="E12710" t="s">
        <v>2100</v>
      </c>
      <c r="F12710" t="s">
        <v>12720</v>
      </c>
      <c r="G12710">
        <v>1</v>
      </c>
    </row>
    <row r="12711" spans="1:7" x14ac:dyDescent="0.25">
      <c r="A12711">
        <v>38</v>
      </c>
      <c r="B12711" t="s">
        <v>11969</v>
      </c>
      <c r="C12711">
        <v>5010922</v>
      </c>
      <c r="E12711" t="s">
        <v>2100</v>
      </c>
      <c r="F12711" t="s">
        <v>12721</v>
      </c>
      <c r="G12711">
        <v>1</v>
      </c>
    </row>
    <row r="12712" spans="1:7" x14ac:dyDescent="0.25">
      <c r="A12712">
        <v>38</v>
      </c>
      <c r="B12712" t="s">
        <v>11969</v>
      </c>
      <c r="C12712">
        <v>5000453</v>
      </c>
      <c r="E12712" t="s">
        <v>2100</v>
      </c>
      <c r="F12712" t="s">
        <v>12722</v>
      </c>
      <c r="G12712">
        <v>1</v>
      </c>
    </row>
    <row r="12713" spans="1:7" x14ac:dyDescent="0.25">
      <c r="A12713">
        <v>38</v>
      </c>
      <c r="B12713" t="s">
        <v>11969</v>
      </c>
      <c r="C12713">
        <v>5010354</v>
      </c>
      <c r="E12713" t="s">
        <v>2100</v>
      </c>
      <c r="F12713" t="s">
        <v>12723</v>
      </c>
      <c r="G12713">
        <v>1</v>
      </c>
    </row>
    <row r="12714" spans="1:7" x14ac:dyDescent="0.25">
      <c r="A12714">
        <v>38</v>
      </c>
      <c r="B12714" t="s">
        <v>11969</v>
      </c>
      <c r="C12714">
        <v>5000528</v>
      </c>
      <c r="E12714" t="s">
        <v>2100</v>
      </c>
      <c r="F12714" t="s">
        <v>12724</v>
      </c>
      <c r="G12714">
        <v>1</v>
      </c>
    </row>
    <row r="12715" spans="1:7" x14ac:dyDescent="0.25">
      <c r="A12715">
        <v>38</v>
      </c>
      <c r="B12715" t="s">
        <v>11969</v>
      </c>
      <c r="C12715">
        <v>5000385</v>
      </c>
      <c r="E12715" t="s">
        <v>2100</v>
      </c>
      <c r="F12715" t="s">
        <v>12725</v>
      </c>
      <c r="G12715">
        <v>1</v>
      </c>
    </row>
    <row r="12716" spans="1:7" x14ac:dyDescent="0.25">
      <c r="A12716">
        <v>38</v>
      </c>
      <c r="B12716" t="s">
        <v>11969</v>
      </c>
      <c r="C12716">
        <v>5010658</v>
      </c>
      <c r="E12716" t="s">
        <v>2100</v>
      </c>
      <c r="F12716" t="s">
        <v>12726</v>
      </c>
      <c r="G12716">
        <v>1</v>
      </c>
    </row>
    <row r="12717" spans="1:7" x14ac:dyDescent="0.25">
      <c r="A12717">
        <v>38</v>
      </c>
      <c r="B12717" t="s">
        <v>11969</v>
      </c>
      <c r="C12717">
        <v>5020027</v>
      </c>
      <c r="E12717" t="s">
        <v>2100</v>
      </c>
      <c r="F12717" t="s">
        <v>12727</v>
      </c>
      <c r="G12717">
        <v>1</v>
      </c>
    </row>
    <row r="12718" spans="1:7" x14ac:dyDescent="0.25">
      <c r="A12718">
        <v>38</v>
      </c>
      <c r="B12718" t="s">
        <v>11969</v>
      </c>
      <c r="C12718">
        <v>5010509</v>
      </c>
      <c r="E12718" t="s">
        <v>2100</v>
      </c>
      <c r="F12718" t="s">
        <v>12728</v>
      </c>
      <c r="G12718">
        <v>1</v>
      </c>
    </row>
    <row r="12719" spans="1:7" x14ac:dyDescent="0.25">
      <c r="A12719">
        <v>38</v>
      </c>
      <c r="B12719" t="s">
        <v>11969</v>
      </c>
      <c r="C12719">
        <v>5010159</v>
      </c>
      <c r="E12719" t="s">
        <v>2100</v>
      </c>
      <c r="F12719" t="s">
        <v>12729</v>
      </c>
      <c r="G12719">
        <v>1</v>
      </c>
    </row>
    <row r="12720" spans="1:7" x14ac:dyDescent="0.25">
      <c r="A12720">
        <v>38</v>
      </c>
      <c r="B12720" t="s">
        <v>11969</v>
      </c>
      <c r="C12720">
        <v>5010709</v>
      </c>
      <c r="E12720" t="s">
        <v>2100</v>
      </c>
      <c r="F12720" t="s">
        <v>12730</v>
      </c>
      <c r="G12720">
        <v>1</v>
      </c>
    </row>
    <row r="12721" spans="1:7" x14ac:dyDescent="0.25">
      <c r="A12721">
        <v>38</v>
      </c>
      <c r="B12721" t="s">
        <v>11969</v>
      </c>
      <c r="C12721">
        <v>5000185</v>
      </c>
      <c r="E12721" t="s">
        <v>2100</v>
      </c>
      <c r="F12721" t="s">
        <v>12731</v>
      </c>
      <c r="G12721">
        <v>1</v>
      </c>
    </row>
    <row r="12722" spans="1:7" x14ac:dyDescent="0.25">
      <c r="A12722">
        <v>38</v>
      </c>
      <c r="B12722" t="s">
        <v>11969</v>
      </c>
      <c r="C12722">
        <v>5000186</v>
      </c>
      <c r="E12722" t="s">
        <v>2100</v>
      </c>
      <c r="F12722" t="s">
        <v>12732</v>
      </c>
      <c r="G12722">
        <v>1</v>
      </c>
    </row>
    <row r="12723" spans="1:7" x14ac:dyDescent="0.25">
      <c r="A12723">
        <v>38</v>
      </c>
      <c r="B12723" t="s">
        <v>11969</v>
      </c>
      <c r="C12723">
        <v>18196</v>
      </c>
      <c r="D12723" t="str">
        <f>"1349-2543"</f>
        <v>1349-2543</v>
      </c>
      <c r="E12723" t="s">
        <v>8</v>
      </c>
      <c r="F12723" t="s">
        <v>12733</v>
      </c>
      <c r="G12723">
        <v>1</v>
      </c>
    </row>
    <row r="12724" spans="1:7" x14ac:dyDescent="0.25">
      <c r="A12724">
        <v>38</v>
      </c>
      <c r="B12724" t="s">
        <v>11969</v>
      </c>
      <c r="C12724">
        <v>15870</v>
      </c>
      <c r="D12724" t="str">
        <f>"0916-8524"</f>
        <v>0916-8524</v>
      </c>
      <c r="E12724" t="s">
        <v>8</v>
      </c>
      <c r="F12724" t="s">
        <v>12734</v>
      </c>
      <c r="G12724">
        <v>1</v>
      </c>
    </row>
    <row r="12725" spans="1:7" x14ac:dyDescent="0.25">
      <c r="A12725">
        <v>38</v>
      </c>
      <c r="B12725" t="s">
        <v>11969</v>
      </c>
      <c r="C12725">
        <v>14941</v>
      </c>
      <c r="D12725" t="str">
        <f>"0916-8508"</f>
        <v>0916-8508</v>
      </c>
      <c r="E12725" t="s">
        <v>8</v>
      </c>
      <c r="F12725" t="s">
        <v>12735</v>
      </c>
      <c r="G12725">
        <v>1</v>
      </c>
    </row>
    <row r="12726" spans="1:7" x14ac:dyDescent="0.25">
      <c r="A12726">
        <v>38</v>
      </c>
      <c r="B12726" t="s">
        <v>11969</v>
      </c>
      <c r="C12726">
        <v>7720327</v>
      </c>
      <c r="D12726" t="str">
        <f>"2047-4938"</f>
        <v>2047-4938</v>
      </c>
      <c r="E12726" t="s">
        <v>8</v>
      </c>
      <c r="F12726" t="s">
        <v>12736</v>
      </c>
      <c r="G12726">
        <v>1</v>
      </c>
    </row>
    <row r="12727" spans="1:7" x14ac:dyDescent="0.25">
      <c r="A12727">
        <v>38</v>
      </c>
      <c r="B12727" t="s">
        <v>11969</v>
      </c>
      <c r="C12727">
        <v>17242</v>
      </c>
      <c r="D12727" t="str">
        <f>"1751-8628"</f>
        <v>1751-8628</v>
      </c>
      <c r="E12727" t="s">
        <v>8</v>
      </c>
      <c r="F12727" t="s">
        <v>12737</v>
      </c>
      <c r="G12727">
        <v>1</v>
      </c>
    </row>
    <row r="12728" spans="1:7" x14ac:dyDescent="0.25">
      <c r="A12728">
        <v>38</v>
      </c>
      <c r="B12728" t="s">
        <v>11969</v>
      </c>
      <c r="C12728">
        <v>14326</v>
      </c>
      <c r="D12728" t="str">
        <f>"1751-9632"</f>
        <v>1751-9632</v>
      </c>
      <c r="E12728" t="s">
        <v>8</v>
      </c>
      <c r="F12728" t="s">
        <v>12738</v>
      </c>
      <c r="G12728">
        <v>1</v>
      </c>
    </row>
    <row r="12729" spans="1:7" x14ac:dyDescent="0.25">
      <c r="A12729">
        <v>38</v>
      </c>
      <c r="B12729" t="s">
        <v>11969</v>
      </c>
      <c r="C12729">
        <v>18009</v>
      </c>
      <c r="D12729" t="str">
        <f>"1751-8601"</f>
        <v>1751-8601</v>
      </c>
      <c r="E12729" t="s">
        <v>8</v>
      </c>
      <c r="F12729" t="s">
        <v>12739</v>
      </c>
      <c r="G12729">
        <v>1</v>
      </c>
    </row>
    <row r="12730" spans="1:7" x14ac:dyDescent="0.25">
      <c r="A12730">
        <v>38</v>
      </c>
      <c r="B12730" t="s">
        <v>11969</v>
      </c>
      <c r="C12730">
        <v>14183</v>
      </c>
      <c r="D12730" t="str">
        <f>"1751-9659"</f>
        <v>1751-9659</v>
      </c>
      <c r="E12730" t="s">
        <v>8</v>
      </c>
      <c r="F12730" t="s">
        <v>12740</v>
      </c>
      <c r="G12730">
        <v>1</v>
      </c>
    </row>
    <row r="12731" spans="1:7" x14ac:dyDescent="0.25">
      <c r="A12731">
        <v>38</v>
      </c>
      <c r="B12731" t="s">
        <v>11969</v>
      </c>
      <c r="C12731">
        <v>6206</v>
      </c>
      <c r="D12731" t="str">
        <f>"1751-9675"</f>
        <v>1751-9675</v>
      </c>
      <c r="E12731" t="s">
        <v>8</v>
      </c>
      <c r="F12731" t="s">
        <v>12741</v>
      </c>
      <c r="G12731">
        <v>1</v>
      </c>
    </row>
    <row r="12732" spans="1:7" x14ac:dyDescent="0.25">
      <c r="A12732">
        <v>38</v>
      </c>
      <c r="B12732" t="s">
        <v>11969</v>
      </c>
      <c r="C12732">
        <v>18050</v>
      </c>
      <c r="D12732" t="str">
        <f>"1751-8806"</f>
        <v>1751-8806</v>
      </c>
      <c r="E12732" t="s">
        <v>8</v>
      </c>
      <c r="F12732" t="s">
        <v>12742</v>
      </c>
      <c r="G12732">
        <v>1</v>
      </c>
    </row>
    <row r="12733" spans="1:7" x14ac:dyDescent="0.25">
      <c r="A12733">
        <v>38</v>
      </c>
      <c r="B12733" t="s">
        <v>11969</v>
      </c>
      <c r="C12733">
        <v>5010889</v>
      </c>
      <c r="E12733" t="s">
        <v>2100</v>
      </c>
      <c r="F12733" t="s">
        <v>12743</v>
      </c>
      <c r="G12733">
        <v>1</v>
      </c>
    </row>
    <row r="12734" spans="1:7" x14ac:dyDescent="0.25">
      <c r="A12734">
        <v>38</v>
      </c>
      <c r="B12734" t="s">
        <v>11969</v>
      </c>
      <c r="C12734">
        <v>7956</v>
      </c>
      <c r="D12734" t="str">
        <f>"1868-4238"</f>
        <v>1868-4238</v>
      </c>
      <c r="E12734" t="s">
        <v>15</v>
      </c>
      <c r="F12734" t="s">
        <v>12744</v>
      </c>
      <c r="G12734">
        <v>1</v>
      </c>
    </row>
    <row r="12735" spans="1:7" x14ac:dyDescent="0.25">
      <c r="A12735">
        <v>38</v>
      </c>
      <c r="B12735" t="s">
        <v>11969</v>
      </c>
      <c r="C12735">
        <v>5010349</v>
      </c>
      <c r="E12735" t="s">
        <v>2100</v>
      </c>
      <c r="F12735" t="s">
        <v>12745</v>
      </c>
      <c r="G12735">
        <v>1</v>
      </c>
    </row>
    <row r="12736" spans="1:7" x14ac:dyDescent="0.25">
      <c r="A12736">
        <v>38</v>
      </c>
      <c r="B12736" t="s">
        <v>11969</v>
      </c>
      <c r="C12736">
        <v>5000082</v>
      </c>
      <c r="D12736" t="str">
        <f>"0302-9743"</f>
        <v>0302-9743</v>
      </c>
      <c r="E12736" t="s">
        <v>2100</v>
      </c>
      <c r="F12736" t="s">
        <v>12746</v>
      </c>
      <c r="G12736">
        <v>1</v>
      </c>
    </row>
    <row r="12737" spans="1:7" x14ac:dyDescent="0.25">
      <c r="A12737">
        <v>38</v>
      </c>
      <c r="B12737" t="s">
        <v>11969</v>
      </c>
      <c r="C12737">
        <v>5010166</v>
      </c>
      <c r="E12737" t="s">
        <v>2100</v>
      </c>
      <c r="F12737" t="s">
        <v>12747</v>
      </c>
      <c r="G12737">
        <v>1</v>
      </c>
    </row>
    <row r="12738" spans="1:7" x14ac:dyDescent="0.25">
      <c r="A12738">
        <v>38</v>
      </c>
      <c r="B12738" t="s">
        <v>11969</v>
      </c>
      <c r="C12738">
        <v>5010176</v>
      </c>
      <c r="E12738" t="s">
        <v>2100</v>
      </c>
      <c r="F12738" t="s">
        <v>12748</v>
      </c>
      <c r="G12738">
        <v>1</v>
      </c>
    </row>
    <row r="12739" spans="1:7" x14ac:dyDescent="0.25">
      <c r="A12739">
        <v>38</v>
      </c>
      <c r="B12739" t="s">
        <v>11969</v>
      </c>
      <c r="C12739">
        <v>5020069</v>
      </c>
      <c r="E12739" t="s">
        <v>2100</v>
      </c>
      <c r="F12739" t="s">
        <v>12749</v>
      </c>
      <c r="G12739">
        <v>1</v>
      </c>
    </row>
    <row r="12740" spans="1:7" x14ac:dyDescent="0.25">
      <c r="A12740">
        <v>38</v>
      </c>
      <c r="B12740" t="s">
        <v>11969</v>
      </c>
      <c r="C12740">
        <v>5000238</v>
      </c>
      <c r="E12740" t="s">
        <v>2100</v>
      </c>
      <c r="F12740" t="s">
        <v>12750</v>
      </c>
      <c r="G12740">
        <v>1</v>
      </c>
    </row>
    <row r="12741" spans="1:7" x14ac:dyDescent="0.25">
      <c r="A12741">
        <v>38</v>
      </c>
      <c r="B12741" t="s">
        <v>11969</v>
      </c>
      <c r="C12741">
        <v>5000197</v>
      </c>
      <c r="E12741" t="s">
        <v>2100</v>
      </c>
      <c r="F12741" t="s">
        <v>12751</v>
      </c>
      <c r="G12741">
        <v>1</v>
      </c>
    </row>
    <row r="12742" spans="1:7" x14ac:dyDescent="0.25">
      <c r="A12742">
        <v>38</v>
      </c>
      <c r="B12742" t="s">
        <v>11969</v>
      </c>
      <c r="C12742">
        <v>5000078</v>
      </c>
      <c r="E12742" t="s">
        <v>2100</v>
      </c>
      <c r="F12742" t="s">
        <v>12752</v>
      </c>
      <c r="G12742">
        <v>1</v>
      </c>
    </row>
    <row r="12743" spans="1:7" x14ac:dyDescent="0.25">
      <c r="A12743">
        <v>38</v>
      </c>
      <c r="B12743" t="s">
        <v>11969</v>
      </c>
      <c r="C12743">
        <v>5010334</v>
      </c>
      <c r="E12743" t="s">
        <v>2100</v>
      </c>
      <c r="F12743" t="s">
        <v>12753</v>
      </c>
      <c r="G12743">
        <v>1</v>
      </c>
    </row>
    <row r="12744" spans="1:7" x14ac:dyDescent="0.25">
      <c r="A12744">
        <v>38</v>
      </c>
      <c r="B12744" t="s">
        <v>11969</v>
      </c>
      <c r="C12744">
        <v>5000660</v>
      </c>
      <c r="E12744" t="s">
        <v>2100</v>
      </c>
      <c r="F12744" t="s">
        <v>12754</v>
      </c>
      <c r="G12744">
        <v>1</v>
      </c>
    </row>
    <row r="12745" spans="1:7" x14ac:dyDescent="0.25">
      <c r="A12745">
        <v>38</v>
      </c>
      <c r="B12745" t="s">
        <v>11969</v>
      </c>
      <c r="C12745">
        <v>5010422</v>
      </c>
      <c r="E12745" t="s">
        <v>2100</v>
      </c>
      <c r="F12745" t="s">
        <v>12755</v>
      </c>
      <c r="G12745">
        <v>1</v>
      </c>
    </row>
    <row r="12746" spans="1:7" x14ac:dyDescent="0.25">
      <c r="A12746">
        <v>38</v>
      </c>
      <c r="B12746" t="s">
        <v>11969</v>
      </c>
      <c r="C12746">
        <v>5000470</v>
      </c>
      <c r="E12746" t="s">
        <v>2100</v>
      </c>
      <c r="F12746" t="s">
        <v>12756</v>
      </c>
      <c r="G12746">
        <v>1</v>
      </c>
    </row>
    <row r="12747" spans="1:7" x14ac:dyDescent="0.25">
      <c r="A12747">
        <v>38</v>
      </c>
      <c r="B12747" t="s">
        <v>11969</v>
      </c>
      <c r="C12747">
        <v>5010607</v>
      </c>
      <c r="E12747" t="s">
        <v>2100</v>
      </c>
      <c r="F12747" t="s">
        <v>12757</v>
      </c>
      <c r="G12747">
        <v>1</v>
      </c>
    </row>
    <row r="12748" spans="1:7" x14ac:dyDescent="0.25">
      <c r="A12748">
        <v>38</v>
      </c>
      <c r="B12748" t="s">
        <v>11969</v>
      </c>
      <c r="C12748">
        <v>5000469</v>
      </c>
      <c r="E12748" t="s">
        <v>2100</v>
      </c>
      <c r="F12748" t="s">
        <v>12758</v>
      </c>
      <c r="G12748">
        <v>1</v>
      </c>
    </row>
    <row r="12749" spans="1:7" x14ac:dyDescent="0.25">
      <c r="A12749">
        <v>38</v>
      </c>
      <c r="B12749" t="s">
        <v>11969</v>
      </c>
      <c r="C12749">
        <v>5010555</v>
      </c>
      <c r="E12749" t="s">
        <v>2100</v>
      </c>
      <c r="F12749" t="s">
        <v>12759</v>
      </c>
      <c r="G12749">
        <v>1</v>
      </c>
    </row>
    <row r="12750" spans="1:7" x14ac:dyDescent="0.25">
      <c r="A12750">
        <v>38</v>
      </c>
      <c r="B12750" t="s">
        <v>11969</v>
      </c>
      <c r="C12750">
        <v>5000642</v>
      </c>
      <c r="E12750" t="s">
        <v>2100</v>
      </c>
      <c r="F12750" t="s">
        <v>12760</v>
      </c>
      <c r="G12750">
        <v>1</v>
      </c>
    </row>
    <row r="12751" spans="1:7" x14ac:dyDescent="0.25">
      <c r="A12751">
        <v>38</v>
      </c>
      <c r="B12751" t="s">
        <v>11969</v>
      </c>
      <c r="C12751">
        <v>5010758</v>
      </c>
      <c r="E12751" t="s">
        <v>2100</v>
      </c>
      <c r="F12751" t="s">
        <v>12761</v>
      </c>
      <c r="G12751">
        <v>1</v>
      </c>
    </row>
    <row r="12752" spans="1:7" x14ac:dyDescent="0.25">
      <c r="A12752">
        <v>38</v>
      </c>
      <c r="B12752" t="s">
        <v>11969</v>
      </c>
      <c r="C12752">
        <v>5010770</v>
      </c>
      <c r="E12752" t="s">
        <v>2100</v>
      </c>
      <c r="F12752" t="s">
        <v>12762</v>
      </c>
      <c r="G12752">
        <v>1</v>
      </c>
    </row>
    <row r="12753" spans="1:7" x14ac:dyDescent="0.25">
      <c r="A12753">
        <v>38</v>
      </c>
      <c r="B12753" t="s">
        <v>11969</v>
      </c>
      <c r="C12753">
        <v>5010756</v>
      </c>
      <c r="D12753" t="str">
        <f>"0302-9743"</f>
        <v>0302-9743</v>
      </c>
      <c r="E12753" t="s">
        <v>2100</v>
      </c>
      <c r="F12753" t="s">
        <v>12763</v>
      </c>
      <c r="G12753">
        <v>1</v>
      </c>
    </row>
    <row r="12754" spans="1:7" x14ac:dyDescent="0.25">
      <c r="A12754">
        <v>38</v>
      </c>
      <c r="B12754" t="s">
        <v>11969</v>
      </c>
      <c r="C12754">
        <v>4059</v>
      </c>
      <c r="D12754" t="str">
        <f>"1845-5921"</f>
        <v>1845-5921</v>
      </c>
      <c r="E12754" t="s">
        <v>15</v>
      </c>
      <c r="F12754" t="s">
        <v>12764</v>
      </c>
      <c r="G12754">
        <v>1</v>
      </c>
    </row>
    <row r="12755" spans="1:7" x14ac:dyDescent="0.25">
      <c r="A12755">
        <v>38</v>
      </c>
      <c r="B12755" t="s">
        <v>11969</v>
      </c>
      <c r="C12755">
        <v>5010743</v>
      </c>
      <c r="D12755" t="str">
        <f>"0302-9743"</f>
        <v>0302-9743</v>
      </c>
      <c r="E12755" t="s">
        <v>2100</v>
      </c>
      <c r="F12755" t="s">
        <v>12765</v>
      </c>
      <c r="G12755">
        <v>1</v>
      </c>
    </row>
    <row r="12756" spans="1:7" x14ac:dyDescent="0.25">
      <c r="A12756">
        <v>38</v>
      </c>
      <c r="B12756" t="s">
        <v>11969</v>
      </c>
      <c r="C12756">
        <v>5010767</v>
      </c>
      <c r="E12756" t="s">
        <v>2100</v>
      </c>
      <c r="F12756" t="s">
        <v>12766</v>
      </c>
      <c r="G12756">
        <v>1</v>
      </c>
    </row>
    <row r="12757" spans="1:7" x14ac:dyDescent="0.25">
      <c r="A12757">
        <v>38</v>
      </c>
      <c r="B12757" t="s">
        <v>11969</v>
      </c>
      <c r="C12757">
        <v>5000365</v>
      </c>
      <c r="E12757" t="s">
        <v>2100</v>
      </c>
      <c r="F12757" t="s">
        <v>12767</v>
      </c>
      <c r="G12757">
        <v>1</v>
      </c>
    </row>
    <row r="12758" spans="1:7" x14ac:dyDescent="0.25">
      <c r="A12758">
        <v>38</v>
      </c>
      <c r="B12758" t="s">
        <v>11969</v>
      </c>
      <c r="C12758">
        <v>27867</v>
      </c>
      <c r="D12758" t="str">
        <f>"0350-5596"</f>
        <v>0350-5596</v>
      </c>
      <c r="E12758" t="s">
        <v>8</v>
      </c>
      <c r="F12758" t="s">
        <v>12768</v>
      </c>
      <c r="G12758">
        <v>1</v>
      </c>
    </row>
    <row r="12759" spans="1:7" x14ac:dyDescent="0.25">
      <c r="A12759">
        <v>38</v>
      </c>
      <c r="B12759" t="s">
        <v>11969</v>
      </c>
      <c r="C12759">
        <v>9636</v>
      </c>
      <c r="D12759" t="str">
        <f>"0868-4952"</f>
        <v>0868-4952</v>
      </c>
      <c r="E12759" t="s">
        <v>8</v>
      </c>
      <c r="F12759" t="s">
        <v>12768</v>
      </c>
      <c r="G12759">
        <v>1</v>
      </c>
    </row>
    <row r="12760" spans="1:7" x14ac:dyDescent="0.25">
      <c r="A12760">
        <v>38</v>
      </c>
      <c r="B12760" t="s">
        <v>11969</v>
      </c>
      <c r="C12760">
        <v>5010774</v>
      </c>
      <c r="E12760" t="s">
        <v>2100</v>
      </c>
      <c r="F12760" t="s">
        <v>12769</v>
      </c>
      <c r="G12760">
        <v>1</v>
      </c>
    </row>
    <row r="12761" spans="1:7" x14ac:dyDescent="0.25">
      <c r="A12761">
        <v>38</v>
      </c>
      <c r="B12761" t="s">
        <v>11969</v>
      </c>
      <c r="C12761">
        <v>5010723</v>
      </c>
      <c r="D12761" t="str">
        <f>"0302-9743"</f>
        <v>0302-9743</v>
      </c>
      <c r="E12761" t="s">
        <v>2100</v>
      </c>
      <c r="F12761" t="s">
        <v>12770</v>
      </c>
      <c r="G12761">
        <v>1</v>
      </c>
    </row>
    <row r="12762" spans="1:7" x14ac:dyDescent="0.25">
      <c r="A12762">
        <v>38</v>
      </c>
      <c r="B12762" t="s">
        <v>11969</v>
      </c>
      <c r="C12762">
        <v>5000256</v>
      </c>
      <c r="E12762" t="s">
        <v>2100</v>
      </c>
      <c r="F12762" t="s">
        <v>12771</v>
      </c>
      <c r="G12762">
        <v>1</v>
      </c>
    </row>
    <row r="12763" spans="1:7" x14ac:dyDescent="0.25">
      <c r="A12763">
        <v>38</v>
      </c>
      <c r="B12763" t="s">
        <v>11969</v>
      </c>
      <c r="C12763">
        <v>5010747</v>
      </c>
      <c r="E12763" t="s">
        <v>2100</v>
      </c>
      <c r="F12763" t="s">
        <v>12772</v>
      </c>
      <c r="G12763">
        <v>1</v>
      </c>
    </row>
    <row r="12764" spans="1:7" x14ac:dyDescent="0.25">
      <c r="A12764">
        <v>38</v>
      </c>
      <c r="B12764" t="s">
        <v>11969</v>
      </c>
      <c r="C12764">
        <v>5010687</v>
      </c>
      <c r="E12764" t="s">
        <v>2100</v>
      </c>
      <c r="F12764" t="s">
        <v>12773</v>
      </c>
      <c r="G12764">
        <v>1</v>
      </c>
    </row>
    <row r="12765" spans="1:7" x14ac:dyDescent="0.25">
      <c r="A12765">
        <v>38</v>
      </c>
      <c r="B12765" t="s">
        <v>11969</v>
      </c>
      <c r="C12765">
        <v>5010676</v>
      </c>
      <c r="E12765" t="s">
        <v>2100</v>
      </c>
      <c r="F12765" t="s">
        <v>12774</v>
      </c>
      <c r="G12765">
        <v>1</v>
      </c>
    </row>
    <row r="12766" spans="1:7" x14ac:dyDescent="0.25">
      <c r="A12766">
        <v>38</v>
      </c>
      <c r="B12766" t="s">
        <v>11969</v>
      </c>
      <c r="C12766">
        <v>5572</v>
      </c>
      <c r="D12766" t="str">
        <f>"1473-8716"</f>
        <v>1473-8716</v>
      </c>
      <c r="E12766" t="s">
        <v>8</v>
      </c>
      <c r="F12766" t="s">
        <v>12775</v>
      </c>
      <c r="G12766">
        <v>1</v>
      </c>
    </row>
    <row r="12767" spans="1:7" x14ac:dyDescent="0.25">
      <c r="A12767">
        <v>38</v>
      </c>
      <c r="B12767" t="s">
        <v>11969</v>
      </c>
      <c r="C12767">
        <v>5010699</v>
      </c>
      <c r="E12767" t="s">
        <v>2100</v>
      </c>
      <c r="F12767" t="s">
        <v>12776</v>
      </c>
      <c r="G12767">
        <v>1</v>
      </c>
    </row>
    <row r="12768" spans="1:7" x14ac:dyDescent="0.25">
      <c r="A12768">
        <v>38</v>
      </c>
      <c r="B12768" t="s">
        <v>11969</v>
      </c>
      <c r="C12768">
        <v>26668</v>
      </c>
      <c r="D12768" t="str">
        <f>"1614-5046"</f>
        <v>1614-5046</v>
      </c>
      <c r="E12768" t="s">
        <v>8</v>
      </c>
      <c r="F12768" t="s">
        <v>12777</v>
      </c>
      <c r="G12768">
        <v>1</v>
      </c>
    </row>
    <row r="12769" spans="1:7" x14ac:dyDescent="0.25">
      <c r="A12769">
        <v>38</v>
      </c>
      <c r="B12769" t="s">
        <v>11969</v>
      </c>
      <c r="C12769">
        <v>5010587</v>
      </c>
      <c r="E12769" t="s">
        <v>2100</v>
      </c>
      <c r="F12769" t="s">
        <v>12778</v>
      </c>
      <c r="G12769">
        <v>1</v>
      </c>
    </row>
    <row r="12770" spans="1:7" x14ac:dyDescent="0.25">
      <c r="A12770">
        <v>38</v>
      </c>
      <c r="B12770" t="s">
        <v>11969</v>
      </c>
      <c r="C12770">
        <v>28</v>
      </c>
      <c r="D12770" t="str">
        <f>"0167-9260"</f>
        <v>0167-9260</v>
      </c>
      <c r="E12770" t="s">
        <v>8</v>
      </c>
      <c r="F12770" t="s">
        <v>12779</v>
      </c>
      <c r="G12770">
        <v>1</v>
      </c>
    </row>
    <row r="12771" spans="1:7" x14ac:dyDescent="0.25">
      <c r="A12771">
        <v>38</v>
      </c>
      <c r="B12771" t="s">
        <v>11969</v>
      </c>
      <c r="C12771">
        <v>103884</v>
      </c>
      <c r="D12771" t="str">
        <f>"1535-864X"</f>
        <v>1535-864X</v>
      </c>
      <c r="E12771" t="s">
        <v>8</v>
      </c>
      <c r="F12771" t="s">
        <v>12780</v>
      </c>
      <c r="G12771">
        <v>1</v>
      </c>
    </row>
    <row r="12772" spans="1:7" x14ac:dyDescent="0.25">
      <c r="A12772">
        <v>38</v>
      </c>
      <c r="B12772" t="s">
        <v>11969</v>
      </c>
      <c r="C12772">
        <v>7601</v>
      </c>
      <c r="D12772" t="str">
        <f>"1088-467X"</f>
        <v>1088-467X</v>
      </c>
      <c r="E12772" t="s">
        <v>8</v>
      </c>
      <c r="F12772" t="s">
        <v>12781</v>
      </c>
      <c r="G12772">
        <v>1</v>
      </c>
    </row>
    <row r="12773" spans="1:7" x14ac:dyDescent="0.25">
      <c r="A12773">
        <v>38</v>
      </c>
      <c r="B12773" t="s">
        <v>11969</v>
      </c>
      <c r="C12773">
        <v>5000516</v>
      </c>
      <c r="E12773" t="s">
        <v>2100</v>
      </c>
      <c r="F12773" t="s">
        <v>12781</v>
      </c>
      <c r="G12773">
        <v>1</v>
      </c>
    </row>
    <row r="12774" spans="1:7" x14ac:dyDescent="0.25">
      <c r="A12774">
        <v>38</v>
      </c>
      <c r="B12774" t="s">
        <v>11969</v>
      </c>
      <c r="C12774">
        <v>21022</v>
      </c>
      <c r="D12774" t="str">
        <f>"1872-4981"</f>
        <v>1872-4981</v>
      </c>
      <c r="E12774" t="s">
        <v>8</v>
      </c>
      <c r="F12774" t="s">
        <v>12782</v>
      </c>
      <c r="G12774">
        <v>1</v>
      </c>
    </row>
    <row r="12775" spans="1:7" x14ac:dyDescent="0.25">
      <c r="A12775">
        <v>38</v>
      </c>
      <c r="B12775" t="s">
        <v>11969</v>
      </c>
      <c r="C12775">
        <v>5010240</v>
      </c>
      <c r="E12775" t="s">
        <v>2100</v>
      </c>
      <c r="F12775" t="s">
        <v>12783</v>
      </c>
      <c r="G12775">
        <v>1</v>
      </c>
    </row>
    <row r="12776" spans="1:7" x14ac:dyDescent="0.25">
      <c r="A12776">
        <v>38</v>
      </c>
      <c r="B12776" t="s">
        <v>11969</v>
      </c>
      <c r="C12776">
        <v>5000626</v>
      </c>
      <c r="E12776" t="s">
        <v>2100</v>
      </c>
      <c r="F12776" t="s">
        <v>12784</v>
      </c>
      <c r="G12776">
        <v>1</v>
      </c>
    </row>
    <row r="12777" spans="1:7" x14ac:dyDescent="0.25">
      <c r="A12777">
        <v>38</v>
      </c>
      <c r="B12777" t="s">
        <v>11969</v>
      </c>
      <c r="C12777">
        <v>5000417</v>
      </c>
      <c r="E12777" t="s">
        <v>2100</v>
      </c>
      <c r="F12777" t="s">
        <v>12785</v>
      </c>
      <c r="G12777">
        <v>1</v>
      </c>
    </row>
    <row r="12778" spans="1:7" x14ac:dyDescent="0.25">
      <c r="A12778">
        <v>38</v>
      </c>
      <c r="B12778" t="s">
        <v>11969</v>
      </c>
      <c r="C12778">
        <v>5010478</v>
      </c>
      <c r="E12778" t="s">
        <v>2100</v>
      </c>
      <c r="F12778" t="s">
        <v>12786</v>
      </c>
      <c r="G12778">
        <v>1</v>
      </c>
    </row>
    <row r="12779" spans="1:7" x14ac:dyDescent="0.25">
      <c r="A12779">
        <v>38</v>
      </c>
      <c r="B12779" t="s">
        <v>11969</v>
      </c>
      <c r="C12779">
        <v>5010090</v>
      </c>
      <c r="E12779" t="s">
        <v>2100</v>
      </c>
      <c r="F12779" t="s">
        <v>12787</v>
      </c>
      <c r="G12779">
        <v>1</v>
      </c>
    </row>
    <row r="12780" spans="1:7" x14ac:dyDescent="0.25">
      <c r="A12780">
        <v>38</v>
      </c>
      <c r="B12780" t="s">
        <v>11969</v>
      </c>
      <c r="C12780">
        <v>5000127</v>
      </c>
      <c r="E12780" t="s">
        <v>2100</v>
      </c>
      <c r="F12780" t="s">
        <v>12788</v>
      </c>
      <c r="G12780">
        <v>1</v>
      </c>
    </row>
    <row r="12781" spans="1:7" x14ac:dyDescent="0.25">
      <c r="A12781">
        <v>38</v>
      </c>
      <c r="B12781" t="s">
        <v>11969</v>
      </c>
      <c r="C12781">
        <v>5010367</v>
      </c>
      <c r="E12781" t="s">
        <v>2100</v>
      </c>
      <c r="F12781" t="s">
        <v>12789</v>
      </c>
      <c r="G12781">
        <v>1</v>
      </c>
    </row>
    <row r="12782" spans="1:7" x14ac:dyDescent="0.25">
      <c r="A12782">
        <v>38</v>
      </c>
      <c r="B12782" t="s">
        <v>11969</v>
      </c>
      <c r="C12782">
        <v>5010782</v>
      </c>
      <c r="E12782" t="s">
        <v>2100</v>
      </c>
      <c r="F12782" t="s">
        <v>12790</v>
      </c>
      <c r="G12782">
        <v>1</v>
      </c>
    </row>
    <row r="12783" spans="1:7" x14ac:dyDescent="0.25">
      <c r="A12783">
        <v>38</v>
      </c>
      <c r="B12783" t="s">
        <v>11969</v>
      </c>
      <c r="C12783">
        <v>5010100</v>
      </c>
      <c r="E12783" t="s">
        <v>2100</v>
      </c>
      <c r="F12783" t="s">
        <v>12791</v>
      </c>
      <c r="G12783">
        <v>1</v>
      </c>
    </row>
    <row r="12784" spans="1:7" x14ac:dyDescent="0.25">
      <c r="A12784">
        <v>38</v>
      </c>
      <c r="B12784" t="s">
        <v>11969</v>
      </c>
      <c r="C12784">
        <v>5000187</v>
      </c>
      <c r="E12784" t="s">
        <v>2100</v>
      </c>
      <c r="F12784" t="s">
        <v>12792</v>
      </c>
      <c r="G12784">
        <v>1</v>
      </c>
    </row>
    <row r="12785" spans="1:7" x14ac:dyDescent="0.25">
      <c r="A12785">
        <v>38</v>
      </c>
      <c r="B12785" t="s">
        <v>11969</v>
      </c>
      <c r="C12785">
        <v>5010746</v>
      </c>
      <c r="E12785" t="s">
        <v>2100</v>
      </c>
      <c r="F12785" t="s">
        <v>12793</v>
      </c>
      <c r="G12785">
        <v>1</v>
      </c>
    </row>
    <row r="12786" spans="1:7" x14ac:dyDescent="0.25">
      <c r="A12786">
        <v>38</v>
      </c>
      <c r="B12786" t="s">
        <v>11969</v>
      </c>
      <c r="C12786">
        <v>5000235</v>
      </c>
      <c r="E12786" t="s">
        <v>2100</v>
      </c>
      <c r="F12786" t="s">
        <v>12794</v>
      </c>
      <c r="G12786">
        <v>1</v>
      </c>
    </row>
    <row r="12787" spans="1:7" x14ac:dyDescent="0.25">
      <c r="A12787">
        <v>38</v>
      </c>
      <c r="B12787" t="s">
        <v>11969</v>
      </c>
      <c r="C12787">
        <v>5000047</v>
      </c>
      <c r="E12787" t="s">
        <v>2100</v>
      </c>
      <c r="F12787" t="s">
        <v>12795</v>
      </c>
      <c r="G12787">
        <v>1</v>
      </c>
    </row>
    <row r="12788" spans="1:7" x14ac:dyDescent="0.25">
      <c r="A12788">
        <v>38</v>
      </c>
      <c r="B12788" t="s">
        <v>11969</v>
      </c>
      <c r="C12788">
        <v>5010749</v>
      </c>
      <c r="D12788" t="str">
        <f>"0302-9743"</f>
        <v>0302-9743</v>
      </c>
      <c r="E12788" t="s">
        <v>2100</v>
      </c>
      <c r="F12788" t="s">
        <v>12796</v>
      </c>
      <c r="G12788">
        <v>1</v>
      </c>
    </row>
    <row r="12789" spans="1:7" x14ac:dyDescent="0.25">
      <c r="A12789">
        <v>38</v>
      </c>
      <c r="B12789" t="s">
        <v>11969</v>
      </c>
      <c r="C12789">
        <v>5000444</v>
      </c>
      <c r="E12789" t="s">
        <v>2100</v>
      </c>
      <c r="F12789" t="s">
        <v>12797</v>
      </c>
      <c r="G12789">
        <v>1</v>
      </c>
    </row>
    <row r="12790" spans="1:7" x14ac:dyDescent="0.25">
      <c r="A12790">
        <v>38</v>
      </c>
      <c r="B12790" t="s">
        <v>11969</v>
      </c>
      <c r="C12790">
        <v>5000310</v>
      </c>
      <c r="E12790" t="s">
        <v>2100</v>
      </c>
      <c r="F12790" t="s">
        <v>12798</v>
      </c>
      <c r="G12790">
        <v>1</v>
      </c>
    </row>
    <row r="12791" spans="1:7" x14ac:dyDescent="0.25">
      <c r="A12791">
        <v>38</v>
      </c>
      <c r="B12791" t="s">
        <v>11969</v>
      </c>
      <c r="C12791">
        <v>5010408</v>
      </c>
      <c r="E12791" t="s">
        <v>2100</v>
      </c>
      <c r="F12791" t="s">
        <v>12799</v>
      </c>
      <c r="G12791">
        <v>1</v>
      </c>
    </row>
    <row r="12792" spans="1:7" x14ac:dyDescent="0.25">
      <c r="A12792">
        <v>38</v>
      </c>
      <c r="B12792" t="s">
        <v>11969</v>
      </c>
      <c r="C12792">
        <v>5000174</v>
      </c>
      <c r="E12792" t="s">
        <v>2100</v>
      </c>
      <c r="F12792" t="s">
        <v>12800</v>
      </c>
      <c r="G12792">
        <v>1</v>
      </c>
    </row>
    <row r="12793" spans="1:7" x14ac:dyDescent="0.25">
      <c r="A12793">
        <v>38</v>
      </c>
      <c r="B12793" t="s">
        <v>11969</v>
      </c>
      <c r="C12793">
        <v>5010221</v>
      </c>
      <c r="E12793" t="s">
        <v>2100</v>
      </c>
      <c r="F12793" t="s">
        <v>12801</v>
      </c>
      <c r="G12793">
        <v>1</v>
      </c>
    </row>
    <row r="12794" spans="1:7" x14ac:dyDescent="0.25">
      <c r="A12794">
        <v>38</v>
      </c>
      <c r="B12794" t="s">
        <v>11969</v>
      </c>
      <c r="C12794">
        <v>5010523</v>
      </c>
      <c r="E12794" t="s">
        <v>2100</v>
      </c>
      <c r="F12794" t="s">
        <v>12802</v>
      </c>
      <c r="G12794">
        <v>1</v>
      </c>
    </row>
    <row r="12795" spans="1:7" x14ac:dyDescent="0.25">
      <c r="A12795">
        <v>38</v>
      </c>
      <c r="B12795" t="s">
        <v>11969</v>
      </c>
      <c r="C12795">
        <v>8783143</v>
      </c>
      <c r="E12795" t="s">
        <v>2100</v>
      </c>
      <c r="F12795" t="s">
        <v>12803</v>
      </c>
      <c r="G12795">
        <v>1</v>
      </c>
    </row>
    <row r="12796" spans="1:7" x14ac:dyDescent="0.25">
      <c r="A12796">
        <v>38</v>
      </c>
      <c r="B12796" t="s">
        <v>11969</v>
      </c>
      <c r="C12796">
        <v>5010084</v>
      </c>
      <c r="E12796" t="s">
        <v>2100</v>
      </c>
      <c r="F12796" t="s">
        <v>12804</v>
      </c>
      <c r="G12796">
        <v>1</v>
      </c>
    </row>
    <row r="12797" spans="1:7" x14ac:dyDescent="0.25">
      <c r="A12797">
        <v>38</v>
      </c>
      <c r="B12797" t="s">
        <v>11969</v>
      </c>
      <c r="C12797">
        <v>5010205</v>
      </c>
      <c r="E12797" t="s">
        <v>2100</v>
      </c>
      <c r="F12797" t="s">
        <v>12805</v>
      </c>
      <c r="G12797">
        <v>1</v>
      </c>
    </row>
    <row r="12798" spans="1:7" x14ac:dyDescent="0.25">
      <c r="A12798">
        <v>38</v>
      </c>
      <c r="B12798" t="s">
        <v>11969</v>
      </c>
      <c r="C12798">
        <v>5010121</v>
      </c>
      <c r="E12798" t="s">
        <v>2100</v>
      </c>
      <c r="F12798" t="s">
        <v>12806</v>
      </c>
      <c r="G12798">
        <v>1</v>
      </c>
    </row>
    <row r="12799" spans="1:7" x14ac:dyDescent="0.25">
      <c r="A12799">
        <v>38</v>
      </c>
      <c r="B12799" t="s">
        <v>11969</v>
      </c>
      <c r="C12799">
        <v>5010199</v>
      </c>
      <c r="E12799" t="s">
        <v>2100</v>
      </c>
      <c r="F12799" t="s">
        <v>12807</v>
      </c>
      <c r="G12799">
        <v>1</v>
      </c>
    </row>
    <row r="12800" spans="1:7" x14ac:dyDescent="0.25">
      <c r="A12800">
        <v>38</v>
      </c>
      <c r="B12800" t="s">
        <v>11969</v>
      </c>
      <c r="C12800">
        <v>5000015</v>
      </c>
      <c r="E12800" t="s">
        <v>2100</v>
      </c>
      <c r="F12800" t="s">
        <v>12808</v>
      </c>
      <c r="G12800">
        <v>1</v>
      </c>
    </row>
    <row r="12801" spans="1:7" x14ac:dyDescent="0.25">
      <c r="A12801">
        <v>38</v>
      </c>
      <c r="B12801" t="s">
        <v>11969</v>
      </c>
      <c r="C12801">
        <v>5010233</v>
      </c>
      <c r="E12801" t="s">
        <v>2100</v>
      </c>
      <c r="F12801" t="s">
        <v>12809</v>
      </c>
      <c r="G12801">
        <v>1</v>
      </c>
    </row>
    <row r="12802" spans="1:7" x14ac:dyDescent="0.25">
      <c r="A12802">
        <v>38</v>
      </c>
      <c r="B12802" t="s">
        <v>11969</v>
      </c>
      <c r="C12802">
        <v>5010195</v>
      </c>
      <c r="E12802" t="s">
        <v>2100</v>
      </c>
      <c r="F12802" t="s">
        <v>12810</v>
      </c>
      <c r="G12802">
        <v>1</v>
      </c>
    </row>
    <row r="12803" spans="1:7" x14ac:dyDescent="0.25">
      <c r="A12803">
        <v>38</v>
      </c>
      <c r="B12803" t="s">
        <v>11969</v>
      </c>
      <c r="C12803">
        <v>5010241</v>
      </c>
      <c r="E12803" t="s">
        <v>2100</v>
      </c>
      <c r="F12803" t="s">
        <v>12811</v>
      </c>
      <c r="G12803">
        <v>1</v>
      </c>
    </row>
    <row r="12804" spans="1:7" x14ac:dyDescent="0.25">
      <c r="A12804">
        <v>38</v>
      </c>
      <c r="B12804" t="s">
        <v>11969</v>
      </c>
      <c r="C12804">
        <v>5010864</v>
      </c>
      <c r="E12804" t="s">
        <v>2100</v>
      </c>
      <c r="F12804" t="s">
        <v>12812</v>
      </c>
      <c r="G12804">
        <v>1</v>
      </c>
    </row>
    <row r="12805" spans="1:7" x14ac:dyDescent="0.25">
      <c r="A12805">
        <v>38</v>
      </c>
      <c r="B12805" t="s">
        <v>11969</v>
      </c>
      <c r="C12805">
        <v>5000289</v>
      </c>
      <c r="E12805" t="s">
        <v>2100</v>
      </c>
      <c r="F12805" t="s">
        <v>12813</v>
      </c>
      <c r="G12805">
        <v>1</v>
      </c>
    </row>
    <row r="12806" spans="1:7" x14ac:dyDescent="0.25">
      <c r="A12806">
        <v>38</v>
      </c>
      <c r="B12806" t="s">
        <v>11969</v>
      </c>
      <c r="C12806">
        <v>5000019</v>
      </c>
      <c r="E12806" t="s">
        <v>2100</v>
      </c>
      <c r="F12806" t="s">
        <v>12814</v>
      </c>
      <c r="G12806">
        <v>1</v>
      </c>
    </row>
    <row r="12807" spans="1:7" x14ac:dyDescent="0.25">
      <c r="A12807">
        <v>38</v>
      </c>
      <c r="B12807" t="s">
        <v>11969</v>
      </c>
      <c r="C12807">
        <v>5000654</v>
      </c>
      <c r="E12807" t="s">
        <v>2100</v>
      </c>
      <c r="F12807" t="s">
        <v>12815</v>
      </c>
      <c r="G12807">
        <v>1</v>
      </c>
    </row>
    <row r="12808" spans="1:7" x14ac:dyDescent="0.25">
      <c r="A12808">
        <v>38</v>
      </c>
      <c r="B12808" t="s">
        <v>11969</v>
      </c>
      <c r="C12808">
        <v>5010374</v>
      </c>
      <c r="D12808" t="str">
        <f>"0302-9743"</f>
        <v>0302-9743</v>
      </c>
      <c r="E12808" t="s">
        <v>2100</v>
      </c>
      <c r="F12808" t="s">
        <v>12816</v>
      </c>
      <c r="G12808">
        <v>1</v>
      </c>
    </row>
    <row r="12809" spans="1:7" x14ac:dyDescent="0.25">
      <c r="A12809">
        <v>38</v>
      </c>
      <c r="B12809" t="s">
        <v>11969</v>
      </c>
      <c r="C12809">
        <v>5010207</v>
      </c>
      <c r="E12809" t="s">
        <v>2100</v>
      </c>
      <c r="F12809" t="s">
        <v>12817</v>
      </c>
      <c r="G12809">
        <v>1</v>
      </c>
    </row>
    <row r="12810" spans="1:7" x14ac:dyDescent="0.25">
      <c r="A12810">
        <v>38</v>
      </c>
      <c r="B12810" t="s">
        <v>11969</v>
      </c>
      <c r="C12810">
        <v>5000648</v>
      </c>
      <c r="E12810" t="s">
        <v>2100</v>
      </c>
      <c r="F12810" t="s">
        <v>12818</v>
      </c>
      <c r="G12810">
        <v>1</v>
      </c>
    </row>
    <row r="12811" spans="1:7" x14ac:dyDescent="0.25">
      <c r="A12811">
        <v>38</v>
      </c>
      <c r="B12811" t="s">
        <v>11969</v>
      </c>
      <c r="C12811">
        <v>5000042</v>
      </c>
      <c r="D12811" t="str">
        <f>"0302-9743"</f>
        <v>0302-9743</v>
      </c>
      <c r="E12811" t="s">
        <v>2100</v>
      </c>
      <c r="F12811" t="s">
        <v>12819</v>
      </c>
      <c r="G12811">
        <v>1</v>
      </c>
    </row>
    <row r="12812" spans="1:7" x14ac:dyDescent="0.25">
      <c r="A12812">
        <v>38</v>
      </c>
      <c r="B12812" t="s">
        <v>11969</v>
      </c>
      <c r="C12812">
        <v>5010242</v>
      </c>
      <c r="E12812" t="s">
        <v>2100</v>
      </c>
      <c r="F12812" t="s">
        <v>12820</v>
      </c>
      <c r="G12812">
        <v>1</v>
      </c>
    </row>
    <row r="12813" spans="1:7" x14ac:dyDescent="0.25">
      <c r="A12813">
        <v>38</v>
      </c>
      <c r="B12813" t="s">
        <v>11969</v>
      </c>
      <c r="C12813">
        <v>5000505</v>
      </c>
      <c r="E12813" t="s">
        <v>2100</v>
      </c>
      <c r="F12813" t="s">
        <v>12821</v>
      </c>
      <c r="G12813">
        <v>1</v>
      </c>
    </row>
    <row r="12814" spans="1:7" x14ac:dyDescent="0.25">
      <c r="A12814">
        <v>38</v>
      </c>
      <c r="B12814" t="s">
        <v>11969</v>
      </c>
      <c r="C12814">
        <v>5000506</v>
      </c>
      <c r="E12814" t="s">
        <v>2100</v>
      </c>
      <c r="F12814" t="s">
        <v>12822</v>
      </c>
      <c r="G12814">
        <v>1</v>
      </c>
    </row>
    <row r="12815" spans="1:7" x14ac:dyDescent="0.25">
      <c r="A12815">
        <v>38</v>
      </c>
      <c r="B12815" t="s">
        <v>11969</v>
      </c>
      <c r="C12815">
        <v>5010751</v>
      </c>
      <c r="E12815" t="s">
        <v>2100</v>
      </c>
      <c r="F12815" t="s">
        <v>12823</v>
      </c>
      <c r="G12815">
        <v>1</v>
      </c>
    </row>
    <row r="12816" spans="1:7" x14ac:dyDescent="0.25">
      <c r="A12816">
        <v>38</v>
      </c>
      <c r="B12816" t="s">
        <v>11969</v>
      </c>
      <c r="C12816">
        <v>5000123</v>
      </c>
      <c r="E12816" t="s">
        <v>2100</v>
      </c>
      <c r="F12816" t="s">
        <v>12824</v>
      </c>
      <c r="G12816">
        <v>1</v>
      </c>
    </row>
    <row r="12817" spans="1:7" x14ac:dyDescent="0.25">
      <c r="A12817">
        <v>38</v>
      </c>
      <c r="B12817" t="s">
        <v>11969</v>
      </c>
      <c r="C12817">
        <v>5010200</v>
      </c>
      <c r="E12817" t="s">
        <v>2100</v>
      </c>
      <c r="F12817" t="s">
        <v>12825</v>
      </c>
      <c r="G12817">
        <v>1</v>
      </c>
    </row>
    <row r="12818" spans="1:7" x14ac:dyDescent="0.25">
      <c r="A12818">
        <v>38</v>
      </c>
      <c r="B12818" t="s">
        <v>11969</v>
      </c>
      <c r="C12818">
        <v>5000073</v>
      </c>
      <c r="E12818" t="s">
        <v>2100</v>
      </c>
      <c r="F12818" t="s">
        <v>12826</v>
      </c>
      <c r="G12818">
        <v>1</v>
      </c>
    </row>
    <row r="12819" spans="1:7" x14ac:dyDescent="0.25">
      <c r="A12819">
        <v>38</v>
      </c>
      <c r="B12819" t="s">
        <v>11969</v>
      </c>
      <c r="C12819">
        <v>5010235</v>
      </c>
      <c r="E12819" t="s">
        <v>2100</v>
      </c>
      <c r="F12819" t="s">
        <v>12827</v>
      </c>
      <c r="G12819">
        <v>1</v>
      </c>
    </row>
    <row r="12820" spans="1:7" x14ac:dyDescent="0.25">
      <c r="A12820">
        <v>38</v>
      </c>
      <c r="B12820" t="s">
        <v>11969</v>
      </c>
      <c r="C12820">
        <v>5010226</v>
      </c>
      <c r="E12820" t="s">
        <v>2100</v>
      </c>
      <c r="F12820" t="s">
        <v>12828</v>
      </c>
      <c r="G12820">
        <v>1</v>
      </c>
    </row>
    <row r="12821" spans="1:7" x14ac:dyDescent="0.25">
      <c r="A12821">
        <v>38</v>
      </c>
      <c r="B12821" t="s">
        <v>11969</v>
      </c>
      <c r="C12821">
        <v>5000477</v>
      </c>
      <c r="E12821" t="s">
        <v>2100</v>
      </c>
      <c r="F12821" t="s">
        <v>12829</v>
      </c>
      <c r="G12821">
        <v>1</v>
      </c>
    </row>
    <row r="12822" spans="1:7" x14ac:dyDescent="0.25">
      <c r="A12822">
        <v>38</v>
      </c>
      <c r="B12822" t="s">
        <v>11969</v>
      </c>
      <c r="C12822">
        <v>5000303</v>
      </c>
      <c r="E12822" t="s">
        <v>2100</v>
      </c>
      <c r="F12822" t="s">
        <v>12830</v>
      </c>
      <c r="G12822">
        <v>1</v>
      </c>
    </row>
    <row r="12823" spans="1:7" x14ac:dyDescent="0.25">
      <c r="A12823">
        <v>38</v>
      </c>
      <c r="B12823" t="s">
        <v>11969</v>
      </c>
      <c r="C12823">
        <v>5010118</v>
      </c>
      <c r="E12823" t="s">
        <v>2100</v>
      </c>
      <c r="F12823" t="s">
        <v>12831</v>
      </c>
      <c r="G12823">
        <v>1</v>
      </c>
    </row>
    <row r="12824" spans="1:7" x14ac:dyDescent="0.25">
      <c r="A12824">
        <v>38</v>
      </c>
      <c r="B12824" t="s">
        <v>11969</v>
      </c>
      <c r="C12824">
        <v>5000632</v>
      </c>
      <c r="E12824" t="s">
        <v>2100</v>
      </c>
      <c r="F12824" t="s">
        <v>12832</v>
      </c>
      <c r="G12824">
        <v>1</v>
      </c>
    </row>
    <row r="12825" spans="1:7" x14ac:dyDescent="0.25">
      <c r="A12825">
        <v>38</v>
      </c>
      <c r="B12825" t="s">
        <v>11969</v>
      </c>
      <c r="C12825">
        <v>5000551</v>
      </c>
      <c r="E12825" t="s">
        <v>2100</v>
      </c>
      <c r="F12825" t="s">
        <v>12833</v>
      </c>
      <c r="G12825">
        <v>1</v>
      </c>
    </row>
    <row r="12826" spans="1:7" x14ac:dyDescent="0.25">
      <c r="A12826">
        <v>38</v>
      </c>
      <c r="B12826" t="s">
        <v>11969</v>
      </c>
      <c r="C12826">
        <v>8758254</v>
      </c>
      <c r="E12826" t="s">
        <v>2100</v>
      </c>
      <c r="F12826" t="s">
        <v>12834</v>
      </c>
      <c r="G12826">
        <v>1</v>
      </c>
    </row>
    <row r="12827" spans="1:7" x14ac:dyDescent="0.25">
      <c r="A12827">
        <v>38</v>
      </c>
      <c r="B12827" t="s">
        <v>11969</v>
      </c>
      <c r="C12827">
        <v>5000044</v>
      </c>
      <c r="E12827" t="s">
        <v>2100</v>
      </c>
      <c r="F12827" t="s">
        <v>12835</v>
      </c>
      <c r="G12827">
        <v>1</v>
      </c>
    </row>
    <row r="12828" spans="1:7" x14ac:dyDescent="0.25">
      <c r="A12828">
        <v>38</v>
      </c>
      <c r="B12828" t="s">
        <v>11969</v>
      </c>
      <c r="C12828">
        <v>5010218</v>
      </c>
      <c r="E12828" t="s">
        <v>2100</v>
      </c>
      <c r="F12828" t="s">
        <v>12836</v>
      </c>
      <c r="G12828">
        <v>1</v>
      </c>
    </row>
    <row r="12829" spans="1:7" x14ac:dyDescent="0.25">
      <c r="A12829">
        <v>38</v>
      </c>
      <c r="B12829" t="s">
        <v>11969</v>
      </c>
      <c r="C12829">
        <v>5000320</v>
      </c>
      <c r="E12829" t="s">
        <v>2100</v>
      </c>
      <c r="F12829" t="s">
        <v>12837</v>
      </c>
      <c r="G12829">
        <v>1</v>
      </c>
    </row>
    <row r="12830" spans="1:7" x14ac:dyDescent="0.25">
      <c r="A12830">
        <v>38</v>
      </c>
      <c r="B12830" t="s">
        <v>11969</v>
      </c>
      <c r="C12830">
        <v>5000431</v>
      </c>
      <c r="E12830" t="s">
        <v>2100</v>
      </c>
      <c r="F12830" t="s">
        <v>12838</v>
      </c>
      <c r="G12830">
        <v>1</v>
      </c>
    </row>
    <row r="12831" spans="1:7" x14ac:dyDescent="0.25">
      <c r="A12831">
        <v>38</v>
      </c>
      <c r="B12831" t="s">
        <v>11969</v>
      </c>
      <c r="C12831">
        <v>5000301</v>
      </c>
      <c r="E12831" t="s">
        <v>2100</v>
      </c>
      <c r="F12831" t="s">
        <v>12839</v>
      </c>
      <c r="G12831">
        <v>1</v>
      </c>
    </row>
    <row r="12832" spans="1:7" x14ac:dyDescent="0.25">
      <c r="A12832">
        <v>38</v>
      </c>
      <c r="B12832" t="s">
        <v>11969</v>
      </c>
      <c r="C12832">
        <v>5010114</v>
      </c>
      <c r="E12832" t="s">
        <v>2100</v>
      </c>
      <c r="F12832" t="s">
        <v>12840</v>
      </c>
      <c r="G12832">
        <v>1</v>
      </c>
    </row>
    <row r="12833" spans="1:7" x14ac:dyDescent="0.25">
      <c r="A12833">
        <v>38</v>
      </c>
      <c r="B12833" t="s">
        <v>11969</v>
      </c>
      <c r="C12833">
        <v>5000035</v>
      </c>
      <c r="E12833" t="s">
        <v>2100</v>
      </c>
      <c r="F12833" t="s">
        <v>12841</v>
      </c>
      <c r="G12833">
        <v>1</v>
      </c>
    </row>
    <row r="12834" spans="1:7" x14ac:dyDescent="0.25">
      <c r="A12834">
        <v>38</v>
      </c>
      <c r="B12834" t="s">
        <v>11969</v>
      </c>
      <c r="C12834">
        <v>5000134</v>
      </c>
      <c r="E12834" t="s">
        <v>2100</v>
      </c>
      <c r="F12834" t="s">
        <v>12842</v>
      </c>
      <c r="G12834">
        <v>1</v>
      </c>
    </row>
    <row r="12835" spans="1:7" x14ac:dyDescent="0.25">
      <c r="A12835">
        <v>38</v>
      </c>
      <c r="B12835" t="s">
        <v>11969</v>
      </c>
      <c r="C12835">
        <v>5000600</v>
      </c>
      <c r="E12835" t="s">
        <v>2100</v>
      </c>
      <c r="F12835" t="s">
        <v>12843</v>
      </c>
      <c r="G12835">
        <v>1</v>
      </c>
    </row>
    <row r="12836" spans="1:7" x14ac:dyDescent="0.25">
      <c r="A12836">
        <v>38</v>
      </c>
      <c r="B12836" t="s">
        <v>11969</v>
      </c>
      <c r="C12836">
        <v>5020030</v>
      </c>
      <c r="E12836" t="s">
        <v>2100</v>
      </c>
      <c r="F12836" t="s">
        <v>12844</v>
      </c>
      <c r="G12836">
        <v>1</v>
      </c>
    </row>
    <row r="12837" spans="1:7" x14ac:dyDescent="0.25">
      <c r="A12837">
        <v>38</v>
      </c>
      <c r="B12837" t="s">
        <v>11969</v>
      </c>
      <c r="C12837">
        <v>5010111</v>
      </c>
      <c r="E12837" t="s">
        <v>2100</v>
      </c>
      <c r="F12837" t="s">
        <v>12845</v>
      </c>
      <c r="G12837">
        <v>1</v>
      </c>
    </row>
    <row r="12838" spans="1:7" x14ac:dyDescent="0.25">
      <c r="A12838">
        <v>38</v>
      </c>
      <c r="B12838" t="s">
        <v>11969</v>
      </c>
      <c r="C12838">
        <v>5010220</v>
      </c>
      <c r="E12838" t="s">
        <v>2100</v>
      </c>
      <c r="F12838" t="s">
        <v>12846</v>
      </c>
      <c r="G12838">
        <v>1</v>
      </c>
    </row>
    <row r="12839" spans="1:7" x14ac:dyDescent="0.25">
      <c r="A12839">
        <v>38</v>
      </c>
      <c r="B12839" t="s">
        <v>11969</v>
      </c>
      <c r="C12839">
        <v>5010237</v>
      </c>
      <c r="E12839" t="s">
        <v>2100</v>
      </c>
      <c r="F12839" t="s">
        <v>12847</v>
      </c>
      <c r="G12839">
        <v>1</v>
      </c>
    </row>
    <row r="12840" spans="1:7" x14ac:dyDescent="0.25">
      <c r="A12840">
        <v>38</v>
      </c>
      <c r="B12840" t="s">
        <v>11969</v>
      </c>
      <c r="C12840">
        <v>8783677</v>
      </c>
      <c r="D12840" t="str">
        <f>"1865-0929"</f>
        <v>1865-0929</v>
      </c>
      <c r="E12840" t="s">
        <v>2100</v>
      </c>
      <c r="F12840" t="s">
        <v>12848</v>
      </c>
      <c r="G12840">
        <v>1</v>
      </c>
    </row>
    <row r="12841" spans="1:7" x14ac:dyDescent="0.25">
      <c r="A12841">
        <v>38</v>
      </c>
      <c r="B12841" t="s">
        <v>11969</v>
      </c>
      <c r="C12841">
        <v>5010259</v>
      </c>
      <c r="E12841" t="s">
        <v>2100</v>
      </c>
      <c r="F12841" t="s">
        <v>12849</v>
      </c>
      <c r="G12841">
        <v>1</v>
      </c>
    </row>
    <row r="12842" spans="1:7" x14ac:dyDescent="0.25">
      <c r="A12842">
        <v>38</v>
      </c>
      <c r="B12842" t="s">
        <v>11969</v>
      </c>
      <c r="C12842">
        <v>5010254</v>
      </c>
      <c r="E12842" t="s">
        <v>2100</v>
      </c>
      <c r="F12842" t="s">
        <v>12850</v>
      </c>
      <c r="G12842">
        <v>1</v>
      </c>
    </row>
    <row r="12843" spans="1:7" x14ac:dyDescent="0.25">
      <c r="A12843">
        <v>38</v>
      </c>
      <c r="B12843" t="s">
        <v>11969</v>
      </c>
      <c r="C12843">
        <v>5010256</v>
      </c>
      <c r="E12843" t="s">
        <v>2100</v>
      </c>
      <c r="F12843" t="s">
        <v>12851</v>
      </c>
      <c r="G12843">
        <v>1</v>
      </c>
    </row>
    <row r="12844" spans="1:7" x14ac:dyDescent="0.25">
      <c r="A12844">
        <v>38</v>
      </c>
      <c r="B12844" t="s">
        <v>11969</v>
      </c>
      <c r="C12844">
        <v>5010270</v>
      </c>
      <c r="E12844" t="s">
        <v>2100</v>
      </c>
      <c r="F12844" t="s">
        <v>12852</v>
      </c>
      <c r="G12844">
        <v>1</v>
      </c>
    </row>
    <row r="12845" spans="1:7" x14ac:dyDescent="0.25">
      <c r="A12845">
        <v>38</v>
      </c>
      <c r="B12845" t="s">
        <v>11969</v>
      </c>
      <c r="C12845">
        <v>5000358</v>
      </c>
      <c r="E12845" t="s">
        <v>2100</v>
      </c>
      <c r="F12845" t="s">
        <v>12853</v>
      </c>
      <c r="G12845">
        <v>1</v>
      </c>
    </row>
    <row r="12846" spans="1:7" x14ac:dyDescent="0.25">
      <c r="A12846">
        <v>38</v>
      </c>
      <c r="B12846" t="s">
        <v>11969</v>
      </c>
      <c r="C12846">
        <v>5010266</v>
      </c>
      <c r="E12846" t="s">
        <v>2100</v>
      </c>
      <c r="F12846" t="s">
        <v>12854</v>
      </c>
      <c r="G12846">
        <v>1</v>
      </c>
    </row>
    <row r="12847" spans="1:7" x14ac:dyDescent="0.25">
      <c r="A12847">
        <v>38</v>
      </c>
      <c r="B12847" t="s">
        <v>11969</v>
      </c>
      <c r="C12847">
        <v>5000032</v>
      </c>
      <c r="E12847" t="s">
        <v>2100</v>
      </c>
      <c r="F12847" t="s">
        <v>12855</v>
      </c>
      <c r="G12847">
        <v>1</v>
      </c>
    </row>
    <row r="12848" spans="1:7" x14ac:dyDescent="0.25">
      <c r="A12848">
        <v>38</v>
      </c>
      <c r="B12848" t="s">
        <v>11969</v>
      </c>
      <c r="C12848">
        <v>5000432</v>
      </c>
      <c r="E12848" t="s">
        <v>2100</v>
      </c>
      <c r="F12848" t="s">
        <v>12856</v>
      </c>
      <c r="G12848">
        <v>1</v>
      </c>
    </row>
    <row r="12849" spans="1:7" x14ac:dyDescent="0.25">
      <c r="A12849">
        <v>38</v>
      </c>
      <c r="B12849" t="s">
        <v>11969</v>
      </c>
      <c r="C12849">
        <v>5010202</v>
      </c>
      <c r="E12849" t="s">
        <v>2100</v>
      </c>
      <c r="F12849" t="s">
        <v>12857</v>
      </c>
      <c r="G12849">
        <v>1</v>
      </c>
    </row>
    <row r="12850" spans="1:7" x14ac:dyDescent="0.25">
      <c r="A12850">
        <v>38</v>
      </c>
      <c r="B12850" t="s">
        <v>11969</v>
      </c>
      <c r="C12850">
        <v>5010453</v>
      </c>
      <c r="E12850" t="s">
        <v>2100</v>
      </c>
      <c r="F12850" t="s">
        <v>12858</v>
      </c>
      <c r="G12850">
        <v>1</v>
      </c>
    </row>
    <row r="12851" spans="1:7" x14ac:dyDescent="0.25">
      <c r="A12851">
        <v>38</v>
      </c>
      <c r="B12851" t="s">
        <v>11969</v>
      </c>
      <c r="C12851">
        <v>5010450</v>
      </c>
      <c r="E12851" t="s">
        <v>2100</v>
      </c>
      <c r="F12851" t="s">
        <v>12859</v>
      </c>
      <c r="G12851">
        <v>1</v>
      </c>
    </row>
    <row r="12852" spans="1:7" x14ac:dyDescent="0.25">
      <c r="A12852">
        <v>38</v>
      </c>
      <c r="B12852" t="s">
        <v>11969</v>
      </c>
      <c r="C12852">
        <v>5000124</v>
      </c>
      <c r="E12852" t="s">
        <v>2100</v>
      </c>
      <c r="F12852" t="s">
        <v>12860</v>
      </c>
      <c r="G12852">
        <v>1</v>
      </c>
    </row>
    <row r="12853" spans="1:7" x14ac:dyDescent="0.25">
      <c r="A12853">
        <v>38</v>
      </c>
      <c r="B12853" t="s">
        <v>11969</v>
      </c>
      <c r="C12853">
        <v>5010887</v>
      </c>
      <c r="E12853" t="s">
        <v>2100</v>
      </c>
      <c r="F12853" t="s">
        <v>12861</v>
      </c>
      <c r="G12853">
        <v>1</v>
      </c>
    </row>
    <row r="12854" spans="1:7" x14ac:dyDescent="0.25">
      <c r="A12854">
        <v>38</v>
      </c>
      <c r="B12854" t="s">
        <v>11969</v>
      </c>
      <c r="C12854">
        <v>5010465</v>
      </c>
      <c r="E12854" t="s">
        <v>2100</v>
      </c>
      <c r="F12854" t="s">
        <v>12862</v>
      </c>
      <c r="G12854">
        <v>1</v>
      </c>
    </row>
    <row r="12855" spans="1:7" x14ac:dyDescent="0.25">
      <c r="A12855">
        <v>38</v>
      </c>
      <c r="B12855" t="s">
        <v>11969</v>
      </c>
      <c r="C12855">
        <v>5010477</v>
      </c>
      <c r="E12855" t="s">
        <v>2100</v>
      </c>
      <c r="F12855" t="s">
        <v>12863</v>
      </c>
      <c r="G12855">
        <v>1</v>
      </c>
    </row>
    <row r="12856" spans="1:7" x14ac:dyDescent="0.25">
      <c r="A12856">
        <v>38</v>
      </c>
      <c r="B12856" t="s">
        <v>11969</v>
      </c>
      <c r="C12856">
        <v>5010475</v>
      </c>
      <c r="E12856" t="s">
        <v>2100</v>
      </c>
      <c r="F12856" t="s">
        <v>12864</v>
      </c>
      <c r="G12856">
        <v>1</v>
      </c>
    </row>
    <row r="12857" spans="1:7" x14ac:dyDescent="0.25">
      <c r="A12857">
        <v>38</v>
      </c>
      <c r="B12857" t="s">
        <v>11969</v>
      </c>
      <c r="C12857">
        <v>5010455</v>
      </c>
      <c r="E12857" t="s">
        <v>2100</v>
      </c>
      <c r="F12857" t="s">
        <v>12865</v>
      </c>
      <c r="G12857">
        <v>1</v>
      </c>
    </row>
    <row r="12858" spans="1:7" x14ac:dyDescent="0.25">
      <c r="A12858">
        <v>38</v>
      </c>
      <c r="B12858" t="s">
        <v>11969</v>
      </c>
      <c r="C12858">
        <v>5010457</v>
      </c>
      <c r="E12858" t="s">
        <v>2100</v>
      </c>
      <c r="F12858" t="s">
        <v>12866</v>
      </c>
      <c r="G12858">
        <v>1</v>
      </c>
    </row>
    <row r="12859" spans="1:7" x14ac:dyDescent="0.25">
      <c r="A12859">
        <v>38</v>
      </c>
      <c r="B12859" t="s">
        <v>11969</v>
      </c>
      <c r="C12859">
        <v>5000072</v>
      </c>
      <c r="E12859" t="s">
        <v>2100</v>
      </c>
      <c r="F12859" t="s">
        <v>12867</v>
      </c>
      <c r="G12859">
        <v>1</v>
      </c>
    </row>
    <row r="12860" spans="1:7" x14ac:dyDescent="0.25">
      <c r="A12860">
        <v>38</v>
      </c>
      <c r="B12860" t="s">
        <v>11969</v>
      </c>
      <c r="C12860">
        <v>5000398</v>
      </c>
      <c r="E12860" t="s">
        <v>2100</v>
      </c>
      <c r="F12860" t="s">
        <v>12868</v>
      </c>
      <c r="G12860">
        <v>1</v>
      </c>
    </row>
    <row r="12861" spans="1:7" x14ac:dyDescent="0.25">
      <c r="A12861">
        <v>38</v>
      </c>
      <c r="B12861" t="s">
        <v>11969</v>
      </c>
      <c r="C12861">
        <v>5010440</v>
      </c>
      <c r="E12861" t="s">
        <v>2100</v>
      </c>
      <c r="F12861" t="s">
        <v>12869</v>
      </c>
      <c r="G12861">
        <v>1</v>
      </c>
    </row>
    <row r="12862" spans="1:7" x14ac:dyDescent="0.25">
      <c r="A12862">
        <v>38</v>
      </c>
      <c r="B12862" t="s">
        <v>11969</v>
      </c>
      <c r="C12862">
        <v>5010395</v>
      </c>
      <c r="E12862" t="s">
        <v>2100</v>
      </c>
      <c r="F12862" t="s">
        <v>12870</v>
      </c>
      <c r="G12862">
        <v>1</v>
      </c>
    </row>
    <row r="12863" spans="1:7" x14ac:dyDescent="0.25">
      <c r="A12863">
        <v>38</v>
      </c>
      <c r="B12863" t="s">
        <v>11969</v>
      </c>
      <c r="C12863">
        <v>5010131</v>
      </c>
      <c r="E12863" t="s">
        <v>2100</v>
      </c>
      <c r="F12863" t="s">
        <v>12871</v>
      </c>
      <c r="G12863">
        <v>1</v>
      </c>
    </row>
    <row r="12864" spans="1:7" x14ac:dyDescent="0.25">
      <c r="A12864">
        <v>38</v>
      </c>
      <c r="B12864" t="s">
        <v>11969</v>
      </c>
      <c r="C12864">
        <v>5010438</v>
      </c>
      <c r="E12864" t="s">
        <v>2100</v>
      </c>
      <c r="F12864" t="s">
        <v>12872</v>
      </c>
      <c r="G12864">
        <v>1</v>
      </c>
    </row>
    <row r="12865" spans="1:7" x14ac:dyDescent="0.25">
      <c r="A12865">
        <v>38</v>
      </c>
      <c r="B12865" t="s">
        <v>11969</v>
      </c>
      <c r="C12865">
        <v>5010443</v>
      </c>
      <c r="E12865" t="s">
        <v>2100</v>
      </c>
      <c r="F12865" t="s">
        <v>12873</v>
      </c>
      <c r="G12865">
        <v>1</v>
      </c>
    </row>
    <row r="12866" spans="1:7" x14ac:dyDescent="0.25">
      <c r="A12866">
        <v>38</v>
      </c>
      <c r="B12866" t="s">
        <v>11969</v>
      </c>
      <c r="C12866">
        <v>5010432</v>
      </c>
      <c r="E12866" t="s">
        <v>2100</v>
      </c>
      <c r="F12866" t="s">
        <v>12874</v>
      </c>
      <c r="G12866">
        <v>1</v>
      </c>
    </row>
    <row r="12867" spans="1:7" x14ac:dyDescent="0.25">
      <c r="A12867">
        <v>38</v>
      </c>
      <c r="B12867" t="s">
        <v>11969</v>
      </c>
      <c r="C12867">
        <v>5010136</v>
      </c>
      <c r="E12867" t="s">
        <v>2100</v>
      </c>
      <c r="F12867" t="s">
        <v>12875</v>
      </c>
      <c r="G12867">
        <v>1</v>
      </c>
    </row>
    <row r="12868" spans="1:7" x14ac:dyDescent="0.25">
      <c r="A12868">
        <v>38</v>
      </c>
      <c r="B12868" t="s">
        <v>11969</v>
      </c>
      <c r="C12868">
        <v>5010459</v>
      </c>
      <c r="E12868" t="s">
        <v>2100</v>
      </c>
      <c r="F12868" t="s">
        <v>12876</v>
      </c>
      <c r="G12868">
        <v>1</v>
      </c>
    </row>
    <row r="12869" spans="1:7" x14ac:dyDescent="0.25">
      <c r="A12869">
        <v>38</v>
      </c>
      <c r="B12869" t="s">
        <v>11969</v>
      </c>
      <c r="C12869">
        <v>5010468</v>
      </c>
      <c r="E12869" t="s">
        <v>2100</v>
      </c>
      <c r="F12869" t="s">
        <v>12877</v>
      </c>
      <c r="G12869">
        <v>1</v>
      </c>
    </row>
    <row r="12870" spans="1:7" x14ac:dyDescent="0.25">
      <c r="A12870">
        <v>38</v>
      </c>
      <c r="B12870" t="s">
        <v>11969</v>
      </c>
      <c r="C12870">
        <v>5010102</v>
      </c>
      <c r="E12870" t="s">
        <v>2100</v>
      </c>
      <c r="F12870" t="s">
        <v>12878</v>
      </c>
      <c r="G12870">
        <v>1</v>
      </c>
    </row>
    <row r="12871" spans="1:7" x14ac:dyDescent="0.25">
      <c r="A12871">
        <v>38</v>
      </c>
      <c r="B12871" t="s">
        <v>11969</v>
      </c>
      <c r="C12871">
        <v>5000135</v>
      </c>
      <c r="E12871" t="s">
        <v>2100</v>
      </c>
      <c r="F12871" t="s">
        <v>12879</v>
      </c>
      <c r="G12871">
        <v>1</v>
      </c>
    </row>
    <row r="12872" spans="1:7" x14ac:dyDescent="0.25">
      <c r="A12872">
        <v>38</v>
      </c>
      <c r="B12872" t="s">
        <v>11969</v>
      </c>
      <c r="C12872">
        <v>5010345</v>
      </c>
      <c r="E12872" t="s">
        <v>2100</v>
      </c>
      <c r="F12872" t="s">
        <v>12880</v>
      </c>
      <c r="G12872">
        <v>1</v>
      </c>
    </row>
    <row r="12873" spans="1:7" x14ac:dyDescent="0.25">
      <c r="A12873">
        <v>38</v>
      </c>
      <c r="B12873" t="s">
        <v>11969</v>
      </c>
      <c r="C12873">
        <v>5000060</v>
      </c>
      <c r="E12873" t="s">
        <v>2100</v>
      </c>
      <c r="F12873" t="s">
        <v>12881</v>
      </c>
      <c r="G12873">
        <v>1</v>
      </c>
    </row>
    <row r="12874" spans="1:7" x14ac:dyDescent="0.25">
      <c r="A12874">
        <v>38</v>
      </c>
      <c r="B12874" t="s">
        <v>11969</v>
      </c>
      <c r="C12874">
        <v>5010346</v>
      </c>
      <c r="E12874" t="s">
        <v>2100</v>
      </c>
      <c r="F12874" t="s">
        <v>12882</v>
      </c>
      <c r="G12874">
        <v>1</v>
      </c>
    </row>
    <row r="12875" spans="1:7" x14ac:dyDescent="0.25">
      <c r="A12875">
        <v>38</v>
      </c>
      <c r="B12875" t="s">
        <v>11969</v>
      </c>
      <c r="C12875">
        <v>5010289</v>
      </c>
      <c r="E12875" t="s">
        <v>2100</v>
      </c>
      <c r="F12875" t="s">
        <v>12883</v>
      </c>
      <c r="G12875">
        <v>1</v>
      </c>
    </row>
    <row r="12876" spans="1:7" x14ac:dyDescent="0.25">
      <c r="A12876">
        <v>38</v>
      </c>
      <c r="B12876" t="s">
        <v>11969</v>
      </c>
      <c r="C12876">
        <v>5000321</v>
      </c>
      <c r="E12876" t="s">
        <v>2100</v>
      </c>
      <c r="F12876" t="s">
        <v>12884</v>
      </c>
      <c r="G12876">
        <v>1</v>
      </c>
    </row>
    <row r="12877" spans="1:7" x14ac:dyDescent="0.25">
      <c r="A12877">
        <v>38</v>
      </c>
      <c r="B12877" t="s">
        <v>11969</v>
      </c>
      <c r="C12877">
        <v>5000564</v>
      </c>
      <c r="E12877" t="s">
        <v>2100</v>
      </c>
      <c r="F12877" t="s">
        <v>12885</v>
      </c>
      <c r="G12877">
        <v>1</v>
      </c>
    </row>
    <row r="12878" spans="1:7" x14ac:dyDescent="0.25">
      <c r="A12878">
        <v>38</v>
      </c>
      <c r="B12878" t="s">
        <v>11969</v>
      </c>
      <c r="C12878">
        <v>5000652</v>
      </c>
      <c r="E12878" t="s">
        <v>2100</v>
      </c>
      <c r="F12878" t="s">
        <v>12886</v>
      </c>
      <c r="G12878">
        <v>1</v>
      </c>
    </row>
    <row r="12879" spans="1:7" x14ac:dyDescent="0.25">
      <c r="A12879">
        <v>38</v>
      </c>
      <c r="B12879" t="s">
        <v>11969</v>
      </c>
      <c r="C12879">
        <v>5010498</v>
      </c>
      <c r="E12879" t="s">
        <v>2100</v>
      </c>
      <c r="F12879" t="s">
        <v>12887</v>
      </c>
      <c r="G12879">
        <v>1</v>
      </c>
    </row>
    <row r="12880" spans="1:7" x14ac:dyDescent="0.25">
      <c r="A12880">
        <v>38</v>
      </c>
      <c r="B12880" t="s">
        <v>11969</v>
      </c>
      <c r="C12880">
        <v>5010370</v>
      </c>
      <c r="E12880" t="s">
        <v>2100</v>
      </c>
      <c r="F12880" t="s">
        <v>12888</v>
      </c>
      <c r="G12880">
        <v>1</v>
      </c>
    </row>
    <row r="12881" spans="1:7" x14ac:dyDescent="0.25">
      <c r="A12881">
        <v>38</v>
      </c>
      <c r="B12881" t="s">
        <v>11969</v>
      </c>
      <c r="C12881">
        <v>5000507</v>
      </c>
      <c r="E12881" t="s">
        <v>2100</v>
      </c>
      <c r="F12881" t="s">
        <v>12889</v>
      </c>
      <c r="G12881">
        <v>1</v>
      </c>
    </row>
    <row r="12882" spans="1:7" x14ac:dyDescent="0.25">
      <c r="A12882">
        <v>38</v>
      </c>
      <c r="B12882" t="s">
        <v>11969</v>
      </c>
      <c r="C12882">
        <v>5010094</v>
      </c>
      <c r="E12882" t="s">
        <v>2100</v>
      </c>
      <c r="F12882" t="s">
        <v>12890</v>
      </c>
      <c r="G12882">
        <v>1</v>
      </c>
    </row>
    <row r="12883" spans="1:7" x14ac:dyDescent="0.25">
      <c r="A12883">
        <v>38</v>
      </c>
      <c r="B12883" t="s">
        <v>11969</v>
      </c>
      <c r="C12883">
        <v>5000266</v>
      </c>
      <c r="E12883" t="s">
        <v>2100</v>
      </c>
      <c r="F12883" t="s">
        <v>12891</v>
      </c>
      <c r="G12883">
        <v>1</v>
      </c>
    </row>
    <row r="12884" spans="1:7" x14ac:dyDescent="0.25">
      <c r="A12884">
        <v>38</v>
      </c>
      <c r="B12884" t="s">
        <v>11969</v>
      </c>
      <c r="C12884">
        <v>5010467</v>
      </c>
      <c r="E12884" t="s">
        <v>2100</v>
      </c>
      <c r="F12884" t="s">
        <v>12892</v>
      </c>
      <c r="G12884">
        <v>1</v>
      </c>
    </row>
    <row r="12885" spans="1:7" x14ac:dyDescent="0.25">
      <c r="A12885">
        <v>38</v>
      </c>
      <c r="B12885" t="s">
        <v>11969</v>
      </c>
      <c r="C12885">
        <v>5010696</v>
      </c>
      <c r="E12885" t="s">
        <v>2100</v>
      </c>
      <c r="F12885" t="s">
        <v>12893</v>
      </c>
      <c r="G12885">
        <v>1</v>
      </c>
    </row>
    <row r="12886" spans="1:7" x14ac:dyDescent="0.25">
      <c r="A12886">
        <v>38</v>
      </c>
      <c r="B12886" t="s">
        <v>11969</v>
      </c>
      <c r="C12886">
        <v>5000136</v>
      </c>
      <c r="E12886" t="s">
        <v>2100</v>
      </c>
      <c r="F12886" t="s">
        <v>12894</v>
      </c>
      <c r="G12886">
        <v>1</v>
      </c>
    </row>
    <row r="12887" spans="1:7" x14ac:dyDescent="0.25">
      <c r="A12887">
        <v>38</v>
      </c>
      <c r="B12887" t="s">
        <v>11969</v>
      </c>
      <c r="C12887">
        <v>5010448</v>
      </c>
      <c r="E12887" t="s">
        <v>2100</v>
      </c>
      <c r="F12887" t="s">
        <v>12895</v>
      </c>
      <c r="G12887">
        <v>1</v>
      </c>
    </row>
    <row r="12888" spans="1:7" x14ac:dyDescent="0.25">
      <c r="A12888">
        <v>38</v>
      </c>
      <c r="B12888" t="s">
        <v>11969</v>
      </c>
      <c r="C12888">
        <v>8782550</v>
      </c>
      <c r="E12888" t="s">
        <v>2100</v>
      </c>
      <c r="F12888" t="s">
        <v>12896</v>
      </c>
      <c r="G12888">
        <v>1</v>
      </c>
    </row>
    <row r="12889" spans="1:7" x14ac:dyDescent="0.25">
      <c r="A12889">
        <v>38</v>
      </c>
      <c r="B12889" t="s">
        <v>11969</v>
      </c>
      <c r="C12889">
        <v>5010411</v>
      </c>
      <c r="E12889" t="s">
        <v>2100</v>
      </c>
      <c r="F12889" t="s">
        <v>12897</v>
      </c>
      <c r="G12889">
        <v>1</v>
      </c>
    </row>
    <row r="12890" spans="1:7" x14ac:dyDescent="0.25">
      <c r="A12890">
        <v>38</v>
      </c>
      <c r="B12890" t="s">
        <v>11969</v>
      </c>
      <c r="C12890">
        <v>5000541</v>
      </c>
      <c r="E12890" t="s">
        <v>2100</v>
      </c>
      <c r="F12890" t="s">
        <v>12898</v>
      </c>
      <c r="G12890">
        <v>1</v>
      </c>
    </row>
    <row r="12891" spans="1:7" x14ac:dyDescent="0.25">
      <c r="A12891">
        <v>38</v>
      </c>
      <c r="B12891" t="s">
        <v>11969</v>
      </c>
      <c r="C12891">
        <v>5000081</v>
      </c>
      <c r="D12891" t="str">
        <f>"0302-9743"</f>
        <v>0302-9743</v>
      </c>
      <c r="E12891" t="s">
        <v>2100</v>
      </c>
      <c r="F12891" t="s">
        <v>12899</v>
      </c>
      <c r="G12891">
        <v>1</v>
      </c>
    </row>
    <row r="12892" spans="1:7" x14ac:dyDescent="0.25">
      <c r="A12892">
        <v>38</v>
      </c>
      <c r="B12892" t="s">
        <v>11969</v>
      </c>
      <c r="C12892">
        <v>5000323</v>
      </c>
      <c r="E12892" t="s">
        <v>2100</v>
      </c>
      <c r="F12892" t="s">
        <v>12900</v>
      </c>
      <c r="G12892">
        <v>1</v>
      </c>
    </row>
    <row r="12893" spans="1:7" x14ac:dyDescent="0.25">
      <c r="A12893">
        <v>38</v>
      </c>
      <c r="B12893" t="s">
        <v>11969</v>
      </c>
      <c r="C12893">
        <v>5010485</v>
      </c>
      <c r="E12893" t="s">
        <v>2100</v>
      </c>
      <c r="F12893" t="s">
        <v>12901</v>
      </c>
      <c r="G12893">
        <v>1</v>
      </c>
    </row>
    <row r="12894" spans="1:7" x14ac:dyDescent="0.25">
      <c r="A12894">
        <v>38</v>
      </c>
      <c r="B12894" t="s">
        <v>11969</v>
      </c>
      <c r="C12894">
        <v>5010115</v>
      </c>
      <c r="E12894" t="s">
        <v>2100</v>
      </c>
      <c r="F12894" t="s">
        <v>12902</v>
      </c>
      <c r="G12894">
        <v>1</v>
      </c>
    </row>
    <row r="12895" spans="1:7" x14ac:dyDescent="0.25">
      <c r="A12895">
        <v>38</v>
      </c>
      <c r="B12895" t="s">
        <v>11969</v>
      </c>
      <c r="C12895">
        <v>5000479</v>
      </c>
      <c r="E12895" t="s">
        <v>2100</v>
      </c>
      <c r="F12895" t="s">
        <v>12903</v>
      </c>
      <c r="G12895">
        <v>1</v>
      </c>
    </row>
    <row r="12896" spans="1:7" x14ac:dyDescent="0.25">
      <c r="A12896">
        <v>38</v>
      </c>
      <c r="B12896" t="s">
        <v>11969</v>
      </c>
      <c r="C12896">
        <v>5010211</v>
      </c>
      <c r="E12896" t="s">
        <v>2100</v>
      </c>
      <c r="F12896" t="s">
        <v>12904</v>
      </c>
      <c r="G12896">
        <v>1</v>
      </c>
    </row>
    <row r="12897" spans="1:7" x14ac:dyDescent="0.25">
      <c r="A12897">
        <v>38</v>
      </c>
      <c r="B12897" t="s">
        <v>11969</v>
      </c>
      <c r="C12897">
        <v>5010483</v>
      </c>
      <c r="E12897" t="s">
        <v>2100</v>
      </c>
      <c r="F12897" t="s">
        <v>12905</v>
      </c>
      <c r="G12897">
        <v>1</v>
      </c>
    </row>
    <row r="12898" spans="1:7" x14ac:dyDescent="0.25">
      <c r="A12898">
        <v>38</v>
      </c>
      <c r="B12898" t="s">
        <v>11969</v>
      </c>
      <c r="C12898">
        <v>5010590</v>
      </c>
      <c r="E12898" t="s">
        <v>2100</v>
      </c>
      <c r="F12898" t="s">
        <v>12906</v>
      </c>
      <c r="G12898">
        <v>1</v>
      </c>
    </row>
    <row r="12899" spans="1:7" x14ac:dyDescent="0.25">
      <c r="A12899">
        <v>38</v>
      </c>
      <c r="B12899" t="s">
        <v>11969</v>
      </c>
      <c r="C12899">
        <v>5010494</v>
      </c>
      <c r="E12899" t="s">
        <v>2100</v>
      </c>
      <c r="F12899" t="s">
        <v>12907</v>
      </c>
      <c r="G12899">
        <v>1</v>
      </c>
    </row>
    <row r="12900" spans="1:7" x14ac:dyDescent="0.25">
      <c r="A12900">
        <v>38</v>
      </c>
      <c r="B12900" t="s">
        <v>11969</v>
      </c>
      <c r="C12900">
        <v>8783145</v>
      </c>
      <c r="E12900" t="s">
        <v>2100</v>
      </c>
      <c r="F12900" t="s">
        <v>12908</v>
      </c>
      <c r="G12900">
        <v>1</v>
      </c>
    </row>
    <row r="12901" spans="1:7" x14ac:dyDescent="0.25">
      <c r="A12901">
        <v>38</v>
      </c>
      <c r="B12901" t="s">
        <v>11969</v>
      </c>
      <c r="C12901">
        <v>5010496</v>
      </c>
      <c r="E12901" t="s">
        <v>2100</v>
      </c>
      <c r="F12901" t="s">
        <v>12909</v>
      </c>
      <c r="G12901">
        <v>1</v>
      </c>
    </row>
    <row r="12902" spans="1:7" x14ac:dyDescent="0.25">
      <c r="A12902">
        <v>38</v>
      </c>
      <c r="B12902" t="s">
        <v>11969</v>
      </c>
      <c r="C12902">
        <v>5000314</v>
      </c>
      <c r="E12902" t="s">
        <v>2100</v>
      </c>
      <c r="F12902" t="s">
        <v>12910</v>
      </c>
      <c r="G12902">
        <v>1</v>
      </c>
    </row>
    <row r="12903" spans="1:7" x14ac:dyDescent="0.25">
      <c r="A12903">
        <v>38</v>
      </c>
      <c r="B12903" t="s">
        <v>11969</v>
      </c>
      <c r="C12903">
        <v>5010284</v>
      </c>
      <c r="E12903" t="s">
        <v>2100</v>
      </c>
      <c r="F12903" t="s">
        <v>12911</v>
      </c>
      <c r="G12903">
        <v>1</v>
      </c>
    </row>
    <row r="12904" spans="1:7" x14ac:dyDescent="0.25">
      <c r="A12904">
        <v>38</v>
      </c>
      <c r="B12904" t="s">
        <v>11969</v>
      </c>
      <c r="C12904">
        <v>5000379</v>
      </c>
      <c r="E12904" t="s">
        <v>2100</v>
      </c>
      <c r="F12904" t="s">
        <v>12912</v>
      </c>
      <c r="G12904">
        <v>1</v>
      </c>
    </row>
    <row r="12905" spans="1:7" x14ac:dyDescent="0.25">
      <c r="A12905">
        <v>38</v>
      </c>
      <c r="B12905" t="s">
        <v>11969</v>
      </c>
      <c r="C12905">
        <v>5010375</v>
      </c>
      <c r="E12905" t="s">
        <v>2100</v>
      </c>
      <c r="F12905" t="s">
        <v>12913</v>
      </c>
      <c r="G12905">
        <v>1</v>
      </c>
    </row>
    <row r="12906" spans="1:7" x14ac:dyDescent="0.25">
      <c r="A12906">
        <v>38</v>
      </c>
      <c r="B12906" t="s">
        <v>11969</v>
      </c>
      <c r="C12906">
        <v>5010277</v>
      </c>
      <c r="E12906" t="s">
        <v>2100</v>
      </c>
      <c r="F12906" t="s">
        <v>12914</v>
      </c>
      <c r="G12906">
        <v>1</v>
      </c>
    </row>
    <row r="12907" spans="1:7" x14ac:dyDescent="0.25">
      <c r="A12907">
        <v>38</v>
      </c>
      <c r="B12907" t="s">
        <v>11969</v>
      </c>
      <c r="C12907">
        <v>5010097</v>
      </c>
      <c r="E12907" t="s">
        <v>2100</v>
      </c>
      <c r="F12907" t="s">
        <v>12915</v>
      </c>
      <c r="G12907">
        <v>1</v>
      </c>
    </row>
    <row r="12908" spans="1:7" x14ac:dyDescent="0.25">
      <c r="A12908">
        <v>38</v>
      </c>
      <c r="B12908" t="s">
        <v>11969</v>
      </c>
      <c r="C12908">
        <v>5010093</v>
      </c>
      <c r="D12908" t="str">
        <f>"0302-9743"</f>
        <v>0302-9743</v>
      </c>
      <c r="E12908" t="s">
        <v>2100</v>
      </c>
      <c r="F12908" t="s">
        <v>12916</v>
      </c>
      <c r="G12908">
        <v>1</v>
      </c>
    </row>
    <row r="12909" spans="1:7" x14ac:dyDescent="0.25">
      <c r="A12909">
        <v>38</v>
      </c>
      <c r="B12909" t="s">
        <v>11969</v>
      </c>
      <c r="C12909">
        <v>5010369</v>
      </c>
      <c r="D12909" t="str">
        <f>"0302-9743"</f>
        <v>0302-9743</v>
      </c>
      <c r="E12909" t="s">
        <v>2100</v>
      </c>
      <c r="F12909" t="s">
        <v>12917</v>
      </c>
      <c r="G12909">
        <v>1</v>
      </c>
    </row>
    <row r="12910" spans="1:7" x14ac:dyDescent="0.25">
      <c r="A12910">
        <v>38</v>
      </c>
      <c r="B12910" t="s">
        <v>11969</v>
      </c>
      <c r="C12910">
        <v>5020019</v>
      </c>
      <c r="E12910" t="s">
        <v>2100</v>
      </c>
      <c r="F12910" t="s">
        <v>12918</v>
      </c>
      <c r="G12910">
        <v>1</v>
      </c>
    </row>
    <row r="12911" spans="1:7" x14ac:dyDescent="0.25">
      <c r="A12911">
        <v>38</v>
      </c>
      <c r="B12911" t="s">
        <v>11969</v>
      </c>
      <c r="C12911">
        <v>5000087</v>
      </c>
      <c r="D12911" t="str">
        <f>"0302-9743"</f>
        <v>0302-9743</v>
      </c>
      <c r="E12911" t="s">
        <v>2100</v>
      </c>
      <c r="F12911" t="s">
        <v>12919</v>
      </c>
      <c r="G12911">
        <v>1</v>
      </c>
    </row>
    <row r="12912" spans="1:7" x14ac:dyDescent="0.25">
      <c r="A12912">
        <v>38</v>
      </c>
      <c r="B12912" t="s">
        <v>11969</v>
      </c>
      <c r="C12912">
        <v>5010316</v>
      </c>
      <c r="E12912" t="s">
        <v>2100</v>
      </c>
      <c r="F12912" t="s">
        <v>12920</v>
      </c>
      <c r="G12912">
        <v>1</v>
      </c>
    </row>
    <row r="12913" spans="1:7" x14ac:dyDescent="0.25">
      <c r="A12913">
        <v>38</v>
      </c>
      <c r="B12913" t="s">
        <v>11969</v>
      </c>
      <c r="C12913">
        <v>5010319</v>
      </c>
      <c r="E12913" t="s">
        <v>2100</v>
      </c>
      <c r="F12913" t="s">
        <v>12921</v>
      </c>
      <c r="G12913">
        <v>1</v>
      </c>
    </row>
    <row r="12914" spans="1:7" x14ac:dyDescent="0.25">
      <c r="A12914">
        <v>38</v>
      </c>
      <c r="B12914" t="s">
        <v>11969</v>
      </c>
      <c r="C12914">
        <v>5010378</v>
      </c>
      <c r="E12914" t="s">
        <v>2100</v>
      </c>
      <c r="F12914" t="s">
        <v>12922</v>
      </c>
      <c r="G12914">
        <v>1</v>
      </c>
    </row>
    <row r="12915" spans="1:7" x14ac:dyDescent="0.25">
      <c r="A12915">
        <v>38</v>
      </c>
      <c r="B12915" t="s">
        <v>11969</v>
      </c>
      <c r="C12915">
        <v>5000170</v>
      </c>
      <c r="E12915" t="s">
        <v>2100</v>
      </c>
      <c r="F12915" t="s">
        <v>12923</v>
      </c>
      <c r="G12915">
        <v>1</v>
      </c>
    </row>
    <row r="12916" spans="1:7" x14ac:dyDescent="0.25">
      <c r="A12916">
        <v>38</v>
      </c>
      <c r="B12916" t="s">
        <v>11969</v>
      </c>
      <c r="C12916">
        <v>5010328</v>
      </c>
      <c r="E12916" t="s">
        <v>2100</v>
      </c>
      <c r="F12916" t="s">
        <v>12924</v>
      </c>
      <c r="G12916">
        <v>1</v>
      </c>
    </row>
    <row r="12917" spans="1:7" x14ac:dyDescent="0.25">
      <c r="A12917">
        <v>38</v>
      </c>
      <c r="B12917" t="s">
        <v>11969</v>
      </c>
      <c r="C12917">
        <v>5010531</v>
      </c>
      <c r="E12917" t="s">
        <v>2100</v>
      </c>
      <c r="F12917" t="s">
        <v>12925</v>
      </c>
      <c r="G12917">
        <v>1</v>
      </c>
    </row>
    <row r="12918" spans="1:7" x14ac:dyDescent="0.25">
      <c r="A12918">
        <v>38</v>
      </c>
      <c r="B12918" t="s">
        <v>11969</v>
      </c>
      <c r="C12918">
        <v>5010533</v>
      </c>
      <c r="E12918" t="s">
        <v>2100</v>
      </c>
      <c r="F12918" t="s">
        <v>12926</v>
      </c>
      <c r="G12918">
        <v>1</v>
      </c>
    </row>
    <row r="12919" spans="1:7" x14ac:dyDescent="0.25">
      <c r="A12919">
        <v>38</v>
      </c>
      <c r="B12919" t="s">
        <v>11969</v>
      </c>
      <c r="C12919">
        <v>5000090</v>
      </c>
      <c r="E12919" t="s">
        <v>2100</v>
      </c>
      <c r="F12919" t="s">
        <v>12927</v>
      </c>
      <c r="G12919">
        <v>1</v>
      </c>
    </row>
    <row r="12920" spans="1:7" x14ac:dyDescent="0.25">
      <c r="A12920">
        <v>38</v>
      </c>
      <c r="B12920" t="s">
        <v>11969</v>
      </c>
      <c r="C12920">
        <v>5010323</v>
      </c>
      <c r="E12920" t="s">
        <v>2100</v>
      </c>
      <c r="F12920" t="s">
        <v>12928</v>
      </c>
      <c r="G12920">
        <v>1</v>
      </c>
    </row>
    <row r="12921" spans="1:7" x14ac:dyDescent="0.25">
      <c r="A12921">
        <v>38</v>
      </c>
      <c r="B12921" t="s">
        <v>11969</v>
      </c>
      <c r="C12921">
        <v>5010092</v>
      </c>
      <c r="E12921" t="s">
        <v>2100</v>
      </c>
      <c r="F12921" t="s">
        <v>12929</v>
      </c>
      <c r="G12921">
        <v>1</v>
      </c>
    </row>
    <row r="12922" spans="1:7" x14ac:dyDescent="0.25">
      <c r="A12922">
        <v>38</v>
      </c>
      <c r="B12922" t="s">
        <v>11969</v>
      </c>
      <c r="C12922">
        <v>5000368</v>
      </c>
      <c r="E12922" t="s">
        <v>2100</v>
      </c>
      <c r="F12922" t="s">
        <v>12930</v>
      </c>
      <c r="G12922">
        <v>1</v>
      </c>
    </row>
    <row r="12923" spans="1:7" x14ac:dyDescent="0.25">
      <c r="A12923">
        <v>38</v>
      </c>
      <c r="B12923" t="s">
        <v>11969</v>
      </c>
      <c r="C12923">
        <v>5010382</v>
      </c>
      <c r="E12923" t="s">
        <v>2100</v>
      </c>
      <c r="F12923" t="s">
        <v>12931</v>
      </c>
      <c r="G12923">
        <v>1</v>
      </c>
    </row>
    <row r="12924" spans="1:7" x14ac:dyDescent="0.25">
      <c r="A12924">
        <v>38</v>
      </c>
      <c r="B12924" t="s">
        <v>11969</v>
      </c>
      <c r="C12924">
        <v>5010536</v>
      </c>
      <c r="E12924" t="s">
        <v>2100</v>
      </c>
      <c r="F12924" t="s">
        <v>12932</v>
      </c>
      <c r="G12924">
        <v>1</v>
      </c>
    </row>
    <row r="12925" spans="1:7" x14ac:dyDescent="0.25">
      <c r="A12925">
        <v>38</v>
      </c>
      <c r="B12925" t="s">
        <v>11969</v>
      </c>
      <c r="C12925">
        <v>5000088</v>
      </c>
      <c r="E12925" t="s">
        <v>2100</v>
      </c>
      <c r="F12925" t="s">
        <v>12933</v>
      </c>
      <c r="G12925">
        <v>1</v>
      </c>
    </row>
    <row r="12926" spans="1:7" x14ac:dyDescent="0.25">
      <c r="A12926">
        <v>38</v>
      </c>
      <c r="B12926" t="s">
        <v>11969</v>
      </c>
      <c r="C12926">
        <v>5010106</v>
      </c>
      <c r="E12926" t="s">
        <v>2100</v>
      </c>
      <c r="F12926" t="s">
        <v>12934</v>
      </c>
      <c r="G12926">
        <v>1</v>
      </c>
    </row>
    <row r="12927" spans="1:7" x14ac:dyDescent="0.25">
      <c r="A12927">
        <v>38</v>
      </c>
      <c r="B12927" t="s">
        <v>11969</v>
      </c>
      <c r="C12927">
        <v>5000538</v>
      </c>
      <c r="D12927" t="str">
        <f>"0302-9743"</f>
        <v>0302-9743</v>
      </c>
      <c r="E12927" t="s">
        <v>2100</v>
      </c>
      <c r="F12927" t="s">
        <v>12935</v>
      </c>
      <c r="G12927">
        <v>1</v>
      </c>
    </row>
    <row r="12928" spans="1:7" x14ac:dyDescent="0.25">
      <c r="A12928">
        <v>38</v>
      </c>
      <c r="B12928" t="s">
        <v>11969</v>
      </c>
      <c r="C12928">
        <v>5010538</v>
      </c>
      <c r="E12928" t="s">
        <v>2100</v>
      </c>
      <c r="F12928" t="s">
        <v>12936</v>
      </c>
      <c r="G12928">
        <v>1</v>
      </c>
    </row>
    <row r="12929" spans="1:7" x14ac:dyDescent="0.25">
      <c r="A12929">
        <v>38</v>
      </c>
      <c r="B12929" t="s">
        <v>11969</v>
      </c>
      <c r="C12929">
        <v>5010340</v>
      </c>
      <c r="E12929" t="s">
        <v>2100</v>
      </c>
      <c r="F12929" t="s">
        <v>12937</v>
      </c>
      <c r="G12929">
        <v>1</v>
      </c>
    </row>
    <row r="12930" spans="1:7" x14ac:dyDescent="0.25">
      <c r="A12930">
        <v>38</v>
      </c>
      <c r="B12930" t="s">
        <v>11969</v>
      </c>
      <c r="C12930">
        <v>5010352</v>
      </c>
      <c r="E12930" t="s">
        <v>2100</v>
      </c>
      <c r="F12930" t="s">
        <v>12938</v>
      </c>
      <c r="G12930">
        <v>1</v>
      </c>
    </row>
    <row r="12931" spans="1:7" x14ac:dyDescent="0.25">
      <c r="A12931">
        <v>38</v>
      </c>
      <c r="B12931" t="s">
        <v>11969</v>
      </c>
      <c r="C12931">
        <v>8781973</v>
      </c>
      <c r="E12931" t="s">
        <v>2100</v>
      </c>
      <c r="F12931" t="s">
        <v>12939</v>
      </c>
      <c r="G12931">
        <v>1</v>
      </c>
    </row>
    <row r="12932" spans="1:7" x14ac:dyDescent="0.25">
      <c r="A12932">
        <v>38</v>
      </c>
      <c r="B12932" t="s">
        <v>11969</v>
      </c>
      <c r="C12932">
        <v>5010341</v>
      </c>
      <c r="E12932" t="s">
        <v>2100</v>
      </c>
      <c r="F12932" t="s">
        <v>12940</v>
      </c>
      <c r="G12932">
        <v>1</v>
      </c>
    </row>
    <row r="12933" spans="1:7" x14ac:dyDescent="0.25">
      <c r="A12933">
        <v>38</v>
      </c>
      <c r="B12933" t="s">
        <v>11969</v>
      </c>
      <c r="C12933">
        <v>5010342</v>
      </c>
      <c r="E12933" t="s">
        <v>2100</v>
      </c>
      <c r="F12933" t="s">
        <v>12941</v>
      </c>
      <c r="G12933">
        <v>1</v>
      </c>
    </row>
    <row r="12934" spans="1:7" x14ac:dyDescent="0.25">
      <c r="A12934">
        <v>38</v>
      </c>
      <c r="B12934" t="s">
        <v>11969</v>
      </c>
      <c r="C12934">
        <v>5010403</v>
      </c>
      <c r="E12934" t="s">
        <v>2100</v>
      </c>
      <c r="F12934" t="s">
        <v>12942</v>
      </c>
      <c r="G12934">
        <v>1</v>
      </c>
    </row>
    <row r="12935" spans="1:7" x14ac:dyDescent="0.25">
      <c r="A12935">
        <v>38</v>
      </c>
      <c r="B12935" t="s">
        <v>11969</v>
      </c>
      <c r="C12935">
        <v>5010415</v>
      </c>
      <c r="E12935" t="s">
        <v>2100</v>
      </c>
      <c r="F12935" t="s">
        <v>12943</v>
      </c>
      <c r="G12935">
        <v>1</v>
      </c>
    </row>
    <row r="12936" spans="1:7" x14ac:dyDescent="0.25">
      <c r="A12936">
        <v>38</v>
      </c>
      <c r="B12936" t="s">
        <v>11969</v>
      </c>
      <c r="C12936">
        <v>5000138</v>
      </c>
      <c r="E12936" t="s">
        <v>2100</v>
      </c>
      <c r="F12936" t="s">
        <v>12944</v>
      </c>
      <c r="G12936">
        <v>1</v>
      </c>
    </row>
    <row r="12937" spans="1:7" x14ac:dyDescent="0.25">
      <c r="A12937">
        <v>38</v>
      </c>
      <c r="B12937" t="s">
        <v>11969</v>
      </c>
      <c r="C12937">
        <v>5010339</v>
      </c>
      <c r="D12937" t="str">
        <f>"1865-1348"</f>
        <v>1865-1348</v>
      </c>
      <c r="E12937" t="s">
        <v>2100</v>
      </c>
      <c r="F12937" t="s">
        <v>12945</v>
      </c>
      <c r="G12937">
        <v>1</v>
      </c>
    </row>
    <row r="12938" spans="1:7" x14ac:dyDescent="0.25">
      <c r="A12938">
        <v>38</v>
      </c>
      <c r="B12938" t="s">
        <v>11969</v>
      </c>
      <c r="C12938">
        <v>5010350</v>
      </c>
      <c r="D12938" t="str">
        <f>"0302-9743"</f>
        <v>0302-9743</v>
      </c>
      <c r="E12938" t="s">
        <v>2100</v>
      </c>
      <c r="F12938" t="s">
        <v>12946</v>
      </c>
      <c r="G12938">
        <v>1</v>
      </c>
    </row>
    <row r="12939" spans="1:7" x14ac:dyDescent="0.25">
      <c r="A12939">
        <v>38</v>
      </c>
      <c r="B12939" t="s">
        <v>11969</v>
      </c>
      <c r="C12939">
        <v>5010397</v>
      </c>
      <c r="D12939" t="str">
        <f>"0302-9743"</f>
        <v>0302-9743</v>
      </c>
      <c r="E12939" t="s">
        <v>2100</v>
      </c>
      <c r="F12939" t="s">
        <v>12947</v>
      </c>
      <c r="G12939">
        <v>1</v>
      </c>
    </row>
    <row r="12940" spans="1:7" x14ac:dyDescent="0.25">
      <c r="A12940">
        <v>38</v>
      </c>
      <c r="B12940" t="s">
        <v>11969</v>
      </c>
      <c r="C12940">
        <v>5010420</v>
      </c>
      <c r="E12940" t="s">
        <v>2100</v>
      </c>
      <c r="F12940" t="s">
        <v>12948</v>
      </c>
      <c r="G12940">
        <v>1</v>
      </c>
    </row>
    <row r="12941" spans="1:7" x14ac:dyDescent="0.25">
      <c r="A12941">
        <v>38</v>
      </c>
      <c r="B12941" t="s">
        <v>11969</v>
      </c>
      <c r="C12941">
        <v>5000232</v>
      </c>
      <c r="E12941" t="s">
        <v>2100</v>
      </c>
      <c r="F12941" t="s">
        <v>12949</v>
      </c>
      <c r="G12941">
        <v>1</v>
      </c>
    </row>
    <row r="12942" spans="1:7" x14ac:dyDescent="0.25">
      <c r="A12942">
        <v>38</v>
      </c>
      <c r="B12942" t="s">
        <v>11969</v>
      </c>
      <c r="C12942">
        <v>5020034</v>
      </c>
      <c r="E12942" t="s">
        <v>2100</v>
      </c>
      <c r="F12942" t="s">
        <v>12950</v>
      </c>
      <c r="G12942">
        <v>1</v>
      </c>
    </row>
    <row r="12943" spans="1:7" x14ac:dyDescent="0.25">
      <c r="A12943">
        <v>38</v>
      </c>
      <c r="B12943" t="s">
        <v>11969</v>
      </c>
      <c r="C12943">
        <v>5000271</v>
      </c>
      <c r="E12943" t="s">
        <v>2100</v>
      </c>
      <c r="F12943" t="s">
        <v>12951</v>
      </c>
      <c r="G12943">
        <v>1</v>
      </c>
    </row>
    <row r="12944" spans="1:7" x14ac:dyDescent="0.25">
      <c r="A12944">
        <v>38</v>
      </c>
      <c r="B12944" t="s">
        <v>11969</v>
      </c>
      <c r="C12944">
        <v>5010390</v>
      </c>
      <c r="E12944" t="s">
        <v>2100</v>
      </c>
      <c r="F12944" t="s">
        <v>12952</v>
      </c>
      <c r="G12944">
        <v>1</v>
      </c>
    </row>
    <row r="12945" spans="1:7" x14ac:dyDescent="0.25">
      <c r="A12945">
        <v>38</v>
      </c>
      <c r="B12945" t="s">
        <v>11969</v>
      </c>
      <c r="C12945">
        <v>5000539</v>
      </c>
      <c r="E12945" t="s">
        <v>2100</v>
      </c>
      <c r="F12945" t="s">
        <v>12953</v>
      </c>
      <c r="G12945">
        <v>1</v>
      </c>
    </row>
    <row r="12946" spans="1:7" x14ac:dyDescent="0.25">
      <c r="A12946">
        <v>38</v>
      </c>
      <c r="B12946" t="s">
        <v>11969</v>
      </c>
      <c r="C12946">
        <v>5000399</v>
      </c>
      <c r="E12946" t="s">
        <v>2100</v>
      </c>
      <c r="F12946" t="s">
        <v>12954</v>
      </c>
      <c r="G12946">
        <v>1</v>
      </c>
    </row>
    <row r="12947" spans="1:7" x14ac:dyDescent="0.25">
      <c r="A12947">
        <v>38</v>
      </c>
      <c r="B12947" t="s">
        <v>11969</v>
      </c>
      <c r="C12947">
        <v>5010543</v>
      </c>
      <c r="E12947" t="s">
        <v>2100</v>
      </c>
      <c r="F12947" t="s">
        <v>12955</v>
      </c>
      <c r="G12947">
        <v>1</v>
      </c>
    </row>
    <row r="12948" spans="1:7" x14ac:dyDescent="0.25">
      <c r="A12948">
        <v>38</v>
      </c>
      <c r="B12948" t="s">
        <v>11969</v>
      </c>
      <c r="C12948">
        <v>5000100</v>
      </c>
      <c r="D12948" t="str">
        <f>"0302-9743"</f>
        <v>0302-9743</v>
      </c>
      <c r="E12948" t="s">
        <v>2100</v>
      </c>
      <c r="F12948" t="s">
        <v>12956</v>
      </c>
      <c r="G12948">
        <v>1</v>
      </c>
    </row>
    <row r="12949" spans="1:7" x14ac:dyDescent="0.25">
      <c r="A12949">
        <v>38</v>
      </c>
      <c r="B12949" t="s">
        <v>11969</v>
      </c>
      <c r="C12949">
        <v>8781949</v>
      </c>
      <c r="E12949" t="s">
        <v>2100</v>
      </c>
      <c r="F12949" t="s">
        <v>12957</v>
      </c>
      <c r="G12949">
        <v>1</v>
      </c>
    </row>
    <row r="12950" spans="1:7" x14ac:dyDescent="0.25">
      <c r="A12950">
        <v>38</v>
      </c>
      <c r="B12950" t="s">
        <v>11969</v>
      </c>
      <c r="C12950">
        <v>5000437</v>
      </c>
      <c r="E12950" t="s">
        <v>2100</v>
      </c>
      <c r="F12950" t="s">
        <v>12958</v>
      </c>
      <c r="G12950">
        <v>1</v>
      </c>
    </row>
    <row r="12951" spans="1:7" x14ac:dyDescent="0.25">
      <c r="A12951">
        <v>38</v>
      </c>
      <c r="B12951" t="s">
        <v>11969</v>
      </c>
      <c r="C12951">
        <v>5010391</v>
      </c>
      <c r="E12951" t="s">
        <v>2100</v>
      </c>
      <c r="F12951" t="s">
        <v>12959</v>
      </c>
      <c r="G12951">
        <v>1</v>
      </c>
    </row>
    <row r="12952" spans="1:7" x14ac:dyDescent="0.25">
      <c r="A12952">
        <v>38</v>
      </c>
      <c r="B12952" t="s">
        <v>11969</v>
      </c>
      <c r="C12952">
        <v>5000439</v>
      </c>
      <c r="E12952" t="s">
        <v>2100</v>
      </c>
      <c r="F12952" t="s">
        <v>12960</v>
      </c>
      <c r="G12952">
        <v>1</v>
      </c>
    </row>
    <row r="12953" spans="1:7" x14ac:dyDescent="0.25">
      <c r="A12953">
        <v>38</v>
      </c>
      <c r="B12953" t="s">
        <v>11969</v>
      </c>
      <c r="C12953">
        <v>5010387</v>
      </c>
      <c r="E12953" t="s">
        <v>2100</v>
      </c>
      <c r="F12953" t="s">
        <v>12961</v>
      </c>
      <c r="G12953">
        <v>1</v>
      </c>
    </row>
    <row r="12954" spans="1:7" x14ac:dyDescent="0.25">
      <c r="A12954">
        <v>38</v>
      </c>
      <c r="B12954" t="s">
        <v>11969</v>
      </c>
      <c r="C12954">
        <v>5010404</v>
      </c>
      <c r="E12954" t="s">
        <v>2100</v>
      </c>
      <c r="F12954" t="s">
        <v>12962</v>
      </c>
      <c r="G12954">
        <v>1</v>
      </c>
    </row>
    <row r="12955" spans="1:7" x14ac:dyDescent="0.25">
      <c r="A12955">
        <v>38</v>
      </c>
      <c r="B12955" t="s">
        <v>11969</v>
      </c>
      <c r="C12955">
        <v>5010407</v>
      </c>
      <c r="D12955" t="str">
        <f>"0302-9743"</f>
        <v>0302-9743</v>
      </c>
      <c r="E12955" t="s">
        <v>2100</v>
      </c>
      <c r="F12955" t="s">
        <v>12963</v>
      </c>
      <c r="G12955">
        <v>1</v>
      </c>
    </row>
    <row r="12956" spans="1:7" x14ac:dyDescent="0.25">
      <c r="A12956">
        <v>38</v>
      </c>
      <c r="B12956" t="s">
        <v>11969</v>
      </c>
      <c r="C12956">
        <v>5010521</v>
      </c>
      <c r="D12956" t="str">
        <f>"1865-1348"</f>
        <v>1865-1348</v>
      </c>
      <c r="E12956" t="s">
        <v>2100</v>
      </c>
      <c r="F12956" t="s">
        <v>12964</v>
      </c>
      <c r="G12956">
        <v>1</v>
      </c>
    </row>
    <row r="12957" spans="1:7" x14ac:dyDescent="0.25">
      <c r="A12957">
        <v>38</v>
      </c>
      <c r="B12957" t="s">
        <v>11969</v>
      </c>
      <c r="C12957">
        <v>5000118</v>
      </c>
      <c r="E12957" t="s">
        <v>2100</v>
      </c>
      <c r="F12957" t="s">
        <v>12965</v>
      </c>
      <c r="G12957">
        <v>1</v>
      </c>
    </row>
    <row r="12958" spans="1:7" x14ac:dyDescent="0.25">
      <c r="A12958">
        <v>38</v>
      </c>
      <c r="B12958" t="s">
        <v>11969</v>
      </c>
      <c r="C12958">
        <v>5010322</v>
      </c>
      <c r="E12958" t="s">
        <v>2100</v>
      </c>
      <c r="F12958" t="s">
        <v>12966</v>
      </c>
      <c r="G12958">
        <v>1</v>
      </c>
    </row>
    <row r="12959" spans="1:7" x14ac:dyDescent="0.25">
      <c r="A12959">
        <v>38</v>
      </c>
      <c r="B12959" t="s">
        <v>11969</v>
      </c>
      <c r="C12959">
        <v>5000116</v>
      </c>
      <c r="E12959" t="s">
        <v>2100</v>
      </c>
      <c r="F12959" t="s">
        <v>12967</v>
      </c>
      <c r="G12959">
        <v>1</v>
      </c>
    </row>
    <row r="12960" spans="1:7" x14ac:dyDescent="0.25">
      <c r="A12960">
        <v>38</v>
      </c>
      <c r="B12960" t="s">
        <v>11969</v>
      </c>
      <c r="C12960">
        <v>5000152</v>
      </c>
      <c r="D12960" t="str">
        <f>"0302-9743"</f>
        <v>0302-9743</v>
      </c>
      <c r="E12960" t="s">
        <v>2100</v>
      </c>
      <c r="F12960" t="s">
        <v>12968</v>
      </c>
      <c r="G12960">
        <v>1</v>
      </c>
    </row>
    <row r="12961" spans="1:7" x14ac:dyDescent="0.25">
      <c r="A12961">
        <v>38</v>
      </c>
      <c r="B12961" t="s">
        <v>11969</v>
      </c>
      <c r="C12961">
        <v>5010321</v>
      </c>
      <c r="E12961" t="s">
        <v>2100</v>
      </c>
      <c r="F12961" t="s">
        <v>12969</v>
      </c>
      <c r="G12961">
        <v>1</v>
      </c>
    </row>
    <row r="12962" spans="1:7" x14ac:dyDescent="0.25">
      <c r="A12962">
        <v>38</v>
      </c>
      <c r="B12962" t="s">
        <v>11969</v>
      </c>
      <c r="C12962">
        <v>5000117</v>
      </c>
      <c r="E12962" t="s">
        <v>2100</v>
      </c>
      <c r="F12962" t="s">
        <v>12970</v>
      </c>
      <c r="G12962">
        <v>1</v>
      </c>
    </row>
    <row r="12963" spans="1:7" x14ac:dyDescent="0.25">
      <c r="A12963">
        <v>38</v>
      </c>
      <c r="B12963" t="s">
        <v>11969</v>
      </c>
      <c r="C12963">
        <v>5010547</v>
      </c>
      <c r="E12963" t="s">
        <v>2100</v>
      </c>
      <c r="F12963" t="s">
        <v>12971</v>
      </c>
      <c r="G12963">
        <v>1</v>
      </c>
    </row>
    <row r="12964" spans="1:7" x14ac:dyDescent="0.25">
      <c r="A12964">
        <v>38</v>
      </c>
      <c r="B12964" t="s">
        <v>11969</v>
      </c>
      <c r="C12964">
        <v>5010548</v>
      </c>
      <c r="E12964" t="s">
        <v>2100</v>
      </c>
      <c r="F12964" t="s">
        <v>12972</v>
      </c>
      <c r="G12964">
        <v>1</v>
      </c>
    </row>
    <row r="12965" spans="1:7" x14ac:dyDescent="0.25">
      <c r="A12965">
        <v>38</v>
      </c>
      <c r="B12965" t="s">
        <v>11969</v>
      </c>
      <c r="C12965">
        <v>5010295</v>
      </c>
      <c r="D12965" t="str">
        <f>"0302-9743"</f>
        <v>0302-9743</v>
      </c>
      <c r="E12965" t="s">
        <v>2100</v>
      </c>
      <c r="F12965" t="s">
        <v>12973</v>
      </c>
      <c r="G12965">
        <v>1</v>
      </c>
    </row>
    <row r="12966" spans="1:7" x14ac:dyDescent="0.25">
      <c r="A12966">
        <v>38</v>
      </c>
      <c r="B12966" t="s">
        <v>11969</v>
      </c>
      <c r="C12966">
        <v>5000226</v>
      </c>
      <c r="E12966" t="s">
        <v>2100</v>
      </c>
      <c r="F12966" t="s">
        <v>12974</v>
      </c>
      <c r="G12966">
        <v>1</v>
      </c>
    </row>
    <row r="12967" spans="1:7" x14ac:dyDescent="0.25">
      <c r="A12967">
        <v>38</v>
      </c>
      <c r="B12967" t="s">
        <v>11969</v>
      </c>
      <c r="C12967">
        <v>5010304</v>
      </c>
      <c r="D12967" t="str">
        <f>"0302-9743"</f>
        <v>0302-9743</v>
      </c>
      <c r="E12967" t="s">
        <v>2100</v>
      </c>
      <c r="F12967" t="s">
        <v>12975</v>
      </c>
      <c r="G12967">
        <v>1</v>
      </c>
    </row>
    <row r="12968" spans="1:7" x14ac:dyDescent="0.25">
      <c r="A12968">
        <v>38</v>
      </c>
      <c r="B12968" t="s">
        <v>11969</v>
      </c>
      <c r="C12968">
        <v>5000083</v>
      </c>
      <c r="E12968" t="s">
        <v>2100</v>
      </c>
      <c r="F12968" t="s">
        <v>12976</v>
      </c>
      <c r="G12968">
        <v>1</v>
      </c>
    </row>
    <row r="12969" spans="1:7" x14ac:dyDescent="0.25">
      <c r="A12969">
        <v>38</v>
      </c>
      <c r="B12969" t="s">
        <v>11969</v>
      </c>
      <c r="C12969">
        <v>5000115</v>
      </c>
      <c r="D12969" t="str">
        <f>"0302-9743"</f>
        <v>0302-9743</v>
      </c>
      <c r="E12969" t="s">
        <v>2100</v>
      </c>
      <c r="F12969" t="s">
        <v>12977</v>
      </c>
      <c r="G12969">
        <v>1</v>
      </c>
    </row>
    <row r="12970" spans="1:7" x14ac:dyDescent="0.25">
      <c r="A12970">
        <v>38</v>
      </c>
      <c r="B12970" t="s">
        <v>11969</v>
      </c>
      <c r="C12970">
        <v>5010309</v>
      </c>
      <c r="E12970" t="s">
        <v>2100</v>
      </c>
      <c r="F12970" t="s">
        <v>12978</v>
      </c>
      <c r="G12970">
        <v>1</v>
      </c>
    </row>
    <row r="12971" spans="1:7" x14ac:dyDescent="0.25">
      <c r="A12971">
        <v>38</v>
      </c>
      <c r="B12971" t="s">
        <v>11969</v>
      </c>
      <c r="C12971">
        <v>5000553</v>
      </c>
      <c r="E12971" t="s">
        <v>2100</v>
      </c>
      <c r="F12971" t="s">
        <v>12979</v>
      </c>
      <c r="G12971">
        <v>1</v>
      </c>
    </row>
    <row r="12972" spans="1:7" x14ac:dyDescent="0.25">
      <c r="A12972">
        <v>38</v>
      </c>
      <c r="B12972" t="s">
        <v>11969</v>
      </c>
      <c r="C12972">
        <v>5000084</v>
      </c>
      <c r="D12972" t="str">
        <f>"0302-9743"</f>
        <v>0302-9743</v>
      </c>
      <c r="E12972" t="s">
        <v>2100</v>
      </c>
      <c r="F12972" t="s">
        <v>12980</v>
      </c>
      <c r="G12972">
        <v>1</v>
      </c>
    </row>
    <row r="12973" spans="1:7" x14ac:dyDescent="0.25">
      <c r="A12973">
        <v>38</v>
      </c>
      <c r="B12973" t="s">
        <v>11969</v>
      </c>
      <c r="C12973">
        <v>5010300</v>
      </c>
      <c r="E12973" t="s">
        <v>2100</v>
      </c>
      <c r="F12973" t="s">
        <v>12981</v>
      </c>
      <c r="G12973">
        <v>1</v>
      </c>
    </row>
    <row r="12974" spans="1:7" x14ac:dyDescent="0.25">
      <c r="A12974">
        <v>38</v>
      </c>
      <c r="B12974" t="s">
        <v>11969</v>
      </c>
      <c r="C12974">
        <v>5000119</v>
      </c>
      <c r="E12974" t="s">
        <v>2100</v>
      </c>
      <c r="F12974" t="s">
        <v>12982</v>
      </c>
      <c r="G12974">
        <v>1</v>
      </c>
    </row>
    <row r="12975" spans="1:7" x14ac:dyDescent="0.25">
      <c r="A12975">
        <v>38</v>
      </c>
      <c r="B12975" t="s">
        <v>11969</v>
      </c>
      <c r="C12975">
        <v>5000111</v>
      </c>
      <c r="D12975" t="str">
        <f>"0302-9743"</f>
        <v>0302-9743</v>
      </c>
      <c r="E12975" t="s">
        <v>2100</v>
      </c>
      <c r="F12975" t="s">
        <v>12983</v>
      </c>
      <c r="G12975">
        <v>1</v>
      </c>
    </row>
    <row r="12976" spans="1:7" x14ac:dyDescent="0.25">
      <c r="A12976">
        <v>38</v>
      </c>
      <c r="B12976" t="s">
        <v>11969</v>
      </c>
      <c r="C12976">
        <v>5000517</v>
      </c>
      <c r="E12976" t="s">
        <v>2100</v>
      </c>
      <c r="F12976" t="s">
        <v>12984</v>
      </c>
      <c r="G12976">
        <v>1</v>
      </c>
    </row>
    <row r="12977" spans="1:7" x14ac:dyDescent="0.25">
      <c r="A12977">
        <v>38</v>
      </c>
      <c r="B12977" t="s">
        <v>11969</v>
      </c>
      <c r="C12977">
        <v>5010318</v>
      </c>
      <c r="E12977" t="s">
        <v>2100</v>
      </c>
      <c r="F12977" t="s">
        <v>12985</v>
      </c>
      <c r="G12977">
        <v>1</v>
      </c>
    </row>
    <row r="12978" spans="1:7" x14ac:dyDescent="0.25">
      <c r="A12978">
        <v>38</v>
      </c>
      <c r="B12978" t="s">
        <v>11969</v>
      </c>
      <c r="C12978">
        <v>5010296</v>
      </c>
      <c r="E12978" t="s">
        <v>2100</v>
      </c>
      <c r="F12978" t="s">
        <v>12986</v>
      </c>
      <c r="G12978">
        <v>1</v>
      </c>
    </row>
    <row r="12979" spans="1:7" x14ac:dyDescent="0.25">
      <c r="A12979">
        <v>38</v>
      </c>
      <c r="B12979" t="s">
        <v>11969</v>
      </c>
      <c r="C12979">
        <v>5010909</v>
      </c>
      <c r="E12979" t="s">
        <v>2100</v>
      </c>
      <c r="F12979" t="s">
        <v>12987</v>
      </c>
      <c r="G12979">
        <v>1</v>
      </c>
    </row>
    <row r="12980" spans="1:7" x14ac:dyDescent="0.25">
      <c r="A12980">
        <v>38</v>
      </c>
      <c r="B12980" t="s">
        <v>11969</v>
      </c>
      <c r="C12980">
        <v>8783679</v>
      </c>
      <c r="E12980" t="s">
        <v>2100</v>
      </c>
      <c r="F12980" t="s">
        <v>12988</v>
      </c>
      <c r="G12980">
        <v>1</v>
      </c>
    </row>
    <row r="12981" spans="1:7" x14ac:dyDescent="0.25">
      <c r="A12981">
        <v>38</v>
      </c>
      <c r="B12981" t="s">
        <v>11969</v>
      </c>
      <c r="C12981">
        <v>5000221</v>
      </c>
      <c r="E12981" t="s">
        <v>2100</v>
      </c>
      <c r="F12981" t="s">
        <v>12989</v>
      </c>
      <c r="G12981">
        <v>1</v>
      </c>
    </row>
    <row r="12982" spans="1:7" x14ac:dyDescent="0.25">
      <c r="A12982">
        <v>38</v>
      </c>
      <c r="B12982" t="s">
        <v>11969</v>
      </c>
      <c r="C12982">
        <v>5010588</v>
      </c>
      <c r="E12982" t="s">
        <v>2100</v>
      </c>
      <c r="F12982" t="s">
        <v>12990</v>
      </c>
      <c r="G12982">
        <v>1</v>
      </c>
    </row>
    <row r="12983" spans="1:7" x14ac:dyDescent="0.25">
      <c r="A12983">
        <v>38</v>
      </c>
      <c r="B12983" t="s">
        <v>11969</v>
      </c>
      <c r="C12983">
        <v>5010280</v>
      </c>
      <c r="E12983" t="s">
        <v>2100</v>
      </c>
      <c r="F12983" t="s">
        <v>12991</v>
      </c>
      <c r="G12983">
        <v>1</v>
      </c>
    </row>
    <row r="12984" spans="1:7" x14ac:dyDescent="0.25">
      <c r="A12984">
        <v>38</v>
      </c>
      <c r="B12984" t="s">
        <v>11969</v>
      </c>
      <c r="C12984">
        <v>5010283</v>
      </c>
      <c r="E12984" t="s">
        <v>2100</v>
      </c>
      <c r="F12984" t="s">
        <v>12992</v>
      </c>
      <c r="G12984">
        <v>1</v>
      </c>
    </row>
    <row r="12985" spans="1:7" x14ac:dyDescent="0.25">
      <c r="A12985">
        <v>38</v>
      </c>
      <c r="B12985" t="s">
        <v>11969</v>
      </c>
      <c r="C12985">
        <v>5010286</v>
      </c>
      <c r="E12985" t="s">
        <v>2100</v>
      </c>
      <c r="F12985" t="s">
        <v>12993</v>
      </c>
      <c r="G12985">
        <v>1</v>
      </c>
    </row>
    <row r="12986" spans="1:7" x14ac:dyDescent="0.25">
      <c r="A12986">
        <v>38</v>
      </c>
      <c r="B12986" t="s">
        <v>11969</v>
      </c>
      <c r="C12986">
        <v>5010287</v>
      </c>
      <c r="E12986" t="s">
        <v>2100</v>
      </c>
      <c r="F12986" t="s">
        <v>12994</v>
      </c>
      <c r="G12986">
        <v>1</v>
      </c>
    </row>
    <row r="12987" spans="1:7" x14ac:dyDescent="0.25">
      <c r="A12987">
        <v>38</v>
      </c>
      <c r="B12987" t="s">
        <v>11969</v>
      </c>
      <c r="C12987">
        <v>5000325</v>
      </c>
      <c r="E12987" t="s">
        <v>2100</v>
      </c>
      <c r="F12987" t="s">
        <v>12995</v>
      </c>
      <c r="G12987">
        <v>1</v>
      </c>
    </row>
    <row r="12988" spans="1:7" x14ac:dyDescent="0.25">
      <c r="A12988">
        <v>38</v>
      </c>
      <c r="B12988" t="s">
        <v>11969</v>
      </c>
      <c r="C12988">
        <v>5010683</v>
      </c>
      <c r="E12988" t="s">
        <v>2100</v>
      </c>
      <c r="F12988" t="s">
        <v>12996</v>
      </c>
      <c r="G12988">
        <v>1</v>
      </c>
    </row>
    <row r="12989" spans="1:7" x14ac:dyDescent="0.25">
      <c r="A12989">
        <v>38</v>
      </c>
      <c r="B12989" t="s">
        <v>11969</v>
      </c>
      <c r="C12989">
        <v>5000130</v>
      </c>
      <c r="E12989" t="s">
        <v>2100</v>
      </c>
      <c r="F12989" t="s">
        <v>12997</v>
      </c>
      <c r="G12989">
        <v>1</v>
      </c>
    </row>
    <row r="12990" spans="1:7" x14ac:dyDescent="0.25">
      <c r="A12990">
        <v>38</v>
      </c>
      <c r="B12990" t="s">
        <v>11969</v>
      </c>
      <c r="C12990">
        <v>5010884</v>
      </c>
      <c r="E12990" t="s">
        <v>2100</v>
      </c>
      <c r="F12990" t="s">
        <v>12998</v>
      </c>
      <c r="G12990">
        <v>1</v>
      </c>
    </row>
    <row r="12991" spans="1:7" x14ac:dyDescent="0.25">
      <c r="A12991">
        <v>38</v>
      </c>
      <c r="B12991" t="s">
        <v>11969</v>
      </c>
      <c r="C12991">
        <v>5010918</v>
      </c>
      <c r="E12991" t="s">
        <v>2100</v>
      </c>
      <c r="F12991" t="s">
        <v>12999</v>
      </c>
      <c r="G12991">
        <v>1</v>
      </c>
    </row>
    <row r="12992" spans="1:7" x14ac:dyDescent="0.25">
      <c r="A12992">
        <v>38</v>
      </c>
      <c r="B12992" t="s">
        <v>11969</v>
      </c>
      <c r="C12992">
        <v>5000530</v>
      </c>
      <c r="E12992" t="s">
        <v>2100</v>
      </c>
      <c r="F12992" t="s">
        <v>13000</v>
      </c>
      <c r="G12992">
        <v>1</v>
      </c>
    </row>
    <row r="12993" spans="1:7" x14ac:dyDescent="0.25">
      <c r="A12993">
        <v>38</v>
      </c>
      <c r="B12993" t="s">
        <v>11969</v>
      </c>
      <c r="C12993">
        <v>5000131</v>
      </c>
      <c r="E12993" t="s">
        <v>2100</v>
      </c>
      <c r="F12993" t="s">
        <v>13001</v>
      </c>
      <c r="G12993">
        <v>1</v>
      </c>
    </row>
    <row r="12994" spans="1:7" x14ac:dyDescent="0.25">
      <c r="A12994">
        <v>38</v>
      </c>
      <c r="B12994" t="s">
        <v>11969</v>
      </c>
      <c r="C12994">
        <v>5000029</v>
      </c>
      <c r="E12994" t="s">
        <v>2100</v>
      </c>
      <c r="F12994" t="s">
        <v>13002</v>
      </c>
      <c r="G12994">
        <v>1</v>
      </c>
    </row>
    <row r="12995" spans="1:7" x14ac:dyDescent="0.25">
      <c r="A12995">
        <v>38</v>
      </c>
      <c r="B12995" t="s">
        <v>11969</v>
      </c>
      <c r="C12995">
        <v>5000442</v>
      </c>
      <c r="E12995" t="s">
        <v>2100</v>
      </c>
      <c r="F12995" t="s">
        <v>13003</v>
      </c>
      <c r="G12995">
        <v>1</v>
      </c>
    </row>
    <row r="12996" spans="1:7" x14ac:dyDescent="0.25">
      <c r="A12996">
        <v>38</v>
      </c>
      <c r="B12996" t="s">
        <v>11969</v>
      </c>
      <c r="C12996">
        <v>5010552</v>
      </c>
      <c r="E12996" t="s">
        <v>2100</v>
      </c>
      <c r="F12996" t="s">
        <v>13004</v>
      </c>
      <c r="G12996">
        <v>1</v>
      </c>
    </row>
    <row r="12997" spans="1:7" x14ac:dyDescent="0.25">
      <c r="A12997">
        <v>38</v>
      </c>
      <c r="B12997" t="s">
        <v>11969</v>
      </c>
      <c r="C12997">
        <v>5010728</v>
      </c>
      <c r="E12997" t="s">
        <v>2100</v>
      </c>
      <c r="F12997" t="s">
        <v>13005</v>
      </c>
      <c r="G12997">
        <v>1</v>
      </c>
    </row>
    <row r="12998" spans="1:7" x14ac:dyDescent="0.25">
      <c r="A12998">
        <v>38</v>
      </c>
      <c r="B12998" t="s">
        <v>11969</v>
      </c>
      <c r="C12998">
        <v>5010567</v>
      </c>
      <c r="E12998" t="s">
        <v>2100</v>
      </c>
      <c r="F12998" t="s">
        <v>13006</v>
      </c>
      <c r="G12998">
        <v>1</v>
      </c>
    </row>
    <row r="12999" spans="1:7" x14ac:dyDescent="0.25">
      <c r="A12999">
        <v>38</v>
      </c>
      <c r="B12999" t="s">
        <v>11969</v>
      </c>
      <c r="C12999">
        <v>5000156</v>
      </c>
      <c r="E12999" t="s">
        <v>2100</v>
      </c>
      <c r="F12999" t="s">
        <v>13007</v>
      </c>
      <c r="G12999">
        <v>1</v>
      </c>
    </row>
    <row r="13000" spans="1:7" x14ac:dyDescent="0.25">
      <c r="A13000">
        <v>38</v>
      </c>
      <c r="B13000" t="s">
        <v>11969</v>
      </c>
      <c r="C13000">
        <v>5000121</v>
      </c>
      <c r="E13000" t="s">
        <v>2100</v>
      </c>
      <c r="F13000" t="s">
        <v>13008</v>
      </c>
      <c r="G13000">
        <v>1</v>
      </c>
    </row>
    <row r="13001" spans="1:7" x14ac:dyDescent="0.25">
      <c r="A13001">
        <v>38</v>
      </c>
      <c r="B13001" t="s">
        <v>11969</v>
      </c>
      <c r="C13001">
        <v>5010765</v>
      </c>
      <c r="E13001" t="s">
        <v>2100</v>
      </c>
      <c r="F13001" t="s">
        <v>13009</v>
      </c>
      <c r="G13001">
        <v>1</v>
      </c>
    </row>
    <row r="13002" spans="1:7" x14ac:dyDescent="0.25">
      <c r="A13002">
        <v>38</v>
      </c>
      <c r="B13002" t="s">
        <v>11969</v>
      </c>
      <c r="C13002">
        <v>5010901</v>
      </c>
      <c r="E13002" t="s">
        <v>2100</v>
      </c>
      <c r="F13002" t="s">
        <v>13010</v>
      </c>
      <c r="G13002">
        <v>1</v>
      </c>
    </row>
    <row r="13003" spans="1:7" x14ac:dyDescent="0.25">
      <c r="A13003">
        <v>38</v>
      </c>
      <c r="B13003" t="s">
        <v>11969</v>
      </c>
      <c r="C13003">
        <v>5010686</v>
      </c>
      <c r="E13003" t="s">
        <v>2100</v>
      </c>
      <c r="F13003" t="s">
        <v>13011</v>
      </c>
      <c r="G13003">
        <v>1</v>
      </c>
    </row>
    <row r="13004" spans="1:7" x14ac:dyDescent="0.25">
      <c r="A13004">
        <v>38</v>
      </c>
      <c r="B13004" t="s">
        <v>11969</v>
      </c>
      <c r="C13004">
        <v>5020038</v>
      </c>
      <c r="E13004" t="s">
        <v>2100</v>
      </c>
      <c r="F13004" t="s">
        <v>13012</v>
      </c>
      <c r="G13004">
        <v>1</v>
      </c>
    </row>
    <row r="13005" spans="1:7" x14ac:dyDescent="0.25">
      <c r="A13005">
        <v>38</v>
      </c>
      <c r="B13005" t="s">
        <v>11969</v>
      </c>
      <c r="C13005">
        <v>5010760</v>
      </c>
      <c r="E13005" t="s">
        <v>2100</v>
      </c>
      <c r="F13005" t="s">
        <v>13013</v>
      </c>
      <c r="G13005">
        <v>1</v>
      </c>
    </row>
    <row r="13006" spans="1:7" x14ac:dyDescent="0.25">
      <c r="A13006">
        <v>38</v>
      </c>
      <c r="B13006" t="s">
        <v>11969</v>
      </c>
      <c r="C13006">
        <v>5010736</v>
      </c>
      <c r="E13006" t="s">
        <v>2100</v>
      </c>
      <c r="F13006" t="s">
        <v>13014</v>
      </c>
      <c r="G13006">
        <v>1</v>
      </c>
    </row>
    <row r="13007" spans="1:7" x14ac:dyDescent="0.25">
      <c r="A13007">
        <v>38</v>
      </c>
      <c r="B13007" t="s">
        <v>11969</v>
      </c>
      <c r="C13007">
        <v>5000474</v>
      </c>
      <c r="E13007" t="s">
        <v>2100</v>
      </c>
      <c r="F13007" t="s">
        <v>13015</v>
      </c>
      <c r="G13007">
        <v>1</v>
      </c>
    </row>
    <row r="13008" spans="1:7" x14ac:dyDescent="0.25">
      <c r="A13008">
        <v>38</v>
      </c>
      <c r="B13008" t="s">
        <v>11969</v>
      </c>
      <c r="C13008">
        <v>5000549</v>
      </c>
      <c r="E13008" t="s">
        <v>2100</v>
      </c>
      <c r="F13008" t="s">
        <v>13016</v>
      </c>
      <c r="G13008">
        <v>1</v>
      </c>
    </row>
    <row r="13009" spans="1:7" x14ac:dyDescent="0.25">
      <c r="A13009">
        <v>38</v>
      </c>
      <c r="B13009" t="s">
        <v>11969</v>
      </c>
      <c r="C13009">
        <v>5010704</v>
      </c>
      <c r="E13009" t="s">
        <v>2100</v>
      </c>
      <c r="F13009" t="s">
        <v>13017</v>
      </c>
      <c r="G13009">
        <v>1</v>
      </c>
    </row>
    <row r="13010" spans="1:7" x14ac:dyDescent="0.25">
      <c r="A13010">
        <v>38</v>
      </c>
      <c r="B13010" t="s">
        <v>11969</v>
      </c>
      <c r="C13010">
        <v>5000520</v>
      </c>
      <c r="E13010" t="s">
        <v>2100</v>
      </c>
      <c r="F13010" t="s">
        <v>13018</v>
      </c>
      <c r="G13010">
        <v>1</v>
      </c>
    </row>
    <row r="13011" spans="1:7" x14ac:dyDescent="0.25">
      <c r="A13011">
        <v>38</v>
      </c>
      <c r="B13011" t="s">
        <v>11969</v>
      </c>
      <c r="C13011">
        <v>5010729</v>
      </c>
      <c r="E13011" t="s">
        <v>2100</v>
      </c>
      <c r="F13011" t="s">
        <v>13019</v>
      </c>
      <c r="G13011">
        <v>1</v>
      </c>
    </row>
    <row r="13012" spans="1:7" x14ac:dyDescent="0.25">
      <c r="A13012">
        <v>38</v>
      </c>
      <c r="B13012" t="s">
        <v>11969</v>
      </c>
      <c r="C13012">
        <v>5010081</v>
      </c>
      <c r="E13012" t="s">
        <v>2100</v>
      </c>
      <c r="F13012" t="s">
        <v>13020</v>
      </c>
      <c r="G13012">
        <v>1</v>
      </c>
    </row>
    <row r="13013" spans="1:7" x14ac:dyDescent="0.25">
      <c r="A13013">
        <v>38</v>
      </c>
      <c r="B13013" t="s">
        <v>11969</v>
      </c>
      <c r="C13013">
        <v>5010685</v>
      </c>
      <c r="E13013" t="s">
        <v>2100</v>
      </c>
      <c r="F13013" t="s">
        <v>13021</v>
      </c>
      <c r="G13013">
        <v>1</v>
      </c>
    </row>
    <row r="13014" spans="1:7" x14ac:dyDescent="0.25">
      <c r="A13014">
        <v>38</v>
      </c>
      <c r="B13014" t="s">
        <v>11969</v>
      </c>
      <c r="C13014">
        <v>5010708</v>
      </c>
      <c r="E13014" t="s">
        <v>2100</v>
      </c>
      <c r="F13014" t="s">
        <v>13022</v>
      </c>
      <c r="G13014">
        <v>1</v>
      </c>
    </row>
    <row r="13015" spans="1:7" x14ac:dyDescent="0.25">
      <c r="A13015">
        <v>38</v>
      </c>
      <c r="B13015" t="s">
        <v>11969</v>
      </c>
      <c r="C13015">
        <v>5010741</v>
      </c>
      <c r="E13015" t="s">
        <v>2100</v>
      </c>
      <c r="F13015" t="s">
        <v>13023</v>
      </c>
      <c r="G13015">
        <v>1</v>
      </c>
    </row>
    <row r="13016" spans="1:7" x14ac:dyDescent="0.25">
      <c r="A13016">
        <v>38</v>
      </c>
      <c r="B13016" t="s">
        <v>11969</v>
      </c>
      <c r="C13016">
        <v>5000447</v>
      </c>
      <c r="E13016" t="s">
        <v>2100</v>
      </c>
      <c r="F13016" t="s">
        <v>13023</v>
      </c>
      <c r="G13016">
        <v>1</v>
      </c>
    </row>
    <row r="13017" spans="1:7" x14ac:dyDescent="0.25">
      <c r="A13017">
        <v>38</v>
      </c>
      <c r="B13017" t="s">
        <v>11969</v>
      </c>
      <c r="C13017">
        <v>5010688</v>
      </c>
      <c r="E13017" t="s">
        <v>2100</v>
      </c>
      <c r="F13017" t="s">
        <v>13024</v>
      </c>
      <c r="G13017">
        <v>1</v>
      </c>
    </row>
    <row r="13018" spans="1:7" x14ac:dyDescent="0.25">
      <c r="A13018">
        <v>38</v>
      </c>
      <c r="B13018" t="s">
        <v>11969</v>
      </c>
      <c r="C13018">
        <v>5010619</v>
      </c>
      <c r="E13018" t="s">
        <v>2100</v>
      </c>
      <c r="F13018" t="s">
        <v>13025</v>
      </c>
      <c r="G13018">
        <v>1</v>
      </c>
    </row>
    <row r="13019" spans="1:7" x14ac:dyDescent="0.25">
      <c r="A13019">
        <v>38</v>
      </c>
      <c r="B13019" t="s">
        <v>11969</v>
      </c>
      <c r="C13019">
        <v>5010579</v>
      </c>
      <c r="E13019" t="s">
        <v>2100</v>
      </c>
      <c r="F13019" t="s">
        <v>13026</v>
      </c>
      <c r="G13019">
        <v>1</v>
      </c>
    </row>
    <row r="13020" spans="1:7" x14ac:dyDescent="0.25">
      <c r="A13020">
        <v>38</v>
      </c>
      <c r="B13020" t="s">
        <v>11969</v>
      </c>
      <c r="C13020">
        <v>5000448</v>
      </c>
      <c r="E13020" t="s">
        <v>2100</v>
      </c>
      <c r="F13020" t="s">
        <v>13027</v>
      </c>
      <c r="G13020">
        <v>1</v>
      </c>
    </row>
    <row r="13021" spans="1:7" x14ac:dyDescent="0.25">
      <c r="A13021">
        <v>38</v>
      </c>
      <c r="B13021" t="s">
        <v>11969</v>
      </c>
      <c r="C13021">
        <v>5000497</v>
      </c>
      <c r="E13021" t="s">
        <v>2100</v>
      </c>
      <c r="F13021" t="s">
        <v>13028</v>
      </c>
      <c r="G13021">
        <v>1</v>
      </c>
    </row>
    <row r="13022" spans="1:7" x14ac:dyDescent="0.25">
      <c r="A13022">
        <v>38</v>
      </c>
      <c r="B13022" t="s">
        <v>11969</v>
      </c>
      <c r="C13022">
        <v>5000459</v>
      </c>
      <c r="E13022" t="s">
        <v>2100</v>
      </c>
      <c r="F13022" t="s">
        <v>13029</v>
      </c>
      <c r="G13022">
        <v>1</v>
      </c>
    </row>
    <row r="13023" spans="1:7" x14ac:dyDescent="0.25">
      <c r="A13023">
        <v>38</v>
      </c>
      <c r="B13023" t="s">
        <v>11969</v>
      </c>
      <c r="C13023">
        <v>5010678</v>
      </c>
      <c r="E13023" t="s">
        <v>2100</v>
      </c>
      <c r="F13023" t="s">
        <v>13030</v>
      </c>
      <c r="G13023">
        <v>1</v>
      </c>
    </row>
    <row r="13024" spans="1:7" x14ac:dyDescent="0.25">
      <c r="A13024">
        <v>38</v>
      </c>
      <c r="B13024" t="s">
        <v>11969</v>
      </c>
      <c r="C13024">
        <v>5010675</v>
      </c>
      <c r="E13024" t="s">
        <v>2100</v>
      </c>
      <c r="F13024" t="s">
        <v>13031</v>
      </c>
      <c r="G13024">
        <v>1</v>
      </c>
    </row>
    <row r="13025" spans="1:7" x14ac:dyDescent="0.25">
      <c r="A13025">
        <v>38</v>
      </c>
      <c r="B13025" t="s">
        <v>11969</v>
      </c>
      <c r="C13025">
        <v>5000499</v>
      </c>
      <c r="E13025" t="s">
        <v>2100</v>
      </c>
      <c r="F13025" t="s">
        <v>13032</v>
      </c>
      <c r="G13025">
        <v>1</v>
      </c>
    </row>
    <row r="13026" spans="1:7" x14ac:dyDescent="0.25">
      <c r="A13026">
        <v>38</v>
      </c>
      <c r="B13026" t="s">
        <v>11969</v>
      </c>
      <c r="C13026">
        <v>5010569</v>
      </c>
      <c r="E13026" t="s">
        <v>2100</v>
      </c>
      <c r="F13026" t="s">
        <v>13033</v>
      </c>
      <c r="G13026">
        <v>1</v>
      </c>
    </row>
    <row r="13027" spans="1:7" x14ac:dyDescent="0.25">
      <c r="A13027">
        <v>38</v>
      </c>
      <c r="B13027" t="s">
        <v>11969</v>
      </c>
      <c r="C13027">
        <v>5010671</v>
      </c>
      <c r="E13027" t="s">
        <v>2100</v>
      </c>
      <c r="F13027" t="s">
        <v>13034</v>
      </c>
      <c r="G13027">
        <v>1</v>
      </c>
    </row>
    <row r="13028" spans="1:7" x14ac:dyDescent="0.25">
      <c r="A13028">
        <v>38</v>
      </c>
      <c r="B13028" t="s">
        <v>11969</v>
      </c>
      <c r="C13028">
        <v>5010670</v>
      </c>
      <c r="E13028" t="s">
        <v>2100</v>
      </c>
      <c r="F13028" t="s">
        <v>13035</v>
      </c>
      <c r="G13028">
        <v>1</v>
      </c>
    </row>
    <row r="13029" spans="1:7" x14ac:dyDescent="0.25">
      <c r="A13029">
        <v>38</v>
      </c>
      <c r="B13029" t="s">
        <v>11969</v>
      </c>
      <c r="C13029">
        <v>5010766</v>
      </c>
      <c r="E13029" t="s">
        <v>2100</v>
      </c>
      <c r="F13029" t="s">
        <v>13036</v>
      </c>
      <c r="G13029">
        <v>1</v>
      </c>
    </row>
    <row r="13030" spans="1:7" x14ac:dyDescent="0.25">
      <c r="A13030">
        <v>38</v>
      </c>
      <c r="B13030" t="s">
        <v>11969</v>
      </c>
      <c r="C13030">
        <v>5010752</v>
      </c>
      <c r="E13030" t="s">
        <v>2100</v>
      </c>
      <c r="F13030" t="s">
        <v>13037</v>
      </c>
      <c r="G13030">
        <v>1</v>
      </c>
    </row>
    <row r="13031" spans="1:7" x14ac:dyDescent="0.25">
      <c r="A13031">
        <v>38</v>
      </c>
      <c r="B13031" t="s">
        <v>11969</v>
      </c>
      <c r="C13031">
        <v>5000158</v>
      </c>
      <c r="E13031" t="s">
        <v>2100</v>
      </c>
      <c r="F13031" t="s">
        <v>13038</v>
      </c>
      <c r="G13031">
        <v>1</v>
      </c>
    </row>
    <row r="13032" spans="1:7" x14ac:dyDescent="0.25">
      <c r="A13032">
        <v>38</v>
      </c>
      <c r="B13032" t="s">
        <v>11969</v>
      </c>
      <c r="C13032">
        <v>5000153</v>
      </c>
      <c r="E13032" t="s">
        <v>2100</v>
      </c>
      <c r="F13032" t="s">
        <v>13039</v>
      </c>
      <c r="G13032">
        <v>1</v>
      </c>
    </row>
    <row r="13033" spans="1:7" x14ac:dyDescent="0.25">
      <c r="A13033">
        <v>38</v>
      </c>
      <c r="B13033" t="s">
        <v>11969</v>
      </c>
      <c r="C13033">
        <v>5000043</v>
      </c>
      <c r="E13033" t="s">
        <v>2100</v>
      </c>
      <c r="F13033" t="s">
        <v>13040</v>
      </c>
      <c r="G13033">
        <v>1</v>
      </c>
    </row>
    <row r="13034" spans="1:7" x14ac:dyDescent="0.25">
      <c r="A13034">
        <v>38</v>
      </c>
      <c r="B13034" t="s">
        <v>11969</v>
      </c>
      <c r="C13034">
        <v>5000443</v>
      </c>
      <c r="E13034" t="s">
        <v>2100</v>
      </c>
      <c r="F13034" t="s">
        <v>13041</v>
      </c>
      <c r="G13034">
        <v>1</v>
      </c>
    </row>
    <row r="13035" spans="1:7" x14ac:dyDescent="0.25">
      <c r="A13035">
        <v>38</v>
      </c>
      <c r="B13035" t="s">
        <v>11969</v>
      </c>
      <c r="C13035">
        <v>5000607</v>
      </c>
      <c r="D13035" t="str">
        <f>"0302-9743"</f>
        <v>0302-9743</v>
      </c>
      <c r="E13035" t="s">
        <v>2100</v>
      </c>
      <c r="F13035" t="s">
        <v>13042</v>
      </c>
      <c r="G13035">
        <v>1</v>
      </c>
    </row>
    <row r="13036" spans="1:7" x14ac:dyDescent="0.25">
      <c r="A13036">
        <v>38</v>
      </c>
      <c r="B13036" t="s">
        <v>11969</v>
      </c>
      <c r="C13036">
        <v>5010740</v>
      </c>
      <c r="E13036" t="s">
        <v>2100</v>
      </c>
      <c r="F13036" t="s">
        <v>13043</v>
      </c>
      <c r="G13036">
        <v>1</v>
      </c>
    </row>
    <row r="13037" spans="1:7" x14ac:dyDescent="0.25">
      <c r="A13037">
        <v>38</v>
      </c>
      <c r="B13037" t="s">
        <v>11969</v>
      </c>
      <c r="C13037">
        <v>5010773</v>
      </c>
      <c r="E13037" t="s">
        <v>2100</v>
      </c>
      <c r="F13037" t="s">
        <v>13044</v>
      </c>
      <c r="G13037">
        <v>1</v>
      </c>
    </row>
    <row r="13038" spans="1:7" x14ac:dyDescent="0.25">
      <c r="A13038">
        <v>38</v>
      </c>
      <c r="B13038" t="s">
        <v>11969</v>
      </c>
      <c r="C13038">
        <v>5010549</v>
      </c>
      <c r="E13038" t="s">
        <v>2100</v>
      </c>
      <c r="F13038" t="s">
        <v>13045</v>
      </c>
      <c r="G13038">
        <v>1</v>
      </c>
    </row>
    <row r="13039" spans="1:7" x14ac:dyDescent="0.25">
      <c r="A13039">
        <v>38</v>
      </c>
      <c r="B13039" t="s">
        <v>11969</v>
      </c>
      <c r="C13039">
        <v>5010573</v>
      </c>
      <c r="E13039" t="s">
        <v>2100</v>
      </c>
      <c r="F13039" t="s">
        <v>13046</v>
      </c>
      <c r="G13039">
        <v>1</v>
      </c>
    </row>
    <row r="13040" spans="1:7" x14ac:dyDescent="0.25">
      <c r="A13040">
        <v>38</v>
      </c>
      <c r="B13040" t="s">
        <v>11969</v>
      </c>
      <c r="C13040">
        <v>5010834</v>
      </c>
      <c r="E13040" t="s">
        <v>2100</v>
      </c>
      <c r="F13040" t="s">
        <v>13047</v>
      </c>
      <c r="G13040">
        <v>1</v>
      </c>
    </row>
    <row r="13041" spans="1:7" x14ac:dyDescent="0.25">
      <c r="A13041">
        <v>38</v>
      </c>
      <c r="B13041" t="s">
        <v>11969</v>
      </c>
      <c r="C13041">
        <v>5010080</v>
      </c>
      <c r="E13041" t="s">
        <v>2100</v>
      </c>
      <c r="F13041" t="s">
        <v>13048</v>
      </c>
      <c r="G13041">
        <v>1</v>
      </c>
    </row>
    <row r="13042" spans="1:7" x14ac:dyDescent="0.25">
      <c r="A13042">
        <v>38</v>
      </c>
      <c r="B13042" t="s">
        <v>11969</v>
      </c>
      <c r="C13042">
        <v>5010673</v>
      </c>
      <c r="E13042" t="s">
        <v>2100</v>
      </c>
      <c r="F13042" t="s">
        <v>13049</v>
      </c>
      <c r="G13042">
        <v>1</v>
      </c>
    </row>
    <row r="13043" spans="1:7" x14ac:dyDescent="0.25">
      <c r="A13043">
        <v>38</v>
      </c>
      <c r="B13043" t="s">
        <v>11969</v>
      </c>
      <c r="C13043">
        <v>5000500</v>
      </c>
      <c r="E13043" t="s">
        <v>2100</v>
      </c>
      <c r="F13043" t="s">
        <v>13050</v>
      </c>
      <c r="G13043">
        <v>1</v>
      </c>
    </row>
    <row r="13044" spans="1:7" x14ac:dyDescent="0.25">
      <c r="A13044">
        <v>38</v>
      </c>
      <c r="B13044" t="s">
        <v>11969</v>
      </c>
      <c r="C13044">
        <v>5010883</v>
      </c>
      <c r="E13044" t="s">
        <v>2100</v>
      </c>
      <c r="F13044" t="s">
        <v>13051</v>
      </c>
      <c r="G13044">
        <v>1</v>
      </c>
    </row>
    <row r="13045" spans="1:7" x14ac:dyDescent="0.25">
      <c r="A13045">
        <v>38</v>
      </c>
      <c r="B13045" t="s">
        <v>11969</v>
      </c>
      <c r="C13045">
        <v>5000140</v>
      </c>
      <c r="E13045" t="s">
        <v>2100</v>
      </c>
      <c r="F13045" t="s">
        <v>13052</v>
      </c>
      <c r="G13045">
        <v>1</v>
      </c>
    </row>
    <row r="13046" spans="1:7" x14ac:dyDescent="0.25">
      <c r="A13046">
        <v>38</v>
      </c>
      <c r="B13046" t="s">
        <v>11969</v>
      </c>
      <c r="C13046">
        <v>5010674</v>
      </c>
      <c r="E13046" t="s">
        <v>2100</v>
      </c>
      <c r="F13046" t="s">
        <v>13053</v>
      </c>
      <c r="G13046">
        <v>1</v>
      </c>
    </row>
    <row r="13047" spans="1:7" x14ac:dyDescent="0.25">
      <c r="A13047">
        <v>38</v>
      </c>
      <c r="B13047" t="s">
        <v>11969</v>
      </c>
      <c r="C13047">
        <v>8782726</v>
      </c>
      <c r="E13047" t="s">
        <v>2100</v>
      </c>
      <c r="F13047" t="s">
        <v>13054</v>
      </c>
      <c r="G13047">
        <v>1</v>
      </c>
    </row>
    <row r="13048" spans="1:7" x14ac:dyDescent="0.25">
      <c r="A13048">
        <v>38</v>
      </c>
      <c r="B13048" t="s">
        <v>11969</v>
      </c>
      <c r="C13048">
        <v>5010705</v>
      </c>
      <c r="E13048" t="s">
        <v>2100</v>
      </c>
      <c r="F13048" t="s">
        <v>13055</v>
      </c>
      <c r="G13048">
        <v>1</v>
      </c>
    </row>
    <row r="13049" spans="1:7" x14ac:dyDescent="0.25">
      <c r="A13049">
        <v>38</v>
      </c>
      <c r="B13049" t="s">
        <v>11969</v>
      </c>
      <c r="C13049">
        <v>8782553</v>
      </c>
      <c r="E13049" t="s">
        <v>2100</v>
      </c>
      <c r="F13049" t="s">
        <v>13056</v>
      </c>
      <c r="G13049">
        <v>1</v>
      </c>
    </row>
    <row r="13050" spans="1:7" x14ac:dyDescent="0.25">
      <c r="A13050">
        <v>38</v>
      </c>
      <c r="B13050" t="s">
        <v>11969</v>
      </c>
      <c r="C13050">
        <v>5010768</v>
      </c>
      <c r="E13050" t="s">
        <v>2100</v>
      </c>
      <c r="F13050" t="s">
        <v>13057</v>
      </c>
      <c r="G13050">
        <v>1</v>
      </c>
    </row>
    <row r="13051" spans="1:7" x14ac:dyDescent="0.25">
      <c r="A13051">
        <v>38</v>
      </c>
      <c r="B13051" t="s">
        <v>11969</v>
      </c>
      <c r="C13051">
        <v>5010679</v>
      </c>
      <c r="E13051" t="s">
        <v>2100</v>
      </c>
      <c r="F13051" t="s">
        <v>13058</v>
      </c>
      <c r="G13051">
        <v>1</v>
      </c>
    </row>
    <row r="13052" spans="1:7" x14ac:dyDescent="0.25">
      <c r="A13052">
        <v>38</v>
      </c>
      <c r="B13052" t="s">
        <v>11969</v>
      </c>
      <c r="C13052">
        <v>5010755</v>
      </c>
      <c r="E13052" t="s">
        <v>2100</v>
      </c>
      <c r="F13052" t="s">
        <v>13059</v>
      </c>
      <c r="G13052">
        <v>1</v>
      </c>
    </row>
    <row r="13053" spans="1:7" x14ac:dyDescent="0.25">
      <c r="A13053">
        <v>38</v>
      </c>
      <c r="B13053" t="s">
        <v>11969</v>
      </c>
      <c r="C13053">
        <v>5000178</v>
      </c>
      <c r="E13053" t="s">
        <v>2100</v>
      </c>
      <c r="F13053" t="s">
        <v>13060</v>
      </c>
      <c r="G13053">
        <v>1</v>
      </c>
    </row>
    <row r="13054" spans="1:7" x14ac:dyDescent="0.25">
      <c r="A13054">
        <v>38</v>
      </c>
      <c r="B13054" t="s">
        <v>11969</v>
      </c>
      <c r="C13054">
        <v>8783689</v>
      </c>
      <c r="E13054" t="s">
        <v>2100</v>
      </c>
      <c r="F13054" t="s">
        <v>13061</v>
      </c>
      <c r="G13054">
        <v>1</v>
      </c>
    </row>
    <row r="13055" spans="1:7" x14ac:dyDescent="0.25">
      <c r="A13055">
        <v>38</v>
      </c>
      <c r="B13055" t="s">
        <v>11969</v>
      </c>
      <c r="C13055">
        <v>5000099</v>
      </c>
      <c r="E13055" t="s">
        <v>2100</v>
      </c>
      <c r="F13055" t="s">
        <v>13062</v>
      </c>
      <c r="G13055">
        <v>1</v>
      </c>
    </row>
    <row r="13056" spans="1:7" x14ac:dyDescent="0.25">
      <c r="A13056">
        <v>38</v>
      </c>
      <c r="B13056" t="s">
        <v>11969</v>
      </c>
      <c r="C13056">
        <v>5010759</v>
      </c>
      <c r="E13056" t="s">
        <v>2100</v>
      </c>
      <c r="F13056" t="s">
        <v>13063</v>
      </c>
      <c r="G13056">
        <v>1</v>
      </c>
    </row>
    <row r="13057" spans="1:7" x14ac:dyDescent="0.25">
      <c r="A13057">
        <v>38</v>
      </c>
      <c r="B13057" t="s">
        <v>11969</v>
      </c>
      <c r="C13057">
        <v>5000179</v>
      </c>
      <c r="E13057" t="s">
        <v>2100</v>
      </c>
      <c r="F13057" t="s">
        <v>13064</v>
      </c>
      <c r="G13057">
        <v>1</v>
      </c>
    </row>
    <row r="13058" spans="1:7" x14ac:dyDescent="0.25">
      <c r="A13058">
        <v>38</v>
      </c>
      <c r="B13058" t="s">
        <v>11969</v>
      </c>
      <c r="C13058">
        <v>5010593</v>
      </c>
      <c r="E13058" t="s">
        <v>2100</v>
      </c>
      <c r="F13058" t="s">
        <v>13065</v>
      </c>
      <c r="G13058">
        <v>1</v>
      </c>
    </row>
    <row r="13059" spans="1:7" x14ac:dyDescent="0.25">
      <c r="A13059">
        <v>38</v>
      </c>
      <c r="B13059" t="s">
        <v>11969</v>
      </c>
      <c r="C13059">
        <v>5010795</v>
      </c>
      <c r="E13059" t="s">
        <v>2100</v>
      </c>
      <c r="F13059" t="s">
        <v>13066</v>
      </c>
      <c r="G13059">
        <v>1</v>
      </c>
    </row>
    <row r="13060" spans="1:7" x14ac:dyDescent="0.25">
      <c r="A13060">
        <v>38</v>
      </c>
      <c r="B13060" t="s">
        <v>11969</v>
      </c>
      <c r="C13060">
        <v>5010130</v>
      </c>
      <c r="E13060" t="s">
        <v>2100</v>
      </c>
      <c r="F13060" t="s">
        <v>13067</v>
      </c>
      <c r="G13060">
        <v>1</v>
      </c>
    </row>
    <row r="13061" spans="1:7" x14ac:dyDescent="0.25">
      <c r="A13061">
        <v>38</v>
      </c>
      <c r="B13061" t="s">
        <v>11969</v>
      </c>
      <c r="C13061">
        <v>5000208</v>
      </c>
      <c r="E13061" t="s">
        <v>2100</v>
      </c>
      <c r="F13061" t="s">
        <v>13068</v>
      </c>
      <c r="G13061">
        <v>1</v>
      </c>
    </row>
    <row r="13062" spans="1:7" x14ac:dyDescent="0.25">
      <c r="A13062">
        <v>38</v>
      </c>
      <c r="B13062" t="s">
        <v>11969</v>
      </c>
      <c r="C13062">
        <v>5010134</v>
      </c>
      <c r="D13062" t="str">
        <f>"0302-9743"</f>
        <v>0302-9743</v>
      </c>
      <c r="E13062" t="s">
        <v>2100</v>
      </c>
      <c r="F13062" t="s">
        <v>13069</v>
      </c>
      <c r="G13062">
        <v>1</v>
      </c>
    </row>
    <row r="13063" spans="1:7" x14ac:dyDescent="0.25">
      <c r="A13063">
        <v>38</v>
      </c>
      <c r="B13063" t="s">
        <v>11969</v>
      </c>
      <c r="C13063">
        <v>5010108</v>
      </c>
      <c r="E13063" t="s">
        <v>2100</v>
      </c>
      <c r="F13063" t="s">
        <v>13070</v>
      </c>
      <c r="G13063">
        <v>1</v>
      </c>
    </row>
    <row r="13064" spans="1:7" x14ac:dyDescent="0.25">
      <c r="A13064">
        <v>38</v>
      </c>
      <c r="B13064" t="s">
        <v>11969</v>
      </c>
      <c r="C13064">
        <v>5000518</v>
      </c>
      <c r="E13064" t="s">
        <v>2100</v>
      </c>
      <c r="F13064" t="s">
        <v>13071</v>
      </c>
      <c r="G13064">
        <v>1</v>
      </c>
    </row>
    <row r="13065" spans="1:7" x14ac:dyDescent="0.25">
      <c r="A13065">
        <v>38</v>
      </c>
      <c r="B13065" t="s">
        <v>11969</v>
      </c>
      <c r="C13065">
        <v>5020051</v>
      </c>
      <c r="E13065" t="s">
        <v>2100</v>
      </c>
      <c r="F13065" t="s">
        <v>13072</v>
      </c>
      <c r="G13065">
        <v>1</v>
      </c>
    </row>
    <row r="13066" spans="1:7" x14ac:dyDescent="0.25">
      <c r="A13066">
        <v>38</v>
      </c>
      <c r="B13066" t="s">
        <v>11969</v>
      </c>
      <c r="C13066">
        <v>5000328</v>
      </c>
      <c r="E13066" t="s">
        <v>2100</v>
      </c>
      <c r="F13066" t="s">
        <v>13073</v>
      </c>
      <c r="G13066">
        <v>1</v>
      </c>
    </row>
    <row r="13067" spans="1:7" x14ac:dyDescent="0.25">
      <c r="A13067">
        <v>38</v>
      </c>
      <c r="B13067" t="s">
        <v>11969</v>
      </c>
      <c r="C13067">
        <v>5000343</v>
      </c>
      <c r="E13067" t="s">
        <v>2100</v>
      </c>
      <c r="F13067" t="s">
        <v>13074</v>
      </c>
      <c r="G13067">
        <v>1</v>
      </c>
    </row>
    <row r="13068" spans="1:7" x14ac:dyDescent="0.25">
      <c r="A13068">
        <v>38</v>
      </c>
      <c r="B13068" t="s">
        <v>11969</v>
      </c>
      <c r="C13068">
        <v>5010128</v>
      </c>
      <c r="E13068" t="s">
        <v>2100</v>
      </c>
      <c r="F13068" t="s">
        <v>13075</v>
      </c>
      <c r="G13068">
        <v>1</v>
      </c>
    </row>
    <row r="13069" spans="1:7" x14ac:dyDescent="0.25">
      <c r="A13069">
        <v>38</v>
      </c>
      <c r="B13069" t="s">
        <v>11969</v>
      </c>
      <c r="C13069">
        <v>5010122</v>
      </c>
      <c r="D13069" t="str">
        <f>"2409-2665"</f>
        <v>2409-2665</v>
      </c>
      <c r="E13069" t="s">
        <v>2100</v>
      </c>
      <c r="F13069" t="s">
        <v>13076</v>
      </c>
      <c r="G13069">
        <v>1</v>
      </c>
    </row>
    <row r="13070" spans="1:7" x14ac:dyDescent="0.25">
      <c r="A13070">
        <v>38</v>
      </c>
      <c r="B13070" t="s">
        <v>11969</v>
      </c>
      <c r="C13070">
        <v>5000531</v>
      </c>
      <c r="E13070" t="s">
        <v>2100</v>
      </c>
      <c r="F13070" t="s">
        <v>13077</v>
      </c>
      <c r="G13070">
        <v>1</v>
      </c>
    </row>
    <row r="13071" spans="1:7" x14ac:dyDescent="0.25">
      <c r="A13071">
        <v>38</v>
      </c>
      <c r="B13071" t="s">
        <v>11969</v>
      </c>
      <c r="C13071">
        <v>5010894</v>
      </c>
      <c r="E13071" t="s">
        <v>2100</v>
      </c>
      <c r="F13071" t="s">
        <v>13078</v>
      </c>
      <c r="G13071">
        <v>1</v>
      </c>
    </row>
    <row r="13072" spans="1:7" x14ac:dyDescent="0.25">
      <c r="A13072">
        <v>38</v>
      </c>
      <c r="B13072" t="s">
        <v>11969</v>
      </c>
      <c r="C13072">
        <v>5000612</v>
      </c>
      <c r="E13072" t="s">
        <v>2100</v>
      </c>
      <c r="F13072" t="s">
        <v>13079</v>
      </c>
      <c r="G13072">
        <v>1</v>
      </c>
    </row>
    <row r="13073" spans="1:7" x14ac:dyDescent="0.25">
      <c r="A13073">
        <v>38</v>
      </c>
      <c r="B13073" t="s">
        <v>11969</v>
      </c>
      <c r="C13073">
        <v>5000219</v>
      </c>
      <c r="E13073" t="s">
        <v>2100</v>
      </c>
      <c r="F13073" t="s">
        <v>13080</v>
      </c>
      <c r="G13073">
        <v>1</v>
      </c>
    </row>
    <row r="13074" spans="1:7" x14ac:dyDescent="0.25">
      <c r="A13074">
        <v>38</v>
      </c>
      <c r="B13074" t="s">
        <v>11969</v>
      </c>
      <c r="C13074">
        <v>5010150</v>
      </c>
      <c r="E13074" t="s">
        <v>2100</v>
      </c>
      <c r="F13074" t="s">
        <v>13081</v>
      </c>
      <c r="G13074">
        <v>1</v>
      </c>
    </row>
    <row r="13075" spans="1:7" x14ac:dyDescent="0.25">
      <c r="A13075">
        <v>38</v>
      </c>
      <c r="B13075" t="s">
        <v>11969</v>
      </c>
      <c r="C13075">
        <v>5000524</v>
      </c>
      <c r="E13075" t="s">
        <v>2100</v>
      </c>
      <c r="F13075" t="s">
        <v>13082</v>
      </c>
      <c r="G13075">
        <v>1</v>
      </c>
    </row>
    <row r="13076" spans="1:7" x14ac:dyDescent="0.25">
      <c r="A13076">
        <v>38</v>
      </c>
      <c r="B13076" t="s">
        <v>11969</v>
      </c>
      <c r="C13076">
        <v>5000259</v>
      </c>
      <c r="E13076" t="s">
        <v>2100</v>
      </c>
      <c r="F13076" t="s">
        <v>13083</v>
      </c>
      <c r="G13076">
        <v>1</v>
      </c>
    </row>
    <row r="13077" spans="1:7" x14ac:dyDescent="0.25">
      <c r="A13077">
        <v>38</v>
      </c>
      <c r="B13077" t="s">
        <v>11969</v>
      </c>
      <c r="C13077">
        <v>5010149</v>
      </c>
      <c r="E13077" t="s">
        <v>2100</v>
      </c>
      <c r="F13077" t="s">
        <v>13084</v>
      </c>
      <c r="G13077">
        <v>1</v>
      </c>
    </row>
    <row r="13078" spans="1:7" x14ac:dyDescent="0.25">
      <c r="A13078">
        <v>38</v>
      </c>
      <c r="B13078" t="s">
        <v>11969</v>
      </c>
      <c r="C13078">
        <v>5000196</v>
      </c>
      <c r="E13078" t="s">
        <v>2100</v>
      </c>
      <c r="F13078" t="s">
        <v>13085</v>
      </c>
      <c r="G13078">
        <v>1</v>
      </c>
    </row>
    <row r="13079" spans="1:7" x14ac:dyDescent="0.25">
      <c r="A13079">
        <v>38</v>
      </c>
      <c r="B13079" t="s">
        <v>11969</v>
      </c>
      <c r="C13079">
        <v>5010174</v>
      </c>
      <c r="E13079" t="s">
        <v>2100</v>
      </c>
      <c r="F13079" t="s">
        <v>13086</v>
      </c>
      <c r="G13079">
        <v>1</v>
      </c>
    </row>
    <row r="13080" spans="1:7" x14ac:dyDescent="0.25">
      <c r="A13080">
        <v>38</v>
      </c>
      <c r="B13080" t="s">
        <v>11969</v>
      </c>
      <c r="C13080">
        <v>5000049</v>
      </c>
      <c r="E13080" t="s">
        <v>2100</v>
      </c>
      <c r="F13080" t="s">
        <v>13087</v>
      </c>
      <c r="G13080">
        <v>1</v>
      </c>
    </row>
    <row r="13081" spans="1:7" x14ac:dyDescent="0.25">
      <c r="A13081">
        <v>38</v>
      </c>
      <c r="B13081" t="s">
        <v>11969</v>
      </c>
      <c r="C13081">
        <v>8783688</v>
      </c>
      <c r="E13081" t="s">
        <v>2100</v>
      </c>
      <c r="F13081" t="s">
        <v>13088</v>
      </c>
      <c r="G13081">
        <v>1</v>
      </c>
    </row>
    <row r="13082" spans="1:7" x14ac:dyDescent="0.25">
      <c r="A13082">
        <v>38</v>
      </c>
      <c r="B13082" t="s">
        <v>11969</v>
      </c>
      <c r="C13082">
        <v>5000458</v>
      </c>
      <c r="E13082" t="s">
        <v>2100</v>
      </c>
      <c r="F13082" t="s">
        <v>13089</v>
      </c>
      <c r="G13082">
        <v>1</v>
      </c>
    </row>
    <row r="13083" spans="1:7" x14ac:dyDescent="0.25">
      <c r="A13083">
        <v>38</v>
      </c>
      <c r="B13083" t="s">
        <v>11969</v>
      </c>
      <c r="C13083">
        <v>5010248</v>
      </c>
      <c r="E13083" t="s">
        <v>2100</v>
      </c>
      <c r="F13083" t="s">
        <v>13090</v>
      </c>
      <c r="G13083">
        <v>1</v>
      </c>
    </row>
    <row r="13084" spans="1:7" x14ac:dyDescent="0.25">
      <c r="A13084">
        <v>38</v>
      </c>
      <c r="B13084" t="s">
        <v>11969</v>
      </c>
      <c r="C13084">
        <v>5010251</v>
      </c>
      <c r="E13084" t="s">
        <v>2100</v>
      </c>
      <c r="F13084" t="s">
        <v>13091</v>
      </c>
      <c r="G13084">
        <v>1</v>
      </c>
    </row>
    <row r="13085" spans="1:7" x14ac:dyDescent="0.25">
      <c r="A13085">
        <v>38</v>
      </c>
      <c r="B13085" t="s">
        <v>11969</v>
      </c>
      <c r="C13085">
        <v>5010638</v>
      </c>
      <c r="E13085" t="s">
        <v>2100</v>
      </c>
      <c r="F13085" t="s">
        <v>13092</v>
      </c>
      <c r="G13085">
        <v>1</v>
      </c>
    </row>
    <row r="13086" spans="1:7" x14ac:dyDescent="0.25">
      <c r="A13086">
        <v>38</v>
      </c>
      <c r="B13086" t="s">
        <v>11969</v>
      </c>
      <c r="C13086">
        <v>5000522</v>
      </c>
      <c r="E13086" t="s">
        <v>2100</v>
      </c>
      <c r="F13086" t="s">
        <v>13093</v>
      </c>
      <c r="G13086">
        <v>1</v>
      </c>
    </row>
    <row r="13087" spans="1:7" x14ac:dyDescent="0.25">
      <c r="A13087">
        <v>38</v>
      </c>
      <c r="B13087" t="s">
        <v>11969</v>
      </c>
      <c r="C13087">
        <v>5010632</v>
      </c>
      <c r="E13087" t="s">
        <v>2100</v>
      </c>
      <c r="F13087" t="s">
        <v>13094</v>
      </c>
      <c r="G13087">
        <v>1</v>
      </c>
    </row>
    <row r="13088" spans="1:7" x14ac:dyDescent="0.25">
      <c r="A13088">
        <v>38</v>
      </c>
      <c r="B13088" t="s">
        <v>11969</v>
      </c>
      <c r="C13088">
        <v>5010154</v>
      </c>
      <c r="E13088" t="s">
        <v>2100</v>
      </c>
      <c r="F13088" t="s">
        <v>13095</v>
      </c>
      <c r="G13088">
        <v>1</v>
      </c>
    </row>
    <row r="13089" spans="1:7" x14ac:dyDescent="0.25">
      <c r="A13089">
        <v>38</v>
      </c>
      <c r="B13089" t="s">
        <v>11969</v>
      </c>
      <c r="C13089">
        <v>5000523</v>
      </c>
      <c r="E13089" t="s">
        <v>2100</v>
      </c>
      <c r="F13089" t="s">
        <v>13096</v>
      </c>
      <c r="G13089">
        <v>1</v>
      </c>
    </row>
    <row r="13090" spans="1:7" x14ac:dyDescent="0.25">
      <c r="A13090">
        <v>38</v>
      </c>
      <c r="B13090" t="s">
        <v>11969</v>
      </c>
      <c r="C13090">
        <v>5000634</v>
      </c>
      <c r="E13090" t="s">
        <v>2100</v>
      </c>
      <c r="F13090" t="s">
        <v>13097</v>
      </c>
      <c r="G13090">
        <v>1</v>
      </c>
    </row>
    <row r="13091" spans="1:7" x14ac:dyDescent="0.25">
      <c r="A13091">
        <v>38</v>
      </c>
      <c r="B13091" t="s">
        <v>11969</v>
      </c>
      <c r="C13091">
        <v>5010923</v>
      </c>
      <c r="E13091" t="s">
        <v>2100</v>
      </c>
      <c r="F13091" t="s">
        <v>13098</v>
      </c>
      <c r="G13091">
        <v>1</v>
      </c>
    </row>
    <row r="13092" spans="1:7" x14ac:dyDescent="0.25">
      <c r="A13092">
        <v>38</v>
      </c>
      <c r="B13092" t="s">
        <v>11969</v>
      </c>
      <c r="C13092">
        <v>5010151</v>
      </c>
      <c r="E13092" t="s">
        <v>2100</v>
      </c>
      <c r="F13092" t="s">
        <v>13099</v>
      </c>
      <c r="G13092">
        <v>1</v>
      </c>
    </row>
    <row r="13093" spans="1:7" x14ac:dyDescent="0.25">
      <c r="A13093">
        <v>38</v>
      </c>
      <c r="B13093" t="s">
        <v>11969</v>
      </c>
      <c r="C13093">
        <v>8758255</v>
      </c>
      <c r="E13093" t="s">
        <v>2100</v>
      </c>
      <c r="F13093" t="s">
        <v>13100</v>
      </c>
      <c r="G13093">
        <v>1</v>
      </c>
    </row>
    <row r="13094" spans="1:7" x14ac:dyDescent="0.25">
      <c r="A13094">
        <v>38</v>
      </c>
      <c r="B13094" t="s">
        <v>11969</v>
      </c>
      <c r="C13094">
        <v>5010265</v>
      </c>
      <c r="E13094" t="s">
        <v>2100</v>
      </c>
      <c r="F13094" t="s">
        <v>13101</v>
      </c>
      <c r="G13094">
        <v>1</v>
      </c>
    </row>
    <row r="13095" spans="1:7" x14ac:dyDescent="0.25">
      <c r="A13095">
        <v>38</v>
      </c>
      <c r="B13095" t="s">
        <v>11969</v>
      </c>
      <c r="C13095">
        <v>5000194</v>
      </c>
      <c r="E13095" t="s">
        <v>2100</v>
      </c>
      <c r="F13095" t="s">
        <v>13102</v>
      </c>
      <c r="G13095">
        <v>1</v>
      </c>
    </row>
    <row r="13096" spans="1:7" x14ac:dyDescent="0.25">
      <c r="A13096">
        <v>38</v>
      </c>
      <c r="B13096" t="s">
        <v>11969</v>
      </c>
      <c r="C13096">
        <v>5010320</v>
      </c>
      <c r="E13096" t="s">
        <v>2100</v>
      </c>
      <c r="F13096" t="s">
        <v>13103</v>
      </c>
      <c r="G13096">
        <v>1</v>
      </c>
    </row>
    <row r="13097" spans="1:7" x14ac:dyDescent="0.25">
      <c r="A13097">
        <v>38</v>
      </c>
      <c r="B13097" t="s">
        <v>11969</v>
      </c>
      <c r="C13097">
        <v>5010745</v>
      </c>
      <c r="E13097" t="s">
        <v>2100</v>
      </c>
      <c r="F13097" t="s">
        <v>13104</v>
      </c>
      <c r="G13097">
        <v>1</v>
      </c>
    </row>
    <row r="13098" spans="1:7" x14ac:dyDescent="0.25">
      <c r="A13098">
        <v>38</v>
      </c>
      <c r="B13098" t="s">
        <v>11969</v>
      </c>
      <c r="C13098">
        <v>5010155</v>
      </c>
      <c r="E13098" t="s">
        <v>2100</v>
      </c>
      <c r="F13098" t="s">
        <v>13105</v>
      </c>
      <c r="G13098">
        <v>1</v>
      </c>
    </row>
    <row r="13099" spans="1:7" x14ac:dyDescent="0.25">
      <c r="A13099">
        <v>38</v>
      </c>
      <c r="B13099" t="s">
        <v>11969</v>
      </c>
      <c r="C13099">
        <v>5010170</v>
      </c>
      <c r="E13099" t="s">
        <v>2100</v>
      </c>
      <c r="F13099" t="s">
        <v>13106</v>
      </c>
      <c r="G13099">
        <v>1</v>
      </c>
    </row>
    <row r="13100" spans="1:7" x14ac:dyDescent="0.25">
      <c r="A13100">
        <v>38</v>
      </c>
      <c r="B13100" t="s">
        <v>11969</v>
      </c>
      <c r="C13100">
        <v>5010643</v>
      </c>
      <c r="E13100" t="s">
        <v>2100</v>
      </c>
      <c r="F13100" t="s">
        <v>13107</v>
      </c>
      <c r="G13100">
        <v>1</v>
      </c>
    </row>
    <row r="13101" spans="1:7" x14ac:dyDescent="0.25">
      <c r="A13101">
        <v>38</v>
      </c>
      <c r="B13101" t="s">
        <v>11969</v>
      </c>
      <c r="C13101">
        <v>5000601</v>
      </c>
      <c r="E13101" t="s">
        <v>2100</v>
      </c>
      <c r="F13101" t="s">
        <v>13108</v>
      </c>
      <c r="G13101">
        <v>1</v>
      </c>
    </row>
    <row r="13102" spans="1:7" x14ac:dyDescent="0.25">
      <c r="A13102">
        <v>38</v>
      </c>
      <c r="B13102" t="s">
        <v>11969</v>
      </c>
      <c r="C13102">
        <v>5010621</v>
      </c>
      <c r="E13102" t="s">
        <v>2100</v>
      </c>
      <c r="F13102" t="s">
        <v>13109</v>
      </c>
      <c r="G13102">
        <v>1</v>
      </c>
    </row>
    <row r="13103" spans="1:7" x14ac:dyDescent="0.25">
      <c r="A13103">
        <v>38</v>
      </c>
      <c r="B13103" t="s">
        <v>11969</v>
      </c>
      <c r="C13103">
        <v>5010629</v>
      </c>
      <c r="E13103" t="s">
        <v>2100</v>
      </c>
      <c r="F13103" t="s">
        <v>13110</v>
      </c>
      <c r="G13103">
        <v>1</v>
      </c>
    </row>
    <row r="13104" spans="1:7" x14ac:dyDescent="0.25">
      <c r="A13104">
        <v>38</v>
      </c>
      <c r="B13104" t="s">
        <v>11969</v>
      </c>
      <c r="C13104">
        <v>5010612</v>
      </c>
      <c r="E13104" t="s">
        <v>2100</v>
      </c>
      <c r="F13104" t="s">
        <v>13111</v>
      </c>
      <c r="G13104">
        <v>1</v>
      </c>
    </row>
    <row r="13105" spans="1:7" x14ac:dyDescent="0.25">
      <c r="A13105">
        <v>38</v>
      </c>
      <c r="B13105" t="s">
        <v>11969</v>
      </c>
      <c r="C13105">
        <v>5010640</v>
      </c>
      <c r="E13105" t="s">
        <v>2100</v>
      </c>
      <c r="F13105" t="s">
        <v>13112</v>
      </c>
      <c r="G13105">
        <v>1</v>
      </c>
    </row>
    <row r="13106" spans="1:7" x14ac:dyDescent="0.25">
      <c r="A13106">
        <v>38</v>
      </c>
      <c r="B13106" t="s">
        <v>11969</v>
      </c>
      <c r="C13106">
        <v>5020041</v>
      </c>
      <c r="E13106" t="s">
        <v>2100</v>
      </c>
      <c r="F13106" t="s">
        <v>13113</v>
      </c>
      <c r="G13106">
        <v>1</v>
      </c>
    </row>
    <row r="13107" spans="1:7" x14ac:dyDescent="0.25">
      <c r="A13107">
        <v>38</v>
      </c>
      <c r="B13107" t="s">
        <v>11969</v>
      </c>
      <c r="C13107">
        <v>5010164</v>
      </c>
      <c r="E13107" t="s">
        <v>2100</v>
      </c>
      <c r="F13107" t="s">
        <v>13114</v>
      </c>
      <c r="G13107">
        <v>1</v>
      </c>
    </row>
    <row r="13108" spans="1:7" x14ac:dyDescent="0.25">
      <c r="A13108">
        <v>38</v>
      </c>
      <c r="B13108" t="s">
        <v>11969</v>
      </c>
      <c r="C13108">
        <v>5010273</v>
      </c>
      <c r="E13108" t="s">
        <v>2100</v>
      </c>
      <c r="F13108" t="s">
        <v>13115</v>
      </c>
      <c r="G13108">
        <v>1</v>
      </c>
    </row>
    <row r="13109" spans="1:7" x14ac:dyDescent="0.25">
      <c r="A13109">
        <v>38</v>
      </c>
      <c r="B13109" t="s">
        <v>11969</v>
      </c>
      <c r="C13109">
        <v>5010653</v>
      </c>
      <c r="E13109" t="s">
        <v>2100</v>
      </c>
      <c r="F13109" t="s">
        <v>13116</v>
      </c>
      <c r="G13109">
        <v>1</v>
      </c>
    </row>
    <row r="13110" spans="1:7" x14ac:dyDescent="0.25">
      <c r="A13110">
        <v>38</v>
      </c>
      <c r="B13110" t="s">
        <v>11969</v>
      </c>
      <c r="C13110">
        <v>5010158</v>
      </c>
      <c r="E13110" t="s">
        <v>2100</v>
      </c>
      <c r="F13110" t="s">
        <v>13117</v>
      </c>
      <c r="G13110">
        <v>1</v>
      </c>
    </row>
    <row r="13111" spans="1:7" x14ac:dyDescent="0.25">
      <c r="A13111">
        <v>38</v>
      </c>
      <c r="B13111" t="s">
        <v>11969</v>
      </c>
      <c r="C13111">
        <v>5010157</v>
      </c>
      <c r="E13111" t="s">
        <v>2100</v>
      </c>
      <c r="F13111" t="s">
        <v>13118</v>
      </c>
      <c r="G13111">
        <v>1</v>
      </c>
    </row>
    <row r="13112" spans="1:7" x14ac:dyDescent="0.25">
      <c r="A13112">
        <v>38</v>
      </c>
      <c r="B13112" t="s">
        <v>11969</v>
      </c>
      <c r="C13112">
        <v>5010711</v>
      </c>
      <c r="E13112" t="s">
        <v>2100</v>
      </c>
      <c r="F13112" t="s">
        <v>13119</v>
      </c>
      <c r="G13112">
        <v>1</v>
      </c>
    </row>
    <row r="13113" spans="1:7" x14ac:dyDescent="0.25">
      <c r="A13113">
        <v>38</v>
      </c>
      <c r="B13113" t="s">
        <v>11969</v>
      </c>
      <c r="C13113">
        <v>8783695</v>
      </c>
      <c r="E13113" t="s">
        <v>2100</v>
      </c>
      <c r="F13113" t="s">
        <v>13120</v>
      </c>
      <c r="G13113">
        <v>1</v>
      </c>
    </row>
    <row r="13114" spans="1:7" x14ac:dyDescent="0.25">
      <c r="A13114">
        <v>38</v>
      </c>
      <c r="B13114" t="s">
        <v>11969</v>
      </c>
      <c r="C13114">
        <v>5010189</v>
      </c>
      <c r="E13114" t="s">
        <v>2100</v>
      </c>
      <c r="F13114" t="s">
        <v>13121</v>
      </c>
      <c r="G13114">
        <v>1</v>
      </c>
    </row>
    <row r="13115" spans="1:7" x14ac:dyDescent="0.25">
      <c r="A13115">
        <v>38</v>
      </c>
      <c r="B13115" t="s">
        <v>11969</v>
      </c>
      <c r="C13115">
        <v>5010182</v>
      </c>
      <c r="E13115" t="s">
        <v>2100</v>
      </c>
      <c r="F13115" t="s">
        <v>13122</v>
      </c>
      <c r="G13115">
        <v>1</v>
      </c>
    </row>
    <row r="13116" spans="1:7" x14ac:dyDescent="0.25">
      <c r="A13116">
        <v>38</v>
      </c>
      <c r="B13116" t="s">
        <v>11969</v>
      </c>
      <c r="C13116">
        <v>5010526</v>
      </c>
      <c r="E13116" t="s">
        <v>2100</v>
      </c>
      <c r="F13116" t="s">
        <v>13123</v>
      </c>
      <c r="G13116">
        <v>1</v>
      </c>
    </row>
    <row r="13117" spans="1:7" x14ac:dyDescent="0.25">
      <c r="A13117">
        <v>38</v>
      </c>
      <c r="B13117" t="s">
        <v>11969</v>
      </c>
      <c r="C13117">
        <v>5000635</v>
      </c>
      <c r="E13117" t="s">
        <v>2100</v>
      </c>
      <c r="F13117" t="s">
        <v>13124</v>
      </c>
      <c r="G13117">
        <v>1</v>
      </c>
    </row>
    <row r="13118" spans="1:7" x14ac:dyDescent="0.25">
      <c r="A13118">
        <v>38</v>
      </c>
      <c r="B13118" t="s">
        <v>11969</v>
      </c>
      <c r="C13118">
        <v>5000204</v>
      </c>
      <c r="E13118" t="s">
        <v>2100</v>
      </c>
      <c r="F13118" t="s">
        <v>13125</v>
      </c>
      <c r="G13118">
        <v>1</v>
      </c>
    </row>
    <row r="13119" spans="1:7" x14ac:dyDescent="0.25">
      <c r="A13119">
        <v>38</v>
      </c>
      <c r="B13119" t="s">
        <v>11969</v>
      </c>
      <c r="C13119">
        <v>5000209</v>
      </c>
      <c r="E13119" t="s">
        <v>2100</v>
      </c>
      <c r="F13119" t="s">
        <v>13126</v>
      </c>
      <c r="G13119">
        <v>1</v>
      </c>
    </row>
    <row r="13120" spans="1:7" x14ac:dyDescent="0.25">
      <c r="A13120">
        <v>38</v>
      </c>
      <c r="B13120" t="s">
        <v>11969</v>
      </c>
      <c r="C13120">
        <v>5000144</v>
      </c>
      <c r="E13120" t="s">
        <v>2100</v>
      </c>
      <c r="F13120" t="s">
        <v>13127</v>
      </c>
      <c r="G13120">
        <v>1</v>
      </c>
    </row>
    <row r="13121" spans="1:7" x14ac:dyDescent="0.25">
      <c r="A13121">
        <v>38</v>
      </c>
      <c r="B13121" t="s">
        <v>11969</v>
      </c>
      <c r="C13121">
        <v>5010659</v>
      </c>
      <c r="E13121" t="s">
        <v>2100</v>
      </c>
      <c r="F13121" t="s">
        <v>13128</v>
      </c>
      <c r="G13121">
        <v>1</v>
      </c>
    </row>
    <row r="13122" spans="1:7" x14ac:dyDescent="0.25">
      <c r="A13122">
        <v>38</v>
      </c>
      <c r="B13122" t="s">
        <v>11969</v>
      </c>
      <c r="C13122">
        <v>5010714</v>
      </c>
      <c r="E13122" t="s">
        <v>2100</v>
      </c>
      <c r="F13122" t="s">
        <v>13129</v>
      </c>
      <c r="G13122">
        <v>1</v>
      </c>
    </row>
    <row r="13123" spans="1:7" x14ac:dyDescent="0.25">
      <c r="A13123">
        <v>38</v>
      </c>
      <c r="B13123" t="s">
        <v>11969</v>
      </c>
      <c r="C13123">
        <v>5000220</v>
      </c>
      <c r="E13123" t="s">
        <v>2100</v>
      </c>
      <c r="F13123" t="s">
        <v>13130</v>
      </c>
      <c r="G13123">
        <v>1</v>
      </c>
    </row>
    <row r="13124" spans="1:7" x14ac:dyDescent="0.25">
      <c r="A13124">
        <v>38</v>
      </c>
      <c r="B13124" t="s">
        <v>11969</v>
      </c>
      <c r="C13124">
        <v>5020042</v>
      </c>
      <c r="E13124" t="s">
        <v>2100</v>
      </c>
      <c r="F13124" t="s">
        <v>13131</v>
      </c>
      <c r="G13124">
        <v>1</v>
      </c>
    </row>
    <row r="13125" spans="1:7" x14ac:dyDescent="0.25">
      <c r="A13125">
        <v>38</v>
      </c>
      <c r="B13125" t="s">
        <v>11969</v>
      </c>
      <c r="C13125">
        <v>5000143</v>
      </c>
      <c r="E13125" t="s">
        <v>2100</v>
      </c>
      <c r="F13125" t="s">
        <v>13132</v>
      </c>
      <c r="G13125">
        <v>1</v>
      </c>
    </row>
    <row r="13126" spans="1:7" x14ac:dyDescent="0.25">
      <c r="A13126">
        <v>38</v>
      </c>
      <c r="B13126" t="s">
        <v>11969</v>
      </c>
      <c r="C13126">
        <v>5010261</v>
      </c>
      <c r="E13126" t="s">
        <v>2100</v>
      </c>
      <c r="F13126" t="s">
        <v>13133</v>
      </c>
      <c r="G13126">
        <v>1</v>
      </c>
    </row>
    <row r="13127" spans="1:7" x14ac:dyDescent="0.25">
      <c r="A13127">
        <v>38</v>
      </c>
      <c r="B13127" t="s">
        <v>11969</v>
      </c>
      <c r="C13127">
        <v>5000364</v>
      </c>
      <c r="E13127" t="s">
        <v>2100</v>
      </c>
      <c r="F13127" t="s">
        <v>13134</v>
      </c>
      <c r="G13127">
        <v>1</v>
      </c>
    </row>
    <row r="13128" spans="1:7" x14ac:dyDescent="0.25">
      <c r="A13128">
        <v>38</v>
      </c>
      <c r="B13128" t="s">
        <v>11969</v>
      </c>
      <c r="C13128">
        <v>8783376</v>
      </c>
      <c r="E13128" t="s">
        <v>2100</v>
      </c>
      <c r="F13128" t="s">
        <v>13135</v>
      </c>
      <c r="G13128">
        <v>1</v>
      </c>
    </row>
    <row r="13129" spans="1:7" x14ac:dyDescent="0.25">
      <c r="A13129">
        <v>38</v>
      </c>
      <c r="B13129" t="s">
        <v>11969</v>
      </c>
      <c r="C13129">
        <v>5000377</v>
      </c>
      <c r="E13129" t="s">
        <v>2100</v>
      </c>
      <c r="F13129" t="s">
        <v>13136</v>
      </c>
      <c r="G13129">
        <v>1</v>
      </c>
    </row>
    <row r="13130" spans="1:7" x14ac:dyDescent="0.25">
      <c r="A13130">
        <v>38</v>
      </c>
      <c r="B13130" t="s">
        <v>11969</v>
      </c>
      <c r="C13130">
        <v>5000543</v>
      </c>
      <c r="E13130" t="s">
        <v>2100</v>
      </c>
      <c r="F13130" t="s">
        <v>13137</v>
      </c>
      <c r="G13130">
        <v>1</v>
      </c>
    </row>
    <row r="13131" spans="1:7" x14ac:dyDescent="0.25">
      <c r="A13131">
        <v>38</v>
      </c>
      <c r="B13131" t="s">
        <v>11969</v>
      </c>
      <c r="C13131">
        <v>5020006</v>
      </c>
      <c r="E13131" t="s">
        <v>2100</v>
      </c>
      <c r="F13131" t="s">
        <v>13138</v>
      </c>
      <c r="G13131">
        <v>1</v>
      </c>
    </row>
    <row r="13132" spans="1:7" x14ac:dyDescent="0.25">
      <c r="A13132">
        <v>38</v>
      </c>
      <c r="B13132" t="s">
        <v>11969</v>
      </c>
      <c r="C13132">
        <v>5000610</v>
      </c>
      <c r="E13132" t="s">
        <v>2100</v>
      </c>
      <c r="F13132" t="s">
        <v>13139</v>
      </c>
      <c r="G13132">
        <v>1</v>
      </c>
    </row>
    <row r="13133" spans="1:7" x14ac:dyDescent="0.25">
      <c r="A13133">
        <v>38</v>
      </c>
      <c r="B13133" t="s">
        <v>11969</v>
      </c>
      <c r="C13133">
        <v>5000412</v>
      </c>
      <c r="E13133" t="s">
        <v>2100</v>
      </c>
      <c r="F13133" t="s">
        <v>13140</v>
      </c>
      <c r="G13133">
        <v>1</v>
      </c>
    </row>
    <row r="13134" spans="1:7" x14ac:dyDescent="0.25">
      <c r="A13134">
        <v>38</v>
      </c>
      <c r="B13134" t="s">
        <v>11969</v>
      </c>
      <c r="C13134">
        <v>8782537</v>
      </c>
      <c r="E13134" t="s">
        <v>2100</v>
      </c>
      <c r="F13134" t="s">
        <v>13141</v>
      </c>
      <c r="G13134">
        <v>1</v>
      </c>
    </row>
    <row r="13135" spans="1:7" x14ac:dyDescent="0.25">
      <c r="A13135">
        <v>38</v>
      </c>
      <c r="B13135" t="s">
        <v>11969</v>
      </c>
      <c r="C13135">
        <v>5000257</v>
      </c>
      <c r="E13135" t="s">
        <v>2100</v>
      </c>
      <c r="F13135" t="s">
        <v>13142</v>
      </c>
      <c r="G13135">
        <v>1</v>
      </c>
    </row>
    <row r="13136" spans="1:7" x14ac:dyDescent="0.25">
      <c r="A13136">
        <v>38</v>
      </c>
      <c r="B13136" t="s">
        <v>11969</v>
      </c>
      <c r="C13136">
        <v>5010437</v>
      </c>
      <c r="E13136" t="s">
        <v>2100</v>
      </c>
      <c r="F13136" t="s">
        <v>13143</v>
      </c>
      <c r="G13136">
        <v>1</v>
      </c>
    </row>
    <row r="13137" spans="1:7" x14ac:dyDescent="0.25">
      <c r="A13137">
        <v>38</v>
      </c>
      <c r="B13137" t="s">
        <v>11969</v>
      </c>
      <c r="C13137">
        <v>5010444</v>
      </c>
      <c r="E13137" t="s">
        <v>2100</v>
      </c>
      <c r="F13137" t="s">
        <v>13144</v>
      </c>
      <c r="G13137">
        <v>1</v>
      </c>
    </row>
    <row r="13138" spans="1:7" x14ac:dyDescent="0.25">
      <c r="A13138">
        <v>38</v>
      </c>
      <c r="B13138" t="s">
        <v>11969</v>
      </c>
      <c r="C13138">
        <v>5000552</v>
      </c>
      <c r="E13138" t="s">
        <v>2100</v>
      </c>
      <c r="F13138" t="s">
        <v>13145</v>
      </c>
      <c r="G13138">
        <v>1</v>
      </c>
    </row>
    <row r="13139" spans="1:7" x14ac:dyDescent="0.25">
      <c r="A13139">
        <v>38</v>
      </c>
      <c r="B13139" t="s">
        <v>11969</v>
      </c>
      <c r="C13139">
        <v>5010447</v>
      </c>
      <c r="E13139" t="s">
        <v>2100</v>
      </c>
      <c r="F13139" t="s">
        <v>13146</v>
      </c>
      <c r="G13139">
        <v>1</v>
      </c>
    </row>
    <row r="13140" spans="1:7" x14ac:dyDescent="0.25">
      <c r="A13140">
        <v>38</v>
      </c>
      <c r="B13140" t="s">
        <v>11969</v>
      </c>
      <c r="C13140">
        <v>5010431</v>
      </c>
      <c r="E13140" t="s">
        <v>2100</v>
      </c>
      <c r="F13140" t="s">
        <v>13147</v>
      </c>
      <c r="G13140">
        <v>1</v>
      </c>
    </row>
    <row r="13141" spans="1:7" x14ac:dyDescent="0.25">
      <c r="A13141">
        <v>38</v>
      </c>
      <c r="B13141" t="s">
        <v>11969</v>
      </c>
      <c r="C13141">
        <v>5010204</v>
      </c>
      <c r="E13141" t="s">
        <v>2100</v>
      </c>
      <c r="F13141" t="s">
        <v>13148</v>
      </c>
      <c r="G13141">
        <v>1</v>
      </c>
    </row>
    <row r="13142" spans="1:7" x14ac:dyDescent="0.25">
      <c r="A13142">
        <v>38</v>
      </c>
      <c r="B13142" t="s">
        <v>11969</v>
      </c>
      <c r="C13142">
        <v>5020044</v>
      </c>
      <c r="E13142" t="s">
        <v>2100</v>
      </c>
      <c r="F13142" t="s">
        <v>13149</v>
      </c>
      <c r="G13142">
        <v>1</v>
      </c>
    </row>
    <row r="13143" spans="1:7" x14ac:dyDescent="0.25">
      <c r="A13143">
        <v>38</v>
      </c>
      <c r="B13143" t="s">
        <v>11969</v>
      </c>
      <c r="C13143">
        <v>5000636</v>
      </c>
      <c r="E13143" t="s">
        <v>2100</v>
      </c>
      <c r="F13143" t="s">
        <v>13150</v>
      </c>
      <c r="G13143">
        <v>1</v>
      </c>
    </row>
    <row r="13144" spans="1:7" x14ac:dyDescent="0.25">
      <c r="A13144">
        <v>38</v>
      </c>
      <c r="B13144" t="s">
        <v>11969</v>
      </c>
      <c r="C13144">
        <v>5000597</v>
      </c>
      <c r="E13144" t="s">
        <v>2100</v>
      </c>
      <c r="F13144" t="s">
        <v>13151</v>
      </c>
      <c r="G13144">
        <v>1</v>
      </c>
    </row>
    <row r="13145" spans="1:7" x14ac:dyDescent="0.25">
      <c r="A13145">
        <v>38</v>
      </c>
      <c r="B13145" t="s">
        <v>11969</v>
      </c>
      <c r="C13145">
        <v>5000631</v>
      </c>
      <c r="E13145" t="s">
        <v>2100</v>
      </c>
      <c r="F13145" t="s">
        <v>13152</v>
      </c>
      <c r="G13145">
        <v>1</v>
      </c>
    </row>
    <row r="13146" spans="1:7" x14ac:dyDescent="0.25">
      <c r="A13146">
        <v>38</v>
      </c>
      <c r="B13146" t="s">
        <v>11969</v>
      </c>
      <c r="C13146">
        <v>5010793</v>
      </c>
      <c r="E13146" t="s">
        <v>2100</v>
      </c>
      <c r="F13146" t="s">
        <v>13153</v>
      </c>
      <c r="G13146">
        <v>1</v>
      </c>
    </row>
    <row r="13147" spans="1:7" x14ac:dyDescent="0.25">
      <c r="A13147">
        <v>38</v>
      </c>
      <c r="B13147" t="s">
        <v>11969</v>
      </c>
      <c r="C13147">
        <v>5000230</v>
      </c>
      <c r="E13147" t="s">
        <v>2100</v>
      </c>
      <c r="F13147" t="s">
        <v>13154</v>
      </c>
      <c r="G13147">
        <v>1</v>
      </c>
    </row>
    <row r="13148" spans="1:7" x14ac:dyDescent="0.25">
      <c r="A13148">
        <v>38</v>
      </c>
      <c r="B13148" t="s">
        <v>11969</v>
      </c>
      <c r="C13148">
        <v>5010718</v>
      </c>
      <c r="E13148" t="s">
        <v>2100</v>
      </c>
      <c r="F13148" t="s">
        <v>13155</v>
      </c>
      <c r="G13148">
        <v>1</v>
      </c>
    </row>
    <row r="13149" spans="1:7" x14ac:dyDescent="0.25">
      <c r="A13149">
        <v>38</v>
      </c>
      <c r="B13149" t="s">
        <v>11969</v>
      </c>
      <c r="C13149">
        <v>5010859</v>
      </c>
      <c r="E13149" t="s">
        <v>2100</v>
      </c>
      <c r="F13149" t="s">
        <v>13156</v>
      </c>
      <c r="G13149">
        <v>1</v>
      </c>
    </row>
    <row r="13150" spans="1:7" x14ac:dyDescent="0.25">
      <c r="A13150">
        <v>38</v>
      </c>
      <c r="B13150" t="s">
        <v>11969</v>
      </c>
      <c r="C13150">
        <v>5010776</v>
      </c>
      <c r="E13150" t="s">
        <v>2100</v>
      </c>
      <c r="F13150" t="s">
        <v>13157</v>
      </c>
      <c r="G13150">
        <v>1</v>
      </c>
    </row>
    <row r="13151" spans="1:7" x14ac:dyDescent="0.25">
      <c r="A13151">
        <v>38</v>
      </c>
      <c r="B13151" t="s">
        <v>11969</v>
      </c>
      <c r="C13151">
        <v>5010816</v>
      </c>
      <c r="E13151" t="s">
        <v>2100</v>
      </c>
      <c r="F13151" t="s">
        <v>13158</v>
      </c>
      <c r="G13151">
        <v>1</v>
      </c>
    </row>
    <row r="13152" spans="1:7" x14ac:dyDescent="0.25">
      <c r="A13152">
        <v>38</v>
      </c>
      <c r="B13152" t="s">
        <v>11969</v>
      </c>
      <c r="C13152">
        <v>5000454</v>
      </c>
      <c r="E13152" t="s">
        <v>2100</v>
      </c>
      <c r="F13152" t="s">
        <v>13159</v>
      </c>
      <c r="G13152">
        <v>1</v>
      </c>
    </row>
    <row r="13153" spans="1:7" x14ac:dyDescent="0.25">
      <c r="A13153">
        <v>38</v>
      </c>
      <c r="B13153" t="s">
        <v>11969</v>
      </c>
      <c r="C13153">
        <v>5000585</v>
      </c>
      <c r="E13153" t="s">
        <v>2100</v>
      </c>
      <c r="F13153" t="s">
        <v>13160</v>
      </c>
      <c r="G13153">
        <v>1</v>
      </c>
    </row>
    <row r="13154" spans="1:7" x14ac:dyDescent="0.25">
      <c r="A13154">
        <v>38</v>
      </c>
      <c r="B13154" t="s">
        <v>11969</v>
      </c>
      <c r="C13154">
        <v>5010777</v>
      </c>
      <c r="E13154" t="s">
        <v>2100</v>
      </c>
      <c r="F13154" t="s">
        <v>13161</v>
      </c>
      <c r="G13154">
        <v>1</v>
      </c>
    </row>
    <row r="13155" spans="1:7" x14ac:dyDescent="0.25">
      <c r="A13155">
        <v>38</v>
      </c>
      <c r="B13155" t="s">
        <v>11969</v>
      </c>
      <c r="C13155">
        <v>5010779</v>
      </c>
      <c r="E13155" t="s">
        <v>2100</v>
      </c>
      <c r="F13155" t="s">
        <v>13162</v>
      </c>
      <c r="G13155">
        <v>1</v>
      </c>
    </row>
    <row r="13156" spans="1:7" x14ac:dyDescent="0.25">
      <c r="A13156">
        <v>38</v>
      </c>
      <c r="B13156" t="s">
        <v>11969</v>
      </c>
      <c r="C13156">
        <v>5000473</v>
      </c>
      <c r="E13156" t="s">
        <v>2100</v>
      </c>
      <c r="F13156" t="s">
        <v>13163</v>
      </c>
      <c r="G13156">
        <v>1</v>
      </c>
    </row>
    <row r="13157" spans="1:7" x14ac:dyDescent="0.25">
      <c r="A13157">
        <v>38</v>
      </c>
      <c r="B13157" t="s">
        <v>11969</v>
      </c>
      <c r="C13157">
        <v>5010788</v>
      </c>
      <c r="E13157" t="s">
        <v>2100</v>
      </c>
      <c r="F13157" t="s">
        <v>13164</v>
      </c>
      <c r="G13157">
        <v>1</v>
      </c>
    </row>
    <row r="13158" spans="1:7" x14ac:dyDescent="0.25">
      <c r="A13158">
        <v>38</v>
      </c>
      <c r="B13158" t="s">
        <v>11969</v>
      </c>
      <c r="C13158">
        <v>8782544</v>
      </c>
      <c r="E13158" t="s">
        <v>2100</v>
      </c>
      <c r="F13158" t="s">
        <v>13165</v>
      </c>
      <c r="G13158">
        <v>1</v>
      </c>
    </row>
    <row r="13159" spans="1:7" x14ac:dyDescent="0.25">
      <c r="A13159">
        <v>38</v>
      </c>
      <c r="B13159" t="s">
        <v>11969</v>
      </c>
      <c r="C13159">
        <v>5010713</v>
      </c>
      <c r="E13159" t="s">
        <v>2100</v>
      </c>
      <c r="F13159" t="s">
        <v>13166</v>
      </c>
      <c r="G13159">
        <v>1</v>
      </c>
    </row>
    <row r="13160" spans="1:7" x14ac:dyDescent="0.25">
      <c r="A13160">
        <v>38</v>
      </c>
      <c r="B13160" t="s">
        <v>11969</v>
      </c>
      <c r="C13160">
        <v>5010778</v>
      </c>
      <c r="E13160" t="s">
        <v>2100</v>
      </c>
      <c r="F13160" t="s">
        <v>13167</v>
      </c>
      <c r="G13160">
        <v>1</v>
      </c>
    </row>
    <row r="13161" spans="1:7" x14ac:dyDescent="0.25">
      <c r="A13161">
        <v>38</v>
      </c>
      <c r="B13161" t="s">
        <v>11969</v>
      </c>
      <c r="C13161">
        <v>5010851</v>
      </c>
      <c r="E13161" t="s">
        <v>2100</v>
      </c>
      <c r="F13161" t="s">
        <v>13168</v>
      </c>
      <c r="G13161">
        <v>1</v>
      </c>
    </row>
    <row r="13162" spans="1:7" x14ac:dyDescent="0.25">
      <c r="A13162">
        <v>38</v>
      </c>
      <c r="B13162" t="s">
        <v>11969</v>
      </c>
      <c r="C13162">
        <v>5010852</v>
      </c>
      <c r="E13162" t="s">
        <v>2100</v>
      </c>
      <c r="F13162" t="s">
        <v>13169</v>
      </c>
      <c r="G13162">
        <v>1</v>
      </c>
    </row>
    <row r="13163" spans="1:7" x14ac:dyDescent="0.25">
      <c r="A13163">
        <v>38</v>
      </c>
      <c r="B13163" t="s">
        <v>11969</v>
      </c>
      <c r="C13163">
        <v>5010838</v>
      </c>
      <c r="E13163" t="s">
        <v>2100</v>
      </c>
      <c r="F13163" t="s">
        <v>13170</v>
      </c>
      <c r="G13163">
        <v>1</v>
      </c>
    </row>
    <row r="13164" spans="1:7" x14ac:dyDescent="0.25">
      <c r="A13164">
        <v>38</v>
      </c>
      <c r="B13164" t="s">
        <v>11969</v>
      </c>
      <c r="C13164">
        <v>5000456</v>
      </c>
      <c r="E13164" t="s">
        <v>2100</v>
      </c>
      <c r="F13164" t="s">
        <v>13171</v>
      </c>
      <c r="G13164">
        <v>1</v>
      </c>
    </row>
    <row r="13165" spans="1:7" x14ac:dyDescent="0.25">
      <c r="A13165">
        <v>38</v>
      </c>
      <c r="B13165" t="s">
        <v>11969</v>
      </c>
      <c r="C13165">
        <v>5010732</v>
      </c>
      <c r="E13165" t="s">
        <v>2100</v>
      </c>
      <c r="F13165" t="s">
        <v>13172</v>
      </c>
      <c r="G13165">
        <v>1</v>
      </c>
    </row>
    <row r="13166" spans="1:7" x14ac:dyDescent="0.25">
      <c r="A13166">
        <v>38</v>
      </c>
      <c r="B13166" t="s">
        <v>11969</v>
      </c>
      <c r="C13166">
        <v>5000480</v>
      </c>
      <c r="E13166" t="s">
        <v>2100</v>
      </c>
      <c r="F13166" t="s">
        <v>13173</v>
      </c>
      <c r="G13166">
        <v>1</v>
      </c>
    </row>
    <row r="13167" spans="1:7" x14ac:dyDescent="0.25">
      <c r="A13167">
        <v>38</v>
      </c>
      <c r="B13167" t="s">
        <v>11969</v>
      </c>
      <c r="C13167">
        <v>5010721</v>
      </c>
      <c r="E13167" t="s">
        <v>2100</v>
      </c>
      <c r="F13167" t="s">
        <v>13174</v>
      </c>
      <c r="G13167">
        <v>1</v>
      </c>
    </row>
    <row r="13168" spans="1:7" x14ac:dyDescent="0.25">
      <c r="A13168">
        <v>38</v>
      </c>
      <c r="B13168" t="s">
        <v>11969</v>
      </c>
      <c r="C13168">
        <v>5000190</v>
      </c>
      <c r="E13168" t="s">
        <v>2100</v>
      </c>
      <c r="F13168" t="s">
        <v>13175</v>
      </c>
      <c r="G13168">
        <v>1</v>
      </c>
    </row>
    <row r="13169" spans="1:7" x14ac:dyDescent="0.25">
      <c r="A13169">
        <v>38</v>
      </c>
      <c r="B13169" t="s">
        <v>11969</v>
      </c>
      <c r="C13169">
        <v>5000403</v>
      </c>
      <c r="E13169" t="s">
        <v>2100</v>
      </c>
      <c r="F13169" t="s">
        <v>13176</v>
      </c>
      <c r="G13169">
        <v>1</v>
      </c>
    </row>
    <row r="13170" spans="1:7" x14ac:dyDescent="0.25">
      <c r="A13170">
        <v>38</v>
      </c>
      <c r="B13170" t="s">
        <v>11969</v>
      </c>
      <c r="C13170">
        <v>5000513</v>
      </c>
      <c r="E13170" t="s">
        <v>2100</v>
      </c>
      <c r="F13170" t="s">
        <v>13177</v>
      </c>
      <c r="G13170">
        <v>1</v>
      </c>
    </row>
    <row r="13171" spans="1:7" x14ac:dyDescent="0.25">
      <c r="A13171">
        <v>38</v>
      </c>
      <c r="B13171" t="s">
        <v>11969</v>
      </c>
      <c r="C13171">
        <v>5010820</v>
      </c>
      <c r="E13171" t="s">
        <v>2100</v>
      </c>
      <c r="F13171" t="s">
        <v>13178</v>
      </c>
      <c r="G13171">
        <v>1</v>
      </c>
    </row>
    <row r="13172" spans="1:7" x14ac:dyDescent="0.25">
      <c r="A13172">
        <v>38</v>
      </c>
      <c r="B13172" t="s">
        <v>11969</v>
      </c>
      <c r="C13172">
        <v>5000351</v>
      </c>
      <c r="E13172" t="s">
        <v>2100</v>
      </c>
      <c r="F13172" t="s">
        <v>13179</v>
      </c>
      <c r="G13172">
        <v>1</v>
      </c>
    </row>
    <row r="13173" spans="1:7" x14ac:dyDescent="0.25">
      <c r="A13173">
        <v>38</v>
      </c>
      <c r="B13173" t="s">
        <v>11969</v>
      </c>
      <c r="C13173">
        <v>5000146</v>
      </c>
      <c r="E13173" t="s">
        <v>2100</v>
      </c>
      <c r="F13173" t="s">
        <v>13180</v>
      </c>
      <c r="G13173">
        <v>1</v>
      </c>
    </row>
    <row r="13174" spans="1:7" x14ac:dyDescent="0.25">
      <c r="A13174">
        <v>38</v>
      </c>
      <c r="B13174" t="s">
        <v>11969</v>
      </c>
      <c r="C13174">
        <v>5010854</v>
      </c>
      <c r="E13174" t="s">
        <v>2100</v>
      </c>
      <c r="F13174" t="s">
        <v>13181</v>
      </c>
      <c r="G13174">
        <v>1</v>
      </c>
    </row>
    <row r="13175" spans="1:7" x14ac:dyDescent="0.25">
      <c r="A13175">
        <v>38</v>
      </c>
      <c r="B13175" t="s">
        <v>11969</v>
      </c>
      <c r="C13175">
        <v>5000455</v>
      </c>
      <c r="E13175" t="s">
        <v>2100</v>
      </c>
      <c r="F13175" t="s">
        <v>13182</v>
      </c>
      <c r="G13175">
        <v>1</v>
      </c>
    </row>
    <row r="13176" spans="1:7" x14ac:dyDescent="0.25">
      <c r="A13176">
        <v>38</v>
      </c>
      <c r="B13176" t="s">
        <v>11969</v>
      </c>
      <c r="C13176">
        <v>5010839</v>
      </c>
      <c r="E13176" t="s">
        <v>2100</v>
      </c>
      <c r="F13176" t="s">
        <v>13183</v>
      </c>
      <c r="G13176">
        <v>1</v>
      </c>
    </row>
    <row r="13177" spans="1:7" x14ac:dyDescent="0.25">
      <c r="A13177">
        <v>38</v>
      </c>
      <c r="B13177" t="s">
        <v>11969</v>
      </c>
      <c r="C13177">
        <v>5010792</v>
      </c>
      <c r="E13177" t="s">
        <v>2100</v>
      </c>
      <c r="F13177" t="s">
        <v>13184</v>
      </c>
      <c r="G13177">
        <v>1</v>
      </c>
    </row>
    <row r="13178" spans="1:7" x14ac:dyDescent="0.25">
      <c r="A13178">
        <v>38</v>
      </c>
      <c r="B13178" t="s">
        <v>11969</v>
      </c>
      <c r="C13178">
        <v>5000145</v>
      </c>
      <c r="E13178" t="s">
        <v>2100</v>
      </c>
      <c r="F13178" t="s">
        <v>13185</v>
      </c>
      <c r="G13178">
        <v>1</v>
      </c>
    </row>
    <row r="13179" spans="1:7" x14ac:dyDescent="0.25">
      <c r="A13179">
        <v>38</v>
      </c>
      <c r="B13179" t="s">
        <v>11969</v>
      </c>
      <c r="C13179">
        <v>5010722</v>
      </c>
      <c r="E13179" t="s">
        <v>2100</v>
      </c>
      <c r="F13179" t="s">
        <v>13186</v>
      </c>
      <c r="G13179">
        <v>1</v>
      </c>
    </row>
    <row r="13180" spans="1:7" x14ac:dyDescent="0.25">
      <c r="A13180">
        <v>38</v>
      </c>
      <c r="B13180" t="s">
        <v>11969</v>
      </c>
      <c r="C13180">
        <v>5010825</v>
      </c>
      <c r="E13180" t="s">
        <v>2100</v>
      </c>
      <c r="F13180" t="s">
        <v>13187</v>
      </c>
      <c r="G13180">
        <v>1</v>
      </c>
    </row>
    <row r="13181" spans="1:7" x14ac:dyDescent="0.25">
      <c r="A13181">
        <v>38</v>
      </c>
      <c r="B13181" t="s">
        <v>11969</v>
      </c>
      <c r="C13181">
        <v>5000602</v>
      </c>
      <c r="E13181" t="s">
        <v>2100</v>
      </c>
      <c r="F13181" t="s">
        <v>13188</v>
      </c>
      <c r="G13181">
        <v>1</v>
      </c>
    </row>
    <row r="13182" spans="1:7" x14ac:dyDescent="0.25">
      <c r="A13182">
        <v>38</v>
      </c>
      <c r="B13182" t="s">
        <v>11969</v>
      </c>
      <c r="C13182">
        <v>8783196</v>
      </c>
      <c r="E13182" t="s">
        <v>2100</v>
      </c>
      <c r="F13182" t="s">
        <v>13189</v>
      </c>
      <c r="G13182">
        <v>1</v>
      </c>
    </row>
    <row r="13183" spans="1:7" x14ac:dyDescent="0.25">
      <c r="A13183">
        <v>38</v>
      </c>
      <c r="B13183" t="s">
        <v>11969</v>
      </c>
      <c r="C13183">
        <v>5010735</v>
      </c>
      <c r="E13183" t="s">
        <v>2100</v>
      </c>
      <c r="F13183" t="s">
        <v>13190</v>
      </c>
      <c r="G13183">
        <v>1</v>
      </c>
    </row>
    <row r="13184" spans="1:7" x14ac:dyDescent="0.25">
      <c r="A13184">
        <v>38</v>
      </c>
      <c r="B13184" t="s">
        <v>11969</v>
      </c>
      <c r="C13184">
        <v>5010873</v>
      </c>
      <c r="E13184" t="s">
        <v>2100</v>
      </c>
      <c r="F13184" t="s">
        <v>13191</v>
      </c>
      <c r="G13184">
        <v>1</v>
      </c>
    </row>
    <row r="13185" spans="1:7" x14ac:dyDescent="0.25">
      <c r="A13185">
        <v>38</v>
      </c>
      <c r="B13185" t="s">
        <v>11969</v>
      </c>
      <c r="C13185">
        <v>5010866</v>
      </c>
      <c r="E13185" t="s">
        <v>2100</v>
      </c>
      <c r="F13185" t="s">
        <v>13192</v>
      </c>
      <c r="G13185">
        <v>1</v>
      </c>
    </row>
    <row r="13186" spans="1:7" x14ac:dyDescent="0.25">
      <c r="A13186">
        <v>38</v>
      </c>
      <c r="B13186" t="s">
        <v>11969</v>
      </c>
      <c r="C13186">
        <v>5010875</v>
      </c>
      <c r="E13186" t="s">
        <v>2100</v>
      </c>
      <c r="F13186" t="s">
        <v>13193</v>
      </c>
      <c r="G13186">
        <v>1</v>
      </c>
    </row>
    <row r="13187" spans="1:7" x14ac:dyDescent="0.25">
      <c r="A13187">
        <v>38</v>
      </c>
      <c r="B13187" t="s">
        <v>11969</v>
      </c>
      <c r="C13187">
        <v>5010900</v>
      </c>
      <c r="E13187" t="s">
        <v>2100</v>
      </c>
      <c r="F13187" t="s">
        <v>13194</v>
      </c>
      <c r="G13187">
        <v>1</v>
      </c>
    </row>
    <row r="13188" spans="1:7" x14ac:dyDescent="0.25">
      <c r="A13188">
        <v>38</v>
      </c>
      <c r="B13188" t="s">
        <v>11969</v>
      </c>
      <c r="C13188">
        <v>5000062</v>
      </c>
      <c r="E13188" t="s">
        <v>2100</v>
      </c>
      <c r="F13188" t="s">
        <v>13195</v>
      </c>
      <c r="G13188">
        <v>1</v>
      </c>
    </row>
    <row r="13189" spans="1:7" x14ac:dyDescent="0.25">
      <c r="A13189">
        <v>38</v>
      </c>
      <c r="B13189" t="s">
        <v>11969</v>
      </c>
      <c r="C13189">
        <v>5010451</v>
      </c>
      <c r="E13189" t="s">
        <v>2100</v>
      </c>
      <c r="F13189" t="s">
        <v>13196</v>
      </c>
      <c r="G13189">
        <v>1</v>
      </c>
    </row>
    <row r="13190" spans="1:7" x14ac:dyDescent="0.25">
      <c r="A13190">
        <v>38</v>
      </c>
      <c r="B13190" t="s">
        <v>11969</v>
      </c>
      <c r="C13190">
        <v>5000063</v>
      </c>
      <c r="D13190" t="str">
        <f>"0302-9743"</f>
        <v>0302-9743</v>
      </c>
      <c r="E13190" t="s">
        <v>2100</v>
      </c>
      <c r="F13190" t="s">
        <v>13197</v>
      </c>
      <c r="G13190">
        <v>1</v>
      </c>
    </row>
    <row r="13191" spans="1:7" x14ac:dyDescent="0.25">
      <c r="A13191">
        <v>38</v>
      </c>
      <c r="B13191" t="s">
        <v>11969</v>
      </c>
      <c r="C13191">
        <v>5010731</v>
      </c>
      <c r="E13191" t="s">
        <v>2100</v>
      </c>
      <c r="F13191" t="s">
        <v>13198</v>
      </c>
      <c r="G13191">
        <v>1</v>
      </c>
    </row>
    <row r="13192" spans="1:7" x14ac:dyDescent="0.25">
      <c r="A13192">
        <v>38</v>
      </c>
      <c r="B13192" t="s">
        <v>11969</v>
      </c>
      <c r="C13192">
        <v>5000340</v>
      </c>
      <c r="E13192" t="s">
        <v>2100</v>
      </c>
      <c r="F13192" t="s">
        <v>13199</v>
      </c>
      <c r="G13192">
        <v>1</v>
      </c>
    </row>
    <row r="13193" spans="1:7" x14ac:dyDescent="0.25">
      <c r="A13193">
        <v>38</v>
      </c>
      <c r="B13193" t="s">
        <v>11969</v>
      </c>
      <c r="C13193">
        <v>5000562</v>
      </c>
      <c r="E13193" t="s">
        <v>2100</v>
      </c>
      <c r="F13193" t="s">
        <v>13200</v>
      </c>
      <c r="G13193">
        <v>1</v>
      </c>
    </row>
    <row r="13194" spans="1:7" x14ac:dyDescent="0.25">
      <c r="A13194">
        <v>38</v>
      </c>
      <c r="B13194" t="s">
        <v>11969</v>
      </c>
      <c r="C13194">
        <v>5010324</v>
      </c>
      <c r="E13194" t="s">
        <v>2100</v>
      </c>
      <c r="F13194" t="s">
        <v>13201</v>
      </c>
      <c r="G13194">
        <v>1</v>
      </c>
    </row>
    <row r="13195" spans="1:7" x14ac:dyDescent="0.25">
      <c r="A13195">
        <v>38</v>
      </c>
      <c r="B13195" t="s">
        <v>11969</v>
      </c>
      <c r="C13195">
        <v>5000438</v>
      </c>
      <c r="E13195" t="s">
        <v>2100</v>
      </c>
      <c r="F13195" t="s">
        <v>13202</v>
      </c>
      <c r="G13195">
        <v>1</v>
      </c>
    </row>
    <row r="13196" spans="1:7" x14ac:dyDescent="0.25">
      <c r="A13196">
        <v>38</v>
      </c>
      <c r="B13196" t="s">
        <v>11969</v>
      </c>
      <c r="C13196">
        <v>5000356</v>
      </c>
      <c r="E13196" t="s">
        <v>2100</v>
      </c>
      <c r="F13196" t="s">
        <v>13203</v>
      </c>
      <c r="G13196">
        <v>1</v>
      </c>
    </row>
    <row r="13197" spans="1:7" x14ac:dyDescent="0.25">
      <c r="A13197">
        <v>38</v>
      </c>
      <c r="B13197" t="s">
        <v>11969</v>
      </c>
      <c r="C13197">
        <v>5010877</v>
      </c>
      <c r="E13197" t="s">
        <v>2100</v>
      </c>
      <c r="F13197" t="s">
        <v>13204</v>
      </c>
      <c r="G13197">
        <v>1</v>
      </c>
    </row>
    <row r="13198" spans="1:7" x14ac:dyDescent="0.25">
      <c r="A13198">
        <v>38</v>
      </c>
      <c r="B13198" t="s">
        <v>11969</v>
      </c>
      <c r="C13198">
        <v>5010878</v>
      </c>
      <c r="E13198" t="s">
        <v>2100</v>
      </c>
      <c r="F13198" t="s">
        <v>13205</v>
      </c>
      <c r="G13198">
        <v>1</v>
      </c>
    </row>
    <row r="13199" spans="1:7" x14ac:dyDescent="0.25">
      <c r="A13199">
        <v>38</v>
      </c>
      <c r="B13199" t="s">
        <v>11969</v>
      </c>
      <c r="C13199">
        <v>5010733</v>
      </c>
      <c r="E13199" t="s">
        <v>2100</v>
      </c>
      <c r="F13199" t="s">
        <v>13206</v>
      </c>
      <c r="G13199">
        <v>1</v>
      </c>
    </row>
    <row r="13200" spans="1:7" x14ac:dyDescent="0.25">
      <c r="A13200">
        <v>38</v>
      </c>
      <c r="B13200" t="s">
        <v>11969</v>
      </c>
      <c r="C13200">
        <v>5000554</v>
      </c>
      <c r="E13200" t="s">
        <v>2100</v>
      </c>
      <c r="F13200" t="s">
        <v>13207</v>
      </c>
      <c r="G13200">
        <v>1</v>
      </c>
    </row>
    <row r="13201" spans="1:7" x14ac:dyDescent="0.25">
      <c r="A13201">
        <v>38</v>
      </c>
      <c r="B13201" t="s">
        <v>11969</v>
      </c>
      <c r="C13201">
        <v>8783371</v>
      </c>
      <c r="D13201" t="str">
        <f>"1868-8969"</f>
        <v>1868-8969</v>
      </c>
      <c r="E13201" t="s">
        <v>2100</v>
      </c>
      <c r="F13201" t="s">
        <v>13208</v>
      </c>
      <c r="G13201">
        <v>1</v>
      </c>
    </row>
    <row r="13202" spans="1:7" x14ac:dyDescent="0.25">
      <c r="A13202">
        <v>38</v>
      </c>
      <c r="B13202" t="s">
        <v>11969</v>
      </c>
      <c r="C13202">
        <v>5010742</v>
      </c>
      <c r="E13202" t="s">
        <v>2100</v>
      </c>
      <c r="F13202" t="s">
        <v>13209</v>
      </c>
      <c r="G13202">
        <v>1</v>
      </c>
    </row>
    <row r="13203" spans="1:7" x14ac:dyDescent="0.25">
      <c r="A13203">
        <v>38</v>
      </c>
      <c r="B13203" t="s">
        <v>11969</v>
      </c>
      <c r="C13203">
        <v>5010916</v>
      </c>
      <c r="E13203" t="s">
        <v>2100</v>
      </c>
      <c r="F13203" t="s">
        <v>13210</v>
      </c>
      <c r="G13203">
        <v>1</v>
      </c>
    </row>
    <row r="13204" spans="1:7" x14ac:dyDescent="0.25">
      <c r="A13204">
        <v>38</v>
      </c>
      <c r="B13204" t="s">
        <v>11969</v>
      </c>
      <c r="C13204">
        <v>5000276</v>
      </c>
      <c r="E13204" t="s">
        <v>2100</v>
      </c>
      <c r="F13204" t="s">
        <v>13211</v>
      </c>
      <c r="G13204">
        <v>1</v>
      </c>
    </row>
    <row r="13205" spans="1:7" x14ac:dyDescent="0.25">
      <c r="A13205">
        <v>38</v>
      </c>
      <c r="B13205" t="s">
        <v>11969</v>
      </c>
      <c r="C13205">
        <v>5010514</v>
      </c>
      <c r="E13205" t="s">
        <v>2100</v>
      </c>
      <c r="F13205" t="s">
        <v>13212</v>
      </c>
      <c r="G13205">
        <v>1</v>
      </c>
    </row>
    <row r="13206" spans="1:7" x14ac:dyDescent="0.25">
      <c r="A13206">
        <v>38</v>
      </c>
      <c r="B13206" t="s">
        <v>11969</v>
      </c>
      <c r="C13206">
        <v>5000620</v>
      </c>
      <c r="E13206" t="s">
        <v>2100</v>
      </c>
      <c r="F13206" t="s">
        <v>13213</v>
      </c>
      <c r="G13206">
        <v>1</v>
      </c>
    </row>
    <row r="13207" spans="1:7" x14ac:dyDescent="0.25">
      <c r="A13207">
        <v>38</v>
      </c>
      <c r="B13207" t="s">
        <v>11969</v>
      </c>
      <c r="C13207">
        <v>5010513</v>
      </c>
      <c r="E13207" t="s">
        <v>2100</v>
      </c>
      <c r="F13207" t="s">
        <v>13214</v>
      </c>
      <c r="G13207">
        <v>1</v>
      </c>
    </row>
    <row r="13208" spans="1:7" x14ac:dyDescent="0.25">
      <c r="A13208">
        <v>38</v>
      </c>
      <c r="B13208" t="s">
        <v>11969</v>
      </c>
      <c r="C13208">
        <v>5010512</v>
      </c>
      <c r="E13208" t="s">
        <v>2100</v>
      </c>
      <c r="F13208" t="s">
        <v>13215</v>
      </c>
      <c r="G13208">
        <v>1</v>
      </c>
    </row>
    <row r="13209" spans="1:7" x14ac:dyDescent="0.25">
      <c r="A13209">
        <v>38</v>
      </c>
      <c r="B13209" t="s">
        <v>11969</v>
      </c>
      <c r="C13209">
        <v>5000275</v>
      </c>
      <c r="E13209" t="s">
        <v>2100</v>
      </c>
      <c r="F13209" t="s">
        <v>13216</v>
      </c>
      <c r="G13209">
        <v>1</v>
      </c>
    </row>
    <row r="13210" spans="1:7" x14ac:dyDescent="0.25">
      <c r="A13210">
        <v>38</v>
      </c>
      <c r="B13210" t="s">
        <v>11969</v>
      </c>
      <c r="C13210">
        <v>5000149</v>
      </c>
      <c r="E13210" t="s">
        <v>2100</v>
      </c>
      <c r="F13210" t="s">
        <v>13217</v>
      </c>
      <c r="G13210">
        <v>1</v>
      </c>
    </row>
    <row r="13211" spans="1:7" x14ac:dyDescent="0.25">
      <c r="A13211">
        <v>38</v>
      </c>
      <c r="B13211" t="s">
        <v>11969</v>
      </c>
      <c r="C13211">
        <v>5010079</v>
      </c>
      <c r="E13211" t="s">
        <v>2100</v>
      </c>
      <c r="F13211" t="s">
        <v>13218</v>
      </c>
      <c r="G13211">
        <v>1</v>
      </c>
    </row>
    <row r="13212" spans="1:7" x14ac:dyDescent="0.25">
      <c r="A13212">
        <v>38</v>
      </c>
      <c r="B13212" t="s">
        <v>11969</v>
      </c>
      <c r="C13212">
        <v>5010601</v>
      </c>
      <c r="E13212" t="s">
        <v>2100</v>
      </c>
      <c r="F13212" t="s">
        <v>13219</v>
      </c>
      <c r="G13212">
        <v>1</v>
      </c>
    </row>
    <row r="13213" spans="1:7" x14ac:dyDescent="0.25">
      <c r="A13213">
        <v>38</v>
      </c>
      <c r="B13213" t="s">
        <v>11969</v>
      </c>
      <c r="C13213">
        <v>5000057</v>
      </c>
      <c r="E13213" t="s">
        <v>2100</v>
      </c>
      <c r="F13213" t="s">
        <v>13220</v>
      </c>
      <c r="G13213">
        <v>1</v>
      </c>
    </row>
    <row r="13214" spans="1:7" x14ac:dyDescent="0.25">
      <c r="A13214">
        <v>38</v>
      </c>
      <c r="B13214" t="s">
        <v>11969</v>
      </c>
      <c r="C13214">
        <v>5000334</v>
      </c>
      <c r="E13214" t="s">
        <v>2100</v>
      </c>
      <c r="F13214" t="s">
        <v>13221</v>
      </c>
      <c r="G13214">
        <v>1</v>
      </c>
    </row>
    <row r="13215" spans="1:7" x14ac:dyDescent="0.25">
      <c r="A13215">
        <v>38</v>
      </c>
      <c r="B13215" t="s">
        <v>11969</v>
      </c>
      <c r="C13215">
        <v>5000333</v>
      </c>
      <c r="E13215" t="s">
        <v>2100</v>
      </c>
      <c r="F13215" t="s">
        <v>13222</v>
      </c>
      <c r="G13215">
        <v>1</v>
      </c>
    </row>
    <row r="13216" spans="1:7" x14ac:dyDescent="0.25">
      <c r="A13216">
        <v>38</v>
      </c>
      <c r="B13216" t="s">
        <v>11969</v>
      </c>
      <c r="C13216">
        <v>5010540</v>
      </c>
      <c r="E13216" t="s">
        <v>2100</v>
      </c>
      <c r="F13216" t="s">
        <v>13223</v>
      </c>
      <c r="G13216">
        <v>1</v>
      </c>
    </row>
    <row r="13217" spans="1:7" x14ac:dyDescent="0.25">
      <c r="A13217">
        <v>38</v>
      </c>
      <c r="B13217" t="s">
        <v>11969</v>
      </c>
      <c r="C13217">
        <v>5010600</v>
      </c>
      <c r="E13217" t="s">
        <v>2100</v>
      </c>
      <c r="F13217" t="s">
        <v>13224</v>
      </c>
      <c r="G13217">
        <v>1</v>
      </c>
    </row>
    <row r="13218" spans="1:7" x14ac:dyDescent="0.25">
      <c r="A13218">
        <v>38</v>
      </c>
      <c r="B13218" t="s">
        <v>11969</v>
      </c>
      <c r="C13218">
        <v>5010754</v>
      </c>
      <c r="E13218" t="s">
        <v>2100</v>
      </c>
      <c r="F13218" t="s">
        <v>13225</v>
      </c>
      <c r="G13218">
        <v>1</v>
      </c>
    </row>
    <row r="13219" spans="1:7" x14ac:dyDescent="0.25">
      <c r="A13219">
        <v>38</v>
      </c>
      <c r="B13219" t="s">
        <v>11969</v>
      </c>
      <c r="C13219">
        <v>5010890</v>
      </c>
      <c r="E13219" t="s">
        <v>2100</v>
      </c>
      <c r="F13219" t="s">
        <v>13226</v>
      </c>
      <c r="G13219">
        <v>1</v>
      </c>
    </row>
    <row r="13220" spans="1:7" x14ac:dyDescent="0.25">
      <c r="A13220">
        <v>38</v>
      </c>
      <c r="B13220" t="s">
        <v>11969</v>
      </c>
      <c r="C13220">
        <v>5000633</v>
      </c>
      <c r="E13220" t="s">
        <v>2100</v>
      </c>
      <c r="F13220" t="s">
        <v>13227</v>
      </c>
      <c r="G13220">
        <v>1</v>
      </c>
    </row>
    <row r="13221" spans="1:7" x14ac:dyDescent="0.25">
      <c r="A13221">
        <v>38</v>
      </c>
      <c r="B13221" t="s">
        <v>11969</v>
      </c>
      <c r="C13221">
        <v>5010604</v>
      </c>
      <c r="E13221" t="s">
        <v>2100</v>
      </c>
      <c r="F13221" t="s">
        <v>13228</v>
      </c>
      <c r="G13221">
        <v>1</v>
      </c>
    </row>
    <row r="13222" spans="1:7" x14ac:dyDescent="0.25">
      <c r="A13222">
        <v>38</v>
      </c>
      <c r="B13222" t="s">
        <v>11969</v>
      </c>
      <c r="C13222">
        <v>5010915</v>
      </c>
      <c r="E13222" t="s">
        <v>2100</v>
      </c>
      <c r="F13222" t="s">
        <v>13229</v>
      </c>
      <c r="G13222">
        <v>1</v>
      </c>
    </row>
    <row r="13223" spans="1:7" x14ac:dyDescent="0.25">
      <c r="A13223">
        <v>38</v>
      </c>
      <c r="B13223" t="s">
        <v>11969</v>
      </c>
      <c r="C13223">
        <v>8781955</v>
      </c>
      <c r="E13223" t="s">
        <v>2100</v>
      </c>
      <c r="F13223" t="s">
        <v>13230</v>
      </c>
      <c r="G13223">
        <v>1</v>
      </c>
    </row>
    <row r="13224" spans="1:7" x14ac:dyDescent="0.25">
      <c r="A13224">
        <v>38</v>
      </c>
      <c r="B13224" t="s">
        <v>11969</v>
      </c>
      <c r="C13224">
        <v>5010181</v>
      </c>
      <c r="E13224" t="s">
        <v>2100</v>
      </c>
      <c r="F13224" t="s">
        <v>13231</v>
      </c>
      <c r="G13224">
        <v>1</v>
      </c>
    </row>
    <row r="13225" spans="1:7" x14ac:dyDescent="0.25">
      <c r="A13225">
        <v>38</v>
      </c>
      <c r="B13225" t="s">
        <v>11969</v>
      </c>
      <c r="C13225">
        <v>5000623</v>
      </c>
      <c r="E13225" t="s">
        <v>2100</v>
      </c>
      <c r="F13225" t="s">
        <v>13232</v>
      </c>
      <c r="G13225">
        <v>1</v>
      </c>
    </row>
    <row r="13226" spans="1:7" x14ac:dyDescent="0.25">
      <c r="A13226">
        <v>38</v>
      </c>
      <c r="B13226" t="s">
        <v>11969</v>
      </c>
      <c r="C13226">
        <v>5000467</v>
      </c>
      <c r="E13226" t="s">
        <v>2100</v>
      </c>
      <c r="F13226" t="s">
        <v>13233</v>
      </c>
      <c r="G13226">
        <v>1</v>
      </c>
    </row>
    <row r="13227" spans="1:7" x14ac:dyDescent="0.25">
      <c r="A13227">
        <v>38</v>
      </c>
      <c r="B13227" t="s">
        <v>11969</v>
      </c>
      <c r="C13227">
        <v>5010895</v>
      </c>
      <c r="E13227" t="s">
        <v>2100</v>
      </c>
      <c r="F13227" t="s">
        <v>13234</v>
      </c>
      <c r="G13227">
        <v>1</v>
      </c>
    </row>
    <row r="13228" spans="1:7" x14ac:dyDescent="0.25">
      <c r="A13228">
        <v>38</v>
      </c>
      <c r="B13228" t="s">
        <v>11969</v>
      </c>
      <c r="C13228">
        <v>5000404</v>
      </c>
      <c r="E13228" t="s">
        <v>2100</v>
      </c>
      <c r="F13228" t="s">
        <v>13235</v>
      </c>
      <c r="G13228">
        <v>1</v>
      </c>
    </row>
    <row r="13229" spans="1:7" x14ac:dyDescent="0.25">
      <c r="A13229">
        <v>38</v>
      </c>
      <c r="B13229" t="s">
        <v>11969</v>
      </c>
      <c r="C13229">
        <v>5000109</v>
      </c>
      <c r="E13229" t="s">
        <v>2100</v>
      </c>
      <c r="F13229" t="s">
        <v>13236</v>
      </c>
      <c r="G13229">
        <v>1</v>
      </c>
    </row>
    <row r="13230" spans="1:7" x14ac:dyDescent="0.25">
      <c r="A13230">
        <v>38</v>
      </c>
      <c r="B13230" t="s">
        <v>11969</v>
      </c>
      <c r="C13230">
        <v>5000009</v>
      </c>
      <c r="E13230" t="s">
        <v>2100</v>
      </c>
      <c r="F13230" t="s">
        <v>13237</v>
      </c>
      <c r="G13230">
        <v>1</v>
      </c>
    </row>
    <row r="13231" spans="1:7" x14ac:dyDescent="0.25">
      <c r="A13231">
        <v>38</v>
      </c>
      <c r="B13231" t="s">
        <v>11969</v>
      </c>
      <c r="C13231">
        <v>5010317</v>
      </c>
      <c r="E13231" t="s">
        <v>2100</v>
      </c>
      <c r="F13231" t="s">
        <v>13238</v>
      </c>
      <c r="G13231">
        <v>1</v>
      </c>
    </row>
    <row r="13232" spans="1:7" x14ac:dyDescent="0.25">
      <c r="A13232">
        <v>38</v>
      </c>
      <c r="B13232" t="s">
        <v>11969</v>
      </c>
      <c r="C13232">
        <v>5010292</v>
      </c>
      <c r="E13232" t="s">
        <v>2100</v>
      </c>
      <c r="F13232" t="s">
        <v>13239</v>
      </c>
      <c r="G13232">
        <v>1</v>
      </c>
    </row>
    <row r="13233" spans="1:7" x14ac:dyDescent="0.25">
      <c r="A13233">
        <v>38</v>
      </c>
      <c r="B13233" t="s">
        <v>11969</v>
      </c>
      <c r="C13233">
        <v>5010867</v>
      </c>
      <c r="E13233" t="s">
        <v>2100</v>
      </c>
      <c r="F13233" t="s">
        <v>13240</v>
      </c>
      <c r="G13233">
        <v>1</v>
      </c>
    </row>
    <row r="13234" spans="1:7" x14ac:dyDescent="0.25">
      <c r="A13234">
        <v>38</v>
      </c>
      <c r="B13234" t="s">
        <v>11969</v>
      </c>
      <c r="C13234">
        <v>5010528</v>
      </c>
      <c r="E13234" t="s">
        <v>2100</v>
      </c>
      <c r="F13234" t="s">
        <v>13241</v>
      </c>
      <c r="G13234">
        <v>1</v>
      </c>
    </row>
    <row r="13235" spans="1:7" x14ac:dyDescent="0.25">
      <c r="A13235">
        <v>38</v>
      </c>
      <c r="B13235" t="s">
        <v>11969</v>
      </c>
      <c r="C13235">
        <v>5010762</v>
      </c>
      <c r="E13235" t="s">
        <v>2100</v>
      </c>
      <c r="F13235" t="s">
        <v>13242</v>
      </c>
      <c r="G13235">
        <v>1</v>
      </c>
    </row>
    <row r="13236" spans="1:7" x14ac:dyDescent="0.25">
      <c r="A13236">
        <v>38</v>
      </c>
      <c r="B13236" t="s">
        <v>11969</v>
      </c>
      <c r="C13236">
        <v>5010492</v>
      </c>
      <c r="E13236" t="s">
        <v>2100</v>
      </c>
      <c r="F13236" t="s">
        <v>13243</v>
      </c>
      <c r="G13236">
        <v>1</v>
      </c>
    </row>
    <row r="13237" spans="1:7" x14ac:dyDescent="0.25">
      <c r="A13237">
        <v>38</v>
      </c>
      <c r="B13237" t="s">
        <v>11969</v>
      </c>
      <c r="C13237">
        <v>5010541</v>
      </c>
      <c r="E13237" t="s">
        <v>2100</v>
      </c>
      <c r="F13237" t="s">
        <v>13244</v>
      </c>
      <c r="G13237">
        <v>1</v>
      </c>
    </row>
    <row r="13238" spans="1:7" x14ac:dyDescent="0.25">
      <c r="A13238">
        <v>38</v>
      </c>
      <c r="B13238" t="s">
        <v>11969</v>
      </c>
      <c r="C13238">
        <v>5010360</v>
      </c>
      <c r="E13238" t="s">
        <v>2100</v>
      </c>
      <c r="F13238" t="s">
        <v>13245</v>
      </c>
      <c r="G13238">
        <v>1</v>
      </c>
    </row>
    <row r="13239" spans="1:7" x14ac:dyDescent="0.25">
      <c r="A13239">
        <v>38</v>
      </c>
      <c r="B13239" t="s">
        <v>11969</v>
      </c>
      <c r="C13239">
        <v>5000475</v>
      </c>
      <c r="E13239" t="s">
        <v>2100</v>
      </c>
      <c r="F13239" t="s">
        <v>13246</v>
      </c>
      <c r="G13239">
        <v>1</v>
      </c>
    </row>
    <row r="13240" spans="1:7" x14ac:dyDescent="0.25">
      <c r="A13240">
        <v>38</v>
      </c>
      <c r="B13240" t="s">
        <v>11969</v>
      </c>
      <c r="C13240">
        <v>5010761</v>
      </c>
      <c r="E13240" t="s">
        <v>2100</v>
      </c>
      <c r="F13240" t="s">
        <v>13247</v>
      </c>
      <c r="G13240">
        <v>1</v>
      </c>
    </row>
    <row r="13241" spans="1:7" x14ac:dyDescent="0.25">
      <c r="A13241">
        <v>38</v>
      </c>
      <c r="B13241" t="s">
        <v>11969</v>
      </c>
      <c r="C13241">
        <v>5000558</v>
      </c>
      <c r="E13241" t="s">
        <v>2100</v>
      </c>
      <c r="F13241" t="s">
        <v>13248</v>
      </c>
      <c r="G13241">
        <v>1</v>
      </c>
    </row>
    <row r="13242" spans="1:7" x14ac:dyDescent="0.25">
      <c r="A13242">
        <v>38</v>
      </c>
      <c r="B13242" t="s">
        <v>11969</v>
      </c>
      <c r="C13242">
        <v>5000557</v>
      </c>
      <c r="E13242" t="s">
        <v>2100</v>
      </c>
      <c r="F13242" t="s">
        <v>13249</v>
      </c>
      <c r="G13242">
        <v>1</v>
      </c>
    </row>
    <row r="13243" spans="1:7" x14ac:dyDescent="0.25">
      <c r="A13243">
        <v>38</v>
      </c>
      <c r="B13243" t="s">
        <v>11969</v>
      </c>
      <c r="C13243">
        <v>5000270</v>
      </c>
      <c r="E13243" t="s">
        <v>2100</v>
      </c>
      <c r="F13243" t="s">
        <v>13250</v>
      </c>
      <c r="G13243">
        <v>1</v>
      </c>
    </row>
    <row r="13244" spans="1:7" x14ac:dyDescent="0.25">
      <c r="A13244">
        <v>38</v>
      </c>
      <c r="B13244" t="s">
        <v>11969</v>
      </c>
      <c r="C13244">
        <v>22832</v>
      </c>
      <c r="D13244" t="str">
        <f>"1743-8225"</f>
        <v>1743-8225</v>
      </c>
      <c r="E13244" t="s">
        <v>8</v>
      </c>
      <c r="F13244" t="s">
        <v>13251</v>
      </c>
      <c r="G13244">
        <v>1</v>
      </c>
    </row>
    <row r="13245" spans="1:7" x14ac:dyDescent="0.25">
      <c r="A13245">
        <v>38</v>
      </c>
      <c r="B13245" t="s">
        <v>11969</v>
      </c>
      <c r="C13245">
        <v>21105</v>
      </c>
      <c r="D13245" t="str">
        <f>"1462-4613"</f>
        <v>1462-4613</v>
      </c>
      <c r="E13245" t="s">
        <v>8</v>
      </c>
      <c r="F13245" t="s">
        <v>13252</v>
      </c>
      <c r="G13245">
        <v>1</v>
      </c>
    </row>
    <row r="13246" spans="1:7" x14ac:dyDescent="0.25">
      <c r="A13246">
        <v>38</v>
      </c>
      <c r="B13246" t="s">
        <v>11969</v>
      </c>
      <c r="C13246">
        <v>26080</v>
      </c>
      <c r="D13246" t="str">
        <f>"1753-0563"</f>
        <v>1753-0563</v>
      </c>
      <c r="E13246" t="s">
        <v>8</v>
      </c>
      <c r="F13246" t="s">
        <v>13253</v>
      </c>
      <c r="G13246">
        <v>1</v>
      </c>
    </row>
    <row r="13247" spans="1:7" x14ac:dyDescent="0.25">
      <c r="A13247">
        <v>38</v>
      </c>
      <c r="B13247" t="s">
        <v>11969</v>
      </c>
      <c r="C13247">
        <v>24290</v>
      </c>
      <c r="D13247" t="str">
        <f>"1743-8187"</f>
        <v>1743-8187</v>
      </c>
      <c r="E13247" t="s">
        <v>8</v>
      </c>
      <c r="F13247" t="s">
        <v>13254</v>
      </c>
      <c r="G13247">
        <v>1</v>
      </c>
    </row>
    <row r="13248" spans="1:7" x14ac:dyDescent="0.25">
      <c r="A13248">
        <v>38</v>
      </c>
      <c r="B13248" t="s">
        <v>11969</v>
      </c>
      <c r="C13248">
        <v>19453</v>
      </c>
      <c r="D13248" t="str">
        <f>"1557-3958"</f>
        <v>1557-3958</v>
      </c>
      <c r="E13248" t="s">
        <v>8</v>
      </c>
      <c r="F13248" t="s">
        <v>13255</v>
      </c>
      <c r="G13248">
        <v>1</v>
      </c>
    </row>
    <row r="13249" spans="1:7" x14ac:dyDescent="0.25">
      <c r="A13249">
        <v>38</v>
      </c>
      <c r="B13249" t="s">
        <v>11969</v>
      </c>
      <c r="C13249">
        <v>308</v>
      </c>
      <c r="D13249" t="str">
        <f>"1074-5351"</f>
        <v>1074-5351</v>
      </c>
      <c r="E13249" t="s">
        <v>8</v>
      </c>
      <c r="F13249" t="s">
        <v>13256</v>
      </c>
      <c r="G13249">
        <v>1</v>
      </c>
    </row>
    <row r="13250" spans="1:7" x14ac:dyDescent="0.25">
      <c r="A13250">
        <v>38</v>
      </c>
      <c r="B13250" t="s">
        <v>11969</v>
      </c>
      <c r="C13250">
        <v>7520</v>
      </c>
      <c r="D13250" t="str">
        <f>"1469-0268"</f>
        <v>1469-0268</v>
      </c>
      <c r="E13250" t="s">
        <v>8</v>
      </c>
      <c r="F13250" t="s">
        <v>13257</v>
      </c>
      <c r="G13250">
        <v>1</v>
      </c>
    </row>
    <row r="13251" spans="1:7" x14ac:dyDescent="0.25">
      <c r="A13251">
        <v>38</v>
      </c>
      <c r="B13251" t="s">
        <v>11969</v>
      </c>
      <c r="C13251">
        <v>3028</v>
      </c>
      <c r="D13251" t="str">
        <f>"0952-8091"</f>
        <v>0952-8091</v>
      </c>
      <c r="E13251" t="s">
        <v>8</v>
      </c>
      <c r="F13251" t="s">
        <v>13258</v>
      </c>
      <c r="G13251">
        <v>1</v>
      </c>
    </row>
    <row r="13252" spans="1:7" x14ac:dyDescent="0.25">
      <c r="A13252">
        <v>38</v>
      </c>
      <c r="B13252" t="s">
        <v>11969</v>
      </c>
      <c r="C13252">
        <v>27396</v>
      </c>
      <c r="D13252" t="str">
        <f>"1535-6698"</f>
        <v>1535-6698</v>
      </c>
      <c r="E13252" t="s">
        <v>8</v>
      </c>
      <c r="F13252" t="s">
        <v>13259</v>
      </c>
      <c r="G13252">
        <v>1</v>
      </c>
    </row>
    <row r="13253" spans="1:7" x14ac:dyDescent="0.25">
      <c r="A13253">
        <v>38</v>
      </c>
      <c r="B13253" t="s">
        <v>11969</v>
      </c>
      <c r="C13253">
        <v>14136</v>
      </c>
      <c r="E13253" t="s">
        <v>8</v>
      </c>
      <c r="F13253" t="s">
        <v>13260</v>
      </c>
      <c r="G13253">
        <v>1</v>
      </c>
    </row>
    <row r="13254" spans="1:7" x14ac:dyDescent="0.25">
      <c r="A13254">
        <v>38</v>
      </c>
      <c r="B13254" t="s">
        <v>11969</v>
      </c>
      <c r="C13254">
        <v>180175</v>
      </c>
      <c r="E13254" t="s">
        <v>8</v>
      </c>
      <c r="F13254" t="s">
        <v>13261</v>
      </c>
      <c r="G13254">
        <v>1</v>
      </c>
    </row>
    <row r="13255" spans="1:7" x14ac:dyDescent="0.25">
      <c r="A13255">
        <v>38</v>
      </c>
      <c r="B13255" t="s">
        <v>11969</v>
      </c>
      <c r="C13255">
        <v>305</v>
      </c>
      <c r="D13255" t="str">
        <f>"0267-6192"</f>
        <v>0267-6192</v>
      </c>
      <c r="E13255" t="s">
        <v>8</v>
      </c>
      <c r="F13255" t="s">
        <v>13262</v>
      </c>
      <c r="G13255">
        <v>1</v>
      </c>
    </row>
    <row r="13256" spans="1:7" x14ac:dyDescent="0.25">
      <c r="A13256">
        <v>38</v>
      </c>
      <c r="B13256" t="s">
        <v>11969</v>
      </c>
      <c r="C13256">
        <v>17147</v>
      </c>
      <c r="D13256" t="str">
        <f>"0218-8430"</f>
        <v>0218-8430</v>
      </c>
      <c r="E13256" t="s">
        <v>8</v>
      </c>
      <c r="F13256" t="s">
        <v>13263</v>
      </c>
      <c r="G13256">
        <v>1</v>
      </c>
    </row>
    <row r="13257" spans="1:7" x14ac:dyDescent="0.25">
      <c r="A13257">
        <v>38</v>
      </c>
      <c r="B13257" t="s">
        <v>11969</v>
      </c>
      <c r="C13257">
        <v>17469</v>
      </c>
      <c r="D13257" t="str">
        <f>"1748-5673"</f>
        <v>1748-5673</v>
      </c>
      <c r="E13257" t="s">
        <v>8</v>
      </c>
      <c r="F13257" t="s">
        <v>13264</v>
      </c>
      <c r="G13257">
        <v>1</v>
      </c>
    </row>
    <row r="13258" spans="1:7" x14ac:dyDescent="0.25">
      <c r="A13258">
        <v>38</v>
      </c>
      <c r="B13258" t="s">
        <v>11969</v>
      </c>
      <c r="C13258">
        <v>26430</v>
      </c>
      <c r="D13258" t="str">
        <f>"1548-3924"</f>
        <v>1548-3924</v>
      </c>
      <c r="E13258" t="s">
        <v>8</v>
      </c>
      <c r="F13258" t="s">
        <v>13265</v>
      </c>
      <c r="G13258">
        <v>1</v>
      </c>
    </row>
    <row r="13259" spans="1:7" x14ac:dyDescent="0.25">
      <c r="A13259">
        <v>38</v>
      </c>
      <c r="B13259" t="s">
        <v>11969</v>
      </c>
      <c r="C13259">
        <v>20016</v>
      </c>
      <c r="D13259" t="str">
        <f>"1742-7509"</f>
        <v>1742-7509</v>
      </c>
      <c r="E13259" t="s">
        <v>8</v>
      </c>
      <c r="F13259" t="s">
        <v>13266</v>
      </c>
      <c r="G13259">
        <v>1</v>
      </c>
    </row>
    <row r="13260" spans="1:7" x14ac:dyDescent="0.25">
      <c r="A13260">
        <v>38</v>
      </c>
      <c r="B13260" t="s">
        <v>11969</v>
      </c>
      <c r="C13260">
        <v>25971</v>
      </c>
      <c r="D13260" t="str">
        <f>"1741-8453"</f>
        <v>1741-8453</v>
      </c>
      <c r="E13260" t="s">
        <v>8</v>
      </c>
      <c r="F13260" t="s">
        <v>13267</v>
      </c>
      <c r="G13260">
        <v>1</v>
      </c>
    </row>
    <row r="13261" spans="1:7" x14ac:dyDescent="0.25">
      <c r="A13261">
        <v>38</v>
      </c>
      <c r="B13261" t="s">
        <v>11969</v>
      </c>
      <c r="C13261">
        <v>6157804</v>
      </c>
      <c r="D13261" t="str">
        <f>"1757-2703"</f>
        <v>1757-2703</v>
      </c>
      <c r="E13261" t="s">
        <v>8</v>
      </c>
      <c r="F13261" t="s">
        <v>13268</v>
      </c>
      <c r="G13261">
        <v>1</v>
      </c>
    </row>
    <row r="13262" spans="1:7" x14ac:dyDescent="0.25">
      <c r="A13262">
        <v>38</v>
      </c>
      <c r="B13262" t="s">
        <v>11969</v>
      </c>
      <c r="C13262">
        <v>14520</v>
      </c>
      <c r="D13262" t="str">
        <f>"1094-3420"</f>
        <v>1094-3420</v>
      </c>
      <c r="E13262" t="s">
        <v>8</v>
      </c>
      <c r="F13262" t="s">
        <v>13269</v>
      </c>
      <c r="G13262">
        <v>1</v>
      </c>
    </row>
    <row r="13263" spans="1:7" x14ac:dyDescent="0.25">
      <c r="A13263">
        <v>38</v>
      </c>
      <c r="B13263" t="s">
        <v>11969</v>
      </c>
      <c r="C13263">
        <v>3060</v>
      </c>
      <c r="D13263" t="str">
        <f>"1448-5869"</f>
        <v>1448-5869</v>
      </c>
      <c r="E13263" t="s">
        <v>8</v>
      </c>
      <c r="F13263" t="s">
        <v>13270</v>
      </c>
      <c r="G13263">
        <v>1</v>
      </c>
    </row>
    <row r="13264" spans="1:7" x14ac:dyDescent="0.25">
      <c r="A13264">
        <v>38</v>
      </c>
      <c r="B13264" t="s">
        <v>11969</v>
      </c>
      <c r="C13264">
        <v>10445</v>
      </c>
      <c r="D13264" t="str">
        <f>"0899-9457"</f>
        <v>0899-9457</v>
      </c>
      <c r="E13264" t="s">
        <v>8</v>
      </c>
      <c r="F13264" t="s">
        <v>13271</v>
      </c>
      <c r="G13264">
        <v>1</v>
      </c>
    </row>
    <row r="13265" spans="1:7" x14ac:dyDescent="0.25">
      <c r="A13265">
        <v>38</v>
      </c>
      <c r="B13265" t="s">
        <v>11969</v>
      </c>
      <c r="C13265">
        <v>151932</v>
      </c>
      <c r="D13265" t="str">
        <f>"1756-378X"</f>
        <v>1756-378X</v>
      </c>
      <c r="E13265" t="s">
        <v>8</v>
      </c>
      <c r="F13265" t="s">
        <v>13272</v>
      </c>
      <c r="G13265">
        <v>1</v>
      </c>
    </row>
    <row r="13266" spans="1:7" x14ac:dyDescent="0.25">
      <c r="A13266">
        <v>38</v>
      </c>
      <c r="B13266" t="s">
        <v>11969</v>
      </c>
      <c r="C13266">
        <v>27142</v>
      </c>
      <c r="D13266" t="str">
        <f>"1477-2043"</f>
        <v>1477-2043</v>
      </c>
      <c r="E13266" t="s">
        <v>8</v>
      </c>
      <c r="F13266" t="s">
        <v>13273</v>
      </c>
      <c r="G13266">
        <v>1</v>
      </c>
    </row>
    <row r="13267" spans="1:7" x14ac:dyDescent="0.25">
      <c r="A13267">
        <v>38</v>
      </c>
      <c r="B13267" t="s">
        <v>11969</v>
      </c>
      <c r="C13267">
        <v>26262</v>
      </c>
      <c r="D13267" t="str">
        <f>"1751-5858"</f>
        <v>1751-5858</v>
      </c>
      <c r="E13267" t="s">
        <v>8</v>
      </c>
      <c r="F13267" t="s">
        <v>13274</v>
      </c>
      <c r="G13267">
        <v>1</v>
      </c>
    </row>
    <row r="13268" spans="1:7" x14ac:dyDescent="0.25">
      <c r="A13268">
        <v>38</v>
      </c>
      <c r="B13268" t="s">
        <v>11969</v>
      </c>
      <c r="C13268">
        <v>7575</v>
      </c>
      <c r="D13268" t="str">
        <f>"1548-3657"</f>
        <v>1548-3657</v>
      </c>
      <c r="E13268" t="s">
        <v>8</v>
      </c>
      <c r="F13268" t="s">
        <v>13275</v>
      </c>
      <c r="G13268">
        <v>1</v>
      </c>
    </row>
    <row r="13269" spans="1:7" x14ac:dyDescent="0.25">
      <c r="A13269">
        <v>38</v>
      </c>
      <c r="B13269" t="s">
        <v>11969</v>
      </c>
      <c r="C13269">
        <v>6107</v>
      </c>
      <c r="D13269" t="str">
        <f>"0884-8173"</f>
        <v>0884-8173</v>
      </c>
      <c r="E13269" t="s">
        <v>8</v>
      </c>
      <c r="F13269" t="s">
        <v>13276</v>
      </c>
      <c r="G13269">
        <v>1</v>
      </c>
    </row>
    <row r="13270" spans="1:7" x14ac:dyDescent="0.25">
      <c r="A13270">
        <v>38</v>
      </c>
      <c r="B13270" t="s">
        <v>11969</v>
      </c>
      <c r="C13270">
        <v>16607</v>
      </c>
      <c r="D13270" t="str">
        <f>"1740-8865"</f>
        <v>1740-8865</v>
      </c>
      <c r="E13270" t="s">
        <v>8</v>
      </c>
      <c r="F13270" t="s">
        <v>13277</v>
      </c>
      <c r="G13270">
        <v>1</v>
      </c>
    </row>
    <row r="13271" spans="1:7" x14ac:dyDescent="0.25">
      <c r="A13271">
        <v>38</v>
      </c>
      <c r="B13271" t="s">
        <v>11969</v>
      </c>
      <c r="C13271">
        <v>27464</v>
      </c>
      <c r="E13271" t="s">
        <v>8</v>
      </c>
      <c r="F13271" t="s">
        <v>13278</v>
      </c>
      <c r="G13271">
        <v>1</v>
      </c>
    </row>
    <row r="13272" spans="1:7" x14ac:dyDescent="0.25">
      <c r="A13272">
        <v>38</v>
      </c>
      <c r="B13272" t="s">
        <v>11969</v>
      </c>
      <c r="C13272">
        <v>19125</v>
      </c>
      <c r="D13272" t="str">
        <f>"1743-8209"</f>
        <v>1743-8209</v>
      </c>
      <c r="E13272" t="s">
        <v>8</v>
      </c>
      <c r="F13272" t="s">
        <v>13279</v>
      </c>
      <c r="G13272">
        <v>1</v>
      </c>
    </row>
    <row r="13273" spans="1:7" x14ac:dyDescent="0.25">
      <c r="A13273">
        <v>38</v>
      </c>
      <c r="B13273" t="s">
        <v>11969</v>
      </c>
      <c r="C13273">
        <v>18757</v>
      </c>
      <c r="D13273" t="str">
        <f>"1750-0591"</f>
        <v>1750-0591</v>
      </c>
      <c r="E13273" t="s">
        <v>8</v>
      </c>
      <c r="F13273" t="s">
        <v>13280</v>
      </c>
      <c r="G13273">
        <v>1</v>
      </c>
    </row>
    <row r="13274" spans="1:7" x14ac:dyDescent="0.25">
      <c r="A13274">
        <v>38</v>
      </c>
      <c r="B13274" t="s">
        <v>11969</v>
      </c>
      <c r="C13274">
        <v>21401</v>
      </c>
      <c r="D13274" t="str">
        <f>"1744-2621"</f>
        <v>1744-2621</v>
      </c>
      <c r="E13274" t="s">
        <v>8</v>
      </c>
      <c r="F13274" t="s">
        <v>13281</v>
      </c>
      <c r="G13274">
        <v>1</v>
      </c>
    </row>
    <row r="13275" spans="1:7" x14ac:dyDescent="0.25">
      <c r="A13275">
        <v>38</v>
      </c>
      <c r="B13275" t="s">
        <v>11969</v>
      </c>
      <c r="C13275">
        <v>27350</v>
      </c>
      <c r="D13275" t="str">
        <f>"1755-2176"</f>
        <v>1755-2176</v>
      </c>
      <c r="E13275" t="s">
        <v>8</v>
      </c>
      <c r="F13275" t="s">
        <v>13282</v>
      </c>
      <c r="G13275">
        <v>1</v>
      </c>
    </row>
    <row r="13276" spans="1:7" x14ac:dyDescent="0.25">
      <c r="A13276">
        <v>38</v>
      </c>
      <c r="B13276" t="s">
        <v>11969</v>
      </c>
      <c r="C13276">
        <v>6158181</v>
      </c>
      <c r="D13276" t="str">
        <f>"1942-390X"</f>
        <v>1942-390X</v>
      </c>
      <c r="E13276" t="s">
        <v>8</v>
      </c>
      <c r="F13276" t="s">
        <v>13283</v>
      </c>
      <c r="G13276">
        <v>1</v>
      </c>
    </row>
    <row r="13277" spans="1:7" x14ac:dyDescent="0.25">
      <c r="A13277">
        <v>38</v>
      </c>
      <c r="B13277" t="s">
        <v>11969</v>
      </c>
      <c r="C13277">
        <v>5717</v>
      </c>
      <c r="D13277" t="str">
        <f>"0129-0657"</f>
        <v>0129-0657</v>
      </c>
      <c r="E13277" t="s">
        <v>8</v>
      </c>
      <c r="F13277" t="s">
        <v>13284</v>
      </c>
      <c r="G13277">
        <v>1</v>
      </c>
    </row>
    <row r="13278" spans="1:7" x14ac:dyDescent="0.25">
      <c r="A13278">
        <v>38</v>
      </c>
      <c r="B13278" t="s">
        <v>11969</v>
      </c>
      <c r="C13278">
        <v>2780</v>
      </c>
      <c r="D13278" t="str">
        <f>"1744-5760"</f>
        <v>1744-5760</v>
      </c>
      <c r="E13278" t="s">
        <v>8</v>
      </c>
      <c r="F13278" t="s">
        <v>13285</v>
      </c>
      <c r="G13278">
        <v>1</v>
      </c>
    </row>
    <row r="13279" spans="1:7" x14ac:dyDescent="0.25">
      <c r="A13279">
        <v>38</v>
      </c>
      <c r="B13279" t="s">
        <v>11969</v>
      </c>
      <c r="C13279">
        <v>16050</v>
      </c>
      <c r="D13279" t="str">
        <f>"0218-0014"</f>
        <v>0218-0014</v>
      </c>
      <c r="E13279" t="s">
        <v>8</v>
      </c>
      <c r="F13279" t="s">
        <v>13286</v>
      </c>
      <c r="G13279">
        <v>1</v>
      </c>
    </row>
    <row r="13280" spans="1:7" x14ac:dyDescent="0.25">
      <c r="A13280">
        <v>38</v>
      </c>
      <c r="B13280" t="s">
        <v>11969</v>
      </c>
      <c r="C13280">
        <v>17596</v>
      </c>
      <c r="D13280" t="str">
        <f>"0219-7499"</f>
        <v>0219-7499</v>
      </c>
      <c r="E13280" t="s">
        <v>8</v>
      </c>
      <c r="F13280" t="s">
        <v>13287</v>
      </c>
      <c r="G13280">
        <v>1</v>
      </c>
    </row>
    <row r="13281" spans="1:7" x14ac:dyDescent="0.25">
      <c r="A13281">
        <v>38</v>
      </c>
      <c r="B13281" t="s">
        <v>11969</v>
      </c>
      <c r="C13281">
        <v>19436</v>
      </c>
      <c r="D13281" t="str">
        <f>"1745-3216"</f>
        <v>1745-3216</v>
      </c>
      <c r="E13281" t="s">
        <v>8</v>
      </c>
      <c r="F13281" t="s">
        <v>13288</v>
      </c>
      <c r="G13281">
        <v>1</v>
      </c>
    </row>
    <row r="13282" spans="1:7" x14ac:dyDescent="0.25">
      <c r="A13282">
        <v>38</v>
      </c>
      <c r="B13282" t="s">
        <v>11969</v>
      </c>
      <c r="C13282">
        <v>25528</v>
      </c>
      <c r="D13282" t="str">
        <f>"1474-2748"</f>
        <v>1474-2748</v>
      </c>
      <c r="E13282" t="s">
        <v>8</v>
      </c>
      <c r="F13282" t="s">
        <v>13289</v>
      </c>
      <c r="G13282">
        <v>1</v>
      </c>
    </row>
    <row r="13283" spans="1:7" x14ac:dyDescent="0.25">
      <c r="A13283">
        <v>38</v>
      </c>
      <c r="B13283" t="s">
        <v>11969</v>
      </c>
      <c r="C13283">
        <v>2522</v>
      </c>
      <c r="D13283" t="str">
        <f>"0218-4885"</f>
        <v>0218-4885</v>
      </c>
      <c r="E13283" t="s">
        <v>8</v>
      </c>
      <c r="F13283" t="s">
        <v>13290</v>
      </c>
      <c r="G13283">
        <v>1</v>
      </c>
    </row>
    <row r="13284" spans="1:7" x14ac:dyDescent="0.25">
      <c r="A13284">
        <v>38</v>
      </c>
      <c r="B13284" t="s">
        <v>11969</v>
      </c>
      <c r="C13284">
        <v>60792</v>
      </c>
      <c r="D13284" t="str">
        <f>"1548-7199"</f>
        <v>1548-7199</v>
      </c>
      <c r="E13284" t="s">
        <v>8</v>
      </c>
      <c r="F13284" t="s">
        <v>13291</v>
      </c>
      <c r="G13284">
        <v>1</v>
      </c>
    </row>
    <row r="13285" spans="1:7" x14ac:dyDescent="0.25">
      <c r="A13285">
        <v>38</v>
      </c>
      <c r="B13285" t="s">
        <v>11969</v>
      </c>
      <c r="C13285">
        <v>18920</v>
      </c>
      <c r="D13285" t="str">
        <f>"1741-1106"</f>
        <v>1741-1106</v>
      </c>
      <c r="E13285" t="s">
        <v>8</v>
      </c>
      <c r="F13285" t="s">
        <v>13292</v>
      </c>
      <c r="G13285">
        <v>1</v>
      </c>
    </row>
    <row r="13286" spans="1:7" x14ac:dyDescent="0.25">
      <c r="A13286">
        <v>38</v>
      </c>
      <c r="B13286" t="s">
        <v>11969</v>
      </c>
      <c r="C13286">
        <v>25702</v>
      </c>
      <c r="D13286" t="str">
        <f>"1476-1289"</f>
        <v>1476-1289</v>
      </c>
      <c r="E13286" t="s">
        <v>8</v>
      </c>
      <c r="F13286" t="s">
        <v>13293</v>
      </c>
      <c r="G13286">
        <v>1</v>
      </c>
    </row>
    <row r="13287" spans="1:7" x14ac:dyDescent="0.25">
      <c r="A13287">
        <v>38</v>
      </c>
      <c r="B13287" t="s">
        <v>11969</v>
      </c>
      <c r="C13287">
        <v>27145</v>
      </c>
      <c r="D13287" t="str">
        <f>"1744-0084"</f>
        <v>1744-0084</v>
      </c>
      <c r="E13287" t="s">
        <v>8</v>
      </c>
      <c r="F13287" t="s">
        <v>13294</v>
      </c>
      <c r="G13287">
        <v>1</v>
      </c>
    </row>
    <row r="13288" spans="1:7" x14ac:dyDescent="0.25">
      <c r="A13288">
        <v>38</v>
      </c>
      <c r="B13288" t="s">
        <v>11969</v>
      </c>
      <c r="C13288">
        <v>9717</v>
      </c>
      <c r="D13288" t="str">
        <f>"1545-7362"</f>
        <v>1545-7362</v>
      </c>
      <c r="E13288" t="s">
        <v>8</v>
      </c>
      <c r="F13288" t="s">
        <v>13295</v>
      </c>
      <c r="G13288">
        <v>1</v>
      </c>
    </row>
    <row r="13289" spans="1:7" x14ac:dyDescent="0.25">
      <c r="A13289">
        <v>38</v>
      </c>
      <c r="B13289" t="s">
        <v>11969</v>
      </c>
      <c r="C13289">
        <v>21649</v>
      </c>
      <c r="D13289" t="str">
        <f>"1741-1084"</f>
        <v>1741-1084</v>
      </c>
      <c r="E13289" t="s">
        <v>8</v>
      </c>
      <c r="F13289" t="s">
        <v>13296</v>
      </c>
      <c r="G13289">
        <v>1</v>
      </c>
    </row>
    <row r="13290" spans="1:7" x14ac:dyDescent="0.25">
      <c r="A13290">
        <v>38</v>
      </c>
      <c r="B13290" t="s">
        <v>11969</v>
      </c>
      <c r="C13290">
        <v>6959</v>
      </c>
      <c r="D13290" t="str">
        <f>"0218-2130"</f>
        <v>0218-2130</v>
      </c>
      <c r="E13290" t="s">
        <v>8</v>
      </c>
      <c r="F13290" t="s">
        <v>13297</v>
      </c>
      <c r="G13290">
        <v>1</v>
      </c>
    </row>
    <row r="13291" spans="1:7" x14ac:dyDescent="0.25">
      <c r="A13291">
        <v>38</v>
      </c>
      <c r="B13291" t="s">
        <v>11969</v>
      </c>
      <c r="C13291">
        <v>8782552</v>
      </c>
      <c r="D13291" t="str">
        <f>"2057-2182"</f>
        <v>2057-2182</v>
      </c>
      <c r="E13291" t="s">
        <v>8</v>
      </c>
      <c r="F13291" t="s">
        <v>13298</v>
      </c>
      <c r="G13291">
        <v>1</v>
      </c>
    </row>
    <row r="13292" spans="1:7" x14ac:dyDescent="0.25">
      <c r="A13292">
        <v>38</v>
      </c>
      <c r="B13292" t="s">
        <v>11969</v>
      </c>
      <c r="C13292">
        <v>3697</v>
      </c>
      <c r="D13292" t="str">
        <f>"1433-2779"</f>
        <v>1433-2779</v>
      </c>
      <c r="E13292" t="s">
        <v>8</v>
      </c>
      <c r="F13292" t="s">
        <v>13299</v>
      </c>
      <c r="G13292">
        <v>1</v>
      </c>
    </row>
    <row r="13293" spans="1:7" x14ac:dyDescent="0.25">
      <c r="A13293">
        <v>38</v>
      </c>
      <c r="B13293" t="s">
        <v>11969</v>
      </c>
      <c r="C13293">
        <v>5010146</v>
      </c>
      <c r="E13293" t="s">
        <v>2100</v>
      </c>
      <c r="F13293" t="s">
        <v>13300</v>
      </c>
      <c r="G13293">
        <v>1</v>
      </c>
    </row>
    <row r="13294" spans="1:7" x14ac:dyDescent="0.25">
      <c r="A13294">
        <v>38</v>
      </c>
      <c r="B13294" t="s">
        <v>11969</v>
      </c>
      <c r="C13294">
        <v>5010426</v>
      </c>
      <c r="E13294" t="s">
        <v>2100</v>
      </c>
      <c r="F13294" t="s">
        <v>13301</v>
      </c>
      <c r="G13294">
        <v>1</v>
      </c>
    </row>
    <row r="13295" spans="1:7" x14ac:dyDescent="0.25">
      <c r="A13295">
        <v>38</v>
      </c>
      <c r="B13295" t="s">
        <v>11969</v>
      </c>
      <c r="C13295">
        <v>5010476</v>
      </c>
      <c r="E13295" t="s">
        <v>2100</v>
      </c>
      <c r="F13295" t="s">
        <v>13302</v>
      </c>
      <c r="G13295">
        <v>1</v>
      </c>
    </row>
    <row r="13296" spans="1:7" x14ac:dyDescent="0.25">
      <c r="A13296">
        <v>38</v>
      </c>
      <c r="B13296" t="s">
        <v>11969</v>
      </c>
      <c r="C13296">
        <v>5010297</v>
      </c>
      <c r="E13296" t="s">
        <v>2100</v>
      </c>
      <c r="F13296" t="s">
        <v>13303</v>
      </c>
      <c r="G13296">
        <v>1</v>
      </c>
    </row>
    <row r="13297" spans="1:7" x14ac:dyDescent="0.25">
      <c r="A13297">
        <v>38</v>
      </c>
      <c r="B13297" t="s">
        <v>11969</v>
      </c>
      <c r="C13297">
        <v>5000566</v>
      </c>
      <c r="E13297" t="s">
        <v>2100</v>
      </c>
      <c r="F13297" t="s">
        <v>13304</v>
      </c>
      <c r="G13297">
        <v>1</v>
      </c>
    </row>
    <row r="13298" spans="1:7" x14ac:dyDescent="0.25">
      <c r="A13298">
        <v>38</v>
      </c>
      <c r="B13298" t="s">
        <v>11969</v>
      </c>
      <c r="C13298">
        <v>5010893</v>
      </c>
      <c r="E13298" t="s">
        <v>2100</v>
      </c>
      <c r="F13298" t="s">
        <v>13305</v>
      </c>
      <c r="G13298">
        <v>1</v>
      </c>
    </row>
    <row r="13299" spans="1:7" x14ac:dyDescent="0.25">
      <c r="A13299">
        <v>38</v>
      </c>
      <c r="B13299" t="s">
        <v>11969</v>
      </c>
      <c r="C13299">
        <v>5010744</v>
      </c>
      <c r="E13299" t="s">
        <v>2100</v>
      </c>
      <c r="F13299" t="s">
        <v>13306</v>
      </c>
      <c r="G13299">
        <v>1</v>
      </c>
    </row>
    <row r="13300" spans="1:7" x14ac:dyDescent="0.25">
      <c r="A13300">
        <v>38</v>
      </c>
      <c r="B13300" t="s">
        <v>11969</v>
      </c>
      <c r="C13300">
        <v>5000482</v>
      </c>
      <c r="E13300" t="s">
        <v>2100</v>
      </c>
      <c r="F13300" t="s">
        <v>13307</v>
      </c>
      <c r="G13300">
        <v>1</v>
      </c>
    </row>
    <row r="13301" spans="1:7" x14ac:dyDescent="0.25">
      <c r="A13301">
        <v>38</v>
      </c>
      <c r="B13301" t="s">
        <v>11969</v>
      </c>
      <c r="C13301">
        <v>5010730</v>
      </c>
      <c r="E13301" t="s">
        <v>2100</v>
      </c>
      <c r="F13301" t="s">
        <v>13308</v>
      </c>
      <c r="G13301">
        <v>1</v>
      </c>
    </row>
    <row r="13302" spans="1:7" x14ac:dyDescent="0.25">
      <c r="A13302">
        <v>38</v>
      </c>
      <c r="B13302" t="s">
        <v>11969</v>
      </c>
      <c r="C13302">
        <v>5010314</v>
      </c>
      <c r="E13302" t="s">
        <v>2100</v>
      </c>
      <c r="F13302" t="s">
        <v>13309</v>
      </c>
      <c r="G13302">
        <v>1</v>
      </c>
    </row>
    <row r="13303" spans="1:7" x14ac:dyDescent="0.25">
      <c r="A13303">
        <v>38</v>
      </c>
      <c r="B13303" t="s">
        <v>11969</v>
      </c>
      <c r="C13303">
        <v>5010987</v>
      </c>
      <c r="E13303" t="s">
        <v>2100</v>
      </c>
      <c r="F13303" t="s">
        <v>13310</v>
      </c>
      <c r="G13303">
        <v>1</v>
      </c>
    </row>
    <row r="13304" spans="1:7" x14ac:dyDescent="0.25">
      <c r="A13304">
        <v>38</v>
      </c>
      <c r="B13304" t="s">
        <v>11969</v>
      </c>
      <c r="C13304">
        <v>8782724</v>
      </c>
      <c r="E13304" t="s">
        <v>2100</v>
      </c>
      <c r="F13304" t="s">
        <v>13311</v>
      </c>
      <c r="G13304">
        <v>1</v>
      </c>
    </row>
    <row r="13305" spans="1:7" x14ac:dyDescent="0.25">
      <c r="A13305">
        <v>38</v>
      </c>
      <c r="B13305" t="s">
        <v>11969</v>
      </c>
      <c r="C13305">
        <v>5010771</v>
      </c>
      <c r="E13305" t="s">
        <v>2100</v>
      </c>
      <c r="F13305" t="s">
        <v>13312</v>
      </c>
      <c r="G13305">
        <v>1</v>
      </c>
    </row>
    <row r="13306" spans="1:7" x14ac:dyDescent="0.25">
      <c r="A13306">
        <v>38</v>
      </c>
      <c r="B13306" t="s">
        <v>11969</v>
      </c>
      <c r="C13306">
        <v>5010470</v>
      </c>
      <c r="E13306" t="s">
        <v>2100</v>
      </c>
      <c r="F13306" t="s">
        <v>13313</v>
      </c>
      <c r="G13306">
        <v>1</v>
      </c>
    </row>
    <row r="13307" spans="1:7" x14ac:dyDescent="0.25">
      <c r="A13307">
        <v>38</v>
      </c>
      <c r="B13307" t="s">
        <v>11969</v>
      </c>
      <c r="C13307">
        <v>5000231</v>
      </c>
      <c r="E13307" t="s">
        <v>2100</v>
      </c>
      <c r="F13307" t="s">
        <v>13314</v>
      </c>
      <c r="G13307">
        <v>1</v>
      </c>
    </row>
    <row r="13308" spans="1:7" x14ac:dyDescent="0.25">
      <c r="A13308">
        <v>38</v>
      </c>
      <c r="B13308" t="s">
        <v>11969</v>
      </c>
      <c r="C13308">
        <v>5010225</v>
      </c>
      <c r="E13308" t="s">
        <v>2100</v>
      </c>
      <c r="F13308" t="s">
        <v>13315</v>
      </c>
      <c r="G13308">
        <v>1</v>
      </c>
    </row>
    <row r="13309" spans="1:7" x14ac:dyDescent="0.25">
      <c r="A13309">
        <v>38</v>
      </c>
      <c r="B13309" t="s">
        <v>11969</v>
      </c>
      <c r="C13309">
        <v>5010706</v>
      </c>
      <c r="E13309" t="s">
        <v>2100</v>
      </c>
      <c r="F13309" t="s">
        <v>13316</v>
      </c>
      <c r="G13309">
        <v>1</v>
      </c>
    </row>
    <row r="13310" spans="1:7" x14ac:dyDescent="0.25">
      <c r="A13310">
        <v>38</v>
      </c>
      <c r="B13310" t="s">
        <v>11969</v>
      </c>
      <c r="C13310">
        <v>5000022</v>
      </c>
      <c r="E13310" t="s">
        <v>2100</v>
      </c>
      <c r="F13310" t="s">
        <v>13317</v>
      </c>
      <c r="G13310">
        <v>1</v>
      </c>
    </row>
    <row r="13311" spans="1:7" x14ac:dyDescent="0.25">
      <c r="A13311">
        <v>38</v>
      </c>
      <c r="B13311" t="s">
        <v>11969</v>
      </c>
      <c r="C13311">
        <v>5000120</v>
      </c>
      <c r="E13311" t="s">
        <v>2100</v>
      </c>
      <c r="F13311" t="s">
        <v>13318</v>
      </c>
      <c r="G13311">
        <v>1</v>
      </c>
    </row>
    <row r="13312" spans="1:7" x14ac:dyDescent="0.25">
      <c r="A13312">
        <v>38</v>
      </c>
      <c r="B13312" t="s">
        <v>11969</v>
      </c>
      <c r="C13312">
        <v>5010707</v>
      </c>
      <c r="E13312" t="s">
        <v>2100</v>
      </c>
      <c r="F13312" t="s">
        <v>13319</v>
      </c>
      <c r="G13312">
        <v>1</v>
      </c>
    </row>
    <row r="13313" spans="1:7" x14ac:dyDescent="0.25">
      <c r="A13313">
        <v>38</v>
      </c>
      <c r="B13313" t="s">
        <v>11969</v>
      </c>
      <c r="C13313">
        <v>5000336</v>
      </c>
      <c r="E13313" t="s">
        <v>2100</v>
      </c>
      <c r="F13313" t="s">
        <v>13320</v>
      </c>
      <c r="G13313">
        <v>1</v>
      </c>
    </row>
    <row r="13314" spans="1:7" x14ac:dyDescent="0.25">
      <c r="A13314">
        <v>38</v>
      </c>
      <c r="B13314" t="s">
        <v>11969</v>
      </c>
      <c r="C13314">
        <v>5010575</v>
      </c>
      <c r="E13314" t="s">
        <v>2100</v>
      </c>
      <c r="F13314" t="s">
        <v>13321</v>
      </c>
      <c r="G13314">
        <v>1</v>
      </c>
    </row>
    <row r="13315" spans="1:7" x14ac:dyDescent="0.25">
      <c r="A13315">
        <v>38</v>
      </c>
      <c r="B13315" t="s">
        <v>11969</v>
      </c>
      <c r="C13315">
        <v>5010702</v>
      </c>
      <c r="E13315" t="s">
        <v>2100</v>
      </c>
      <c r="F13315" t="s">
        <v>13322</v>
      </c>
      <c r="G13315">
        <v>1</v>
      </c>
    </row>
    <row r="13316" spans="1:7" x14ac:dyDescent="0.25">
      <c r="A13316">
        <v>38</v>
      </c>
      <c r="B13316" t="s">
        <v>11969</v>
      </c>
      <c r="C13316">
        <v>5000313</v>
      </c>
      <c r="E13316" t="s">
        <v>2100</v>
      </c>
      <c r="F13316" t="s">
        <v>13323</v>
      </c>
      <c r="G13316">
        <v>1</v>
      </c>
    </row>
    <row r="13317" spans="1:7" x14ac:dyDescent="0.25">
      <c r="A13317">
        <v>38</v>
      </c>
      <c r="B13317" t="s">
        <v>11969</v>
      </c>
      <c r="C13317">
        <v>5010491</v>
      </c>
      <c r="E13317" t="s">
        <v>2100</v>
      </c>
      <c r="F13317" t="s">
        <v>13324</v>
      </c>
      <c r="G13317">
        <v>1</v>
      </c>
    </row>
    <row r="13318" spans="1:7" x14ac:dyDescent="0.25">
      <c r="A13318">
        <v>38</v>
      </c>
      <c r="B13318" t="s">
        <v>11969</v>
      </c>
      <c r="C13318">
        <v>5010399</v>
      </c>
      <c r="E13318" t="s">
        <v>2100</v>
      </c>
      <c r="F13318" t="s">
        <v>13325</v>
      </c>
      <c r="G13318">
        <v>1</v>
      </c>
    </row>
    <row r="13319" spans="1:7" x14ac:dyDescent="0.25">
      <c r="A13319">
        <v>38</v>
      </c>
      <c r="B13319" t="s">
        <v>11969</v>
      </c>
      <c r="C13319">
        <v>5010472</v>
      </c>
      <c r="E13319" t="s">
        <v>2100</v>
      </c>
      <c r="F13319" t="s">
        <v>13326</v>
      </c>
      <c r="G13319">
        <v>1</v>
      </c>
    </row>
    <row r="13320" spans="1:7" x14ac:dyDescent="0.25">
      <c r="A13320">
        <v>38</v>
      </c>
      <c r="B13320" t="s">
        <v>11969</v>
      </c>
      <c r="C13320">
        <v>5010703</v>
      </c>
      <c r="E13320" t="s">
        <v>2100</v>
      </c>
      <c r="F13320" t="s">
        <v>13327</v>
      </c>
      <c r="G13320">
        <v>1</v>
      </c>
    </row>
    <row r="13321" spans="1:7" x14ac:dyDescent="0.25">
      <c r="A13321">
        <v>38</v>
      </c>
      <c r="B13321" t="s">
        <v>11969</v>
      </c>
      <c r="C13321">
        <v>5000233</v>
      </c>
      <c r="E13321" t="s">
        <v>2100</v>
      </c>
      <c r="F13321" t="s">
        <v>13328</v>
      </c>
      <c r="G13321">
        <v>1</v>
      </c>
    </row>
    <row r="13322" spans="1:7" x14ac:dyDescent="0.25">
      <c r="A13322">
        <v>38</v>
      </c>
      <c r="B13322" t="s">
        <v>11969</v>
      </c>
      <c r="C13322">
        <v>5000160</v>
      </c>
      <c r="E13322" t="s">
        <v>2100</v>
      </c>
      <c r="F13322" t="s">
        <v>13329</v>
      </c>
      <c r="G13322">
        <v>1</v>
      </c>
    </row>
    <row r="13323" spans="1:7" x14ac:dyDescent="0.25">
      <c r="A13323">
        <v>38</v>
      </c>
      <c r="B13323" t="s">
        <v>11969</v>
      </c>
      <c r="C13323">
        <v>5010697</v>
      </c>
      <c r="E13323" t="s">
        <v>2100</v>
      </c>
      <c r="F13323" t="s">
        <v>13330</v>
      </c>
      <c r="G13323">
        <v>1</v>
      </c>
    </row>
    <row r="13324" spans="1:7" x14ac:dyDescent="0.25">
      <c r="A13324">
        <v>38</v>
      </c>
      <c r="B13324" t="s">
        <v>11969</v>
      </c>
      <c r="C13324">
        <v>5000596</v>
      </c>
      <c r="E13324" t="s">
        <v>2100</v>
      </c>
      <c r="F13324" t="s">
        <v>13331</v>
      </c>
      <c r="G13324">
        <v>1</v>
      </c>
    </row>
    <row r="13325" spans="1:7" x14ac:dyDescent="0.25">
      <c r="A13325">
        <v>38</v>
      </c>
      <c r="B13325" t="s">
        <v>11969</v>
      </c>
      <c r="C13325">
        <v>5010096</v>
      </c>
      <c r="E13325" t="s">
        <v>2100</v>
      </c>
      <c r="F13325" t="s">
        <v>13332</v>
      </c>
      <c r="G13325">
        <v>1</v>
      </c>
    </row>
    <row r="13326" spans="1:7" x14ac:dyDescent="0.25">
      <c r="A13326">
        <v>38</v>
      </c>
      <c r="B13326" t="s">
        <v>11969</v>
      </c>
      <c r="C13326">
        <v>5010388</v>
      </c>
      <c r="E13326" t="s">
        <v>2100</v>
      </c>
      <c r="F13326" t="s">
        <v>13333</v>
      </c>
      <c r="G13326">
        <v>1</v>
      </c>
    </row>
    <row r="13327" spans="1:7" x14ac:dyDescent="0.25">
      <c r="A13327">
        <v>38</v>
      </c>
      <c r="B13327" t="s">
        <v>11969</v>
      </c>
      <c r="C13327">
        <v>5010694</v>
      </c>
      <c r="E13327" t="s">
        <v>2100</v>
      </c>
      <c r="F13327" t="s">
        <v>13334</v>
      </c>
      <c r="G13327">
        <v>1</v>
      </c>
    </row>
    <row r="13328" spans="1:7" x14ac:dyDescent="0.25">
      <c r="A13328">
        <v>38</v>
      </c>
      <c r="B13328" t="s">
        <v>11969</v>
      </c>
      <c r="C13328">
        <v>5010385</v>
      </c>
      <c r="E13328" t="s">
        <v>2100</v>
      </c>
      <c r="F13328" t="s">
        <v>13335</v>
      </c>
      <c r="G13328">
        <v>1</v>
      </c>
    </row>
    <row r="13329" spans="1:7" x14ac:dyDescent="0.25">
      <c r="A13329">
        <v>38</v>
      </c>
      <c r="B13329" t="s">
        <v>11969</v>
      </c>
      <c r="C13329">
        <v>5010695</v>
      </c>
      <c r="E13329" t="s">
        <v>2100</v>
      </c>
      <c r="F13329" t="s">
        <v>13336</v>
      </c>
      <c r="G13329">
        <v>1</v>
      </c>
    </row>
    <row r="13330" spans="1:7" x14ac:dyDescent="0.25">
      <c r="A13330">
        <v>38</v>
      </c>
      <c r="B13330" t="s">
        <v>11969</v>
      </c>
      <c r="C13330">
        <v>5000555</v>
      </c>
      <c r="E13330" t="s">
        <v>2100</v>
      </c>
      <c r="F13330" t="s">
        <v>13337</v>
      </c>
      <c r="G13330">
        <v>1</v>
      </c>
    </row>
    <row r="13331" spans="1:7" x14ac:dyDescent="0.25">
      <c r="A13331">
        <v>38</v>
      </c>
      <c r="B13331" t="s">
        <v>11969</v>
      </c>
      <c r="C13331">
        <v>5010315</v>
      </c>
      <c r="D13331" t="str">
        <f>"0302-9743"</f>
        <v>0302-9743</v>
      </c>
      <c r="E13331" t="s">
        <v>2100</v>
      </c>
      <c r="F13331" t="s">
        <v>13338</v>
      </c>
      <c r="G13331">
        <v>1</v>
      </c>
    </row>
    <row r="13332" spans="1:7" x14ac:dyDescent="0.25">
      <c r="A13332">
        <v>38</v>
      </c>
      <c r="B13332" t="s">
        <v>11969</v>
      </c>
      <c r="C13332">
        <v>5000002</v>
      </c>
      <c r="E13332" t="s">
        <v>2100</v>
      </c>
      <c r="F13332" t="s">
        <v>13339</v>
      </c>
      <c r="G13332">
        <v>1</v>
      </c>
    </row>
    <row r="13333" spans="1:7" x14ac:dyDescent="0.25">
      <c r="A13333">
        <v>38</v>
      </c>
      <c r="B13333" t="s">
        <v>11969</v>
      </c>
      <c r="C13333">
        <v>5000534</v>
      </c>
      <c r="E13333" t="s">
        <v>2100</v>
      </c>
      <c r="F13333" t="s">
        <v>13340</v>
      </c>
      <c r="G13333">
        <v>1</v>
      </c>
    </row>
    <row r="13334" spans="1:7" x14ac:dyDescent="0.25">
      <c r="A13334">
        <v>38</v>
      </c>
      <c r="B13334" t="s">
        <v>11969</v>
      </c>
      <c r="C13334">
        <v>5000510</v>
      </c>
      <c r="E13334" t="s">
        <v>2100</v>
      </c>
      <c r="F13334" t="s">
        <v>13341</v>
      </c>
      <c r="G13334">
        <v>1</v>
      </c>
    </row>
    <row r="13335" spans="1:7" x14ac:dyDescent="0.25">
      <c r="A13335">
        <v>38</v>
      </c>
      <c r="B13335" t="s">
        <v>11969</v>
      </c>
      <c r="C13335">
        <v>5000110</v>
      </c>
      <c r="E13335" t="s">
        <v>2100</v>
      </c>
      <c r="F13335" t="s">
        <v>13342</v>
      </c>
      <c r="G13335">
        <v>1</v>
      </c>
    </row>
    <row r="13336" spans="1:7" x14ac:dyDescent="0.25">
      <c r="A13336">
        <v>38</v>
      </c>
      <c r="B13336" t="s">
        <v>11969</v>
      </c>
      <c r="C13336">
        <v>8783047</v>
      </c>
      <c r="D13336" t="str">
        <f>"2075-2180"</f>
        <v>2075-2180</v>
      </c>
      <c r="E13336" t="s">
        <v>2100</v>
      </c>
      <c r="F13336" t="s">
        <v>13343</v>
      </c>
      <c r="G13336">
        <v>1</v>
      </c>
    </row>
    <row r="13337" spans="1:7" x14ac:dyDescent="0.25">
      <c r="A13337">
        <v>38</v>
      </c>
      <c r="B13337" t="s">
        <v>11969</v>
      </c>
      <c r="C13337">
        <v>5000629</v>
      </c>
      <c r="E13337" t="s">
        <v>2100</v>
      </c>
      <c r="F13337" t="s">
        <v>13344</v>
      </c>
      <c r="G13337">
        <v>1</v>
      </c>
    </row>
    <row r="13338" spans="1:7" x14ac:dyDescent="0.25">
      <c r="A13338">
        <v>38</v>
      </c>
      <c r="B13338" t="s">
        <v>11969</v>
      </c>
      <c r="C13338">
        <v>5000592</v>
      </c>
      <c r="E13338" t="s">
        <v>2100</v>
      </c>
      <c r="F13338" t="s">
        <v>13345</v>
      </c>
      <c r="G13338">
        <v>1</v>
      </c>
    </row>
    <row r="13339" spans="1:7" x14ac:dyDescent="0.25">
      <c r="A13339">
        <v>38</v>
      </c>
      <c r="B13339" t="s">
        <v>11969</v>
      </c>
      <c r="C13339">
        <v>5010832</v>
      </c>
      <c r="E13339" t="s">
        <v>2100</v>
      </c>
      <c r="F13339" t="s">
        <v>13346</v>
      </c>
      <c r="G13339">
        <v>1</v>
      </c>
    </row>
    <row r="13340" spans="1:7" x14ac:dyDescent="0.25">
      <c r="A13340">
        <v>38</v>
      </c>
      <c r="B13340" t="s">
        <v>11969</v>
      </c>
      <c r="C13340">
        <v>5010769</v>
      </c>
      <c r="E13340" t="s">
        <v>2100</v>
      </c>
      <c r="F13340" t="s">
        <v>13347</v>
      </c>
      <c r="G13340">
        <v>1</v>
      </c>
    </row>
    <row r="13341" spans="1:7" x14ac:dyDescent="0.25">
      <c r="A13341">
        <v>38</v>
      </c>
      <c r="B13341" t="s">
        <v>11969</v>
      </c>
      <c r="C13341">
        <v>5010693</v>
      </c>
      <c r="E13341" t="s">
        <v>2100</v>
      </c>
      <c r="F13341" t="s">
        <v>13348</v>
      </c>
      <c r="G13341">
        <v>1</v>
      </c>
    </row>
    <row r="13342" spans="1:7" x14ac:dyDescent="0.25">
      <c r="A13342">
        <v>38</v>
      </c>
      <c r="B13342" t="s">
        <v>11969</v>
      </c>
      <c r="C13342">
        <v>5010692</v>
      </c>
      <c r="E13342" t="s">
        <v>2100</v>
      </c>
      <c r="F13342" t="s">
        <v>13349</v>
      </c>
      <c r="G13342">
        <v>1</v>
      </c>
    </row>
    <row r="13343" spans="1:7" x14ac:dyDescent="0.25">
      <c r="A13343">
        <v>38</v>
      </c>
      <c r="B13343" t="s">
        <v>11969</v>
      </c>
      <c r="C13343">
        <v>5000514</v>
      </c>
      <c r="E13343" t="s">
        <v>2100</v>
      </c>
      <c r="F13343" t="s">
        <v>13350</v>
      </c>
      <c r="G13343">
        <v>1</v>
      </c>
    </row>
    <row r="13344" spans="1:7" x14ac:dyDescent="0.25">
      <c r="A13344">
        <v>38</v>
      </c>
      <c r="B13344" t="s">
        <v>11969</v>
      </c>
      <c r="C13344">
        <v>5000273</v>
      </c>
      <c r="E13344" t="s">
        <v>2100</v>
      </c>
      <c r="F13344" t="s">
        <v>13351</v>
      </c>
      <c r="G13344">
        <v>1</v>
      </c>
    </row>
    <row r="13345" spans="1:7" x14ac:dyDescent="0.25">
      <c r="A13345">
        <v>38</v>
      </c>
      <c r="B13345" t="s">
        <v>11969</v>
      </c>
      <c r="C13345">
        <v>5000418</v>
      </c>
      <c r="E13345" t="s">
        <v>2100</v>
      </c>
      <c r="F13345" t="s">
        <v>13352</v>
      </c>
      <c r="G13345">
        <v>1</v>
      </c>
    </row>
    <row r="13346" spans="1:7" x14ac:dyDescent="0.25">
      <c r="A13346">
        <v>38</v>
      </c>
      <c r="B13346" t="s">
        <v>11969</v>
      </c>
      <c r="C13346">
        <v>5000165</v>
      </c>
      <c r="E13346" t="s">
        <v>2100</v>
      </c>
      <c r="F13346" t="s">
        <v>13353</v>
      </c>
      <c r="G13346">
        <v>1</v>
      </c>
    </row>
    <row r="13347" spans="1:7" x14ac:dyDescent="0.25">
      <c r="A13347">
        <v>38</v>
      </c>
      <c r="B13347" t="s">
        <v>11969</v>
      </c>
      <c r="C13347">
        <v>5010227</v>
      </c>
      <c r="E13347" t="s">
        <v>2100</v>
      </c>
      <c r="F13347" t="s">
        <v>13354</v>
      </c>
      <c r="G13347">
        <v>1</v>
      </c>
    </row>
    <row r="13348" spans="1:7" x14ac:dyDescent="0.25">
      <c r="A13348">
        <v>38</v>
      </c>
      <c r="B13348" t="s">
        <v>11969</v>
      </c>
      <c r="C13348">
        <v>5000228</v>
      </c>
      <c r="E13348" t="s">
        <v>2100</v>
      </c>
      <c r="F13348" t="s">
        <v>13355</v>
      </c>
      <c r="G13348">
        <v>1</v>
      </c>
    </row>
    <row r="13349" spans="1:7" x14ac:dyDescent="0.25">
      <c r="A13349">
        <v>38</v>
      </c>
      <c r="B13349" t="s">
        <v>11969</v>
      </c>
      <c r="C13349">
        <v>5010606</v>
      </c>
      <c r="E13349" t="s">
        <v>2100</v>
      </c>
      <c r="F13349" t="s">
        <v>13356</v>
      </c>
      <c r="G13349">
        <v>1</v>
      </c>
    </row>
    <row r="13350" spans="1:7" x14ac:dyDescent="0.25">
      <c r="A13350">
        <v>38</v>
      </c>
      <c r="B13350" t="s">
        <v>11969</v>
      </c>
      <c r="C13350">
        <v>5010618</v>
      </c>
      <c r="E13350" t="s">
        <v>2100</v>
      </c>
      <c r="F13350" t="s">
        <v>13357</v>
      </c>
      <c r="G13350">
        <v>1</v>
      </c>
    </row>
    <row r="13351" spans="1:7" x14ac:dyDescent="0.25">
      <c r="A13351">
        <v>38</v>
      </c>
      <c r="B13351" t="s">
        <v>11969</v>
      </c>
      <c r="C13351">
        <v>5000166</v>
      </c>
      <c r="E13351" t="s">
        <v>2100</v>
      </c>
      <c r="F13351" t="s">
        <v>13358</v>
      </c>
      <c r="G13351">
        <v>1</v>
      </c>
    </row>
    <row r="13352" spans="1:7" x14ac:dyDescent="0.25">
      <c r="A13352">
        <v>38</v>
      </c>
      <c r="B13352" t="s">
        <v>11969</v>
      </c>
      <c r="C13352">
        <v>5010681</v>
      </c>
      <c r="E13352" t="s">
        <v>2100</v>
      </c>
      <c r="F13352" t="s">
        <v>13359</v>
      </c>
      <c r="G13352">
        <v>1</v>
      </c>
    </row>
    <row r="13353" spans="1:7" x14ac:dyDescent="0.25">
      <c r="A13353">
        <v>38</v>
      </c>
      <c r="B13353" t="s">
        <v>11969</v>
      </c>
      <c r="C13353">
        <v>5010689</v>
      </c>
      <c r="E13353" t="s">
        <v>2100</v>
      </c>
      <c r="F13353" t="s">
        <v>13360</v>
      </c>
      <c r="G13353">
        <v>1</v>
      </c>
    </row>
    <row r="13354" spans="1:7" x14ac:dyDescent="0.25">
      <c r="A13354">
        <v>38</v>
      </c>
      <c r="B13354" t="s">
        <v>11969</v>
      </c>
      <c r="C13354">
        <v>5000264</v>
      </c>
      <c r="E13354" t="s">
        <v>2100</v>
      </c>
      <c r="F13354" t="s">
        <v>13361</v>
      </c>
      <c r="G13354">
        <v>1</v>
      </c>
    </row>
    <row r="13355" spans="1:7" x14ac:dyDescent="0.25">
      <c r="A13355">
        <v>38</v>
      </c>
      <c r="B13355" t="s">
        <v>11969</v>
      </c>
      <c r="C13355">
        <v>5010691</v>
      </c>
      <c r="E13355" t="s">
        <v>2100</v>
      </c>
      <c r="F13355" t="s">
        <v>13362</v>
      </c>
      <c r="G13355">
        <v>1</v>
      </c>
    </row>
    <row r="13356" spans="1:7" x14ac:dyDescent="0.25">
      <c r="A13356">
        <v>38</v>
      </c>
      <c r="B13356" t="s">
        <v>11969</v>
      </c>
      <c r="C13356">
        <v>5000023</v>
      </c>
      <c r="E13356" t="s">
        <v>2100</v>
      </c>
      <c r="F13356" t="s">
        <v>13363</v>
      </c>
      <c r="G13356">
        <v>1</v>
      </c>
    </row>
    <row r="13357" spans="1:7" x14ac:dyDescent="0.25">
      <c r="A13357">
        <v>38</v>
      </c>
      <c r="B13357" t="s">
        <v>11969</v>
      </c>
      <c r="C13357">
        <v>5000210</v>
      </c>
      <c r="E13357" t="s">
        <v>2100</v>
      </c>
      <c r="F13357" t="s">
        <v>13364</v>
      </c>
      <c r="G13357">
        <v>1</v>
      </c>
    </row>
    <row r="13358" spans="1:7" x14ac:dyDescent="0.25">
      <c r="A13358">
        <v>38</v>
      </c>
      <c r="B13358" t="s">
        <v>11969</v>
      </c>
      <c r="C13358">
        <v>5000367</v>
      </c>
      <c r="E13358" t="s">
        <v>2100</v>
      </c>
      <c r="F13358" t="s">
        <v>13365</v>
      </c>
      <c r="G13358">
        <v>1</v>
      </c>
    </row>
    <row r="13359" spans="1:7" x14ac:dyDescent="0.25">
      <c r="A13359">
        <v>38</v>
      </c>
      <c r="B13359" t="s">
        <v>11969</v>
      </c>
      <c r="C13359">
        <v>5000651</v>
      </c>
      <c r="E13359" t="s">
        <v>2100</v>
      </c>
      <c r="F13359" t="s">
        <v>13366</v>
      </c>
      <c r="G13359">
        <v>1</v>
      </c>
    </row>
    <row r="13360" spans="1:7" x14ac:dyDescent="0.25">
      <c r="A13360">
        <v>38</v>
      </c>
      <c r="B13360" t="s">
        <v>11969</v>
      </c>
      <c r="C13360">
        <v>5000559</v>
      </c>
      <c r="E13360" t="s">
        <v>2100</v>
      </c>
      <c r="F13360" t="s">
        <v>13367</v>
      </c>
      <c r="G13360">
        <v>1</v>
      </c>
    </row>
    <row r="13361" spans="1:7" x14ac:dyDescent="0.25">
      <c r="A13361">
        <v>38</v>
      </c>
      <c r="B13361" t="s">
        <v>11969</v>
      </c>
      <c r="C13361">
        <v>5020053</v>
      </c>
      <c r="E13361" t="s">
        <v>2100</v>
      </c>
      <c r="F13361" t="s">
        <v>13368</v>
      </c>
      <c r="G13361">
        <v>1</v>
      </c>
    </row>
    <row r="13362" spans="1:7" x14ac:dyDescent="0.25">
      <c r="A13362">
        <v>38</v>
      </c>
      <c r="B13362" t="s">
        <v>11969</v>
      </c>
      <c r="C13362">
        <v>5010850</v>
      </c>
      <c r="E13362" t="s">
        <v>2100</v>
      </c>
      <c r="F13362" t="s">
        <v>13369</v>
      </c>
      <c r="G13362">
        <v>1</v>
      </c>
    </row>
    <row r="13363" spans="1:7" x14ac:dyDescent="0.25">
      <c r="A13363">
        <v>38</v>
      </c>
      <c r="B13363" t="s">
        <v>11969</v>
      </c>
      <c r="C13363">
        <v>5010812</v>
      </c>
      <c r="E13363" t="s">
        <v>2100</v>
      </c>
      <c r="F13363" t="s">
        <v>13370</v>
      </c>
      <c r="G13363">
        <v>1</v>
      </c>
    </row>
    <row r="13364" spans="1:7" x14ac:dyDescent="0.25">
      <c r="A13364">
        <v>38</v>
      </c>
      <c r="B13364" t="s">
        <v>11969</v>
      </c>
      <c r="C13364">
        <v>5010800</v>
      </c>
      <c r="E13364" t="s">
        <v>2100</v>
      </c>
      <c r="F13364" t="s">
        <v>13371</v>
      </c>
      <c r="G13364">
        <v>1</v>
      </c>
    </row>
    <row r="13365" spans="1:7" x14ac:dyDescent="0.25">
      <c r="A13365">
        <v>38</v>
      </c>
      <c r="B13365" t="s">
        <v>11969</v>
      </c>
      <c r="C13365">
        <v>5000162</v>
      </c>
      <c r="E13365" t="s">
        <v>2100</v>
      </c>
      <c r="F13365" t="s">
        <v>13372</v>
      </c>
      <c r="G13365">
        <v>1</v>
      </c>
    </row>
    <row r="13366" spans="1:7" x14ac:dyDescent="0.25">
      <c r="A13366">
        <v>38</v>
      </c>
      <c r="B13366" t="s">
        <v>11969</v>
      </c>
      <c r="C13366">
        <v>5010858</v>
      </c>
      <c r="E13366" t="s">
        <v>2100</v>
      </c>
      <c r="F13366" t="s">
        <v>13373</v>
      </c>
      <c r="G13366">
        <v>1</v>
      </c>
    </row>
    <row r="13367" spans="1:7" x14ac:dyDescent="0.25">
      <c r="A13367">
        <v>38</v>
      </c>
      <c r="B13367" t="s">
        <v>11969</v>
      </c>
      <c r="C13367">
        <v>5000251</v>
      </c>
      <c r="E13367" t="s">
        <v>2100</v>
      </c>
      <c r="F13367" t="s">
        <v>13374</v>
      </c>
      <c r="G13367">
        <v>1</v>
      </c>
    </row>
    <row r="13368" spans="1:7" x14ac:dyDescent="0.25">
      <c r="A13368">
        <v>38</v>
      </c>
      <c r="B13368" t="s">
        <v>11969</v>
      </c>
      <c r="C13368">
        <v>5000493</v>
      </c>
      <c r="E13368" t="s">
        <v>2100</v>
      </c>
      <c r="F13368" t="s">
        <v>13375</v>
      </c>
      <c r="G13368">
        <v>1</v>
      </c>
    </row>
    <row r="13369" spans="1:7" x14ac:dyDescent="0.25">
      <c r="A13369">
        <v>38</v>
      </c>
      <c r="B13369" t="s">
        <v>11969</v>
      </c>
      <c r="C13369">
        <v>5010857</v>
      </c>
      <c r="E13369" t="s">
        <v>2100</v>
      </c>
      <c r="F13369" t="s">
        <v>13376</v>
      </c>
      <c r="G13369">
        <v>1</v>
      </c>
    </row>
    <row r="13370" spans="1:7" x14ac:dyDescent="0.25">
      <c r="A13370">
        <v>38</v>
      </c>
      <c r="B13370" t="s">
        <v>11969</v>
      </c>
      <c r="C13370">
        <v>5000492</v>
      </c>
      <c r="E13370" t="s">
        <v>2100</v>
      </c>
      <c r="F13370" t="s">
        <v>13377</v>
      </c>
      <c r="G13370">
        <v>1</v>
      </c>
    </row>
    <row r="13371" spans="1:7" x14ac:dyDescent="0.25">
      <c r="A13371">
        <v>38</v>
      </c>
      <c r="B13371" t="s">
        <v>11969</v>
      </c>
      <c r="C13371">
        <v>5000148</v>
      </c>
      <c r="E13371" t="s">
        <v>2100</v>
      </c>
      <c r="F13371" t="s">
        <v>13378</v>
      </c>
      <c r="G13371">
        <v>1</v>
      </c>
    </row>
    <row r="13372" spans="1:7" x14ac:dyDescent="0.25">
      <c r="A13372">
        <v>38</v>
      </c>
      <c r="B13372" t="s">
        <v>11969</v>
      </c>
      <c r="C13372">
        <v>5000076</v>
      </c>
      <c r="E13372" t="s">
        <v>2100</v>
      </c>
      <c r="F13372" t="s">
        <v>13379</v>
      </c>
      <c r="G13372">
        <v>1</v>
      </c>
    </row>
    <row r="13373" spans="1:7" x14ac:dyDescent="0.25">
      <c r="A13373">
        <v>38</v>
      </c>
      <c r="B13373" t="s">
        <v>11969</v>
      </c>
      <c r="C13373">
        <v>5010917</v>
      </c>
      <c r="E13373" t="s">
        <v>2100</v>
      </c>
      <c r="F13373" t="s">
        <v>13380</v>
      </c>
      <c r="G13373">
        <v>1</v>
      </c>
    </row>
    <row r="13374" spans="1:7" x14ac:dyDescent="0.25">
      <c r="A13374">
        <v>38</v>
      </c>
      <c r="B13374" t="s">
        <v>11969</v>
      </c>
      <c r="C13374">
        <v>5010462</v>
      </c>
      <c r="E13374" t="s">
        <v>2100</v>
      </c>
      <c r="F13374" t="s">
        <v>13381</v>
      </c>
      <c r="G13374">
        <v>1</v>
      </c>
    </row>
    <row r="13375" spans="1:7" x14ac:dyDescent="0.25">
      <c r="A13375">
        <v>38</v>
      </c>
      <c r="B13375" t="s">
        <v>11969</v>
      </c>
      <c r="C13375">
        <v>5000277</v>
      </c>
      <c r="E13375" t="s">
        <v>2100</v>
      </c>
      <c r="F13375" t="s">
        <v>13382</v>
      </c>
      <c r="G13375">
        <v>1</v>
      </c>
    </row>
    <row r="13376" spans="1:7" x14ac:dyDescent="0.25">
      <c r="A13376">
        <v>38</v>
      </c>
      <c r="B13376" t="s">
        <v>11969</v>
      </c>
      <c r="C13376">
        <v>5000494</v>
      </c>
      <c r="E13376" t="s">
        <v>2100</v>
      </c>
      <c r="F13376" t="s">
        <v>13383</v>
      </c>
      <c r="G13376">
        <v>1</v>
      </c>
    </row>
    <row r="13377" spans="1:7" x14ac:dyDescent="0.25">
      <c r="A13377">
        <v>38</v>
      </c>
      <c r="B13377" t="s">
        <v>11969</v>
      </c>
      <c r="C13377">
        <v>5000132</v>
      </c>
      <c r="E13377" t="s">
        <v>2100</v>
      </c>
      <c r="F13377" t="s">
        <v>13384</v>
      </c>
      <c r="G13377">
        <v>1</v>
      </c>
    </row>
    <row r="13378" spans="1:7" x14ac:dyDescent="0.25">
      <c r="A13378">
        <v>38</v>
      </c>
      <c r="B13378" t="s">
        <v>11969</v>
      </c>
      <c r="C13378">
        <v>5010680</v>
      </c>
      <c r="E13378" t="s">
        <v>2100</v>
      </c>
      <c r="F13378" t="s">
        <v>13385</v>
      </c>
      <c r="G13378">
        <v>1</v>
      </c>
    </row>
    <row r="13379" spans="1:7" x14ac:dyDescent="0.25">
      <c r="A13379">
        <v>38</v>
      </c>
      <c r="B13379" t="s">
        <v>11969</v>
      </c>
      <c r="C13379">
        <v>5000177</v>
      </c>
      <c r="E13379" t="s">
        <v>2100</v>
      </c>
      <c r="F13379" t="s">
        <v>13386</v>
      </c>
      <c r="G13379">
        <v>1</v>
      </c>
    </row>
    <row r="13380" spans="1:7" x14ac:dyDescent="0.25">
      <c r="A13380">
        <v>38</v>
      </c>
      <c r="B13380" t="s">
        <v>11969</v>
      </c>
      <c r="C13380">
        <v>5010636</v>
      </c>
      <c r="E13380" t="s">
        <v>2100</v>
      </c>
      <c r="F13380" t="s">
        <v>13387</v>
      </c>
      <c r="G13380">
        <v>1</v>
      </c>
    </row>
    <row r="13381" spans="1:7" x14ac:dyDescent="0.25">
      <c r="A13381">
        <v>38</v>
      </c>
      <c r="B13381" t="s">
        <v>11969</v>
      </c>
      <c r="C13381">
        <v>5000253</v>
      </c>
      <c r="E13381" t="s">
        <v>2100</v>
      </c>
      <c r="F13381" t="s">
        <v>13388</v>
      </c>
      <c r="G13381">
        <v>1</v>
      </c>
    </row>
    <row r="13382" spans="1:7" x14ac:dyDescent="0.25">
      <c r="A13382">
        <v>38</v>
      </c>
      <c r="B13382" t="s">
        <v>11969</v>
      </c>
      <c r="C13382">
        <v>5010677</v>
      </c>
      <c r="E13382" t="s">
        <v>2100</v>
      </c>
      <c r="F13382" t="s">
        <v>13389</v>
      </c>
      <c r="G13382">
        <v>1</v>
      </c>
    </row>
    <row r="13383" spans="1:7" x14ac:dyDescent="0.25">
      <c r="A13383">
        <v>38</v>
      </c>
      <c r="B13383" t="s">
        <v>11969</v>
      </c>
      <c r="C13383">
        <v>5000496</v>
      </c>
      <c r="E13383" t="s">
        <v>2100</v>
      </c>
      <c r="F13383" t="s">
        <v>13390</v>
      </c>
      <c r="G13383">
        <v>1</v>
      </c>
    </row>
    <row r="13384" spans="1:7" x14ac:dyDescent="0.25">
      <c r="A13384">
        <v>38</v>
      </c>
      <c r="B13384" t="s">
        <v>11969</v>
      </c>
      <c r="C13384">
        <v>27720</v>
      </c>
      <c r="D13384" t="str">
        <f>"1751-1461"</f>
        <v>1751-1461</v>
      </c>
      <c r="E13384" t="s">
        <v>8</v>
      </c>
      <c r="F13384" t="s">
        <v>13391</v>
      </c>
      <c r="G13384">
        <v>1</v>
      </c>
    </row>
    <row r="13385" spans="1:7" x14ac:dyDescent="0.25">
      <c r="A13385">
        <v>38</v>
      </c>
      <c r="B13385" t="s">
        <v>11969</v>
      </c>
      <c r="C13385">
        <v>5000502</v>
      </c>
      <c r="E13385" t="s">
        <v>2100</v>
      </c>
      <c r="F13385" t="s">
        <v>13392</v>
      </c>
      <c r="G13385">
        <v>1</v>
      </c>
    </row>
    <row r="13386" spans="1:7" x14ac:dyDescent="0.25">
      <c r="A13386">
        <v>38</v>
      </c>
      <c r="B13386" t="s">
        <v>11969</v>
      </c>
      <c r="C13386">
        <v>5010594</v>
      </c>
      <c r="E13386" t="s">
        <v>2100</v>
      </c>
      <c r="F13386" t="s">
        <v>13393</v>
      </c>
      <c r="G13386">
        <v>1</v>
      </c>
    </row>
    <row r="13387" spans="1:7" x14ac:dyDescent="0.25">
      <c r="A13387">
        <v>38</v>
      </c>
      <c r="B13387" t="s">
        <v>11969</v>
      </c>
      <c r="C13387">
        <v>5000501</v>
      </c>
      <c r="E13387" t="s">
        <v>2100</v>
      </c>
      <c r="F13387" t="s">
        <v>13394</v>
      </c>
      <c r="G13387">
        <v>1</v>
      </c>
    </row>
    <row r="13388" spans="1:7" x14ac:dyDescent="0.25">
      <c r="A13388">
        <v>38</v>
      </c>
      <c r="B13388" t="s">
        <v>11969</v>
      </c>
      <c r="C13388">
        <v>5010664</v>
      </c>
      <c r="E13388" t="s">
        <v>2100</v>
      </c>
      <c r="F13388" t="s">
        <v>13395</v>
      </c>
      <c r="G13388">
        <v>1</v>
      </c>
    </row>
    <row r="13389" spans="1:7" x14ac:dyDescent="0.25">
      <c r="A13389">
        <v>38</v>
      </c>
      <c r="B13389" t="s">
        <v>11969</v>
      </c>
      <c r="C13389">
        <v>5000375</v>
      </c>
      <c r="E13389" t="s">
        <v>2100</v>
      </c>
      <c r="F13389" t="s">
        <v>13396</v>
      </c>
      <c r="G13389">
        <v>1</v>
      </c>
    </row>
    <row r="13390" spans="1:7" x14ac:dyDescent="0.25">
      <c r="A13390">
        <v>38</v>
      </c>
      <c r="B13390" t="s">
        <v>11969</v>
      </c>
      <c r="C13390">
        <v>5010787</v>
      </c>
      <c r="E13390" t="s">
        <v>2100</v>
      </c>
      <c r="F13390" t="s">
        <v>13397</v>
      </c>
      <c r="G13390">
        <v>1</v>
      </c>
    </row>
    <row r="13391" spans="1:7" x14ac:dyDescent="0.25">
      <c r="A13391">
        <v>38</v>
      </c>
      <c r="B13391" t="s">
        <v>11969</v>
      </c>
      <c r="C13391">
        <v>5010651</v>
      </c>
      <c r="E13391" t="s">
        <v>2100</v>
      </c>
      <c r="F13391" t="s">
        <v>13398</v>
      </c>
      <c r="G13391">
        <v>1</v>
      </c>
    </row>
    <row r="13392" spans="1:7" x14ac:dyDescent="0.25">
      <c r="A13392">
        <v>38</v>
      </c>
      <c r="B13392" t="s">
        <v>11969</v>
      </c>
      <c r="C13392">
        <v>5010209</v>
      </c>
      <c r="E13392" t="s">
        <v>2100</v>
      </c>
      <c r="F13392" t="s">
        <v>13399</v>
      </c>
      <c r="G13392">
        <v>1</v>
      </c>
    </row>
    <row r="13393" spans="1:7" x14ac:dyDescent="0.25">
      <c r="A13393">
        <v>38</v>
      </c>
      <c r="B13393" t="s">
        <v>11969</v>
      </c>
      <c r="C13393">
        <v>5000258</v>
      </c>
      <c r="E13393" t="s">
        <v>2100</v>
      </c>
      <c r="F13393" t="s">
        <v>13400</v>
      </c>
      <c r="G13393">
        <v>1</v>
      </c>
    </row>
    <row r="13394" spans="1:7" x14ac:dyDescent="0.25">
      <c r="A13394">
        <v>38</v>
      </c>
      <c r="B13394" t="s">
        <v>11969</v>
      </c>
      <c r="C13394">
        <v>5010206</v>
      </c>
      <c r="E13394" t="s">
        <v>2100</v>
      </c>
      <c r="F13394" t="s">
        <v>13401</v>
      </c>
      <c r="G13394">
        <v>1</v>
      </c>
    </row>
    <row r="13395" spans="1:7" x14ac:dyDescent="0.25">
      <c r="A13395">
        <v>38</v>
      </c>
      <c r="B13395" t="s">
        <v>11969</v>
      </c>
      <c r="C13395">
        <v>5000478</v>
      </c>
      <c r="E13395" t="s">
        <v>2100</v>
      </c>
      <c r="F13395" t="s">
        <v>13402</v>
      </c>
      <c r="G13395">
        <v>1</v>
      </c>
    </row>
    <row r="13396" spans="1:7" x14ac:dyDescent="0.25">
      <c r="A13396">
        <v>38</v>
      </c>
      <c r="B13396" t="s">
        <v>11969</v>
      </c>
      <c r="C13396">
        <v>5010571</v>
      </c>
      <c r="E13396" t="s">
        <v>2100</v>
      </c>
      <c r="F13396" t="s">
        <v>13403</v>
      </c>
      <c r="G13396">
        <v>1</v>
      </c>
    </row>
    <row r="13397" spans="1:7" x14ac:dyDescent="0.25">
      <c r="A13397">
        <v>38</v>
      </c>
      <c r="B13397" t="s">
        <v>11969</v>
      </c>
      <c r="C13397">
        <v>5010239</v>
      </c>
      <c r="E13397" t="s">
        <v>2100</v>
      </c>
      <c r="F13397" t="s">
        <v>13404</v>
      </c>
      <c r="G13397">
        <v>1</v>
      </c>
    </row>
    <row r="13398" spans="1:7" x14ac:dyDescent="0.25">
      <c r="A13398">
        <v>38</v>
      </c>
      <c r="B13398" t="s">
        <v>11969</v>
      </c>
      <c r="C13398">
        <v>5010228</v>
      </c>
      <c r="E13398" t="s">
        <v>2100</v>
      </c>
      <c r="F13398" t="s">
        <v>13405</v>
      </c>
      <c r="G13398">
        <v>1</v>
      </c>
    </row>
    <row r="13399" spans="1:7" x14ac:dyDescent="0.25">
      <c r="A13399">
        <v>38</v>
      </c>
      <c r="B13399" t="s">
        <v>11969</v>
      </c>
      <c r="C13399">
        <v>5000198</v>
      </c>
      <c r="E13399" t="s">
        <v>2100</v>
      </c>
      <c r="F13399" t="s">
        <v>13406</v>
      </c>
      <c r="G13399">
        <v>1</v>
      </c>
    </row>
    <row r="13400" spans="1:7" x14ac:dyDescent="0.25">
      <c r="A13400">
        <v>38</v>
      </c>
      <c r="B13400" t="s">
        <v>11969</v>
      </c>
      <c r="C13400">
        <v>5010545</v>
      </c>
      <c r="E13400" t="s">
        <v>2100</v>
      </c>
      <c r="F13400" t="s">
        <v>13407</v>
      </c>
      <c r="G13400">
        <v>1</v>
      </c>
    </row>
    <row r="13401" spans="1:7" x14ac:dyDescent="0.25">
      <c r="A13401">
        <v>38</v>
      </c>
      <c r="B13401" t="s">
        <v>11969</v>
      </c>
      <c r="C13401">
        <v>5000503</v>
      </c>
      <c r="E13401" t="s">
        <v>2100</v>
      </c>
      <c r="F13401" t="s">
        <v>13408</v>
      </c>
      <c r="G13401">
        <v>1</v>
      </c>
    </row>
    <row r="13402" spans="1:7" x14ac:dyDescent="0.25">
      <c r="A13402">
        <v>38</v>
      </c>
      <c r="B13402" t="s">
        <v>11969</v>
      </c>
      <c r="C13402">
        <v>5020054</v>
      </c>
      <c r="E13402" t="s">
        <v>2100</v>
      </c>
      <c r="F13402" t="s">
        <v>13409</v>
      </c>
      <c r="G13402">
        <v>1</v>
      </c>
    </row>
    <row r="13403" spans="1:7" x14ac:dyDescent="0.25">
      <c r="A13403">
        <v>38</v>
      </c>
      <c r="B13403" t="s">
        <v>11969</v>
      </c>
      <c r="C13403">
        <v>5020055</v>
      </c>
      <c r="E13403" t="s">
        <v>2100</v>
      </c>
      <c r="F13403" t="s">
        <v>13410</v>
      </c>
      <c r="G13403">
        <v>1</v>
      </c>
    </row>
    <row r="13404" spans="1:7" x14ac:dyDescent="0.25">
      <c r="A13404">
        <v>38</v>
      </c>
      <c r="B13404" t="s">
        <v>11969</v>
      </c>
      <c r="C13404">
        <v>5010668</v>
      </c>
      <c r="E13404" t="s">
        <v>2100</v>
      </c>
      <c r="F13404" t="s">
        <v>13411</v>
      </c>
      <c r="G13404">
        <v>1</v>
      </c>
    </row>
    <row r="13405" spans="1:7" x14ac:dyDescent="0.25">
      <c r="A13405">
        <v>38</v>
      </c>
      <c r="B13405" t="s">
        <v>11969</v>
      </c>
      <c r="C13405">
        <v>5010650</v>
      </c>
      <c r="E13405" t="s">
        <v>2100</v>
      </c>
      <c r="F13405" t="s">
        <v>13412</v>
      </c>
      <c r="G13405">
        <v>1</v>
      </c>
    </row>
    <row r="13406" spans="1:7" x14ac:dyDescent="0.25">
      <c r="A13406">
        <v>38</v>
      </c>
      <c r="B13406" t="s">
        <v>11969</v>
      </c>
      <c r="C13406">
        <v>5010669</v>
      </c>
      <c r="E13406" t="s">
        <v>2100</v>
      </c>
      <c r="F13406" t="s">
        <v>13413</v>
      </c>
      <c r="G13406">
        <v>1</v>
      </c>
    </row>
    <row r="13407" spans="1:7" x14ac:dyDescent="0.25">
      <c r="A13407">
        <v>38</v>
      </c>
      <c r="B13407" t="s">
        <v>11969</v>
      </c>
      <c r="C13407">
        <v>5000039</v>
      </c>
      <c r="E13407" t="s">
        <v>2100</v>
      </c>
      <c r="F13407" t="s">
        <v>13414</v>
      </c>
      <c r="G13407">
        <v>1</v>
      </c>
    </row>
    <row r="13408" spans="1:7" x14ac:dyDescent="0.25">
      <c r="A13408">
        <v>38</v>
      </c>
      <c r="B13408" t="s">
        <v>11969</v>
      </c>
      <c r="C13408">
        <v>5000641</v>
      </c>
      <c r="E13408" t="s">
        <v>2100</v>
      </c>
      <c r="F13408" t="s">
        <v>13415</v>
      </c>
      <c r="G13408">
        <v>1</v>
      </c>
    </row>
    <row r="13409" spans="1:7" x14ac:dyDescent="0.25">
      <c r="A13409">
        <v>38</v>
      </c>
      <c r="B13409" t="s">
        <v>11969</v>
      </c>
      <c r="C13409">
        <v>5000061</v>
      </c>
      <c r="D13409" t="str">
        <f>"0109-9779"</f>
        <v>0109-9779</v>
      </c>
      <c r="E13409" t="s">
        <v>2100</v>
      </c>
      <c r="F13409" t="s">
        <v>13416</v>
      </c>
      <c r="G13409">
        <v>1</v>
      </c>
    </row>
    <row r="13410" spans="1:7" x14ac:dyDescent="0.25">
      <c r="A13410">
        <v>38</v>
      </c>
      <c r="B13410" t="s">
        <v>11969</v>
      </c>
      <c r="C13410">
        <v>5010902</v>
      </c>
      <c r="E13410" t="s">
        <v>2100</v>
      </c>
      <c r="F13410" t="s">
        <v>13417</v>
      </c>
      <c r="G13410">
        <v>1</v>
      </c>
    </row>
    <row r="13411" spans="1:7" x14ac:dyDescent="0.25">
      <c r="A13411">
        <v>38</v>
      </c>
      <c r="B13411" t="s">
        <v>11969</v>
      </c>
      <c r="C13411">
        <v>5010527</v>
      </c>
      <c r="E13411" t="s">
        <v>2100</v>
      </c>
      <c r="F13411" t="s">
        <v>13418</v>
      </c>
      <c r="G13411">
        <v>1</v>
      </c>
    </row>
    <row r="13412" spans="1:7" x14ac:dyDescent="0.25">
      <c r="A13412">
        <v>38</v>
      </c>
      <c r="B13412" t="s">
        <v>11969</v>
      </c>
      <c r="C13412">
        <v>5010532</v>
      </c>
      <c r="E13412" t="s">
        <v>2100</v>
      </c>
      <c r="F13412" t="s">
        <v>13419</v>
      </c>
      <c r="G13412">
        <v>1</v>
      </c>
    </row>
    <row r="13413" spans="1:7" x14ac:dyDescent="0.25">
      <c r="A13413">
        <v>38</v>
      </c>
      <c r="B13413" t="s">
        <v>11969</v>
      </c>
      <c r="C13413">
        <v>5000360</v>
      </c>
      <c r="E13413" t="s">
        <v>2100</v>
      </c>
      <c r="F13413" t="s">
        <v>13420</v>
      </c>
      <c r="G13413">
        <v>1</v>
      </c>
    </row>
    <row r="13414" spans="1:7" x14ac:dyDescent="0.25">
      <c r="A13414">
        <v>38</v>
      </c>
      <c r="B13414" t="s">
        <v>11969</v>
      </c>
      <c r="C13414">
        <v>5000031</v>
      </c>
      <c r="E13414" t="s">
        <v>2100</v>
      </c>
      <c r="F13414" t="s">
        <v>13421</v>
      </c>
      <c r="G13414">
        <v>1</v>
      </c>
    </row>
    <row r="13415" spans="1:7" x14ac:dyDescent="0.25">
      <c r="A13415">
        <v>38</v>
      </c>
      <c r="B13415" t="s">
        <v>11969</v>
      </c>
      <c r="C13415">
        <v>5010473</v>
      </c>
      <c r="E13415" t="s">
        <v>2100</v>
      </c>
      <c r="F13415" t="s">
        <v>13421</v>
      </c>
      <c r="G13415">
        <v>1</v>
      </c>
    </row>
    <row r="13416" spans="1:7" x14ac:dyDescent="0.25">
      <c r="A13416">
        <v>38</v>
      </c>
      <c r="B13416" t="s">
        <v>11969</v>
      </c>
      <c r="C13416">
        <v>8783205</v>
      </c>
      <c r="E13416" t="s">
        <v>2100</v>
      </c>
      <c r="F13416" t="s">
        <v>13422</v>
      </c>
      <c r="G13416">
        <v>1</v>
      </c>
    </row>
    <row r="13417" spans="1:7" x14ac:dyDescent="0.25">
      <c r="A13417">
        <v>38</v>
      </c>
      <c r="B13417" t="s">
        <v>11969</v>
      </c>
      <c r="C13417">
        <v>5000280</v>
      </c>
      <c r="D13417" t="str">
        <f>"0302-9743"</f>
        <v>0302-9743</v>
      </c>
      <c r="E13417" t="s">
        <v>2100</v>
      </c>
      <c r="F13417" t="s">
        <v>13423</v>
      </c>
      <c r="G13417">
        <v>1</v>
      </c>
    </row>
    <row r="13418" spans="1:7" x14ac:dyDescent="0.25">
      <c r="A13418">
        <v>38</v>
      </c>
      <c r="B13418" t="s">
        <v>11969</v>
      </c>
      <c r="C13418">
        <v>5000350</v>
      </c>
      <c r="E13418" t="s">
        <v>2100</v>
      </c>
      <c r="F13418" t="s">
        <v>13424</v>
      </c>
      <c r="G13418">
        <v>1</v>
      </c>
    </row>
    <row r="13419" spans="1:7" x14ac:dyDescent="0.25">
      <c r="A13419">
        <v>38</v>
      </c>
      <c r="B13419" t="s">
        <v>11969</v>
      </c>
      <c r="C13419">
        <v>5010358</v>
      </c>
      <c r="E13419" t="s">
        <v>2100</v>
      </c>
      <c r="F13419" t="s">
        <v>13425</v>
      </c>
      <c r="G13419">
        <v>1</v>
      </c>
    </row>
    <row r="13420" spans="1:7" x14ac:dyDescent="0.25">
      <c r="A13420">
        <v>38</v>
      </c>
      <c r="B13420" t="s">
        <v>11969</v>
      </c>
      <c r="C13420">
        <v>5000243</v>
      </c>
      <c r="E13420" t="s">
        <v>2100</v>
      </c>
      <c r="F13420" t="s">
        <v>13426</v>
      </c>
      <c r="G13420">
        <v>1</v>
      </c>
    </row>
    <row r="13421" spans="1:7" x14ac:dyDescent="0.25">
      <c r="A13421">
        <v>38</v>
      </c>
      <c r="B13421" t="s">
        <v>11969</v>
      </c>
      <c r="C13421">
        <v>5010667</v>
      </c>
      <c r="E13421" t="s">
        <v>2100</v>
      </c>
      <c r="F13421" t="s">
        <v>13427</v>
      </c>
      <c r="G13421">
        <v>1</v>
      </c>
    </row>
    <row r="13422" spans="1:7" x14ac:dyDescent="0.25">
      <c r="A13422">
        <v>38</v>
      </c>
      <c r="B13422" t="s">
        <v>11969</v>
      </c>
      <c r="C13422">
        <v>5010666</v>
      </c>
      <c r="E13422" t="s">
        <v>2100</v>
      </c>
      <c r="F13422" t="s">
        <v>13428</v>
      </c>
      <c r="G13422">
        <v>1</v>
      </c>
    </row>
    <row r="13423" spans="1:7" x14ac:dyDescent="0.25">
      <c r="A13423">
        <v>38</v>
      </c>
      <c r="B13423" t="s">
        <v>11969</v>
      </c>
      <c r="C13423">
        <v>5010344</v>
      </c>
      <c r="E13423" t="s">
        <v>2100</v>
      </c>
      <c r="F13423" t="s">
        <v>13429</v>
      </c>
      <c r="G13423">
        <v>1</v>
      </c>
    </row>
    <row r="13424" spans="1:7" x14ac:dyDescent="0.25">
      <c r="A13424">
        <v>38</v>
      </c>
      <c r="B13424" t="s">
        <v>11969</v>
      </c>
      <c r="C13424">
        <v>5010398</v>
      </c>
      <c r="E13424" t="s">
        <v>2100</v>
      </c>
      <c r="F13424" t="s">
        <v>13430</v>
      </c>
      <c r="G13424">
        <v>1</v>
      </c>
    </row>
    <row r="13425" spans="1:7" x14ac:dyDescent="0.25">
      <c r="A13425">
        <v>38</v>
      </c>
      <c r="B13425" t="s">
        <v>11969</v>
      </c>
      <c r="C13425">
        <v>5010413</v>
      </c>
      <c r="E13425" t="s">
        <v>2100</v>
      </c>
      <c r="F13425" t="s">
        <v>13431</v>
      </c>
      <c r="G13425">
        <v>1</v>
      </c>
    </row>
    <row r="13426" spans="1:7" x14ac:dyDescent="0.25">
      <c r="A13426">
        <v>38</v>
      </c>
      <c r="B13426" t="s">
        <v>11969</v>
      </c>
      <c r="C13426">
        <v>5010311</v>
      </c>
      <c r="E13426" t="s">
        <v>2100</v>
      </c>
      <c r="F13426" t="s">
        <v>13432</v>
      </c>
      <c r="G13426">
        <v>1</v>
      </c>
    </row>
    <row r="13427" spans="1:7" x14ac:dyDescent="0.25">
      <c r="A13427">
        <v>38</v>
      </c>
      <c r="B13427" t="s">
        <v>11969</v>
      </c>
      <c r="C13427">
        <v>5020056</v>
      </c>
      <c r="E13427" t="s">
        <v>2100</v>
      </c>
      <c r="F13427" t="s">
        <v>13433</v>
      </c>
      <c r="G13427">
        <v>1</v>
      </c>
    </row>
    <row r="13428" spans="1:7" x14ac:dyDescent="0.25">
      <c r="A13428">
        <v>38</v>
      </c>
      <c r="B13428" t="s">
        <v>11969</v>
      </c>
      <c r="C13428">
        <v>5010912</v>
      </c>
      <c r="E13428" t="s">
        <v>2100</v>
      </c>
      <c r="F13428" t="s">
        <v>13434</v>
      </c>
      <c r="G13428">
        <v>1</v>
      </c>
    </row>
    <row r="13429" spans="1:7" x14ac:dyDescent="0.25">
      <c r="A13429">
        <v>38</v>
      </c>
      <c r="B13429" t="s">
        <v>11969</v>
      </c>
      <c r="C13429">
        <v>5010310</v>
      </c>
      <c r="E13429" t="s">
        <v>2100</v>
      </c>
      <c r="F13429" t="s">
        <v>13435</v>
      </c>
      <c r="G13429">
        <v>1</v>
      </c>
    </row>
    <row r="13430" spans="1:7" x14ac:dyDescent="0.25">
      <c r="A13430">
        <v>38</v>
      </c>
      <c r="B13430" t="s">
        <v>11969</v>
      </c>
      <c r="C13430">
        <v>5010586</v>
      </c>
      <c r="E13430" t="s">
        <v>2100</v>
      </c>
      <c r="F13430" t="s">
        <v>13436</v>
      </c>
      <c r="G13430">
        <v>1</v>
      </c>
    </row>
    <row r="13431" spans="1:7" x14ac:dyDescent="0.25">
      <c r="A13431">
        <v>38</v>
      </c>
      <c r="B13431" t="s">
        <v>11969</v>
      </c>
      <c r="C13431">
        <v>5000282</v>
      </c>
      <c r="E13431" t="s">
        <v>2100</v>
      </c>
      <c r="F13431" t="s">
        <v>13437</v>
      </c>
      <c r="G13431">
        <v>1</v>
      </c>
    </row>
    <row r="13432" spans="1:7" x14ac:dyDescent="0.25">
      <c r="A13432">
        <v>38</v>
      </c>
      <c r="B13432" t="s">
        <v>11969</v>
      </c>
      <c r="C13432">
        <v>5010278</v>
      </c>
      <c r="D13432" t="str">
        <f>"0302-9743"</f>
        <v>0302-9743</v>
      </c>
      <c r="E13432" t="s">
        <v>2100</v>
      </c>
      <c r="F13432" t="s">
        <v>13438</v>
      </c>
      <c r="G13432">
        <v>1</v>
      </c>
    </row>
    <row r="13433" spans="1:7" x14ac:dyDescent="0.25">
      <c r="A13433">
        <v>38</v>
      </c>
      <c r="B13433" t="s">
        <v>11969</v>
      </c>
      <c r="C13433">
        <v>5010291</v>
      </c>
      <c r="E13433" t="s">
        <v>2100</v>
      </c>
      <c r="F13433" t="s">
        <v>13439</v>
      </c>
      <c r="G13433">
        <v>1</v>
      </c>
    </row>
    <row r="13434" spans="1:7" x14ac:dyDescent="0.25">
      <c r="A13434">
        <v>38</v>
      </c>
      <c r="B13434" t="s">
        <v>11969</v>
      </c>
      <c r="C13434">
        <v>5000628</v>
      </c>
      <c r="E13434" t="s">
        <v>2100</v>
      </c>
      <c r="F13434" t="s">
        <v>13440</v>
      </c>
      <c r="G13434">
        <v>1</v>
      </c>
    </row>
    <row r="13435" spans="1:7" x14ac:dyDescent="0.25">
      <c r="A13435">
        <v>38</v>
      </c>
      <c r="B13435" t="s">
        <v>11969</v>
      </c>
      <c r="C13435">
        <v>5000657</v>
      </c>
      <c r="E13435" t="s">
        <v>2100</v>
      </c>
      <c r="F13435" t="s">
        <v>13441</v>
      </c>
      <c r="G13435">
        <v>1</v>
      </c>
    </row>
    <row r="13436" spans="1:7" x14ac:dyDescent="0.25">
      <c r="A13436">
        <v>38</v>
      </c>
      <c r="B13436" t="s">
        <v>11969</v>
      </c>
      <c r="C13436">
        <v>5020016</v>
      </c>
      <c r="E13436" t="s">
        <v>2100</v>
      </c>
      <c r="F13436" t="s">
        <v>13442</v>
      </c>
      <c r="G13436">
        <v>1</v>
      </c>
    </row>
    <row r="13437" spans="1:7" x14ac:dyDescent="0.25">
      <c r="A13437">
        <v>38</v>
      </c>
      <c r="B13437" t="s">
        <v>11969</v>
      </c>
      <c r="C13437">
        <v>5010592</v>
      </c>
      <c r="E13437" t="s">
        <v>2100</v>
      </c>
      <c r="F13437" t="s">
        <v>13443</v>
      </c>
      <c r="G13437">
        <v>1</v>
      </c>
    </row>
    <row r="13438" spans="1:7" x14ac:dyDescent="0.25">
      <c r="A13438">
        <v>38</v>
      </c>
      <c r="B13438" t="s">
        <v>11969</v>
      </c>
      <c r="C13438">
        <v>5010563</v>
      </c>
      <c r="E13438" t="s">
        <v>2100</v>
      </c>
      <c r="F13438" t="s">
        <v>13444</v>
      </c>
      <c r="G13438">
        <v>1</v>
      </c>
    </row>
    <row r="13439" spans="1:7" x14ac:dyDescent="0.25">
      <c r="A13439">
        <v>38</v>
      </c>
      <c r="B13439" t="s">
        <v>11969</v>
      </c>
      <c r="C13439">
        <v>5020057</v>
      </c>
      <c r="E13439" t="s">
        <v>2100</v>
      </c>
      <c r="F13439" t="s">
        <v>13445</v>
      </c>
      <c r="G13439">
        <v>1</v>
      </c>
    </row>
    <row r="13440" spans="1:7" x14ac:dyDescent="0.25">
      <c r="A13440">
        <v>38</v>
      </c>
      <c r="B13440" t="s">
        <v>11969</v>
      </c>
      <c r="C13440">
        <v>5010597</v>
      </c>
      <c r="E13440" t="s">
        <v>2100</v>
      </c>
      <c r="F13440" t="s">
        <v>13446</v>
      </c>
      <c r="G13440">
        <v>1</v>
      </c>
    </row>
    <row r="13441" spans="1:7" x14ac:dyDescent="0.25">
      <c r="A13441">
        <v>38</v>
      </c>
      <c r="B13441" t="s">
        <v>11969</v>
      </c>
      <c r="C13441">
        <v>5000304</v>
      </c>
      <c r="E13441" t="s">
        <v>2100</v>
      </c>
      <c r="F13441" t="s">
        <v>13447</v>
      </c>
      <c r="G13441">
        <v>1</v>
      </c>
    </row>
    <row r="13442" spans="1:7" x14ac:dyDescent="0.25">
      <c r="A13442">
        <v>38</v>
      </c>
      <c r="B13442" t="s">
        <v>11969</v>
      </c>
      <c r="C13442">
        <v>5010572</v>
      </c>
      <c r="E13442" t="s">
        <v>2100</v>
      </c>
      <c r="F13442" t="s">
        <v>13448</v>
      </c>
      <c r="G13442">
        <v>1</v>
      </c>
    </row>
    <row r="13443" spans="1:7" x14ac:dyDescent="0.25">
      <c r="A13443">
        <v>38</v>
      </c>
      <c r="B13443" t="s">
        <v>11969</v>
      </c>
      <c r="C13443">
        <v>5000182</v>
      </c>
      <c r="E13443" t="s">
        <v>2100</v>
      </c>
      <c r="F13443" t="s">
        <v>13449</v>
      </c>
      <c r="G13443">
        <v>1</v>
      </c>
    </row>
    <row r="13444" spans="1:7" x14ac:dyDescent="0.25">
      <c r="A13444">
        <v>38</v>
      </c>
      <c r="B13444" t="s">
        <v>11969</v>
      </c>
      <c r="C13444">
        <v>5010663</v>
      </c>
      <c r="E13444" t="s">
        <v>2100</v>
      </c>
      <c r="F13444" t="s">
        <v>13450</v>
      </c>
      <c r="G13444">
        <v>1</v>
      </c>
    </row>
    <row r="13445" spans="1:7" x14ac:dyDescent="0.25">
      <c r="A13445">
        <v>38</v>
      </c>
      <c r="B13445" t="s">
        <v>11969</v>
      </c>
      <c r="C13445">
        <v>5010582</v>
      </c>
      <c r="E13445" t="s">
        <v>2100</v>
      </c>
      <c r="F13445" t="s">
        <v>13451</v>
      </c>
      <c r="G13445">
        <v>1</v>
      </c>
    </row>
    <row r="13446" spans="1:7" x14ac:dyDescent="0.25">
      <c r="A13446">
        <v>38</v>
      </c>
      <c r="B13446" t="s">
        <v>11969</v>
      </c>
      <c r="C13446">
        <v>5010126</v>
      </c>
      <c r="E13446" t="s">
        <v>2100</v>
      </c>
      <c r="F13446" t="s">
        <v>13452</v>
      </c>
      <c r="G13446">
        <v>1</v>
      </c>
    </row>
    <row r="13447" spans="1:7" x14ac:dyDescent="0.25">
      <c r="A13447">
        <v>38</v>
      </c>
      <c r="B13447" t="s">
        <v>11969</v>
      </c>
      <c r="C13447">
        <v>5010554</v>
      </c>
      <c r="E13447" t="s">
        <v>2100</v>
      </c>
      <c r="F13447" t="s">
        <v>13453</v>
      </c>
      <c r="G13447">
        <v>1</v>
      </c>
    </row>
    <row r="13448" spans="1:7" x14ac:dyDescent="0.25">
      <c r="A13448">
        <v>38</v>
      </c>
      <c r="B13448" t="s">
        <v>11969</v>
      </c>
      <c r="C13448">
        <v>8783147</v>
      </c>
      <c r="E13448" t="s">
        <v>2100</v>
      </c>
      <c r="F13448" t="s">
        <v>13454</v>
      </c>
      <c r="G13448">
        <v>1</v>
      </c>
    </row>
    <row r="13449" spans="1:7" x14ac:dyDescent="0.25">
      <c r="A13449">
        <v>38</v>
      </c>
      <c r="B13449" t="s">
        <v>11969</v>
      </c>
      <c r="C13449">
        <v>5010263</v>
      </c>
      <c r="E13449" t="s">
        <v>2100</v>
      </c>
      <c r="F13449" t="s">
        <v>13455</v>
      </c>
      <c r="G13449">
        <v>1</v>
      </c>
    </row>
    <row r="13450" spans="1:7" x14ac:dyDescent="0.25">
      <c r="A13450">
        <v>38</v>
      </c>
      <c r="B13450" t="s">
        <v>11969</v>
      </c>
      <c r="C13450">
        <v>5010626</v>
      </c>
      <c r="E13450" t="s">
        <v>2100</v>
      </c>
      <c r="F13450" t="s">
        <v>13456</v>
      </c>
      <c r="G13450">
        <v>1</v>
      </c>
    </row>
    <row r="13451" spans="1:7" x14ac:dyDescent="0.25">
      <c r="A13451">
        <v>38</v>
      </c>
      <c r="B13451" t="s">
        <v>11969</v>
      </c>
      <c r="C13451">
        <v>5000339</v>
      </c>
      <c r="E13451" t="s">
        <v>2100</v>
      </c>
      <c r="F13451" t="s">
        <v>13457</v>
      </c>
      <c r="G13451">
        <v>1</v>
      </c>
    </row>
    <row r="13452" spans="1:7" x14ac:dyDescent="0.25">
      <c r="A13452">
        <v>38</v>
      </c>
      <c r="B13452" t="s">
        <v>11969</v>
      </c>
      <c r="C13452">
        <v>5010246</v>
      </c>
      <c r="E13452" t="s">
        <v>2100</v>
      </c>
      <c r="F13452" t="s">
        <v>13458</v>
      </c>
      <c r="G13452">
        <v>1</v>
      </c>
    </row>
    <row r="13453" spans="1:7" x14ac:dyDescent="0.25">
      <c r="A13453">
        <v>38</v>
      </c>
      <c r="B13453" t="s">
        <v>11969</v>
      </c>
      <c r="C13453">
        <v>5010137</v>
      </c>
      <c r="E13453" t="s">
        <v>2100</v>
      </c>
      <c r="F13453" t="s">
        <v>13459</v>
      </c>
      <c r="G13453">
        <v>1</v>
      </c>
    </row>
    <row r="13454" spans="1:7" x14ac:dyDescent="0.25">
      <c r="A13454">
        <v>38</v>
      </c>
      <c r="B13454" t="s">
        <v>11969</v>
      </c>
      <c r="C13454">
        <v>5010187</v>
      </c>
      <c r="E13454" t="s">
        <v>2100</v>
      </c>
      <c r="F13454" t="s">
        <v>13460</v>
      </c>
      <c r="G13454">
        <v>1</v>
      </c>
    </row>
    <row r="13455" spans="1:7" x14ac:dyDescent="0.25">
      <c r="A13455">
        <v>38</v>
      </c>
      <c r="B13455" t="s">
        <v>11969</v>
      </c>
      <c r="C13455">
        <v>5010274</v>
      </c>
      <c r="E13455" t="s">
        <v>2100</v>
      </c>
      <c r="F13455" t="s">
        <v>13461</v>
      </c>
      <c r="G13455">
        <v>1</v>
      </c>
    </row>
    <row r="13456" spans="1:7" x14ac:dyDescent="0.25">
      <c r="A13456">
        <v>38</v>
      </c>
      <c r="B13456" t="s">
        <v>11969</v>
      </c>
      <c r="C13456">
        <v>5010173</v>
      </c>
      <c r="E13456" t="s">
        <v>2100</v>
      </c>
      <c r="F13456" t="s">
        <v>13462</v>
      </c>
      <c r="G13456">
        <v>1</v>
      </c>
    </row>
    <row r="13457" spans="1:7" x14ac:dyDescent="0.25">
      <c r="A13457">
        <v>38</v>
      </c>
      <c r="B13457" t="s">
        <v>11969</v>
      </c>
      <c r="C13457">
        <v>5010623</v>
      </c>
      <c r="E13457" t="s">
        <v>2100</v>
      </c>
      <c r="F13457" t="s">
        <v>13463</v>
      </c>
      <c r="G13457">
        <v>1</v>
      </c>
    </row>
    <row r="13458" spans="1:7" x14ac:dyDescent="0.25">
      <c r="A13458">
        <v>38</v>
      </c>
      <c r="B13458" t="s">
        <v>11969</v>
      </c>
      <c r="C13458">
        <v>8783691</v>
      </c>
      <c r="E13458" t="s">
        <v>2100</v>
      </c>
      <c r="F13458" t="s">
        <v>13464</v>
      </c>
      <c r="G13458">
        <v>1</v>
      </c>
    </row>
    <row r="13459" spans="1:7" x14ac:dyDescent="0.25">
      <c r="A13459">
        <v>38</v>
      </c>
      <c r="B13459" t="s">
        <v>11969</v>
      </c>
      <c r="C13459">
        <v>5010661</v>
      </c>
      <c r="E13459" t="s">
        <v>2100</v>
      </c>
      <c r="F13459" t="s">
        <v>13465</v>
      </c>
      <c r="G13459">
        <v>1</v>
      </c>
    </row>
    <row r="13460" spans="1:7" x14ac:dyDescent="0.25">
      <c r="A13460">
        <v>38</v>
      </c>
      <c r="B13460" t="s">
        <v>11969</v>
      </c>
      <c r="C13460">
        <v>8783144</v>
      </c>
      <c r="E13460" t="s">
        <v>2100</v>
      </c>
      <c r="F13460" t="s">
        <v>13466</v>
      </c>
      <c r="G13460">
        <v>1</v>
      </c>
    </row>
    <row r="13461" spans="1:7" x14ac:dyDescent="0.25">
      <c r="A13461">
        <v>38</v>
      </c>
      <c r="B13461" t="s">
        <v>11969</v>
      </c>
      <c r="C13461">
        <v>5010660</v>
      </c>
      <c r="E13461" t="s">
        <v>2100</v>
      </c>
      <c r="F13461" t="s">
        <v>13467</v>
      </c>
      <c r="G13461">
        <v>1</v>
      </c>
    </row>
    <row r="13462" spans="1:7" x14ac:dyDescent="0.25">
      <c r="A13462">
        <v>38</v>
      </c>
      <c r="B13462" t="s">
        <v>11969</v>
      </c>
      <c r="C13462">
        <v>5000476</v>
      </c>
      <c r="E13462" t="s">
        <v>2100</v>
      </c>
      <c r="F13462" t="s">
        <v>13468</v>
      </c>
      <c r="G13462">
        <v>1</v>
      </c>
    </row>
    <row r="13463" spans="1:7" x14ac:dyDescent="0.25">
      <c r="A13463">
        <v>38</v>
      </c>
      <c r="B13463" t="s">
        <v>11969</v>
      </c>
      <c r="C13463">
        <v>5010427</v>
      </c>
      <c r="E13463" t="s">
        <v>2100</v>
      </c>
      <c r="F13463" t="s">
        <v>13469</v>
      </c>
      <c r="G13463">
        <v>1</v>
      </c>
    </row>
    <row r="13464" spans="1:7" x14ac:dyDescent="0.25">
      <c r="A13464">
        <v>38</v>
      </c>
      <c r="B13464" t="s">
        <v>11969</v>
      </c>
      <c r="C13464">
        <v>5010446</v>
      </c>
      <c r="E13464" t="s">
        <v>2100</v>
      </c>
      <c r="F13464" t="s">
        <v>13470</v>
      </c>
      <c r="G13464">
        <v>1</v>
      </c>
    </row>
    <row r="13465" spans="1:7" x14ac:dyDescent="0.25">
      <c r="A13465">
        <v>38</v>
      </c>
      <c r="B13465" t="s">
        <v>11969</v>
      </c>
      <c r="C13465">
        <v>5010435</v>
      </c>
      <c r="E13465" t="s">
        <v>2100</v>
      </c>
      <c r="F13465" t="s">
        <v>13471</v>
      </c>
      <c r="G13465">
        <v>1</v>
      </c>
    </row>
    <row r="13466" spans="1:7" x14ac:dyDescent="0.25">
      <c r="A13466">
        <v>38</v>
      </c>
      <c r="B13466" t="s">
        <v>11969</v>
      </c>
      <c r="C13466">
        <v>5000074</v>
      </c>
      <c r="E13466" t="s">
        <v>2100</v>
      </c>
      <c r="F13466" t="s">
        <v>13472</v>
      </c>
      <c r="G13466">
        <v>1</v>
      </c>
    </row>
    <row r="13467" spans="1:7" x14ac:dyDescent="0.25">
      <c r="A13467">
        <v>38</v>
      </c>
      <c r="B13467" t="s">
        <v>11969</v>
      </c>
      <c r="C13467">
        <v>5010508</v>
      </c>
      <c r="E13467" t="s">
        <v>2100</v>
      </c>
      <c r="F13467" t="s">
        <v>13473</v>
      </c>
      <c r="G13467">
        <v>1</v>
      </c>
    </row>
    <row r="13468" spans="1:7" x14ac:dyDescent="0.25">
      <c r="A13468">
        <v>38</v>
      </c>
      <c r="B13468" t="s">
        <v>11969</v>
      </c>
      <c r="C13468">
        <v>5000650</v>
      </c>
      <c r="E13468" t="s">
        <v>2100</v>
      </c>
      <c r="F13468" t="s">
        <v>13474</v>
      </c>
      <c r="G13468">
        <v>1</v>
      </c>
    </row>
    <row r="13469" spans="1:7" x14ac:dyDescent="0.25">
      <c r="A13469">
        <v>38</v>
      </c>
      <c r="B13469" t="s">
        <v>11969</v>
      </c>
      <c r="C13469">
        <v>5010914</v>
      </c>
      <c r="E13469" t="s">
        <v>2100</v>
      </c>
      <c r="F13469" t="s">
        <v>13475</v>
      </c>
      <c r="G13469">
        <v>1</v>
      </c>
    </row>
    <row r="13470" spans="1:7" x14ac:dyDescent="0.25">
      <c r="A13470">
        <v>38</v>
      </c>
      <c r="B13470" t="s">
        <v>11969</v>
      </c>
      <c r="C13470">
        <v>5010642</v>
      </c>
      <c r="E13470" t="s">
        <v>2100</v>
      </c>
      <c r="F13470" t="s">
        <v>13476</v>
      </c>
      <c r="G13470">
        <v>1</v>
      </c>
    </row>
    <row r="13471" spans="1:7" x14ac:dyDescent="0.25">
      <c r="A13471">
        <v>38</v>
      </c>
      <c r="B13471" t="s">
        <v>11969</v>
      </c>
      <c r="C13471">
        <v>5010657</v>
      </c>
      <c r="E13471" t="s">
        <v>2100</v>
      </c>
      <c r="F13471" t="s">
        <v>13477</v>
      </c>
      <c r="G13471">
        <v>1</v>
      </c>
    </row>
    <row r="13472" spans="1:7" x14ac:dyDescent="0.25">
      <c r="A13472">
        <v>38</v>
      </c>
      <c r="B13472" t="s">
        <v>11969</v>
      </c>
      <c r="C13472">
        <v>5020058</v>
      </c>
      <c r="E13472" t="s">
        <v>2100</v>
      </c>
      <c r="F13472" t="s">
        <v>13478</v>
      </c>
      <c r="G13472">
        <v>1</v>
      </c>
    </row>
    <row r="13473" spans="1:7" x14ac:dyDescent="0.25">
      <c r="A13473">
        <v>38</v>
      </c>
      <c r="B13473" t="s">
        <v>11969</v>
      </c>
      <c r="C13473">
        <v>8783363</v>
      </c>
      <c r="E13473" t="s">
        <v>2100</v>
      </c>
      <c r="F13473" t="s">
        <v>13479</v>
      </c>
      <c r="G13473">
        <v>1</v>
      </c>
    </row>
    <row r="13474" spans="1:7" x14ac:dyDescent="0.25">
      <c r="A13474">
        <v>38</v>
      </c>
      <c r="B13474" t="s">
        <v>11969</v>
      </c>
      <c r="C13474">
        <v>5010517</v>
      </c>
      <c r="E13474" t="s">
        <v>2100</v>
      </c>
      <c r="F13474" t="s">
        <v>13480</v>
      </c>
      <c r="G13474">
        <v>1</v>
      </c>
    </row>
    <row r="13475" spans="1:7" x14ac:dyDescent="0.25">
      <c r="A13475">
        <v>38</v>
      </c>
      <c r="B13475" t="s">
        <v>11969</v>
      </c>
      <c r="C13475">
        <v>5010655</v>
      </c>
      <c r="E13475" t="s">
        <v>2100</v>
      </c>
      <c r="F13475" t="s">
        <v>13481</v>
      </c>
      <c r="G13475">
        <v>1</v>
      </c>
    </row>
    <row r="13476" spans="1:7" x14ac:dyDescent="0.25">
      <c r="A13476">
        <v>38</v>
      </c>
      <c r="B13476" t="s">
        <v>11969</v>
      </c>
      <c r="C13476">
        <v>5010841</v>
      </c>
      <c r="E13476" t="s">
        <v>2100</v>
      </c>
      <c r="F13476" t="s">
        <v>13482</v>
      </c>
      <c r="G13476">
        <v>1</v>
      </c>
    </row>
    <row r="13477" spans="1:7" x14ac:dyDescent="0.25">
      <c r="A13477">
        <v>38</v>
      </c>
      <c r="B13477" t="s">
        <v>11969</v>
      </c>
      <c r="C13477">
        <v>5010862</v>
      </c>
      <c r="E13477" t="s">
        <v>2100</v>
      </c>
      <c r="F13477" t="s">
        <v>13483</v>
      </c>
      <c r="G13477">
        <v>1</v>
      </c>
    </row>
    <row r="13478" spans="1:7" x14ac:dyDescent="0.25">
      <c r="A13478">
        <v>38</v>
      </c>
      <c r="B13478" t="s">
        <v>11969</v>
      </c>
      <c r="C13478">
        <v>5010630</v>
      </c>
      <c r="E13478" t="s">
        <v>2100</v>
      </c>
      <c r="F13478" t="s">
        <v>13484</v>
      </c>
      <c r="G13478">
        <v>1</v>
      </c>
    </row>
    <row r="13479" spans="1:7" x14ac:dyDescent="0.25">
      <c r="A13479">
        <v>38</v>
      </c>
      <c r="B13479" t="s">
        <v>11969</v>
      </c>
      <c r="C13479">
        <v>5010830</v>
      </c>
      <c r="E13479" t="s">
        <v>2100</v>
      </c>
      <c r="F13479" t="s">
        <v>13485</v>
      </c>
      <c r="G13479">
        <v>1</v>
      </c>
    </row>
    <row r="13480" spans="1:7" x14ac:dyDescent="0.25">
      <c r="A13480">
        <v>38</v>
      </c>
      <c r="B13480" t="s">
        <v>11969</v>
      </c>
      <c r="C13480">
        <v>5010649</v>
      </c>
      <c r="E13480" t="s">
        <v>2100</v>
      </c>
      <c r="F13480" t="s">
        <v>13486</v>
      </c>
      <c r="G13480">
        <v>1</v>
      </c>
    </row>
    <row r="13481" spans="1:7" x14ac:dyDescent="0.25">
      <c r="A13481">
        <v>38</v>
      </c>
      <c r="B13481" t="s">
        <v>11969</v>
      </c>
      <c r="C13481">
        <v>5000173</v>
      </c>
      <c r="E13481" t="s">
        <v>2100</v>
      </c>
      <c r="F13481" t="s">
        <v>13487</v>
      </c>
      <c r="G13481">
        <v>1</v>
      </c>
    </row>
    <row r="13482" spans="1:7" x14ac:dyDescent="0.25">
      <c r="A13482">
        <v>38</v>
      </c>
      <c r="B13482" t="s">
        <v>11969</v>
      </c>
      <c r="C13482">
        <v>5010808</v>
      </c>
      <c r="E13482" t="s">
        <v>2100</v>
      </c>
      <c r="F13482" t="s">
        <v>13488</v>
      </c>
      <c r="G13482">
        <v>1</v>
      </c>
    </row>
    <row r="13483" spans="1:7" x14ac:dyDescent="0.25">
      <c r="A13483">
        <v>38</v>
      </c>
      <c r="B13483" t="s">
        <v>11969</v>
      </c>
      <c r="C13483">
        <v>5010807</v>
      </c>
      <c r="E13483" t="s">
        <v>2100</v>
      </c>
      <c r="F13483" t="s">
        <v>13489</v>
      </c>
      <c r="G13483">
        <v>1</v>
      </c>
    </row>
    <row r="13484" spans="1:7" x14ac:dyDescent="0.25">
      <c r="A13484">
        <v>38</v>
      </c>
      <c r="B13484" t="s">
        <v>11969</v>
      </c>
      <c r="C13484">
        <v>5010717</v>
      </c>
      <c r="E13484" t="s">
        <v>2100</v>
      </c>
      <c r="F13484" t="s">
        <v>13490</v>
      </c>
      <c r="G13484">
        <v>1</v>
      </c>
    </row>
    <row r="13485" spans="1:7" x14ac:dyDescent="0.25">
      <c r="A13485">
        <v>38</v>
      </c>
      <c r="B13485" t="s">
        <v>11969</v>
      </c>
      <c r="C13485">
        <v>5010794</v>
      </c>
      <c r="E13485" t="s">
        <v>2100</v>
      </c>
      <c r="F13485" t="s">
        <v>13491</v>
      </c>
      <c r="G13485">
        <v>1</v>
      </c>
    </row>
    <row r="13486" spans="1:7" x14ac:dyDescent="0.25">
      <c r="A13486">
        <v>38</v>
      </c>
      <c r="B13486" t="s">
        <v>11969</v>
      </c>
      <c r="C13486">
        <v>5010656</v>
      </c>
      <c r="E13486" t="s">
        <v>2100</v>
      </c>
      <c r="F13486" t="s">
        <v>13492</v>
      </c>
      <c r="G13486">
        <v>1</v>
      </c>
    </row>
    <row r="13487" spans="1:7" x14ac:dyDescent="0.25">
      <c r="A13487">
        <v>38</v>
      </c>
      <c r="B13487" t="s">
        <v>11969</v>
      </c>
      <c r="C13487">
        <v>5010822</v>
      </c>
      <c r="E13487" t="s">
        <v>2100</v>
      </c>
      <c r="F13487" t="s">
        <v>13493</v>
      </c>
      <c r="G13487">
        <v>1</v>
      </c>
    </row>
    <row r="13488" spans="1:7" x14ac:dyDescent="0.25">
      <c r="A13488">
        <v>38</v>
      </c>
      <c r="B13488" t="s">
        <v>11969</v>
      </c>
      <c r="C13488">
        <v>5010829</v>
      </c>
      <c r="E13488" t="s">
        <v>2100</v>
      </c>
      <c r="F13488" t="s">
        <v>13494</v>
      </c>
      <c r="G13488">
        <v>1</v>
      </c>
    </row>
    <row r="13489" spans="1:7" x14ac:dyDescent="0.25">
      <c r="A13489">
        <v>38</v>
      </c>
      <c r="B13489" t="s">
        <v>11969</v>
      </c>
      <c r="C13489">
        <v>5010813</v>
      </c>
      <c r="E13489" t="s">
        <v>2100</v>
      </c>
      <c r="F13489" t="s">
        <v>13495</v>
      </c>
      <c r="G13489">
        <v>1</v>
      </c>
    </row>
    <row r="13490" spans="1:7" x14ac:dyDescent="0.25">
      <c r="A13490">
        <v>38</v>
      </c>
      <c r="B13490" t="s">
        <v>11969</v>
      </c>
      <c r="C13490">
        <v>5010863</v>
      </c>
      <c r="E13490" t="s">
        <v>2100</v>
      </c>
      <c r="F13490" t="s">
        <v>13496</v>
      </c>
      <c r="G13490">
        <v>1</v>
      </c>
    </row>
    <row r="13491" spans="1:7" x14ac:dyDescent="0.25">
      <c r="A13491">
        <v>38</v>
      </c>
      <c r="B13491" t="s">
        <v>11969</v>
      </c>
      <c r="C13491">
        <v>5010497</v>
      </c>
      <c r="E13491" t="s">
        <v>2100</v>
      </c>
      <c r="F13491" t="s">
        <v>13497</v>
      </c>
      <c r="G13491">
        <v>1</v>
      </c>
    </row>
    <row r="13492" spans="1:7" x14ac:dyDescent="0.25">
      <c r="A13492">
        <v>38</v>
      </c>
      <c r="B13492" t="s">
        <v>11969</v>
      </c>
      <c r="C13492">
        <v>5010537</v>
      </c>
      <c r="E13492" t="s">
        <v>2100</v>
      </c>
      <c r="F13492" t="s">
        <v>13498</v>
      </c>
      <c r="G13492">
        <v>1</v>
      </c>
    </row>
    <row r="13493" spans="1:7" x14ac:dyDescent="0.25">
      <c r="A13493">
        <v>38</v>
      </c>
      <c r="B13493" t="s">
        <v>11969</v>
      </c>
      <c r="C13493">
        <v>5010896</v>
      </c>
      <c r="E13493" t="s">
        <v>2100</v>
      </c>
      <c r="F13493" t="s">
        <v>13499</v>
      </c>
      <c r="G13493">
        <v>1</v>
      </c>
    </row>
    <row r="13494" spans="1:7" x14ac:dyDescent="0.25">
      <c r="A13494">
        <v>38</v>
      </c>
      <c r="B13494" t="s">
        <v>11969</v>
      </c>
      <c r="C13494">
        <v>5000279</v>
      </c>
      <c r="E13494" t="s">
        <v>2100</v>
      </c>
      <c r="F13494" t="s">
        <v>13500</v>
      </c>
      <c r="G13494">
        <v>1</v>
      </c>
    </row>
    <row r="13495" spans="1:7" x14ac:dyDescent="0.25">
      <c r="A13495">
        <v>38</v>
      </c>
      <c r="B13495" t="s">
        <v>11969</v>
      </c>
      <c r="C13495">
        <v>5010633</v>
      </c>
      <c r="E13495" t="s">
        <v>2100</v>
      </c>
      <c r="F13495" t="s">
        <v>13501</v>
      </c>
      <c r="G13495">
        <v>1</v>
      </c>
    </row>
    <row r="13496" spans="1:7" x14ac:dyDescent="0.25">
      <c r="A13496">
        <v>38</v>
      </c>
      <c r="B13496" t="s">
        <v>11969</v>
      </c>
      <c r="C13496">
        <v>5010870</v>
      </c>
      <c r="E13496" t="s">
        <v>2100</v>
      </c>
      <c r="F13496" t="s">
        <v>13502</v>
      </c>
      <c r="G13496">
        <v>1</v>
      </c>
    </row>
    <row r="13497" spans="1:7" x14ac:dyDescent="0.25">
      <c r="A13497">
        <v>38</v>
      </c>
      <c r="B13497" t="s">
        <v>11969</v>
      </c>
      <c r="C13497">
        <v>5010880</v>
      </c>
      <c r="E13497" t="s">
        <v>2100</v>
      </c>
      <c r="F13497" t="s">
        <v>13503</v>
      </c>
      <c r="G13497">
        <v>1</v>
      </c>
    </row>
    <row r="13498" spans="1:7" x14ac:dyDescent="0.25">
      <c r="A13498">
        <v>38</v>
      </c>
      <c r="B13498" t="s">
        <v>11969</v>
      </c>
      <c r="C13498">
        <v>5010919</v>
      </c>
      <c r="E13498" t="s">
        <v>2100</v>
      </c>
      <c r="F13498" t="s">
        <v>13504</v>
      </c>
      <c r="G13498">
        <v>1</v>
      </c>
    </row>
    <row r="13499" spans="1:7" x14ac:dyDescent="0.25">
      <c r="A13499">
        <v>38</v>
      </c>
      <c r="B13499" t="s">
        <v>11969</v>
      </c>
      <c r="C13499">
        <v>5010920</v>
      </c>
      <c r="E13499" t="s">
        <v>2100</v>
      </c>
      <c r="F13499" t="s">
        <v>13505</v>
      </c>
      <c r="G13499">
        <v>1</v>
      </c>
    </row>
    <row r="13500" spans="1:7" x14ac:dyDescent="0.25">
      <c r="A13500">
        <v>38</v>
      </c>
      <c r="B13500" t="s">
        <v>11969</v>
      </c>
      <c r="C13500">
        <v>5010461</v>
      </c>
      <c r="E13500" t="s">
        <v>2100</v>
      </c>
      <c r="F13500" t="s">
        <v>13506</v>
      </c>
      <c r="G13500">
        <v>1</v>
      </c>
    </row>
    <row r="13501" spans="1:7" x14ac:dyDescent="0.25">
      <c r="A13501">
        <v>38</v>
      </c>
      <c r="B13501" t="s">
        <v>11969</v>
      </c>
      <c r="C13501">
        <v>5010564</v>
      </c>
      <c r="E13501" t="s">
        <v>2100</v>
      </c>
      <c r="F13501" t="s">
        <v>13507</v>
      </c>
      <c r="G13501">
        <v>1</v>
      </c>
    </row>
    <row r="13502" spans="1:7" x14ac:dyDescent="0.25">
      <c r="A13502">
        <v>38</v>
      </c>
      <c r="B13502" t="s">
        <v>11969</v>
      </c>
      <c r="C13502">
        <v>5010608</v>
      </c>
      <c r="E13502" t="s">
        <v>2100</v>
      </c>
      <c r="F13502" t="s">
        <v>13508</v>
      </c>
      <c r="G13502">
        <v>1</v>
      </c>
    </row>
    <row r="13503" spans="1:7" x14ac:dyDescent="0.25">
      <c r="A13503">
        <v>38</v>
      </c>
      <c r="B13503" t="s">
        <v>11969</v>
      </c>
      <c r="C13503">
        <v>5010614</v>
      </c>
      <c r="E13503" t="s">
        <v>2100</v>
      </c>
      <c r="F13503" t="s">
        <v>13509</v>
      </c>
      <c r="G13503">
        <v>1</v>
      </c>
    </row>
    <row r="13504" spans="1:7" x14ac:dyDescent="0.25">
      <c r="A13504">
        <v>38</v>
      </c>
      <c r="B13504" t="s">
        <v>11969</v>
      </c>
      <c r="C13504">
        <v>5010580</v>
      </c>
      <c r="E13504" t="s">
        <v>2100</v>
      </c>
      <c r="F13504" t="s">
        <v>13510</v>
      </c>
      <c r="G13504">
        <v>1</v>
      </c>
    </row>
    <row r="13505" spans="1:7" x14ac:dyDescent="0.25">
      <c r="A13505">
        <v>38</v>
      </c>
      <c r="B13505" t="s">
        <v>11969</v>
      </c>
      <c r="C13505">
        <v>5010595</v>
      </c>
      <c r="E13505" t="s">
        <v>2100</v>
      </c>
      <c r="F13505" t="s">
        <v>13511</v>
      </c>
      <c r="G13505">
        <v>1</v>
      </c>
    </row>
    <row r="13506" spans="1:7" x14ac:dyDescent="0.25">
      <c r="A13506">
        <v>38</v>
      </c>
      <c r="B13506" t="s">
        <v>11969</v>
      </c>
      <c r="C13506">
        <v>5010646</v>
      </c>
      <c r="E13506" t="s">
        <v>2100</v>
      </c>
      <c r="F13506" t="s">
        <v>13512</v>
      </c>
      <c r="G13506">
        <v>1</v>
      </c>
    </row>
    <row r="13507" spans="1:7" x14ac:dyDescent="0.25">
      <c r="A13507">
        <v>38</v>
      </c>
      <c r="B13507" t="s">
        <v>11969</v>
      </c>
      <c r="C13507">
        <v>5010911</v>
      </c>
      <c r="E13507" t="s">
        <v>2100</v>
      </c>
      <c r="F13507" t="s">
        <v>13513</v>
      </c>
      <c r="G13507">
        <v>1</v>
      </c>
    </row>
    <row r="13508" spans="1:7" x14ac:dyDescent="0.25">
      <c r="A13508">
        <v>38</v>
      </c>
      <c r="B13508" t="s">
        <v>11969</v>
      </c>
      <c r="C13508">
        <v>5010576</v>
      </c>
      <c r="E13508" t="s">
        <v>2100</v>
      </c>
      <c r="F13508" t="s">
        <v>13514</v>
      </c>
      <c r="G13508">
        <v>1</v>
      </c>
    </row>
    <row r="13509" spans="1:7" x14ac:dyDescent="0.25">
      <c r="A13509">
        <v>38</v>
      </c>
      <c r="B13509" t="s">
        <v>11969</v>
      </c>
      <c r="C13509">
        <v>5010617</v>
      </c>
      <c r="E13509" t="s">
        <v>2100</v>
      </c>
      <c r="F13509" t="s">
        <v>13515</v>
      </c>
      <c r="G13509">
        <v>1</v>
      </c>
    </row>
    <row r="13510" spans="1:7" x14ac:dyDescent="0.25">
      <c r="A13510">
        <v>38</v>
      </c>
      <c r="B13510" t="s">
        <v>11969</v>
      </c>
      <c r="C13510">
        <v>5010559</v>
      </c>
      <c r="E13510" t="s">
        <v>2100</v>
      </c>
      <c r="F13510" t="s">
        <v>13516</v>
      </c>
      <c r="G13510">
        <v>1</v>
      </c>
    </row>
    <row r="13511" spans="1:7" x14ac:dyDescent="0.25">
      <c r="A13511">
        <v>38</v>
      </c>
      <c r="B13511" t="s">
        <v>11969</v>
      </c>
      <c r="C13511">
        <v>5010872</v>
      </c>
      <c r="E13511" t="s">
        <v>2100</v>
      </c>
      <c r="F13511" t="s">
        <v>13517</v>
      </c>
      <c r="G13511">
        <v>1</v>
      </c>
    </row>
    <row r="13512" spans="1:7" x14ac:dyDescent="0.25">
      <c r="A13512">
        <v>38</v>
      </c>
      <c r="B13512" t="s">
        <v>11969</v>
      </c>
      <c r="C13512">
        <v>5000621</v>
      </c>
      <c r="E13512" t="s">
        <v>2100</v>
      </c>
      <c r="F13512" t="s">
        <v>13518</v>
      </c>
      <c r="G13512">
        <v>1</v>
      </c>
    </row>
    <row r="13513" spans="1:7" x14ac:dyDescent="0.25">
      <c r="A13513">
        <v>38</v>
      </c>
      <c r="B13513" t="s">
        <v>11969</v>
      </c>
      <c r="C13513">
        <v>5010753</v>
      </c>
      <c r="E13513" t="s">
        <v>2100</v>
      </c>
      <c r="F13513" t="s">
        <v>13519</v>
      </c>
      <c r="G13513">
        <v>1</v>
      </c>
    </row>
    <row r="13514" spans="1:7" x14ac:dyDescent="0.25">
      <c r="A13514">
        <v>38</v>
      </c>
      <c r="B13514" t="s">
        <v>11969</v>
      </c>
      <c r="C13514">
        <v>8783377</v>
      </c>
      <c r="E13514" t="s">
        <v>8</v>
      </c>
      <c r="F13514" t="s">
        <v>13520</v>
      </c>
      <c r="G13514">
        <v>1</v>
      </c>
    </row>
    <row r="13515" spans="1:7" x14ac:dyDescent="0.25">
      <c r="A13515">
        <v>38</v>
      </c>
      <c r="B13515" t="s">
        <v>11969</v>
      </c>
      <c r="C13515">
        <v>5010725</v>
      </c>
      <c r="E13515" t="s">
        <v>2100</v>
      </c>
      <c r="F13515" t="s">
        <v>13521</v>
      </c>
      <c r="G13515">
        <v>1</v>
      </c>
    </row>
    <row r="13516" spans="1:7" x14ac:dyDescent="0.25">
      <c r="A13516">
        <v>38</v>
      </c>
      <c r="B13516" t="s">
        <v>11969</v>
      </c>
      <c r="C13516">
        <v>20263</v>
      </c>
      <c r="D13516" t="str">
        <f>"1520-9202"</f>
        <v>1520-9202</v>
      </c>
      <c r="E13516" t="s">
        <v>8</v>
      </c>
      <c r="F13516" t="s">
        <v>13522</v>
      </c>
      <c r="G13516">
        <v>1</v>
      </c>
    </row>
    <row r="13517" spans="1:7" x14ac:dyDescent="0.25">
      <c r="A13517">
        <v>38</v>
      </c>
      <c r="B13517" t="s">
        <v>11969</v>
      </c>
      <c r="C13517">
        <v>5000344</v>
      </c>
      <c r="E13517" t="s">
        <v>2100</v>
      </c>
      <c r="F13517" t="s">
        <v>13523</v>
      </c>
      <c r="G13517">
        <v>1</v>
      </c>
    </row>
    <row r="13518" spans="1:7" x14ac:dyDescent="0.25">
      <c r="A13518">
        <v>38</v>
      </c>
      <c r="B13518" t="s">
        <v>11969</v>
      </c>
      <c r="C13518">
        <v>5010763</v>
      </c>
      <c r="E13518" t="s">
        <v>2100</v>
      </c>
      <c r="F13518" t="s">
        <v>13524</v>
      </c>
      <c r="G13518">
        <v>1</v>
      </c>
    </row>
    <row r="13519" spans="1:7" x14ac:dyDescent="0.25">
      <c r="A13519">
        <v>38</v>
      </c>
      <c r="B13519" t="s">
        <v>11969</v>
      </c>
      <c r="C13519">
        <v>5010724</v>
      </c>
      <c r="E13519" t="s">
        <v>2100</v>
      </c>
      <c r="F13519" t="s">
        <v>13525</v>
      </c>
      <c r="G13519">
        <v>1</v>
      </c>
    </row>
    <row r="13520" spans="1:7" x14ac:dyDescent="0.25">
      <c r="A13520">
        <v>38</v>
      </c>
      <c r="B13520" t="s">
        <v>11969</v>
      </c>
      <c r="C13520">
        <v>5000306</v>
      </c>
      <c r="E13520" t="s">
        <v>2100</v>
      </c>
      <c r="F13520" t="s">
        <v>13526</v>
      </c>
      <c r="G13520">
        <v>1</v>
      </c>
    </row>
    <row r="13521" spans="1:7" x14ac:dyDescent="0.25">
      <c r="A13521">
        <v>38</v>
      </c>
      <c r="B13521" t="s">
        <v>11969</v>
      </c>
      <c r="C13521">
        <v>5010809</v>
      </c>
      <c r="E13521" t="s">
        <v>2100</v>
      </c>
      <c r="F13521" t="s">
        <v>13527</v>
      </c>
      <c r="G13521">
        <v>1</v>
      </c>
    </row>
    <row r="13522" spans="1:7" x14ac:dyDescent="0.25">
      <c r="A13522">
        <v>38</v>
      </c>
      <c r="B13522" t="s">
        <v>11969</v>
      </c>
      <c r="C13522">
        <v>8783676</v>
      </c>
      <c r="E13522" t="s">
        <v>2100</v>
      </c>
      <c r="F13522" t="s">
        <v>13528</v>
      </c>
      <c r="G13522">
        <v>1</v>
      </c>
    </row>
    <row r="13523" spans="1:7" x14ac:dyDescent="0.25">
      <c r="A13523">
        <v>38</v>
      </c>
      <c r="B13523" t="s">
        <v>11969</v>
      </c>
      <c r="C13523">
        <v>8783694</v>
      </c>
      <c r="E13523" t="s">
        <v>2100</v>
      </c>
      <c r="F13523" t="s">
        <v>13529</v>
      </c>
      <c r="G13523">
        <v>1</v>
      </c>
    </row>
    <row r="13524" spans="1:7" x14ac:dyDescent="0.25">
      <c r="A13524">
        <v>38</v>
      </c>
      <c r="B13524" t="s">
        <v>11969</v>
      </c>
      <c r="C13524">
        <v>5010165</v>
      </c>
      <c r="E13524" t="s">
        <v>2100</v>
      </c>
      <c r="F13524" t="s">
        <v>13530</v>
      </c>
      <c r="G13524">
        <v>1</v>
      </c>
    </row>
    <row r="13525" spans="1:7" x14ac:dyDescent="0.25">
      <c r="A13525">
        <v>38</v>
      </c>
      <c r="B13525" t="s">
        <v>11969</v>
      </c>
      <c r="C13525">
        <v>5000594</v>
      </c>
      <c r="E13525" t="s">
        <v>2100</v>
      </c>
      <c r="F13525" t="s">
        <v>13531</v>
      </c>
      <c r="G13525">
        <v>1</v>
      </c>
    </row>
    <row r="13526" spans="1:7" x14ac:dyDescent="0.25">
      <c r="A13526">
        <v>38</v>
      </c>
      <c r="B13526" t="s">
        <v>11969</v>
      </c>
      <c r="C13526">
        <v>11138</v>
      </c>
      <c r="D13526" t="str">
        <f>"0948-695x"</f>
        <v>0948-695x</v>
      </c>
      <c r="E13526" t="s">
        <v>8</v>
      </c>
      <c r="F13526" t="s">
        <v>13532</v>
      </c>
      <c r="G13526">
        <v>1</v>
      </c>
    </row>
    <row r="13527" spans="1:7" x14ac:dyDescent="0.25">
      <c r="A13527">
        <v>38</v>
      </c>
      <c r="B13527" t="s">
        <v>11969</v>
      </c>
      <c r="C13527">
        <v>27000</v>
      </c>
      <c r="D13527" t="str">
        <f>"1343-0130"</f>
        <v>1343-0130</v>
      </c>
      <c r="E13527" t="s">
        <v>8</v>
      </c>
      <c r="F13527" t="s">
        <v>13533</v>
      </c>
      <c r="G13527">
        <v>1</v>
      </c>
    </row>
    <row r="13528" spans="1:7" x14ac:dyDescent="0.25">
      <c r="A13528">
        <v>38</v>
      </c>
      <c r="B13528" t="s">
        <v>11969</v>
      </c>
      <c r="C13528">
        <v>5530</v>
      </c>
      <c r="D13528" t="str">
        <f>"1748-3018"</f>
        <v>1748-3018</v>
      </c>
      <c r="E13528" t="s">
        <v>8</v>
      </c>
      <c r="F13528" t="s">
        <v>13534</v>
      </c>
      <c r="G13528">
        <v>1</v>
      </c>
    </row>
    <row r="13529" spans="1:7" x14ac:dyDescent="0.25">
      <c r="A13529">
        <v>38</v>
      </c>
      <c r="B13529" t="s">
        <v>11969</v>
      </c>
      <c r="C13529">
        <v>6167617</v>
      </c>
      <c r="D13529" t="str">
        <f>"1868-5137"</f>
        <v>1868-5137</v>
      </c>
      <c r="E13529" t="s">
        <v>8</v>
      </c>
      <c r="F13529" t="s">
        <v>13535</v>
      </c>
      <c r="G13529">
        <v>1</v>
      </c>
    </row>
    <row r="13530" spans="1:7" x14ac:dyDescent="0.25">
      <c r="A13530">
        <v>38</v>
      </c>
      <c r="B13530" t="s">
        <v>11969</v>
      </c>
      <c r="C13530">
        <v>11621</v>
      </c>
      <c r="D13530" t="str">
        <f>"1570-8683"</f>
        <v>1570-8683</v>
      </c>
      <c r="E13530" t="s">
        <v>8</v>
      </c>
      <c r="F13530" t="s">
        <v>13536</v>
      </c>
      <c r="G13530">
        <v>1</v>
      </c>
    </row>
    <row r="13531" spans="1:7" x14ac:dyDescent="0.25">
      <c r="A13531">
        <v>38</v>
      </c>
      <c r="B13531" t="s">
        <v>11969</v>
      </c>
      <c r="C13531">
        <v>12826</v>
      </c>
      <c r="D13531" t="str">
        <f>"1166-3081"</f>
        <v>1166-3081</v>
      </c>
      <c r="E13531" t="s">
        <v>8</v>
      </c>
      <c r="F13531" t="s">
        <v>13537</v>
      </c>
      <c r="G13531">
        <v>1</v>
      </c>
    </row>
    <row r="13532" spans="1:7" x14ac:dyDescent="0.25">
      <c r="A13532">
        <v>38</v>
      </c>
      <c r="B13532" t="s">
        <v>11969</v>
      </c>
      <c r="C13532">
        <v>17785</v>
      </c>
      <c r="D13532" t="str">
        <f>"1557-5969"</f>
        <v>1557-5969</v>
      </c>
      <c r="E13532" t="s">
        <v>8</v>
      </c>
      <c r="F13532" t="s">
        <v>13538</v>
      </c>
      <c r="G13532">
        <v>1</v>
      </c>
    </row>
    <row r="13533" spans="1:7" x14ac:dyDescent="0.25">
      <c r="A13533">
        <v>38</v>
      </c>
      <c r="B13533" t="s">
        <v>11969</v>
      </c>
      <c r="C13533">
        <v>14986</v>
      </c>
      <c r="D13533" t="str">
        <f>"0218-1266"</f>
        <v>0218-1266</v>
      </c>
      <c r="E13533" t="s">
        <v>8</v>
      </c>
      <c r="F13533" t="s">
        <v>13539</v>
      </c>
      <c r="G13533">
        <v>1</v>
      </c>
    </row>
    <row r="13534" spans="1:7" x14ac:dyDescent="0.25">
      <c r="A13534">
        <v>38</v>
      </c>
      <c r="B13534" t="s">
        <v>11969</v>
      </c>
      <c r="C13534">
        <v>24439</v>
      </c>
      <c r="D13534" t="str">
        <f>"0835-3026"</f>
        <v>0835-3026</v>
      </c>
      <c r="E13534" t="s">
        <v>8</v>
      </c>
      <c r="F13534" t="s">
        <v>13540</v>
      </c>
      <c r="G13534">
        <v>1</v>
      </c>
    </row>
    <row r="13535" spans="1:7" x14ac:dyDescent="0.25">
      <c r="A13535">
        <v>38</v>
      </c>
      <c r="B13535" t="s">
        <v>11969</v>
      </c>
      <c r="C13535">
        <v>4073</v>
      </c>
      <c r="D13535" t="str">
        <f>"1064-2307"</f>
        <v>1064-2307</v>
      </c>
      <c r="E13535" t="s">
        <v>8</v>
      </c>
      <c r="F13535" t="s">
        <v>13541</v>
      </c>
      <c r="G13535">
        <v>1</v>
      </c>
    </row>
    <row r="13536" spans="1:7" x14ac:dyDescent="0.25">
      <c r="A13536">
        <v>38</v>
      </c>
      <c r="B13536" t="s">
        <v>11969</v>
      </c>
      <c r="C13536">
        <v>59529</v>
      </c>
      <c r="D13536" t="str">
        <f>"2090-7141"</f>
        <v>2090-7141</v>
      </c>
      <c r="E13536" t="s">
        <v>8</v>
      </c>
      <c r="F13536" t="s">
        <v>13542</v>
      </c>
      <c r="G13536">
        <v>1</v>
      </c>
    </row>
    <row r="13537" spans="1:7" x14ac:dyDescent="0.25">
      <c r="A13537">
        <v>38</v>
      </c>
      <c r="B13537" t="s">
        <v>11969</v>
      </c>
      <c r="C13537">
        <v>3813</v>
      </c>
      <c r="D13537" t="str">
        <f>"1000-9000"</f>
        <v>1000-9000</v>
      </c>
      <c r="E13537" t="s">
        <v>8</v>
      </c>
      <c r="F13537" t="s">
        <v>13543</v>
      </c>
      <c r="G13537">
        <v>1</v>
      </c>
    </row>
    <row r="13538" spans="1:7" x14ac:dyDescent="0.25">
      <c r="A13538">
        <v>38</v>
      </c>
      <c r="B13538" t="s">
        <v>11969</v>
      </c>
      <c r="C13538">
        <v>154477</v>
      </c>
      <c r="D13538" t="str">
        <f>"1976-4677"</f>
        <v>1976-4677</v>
      </c>
      <c r="E13538" t="s">
        <v>8</v>
      </c>
      <c r="F13538" t="s">
        <v>13544</v>
      </c>
      <c r="G13538">
        <v>1</v>
      </c>
    </row>
    <row r="13539" spans="1:7" x14ac:dyDescent="0.25">
      <c r="A13539">
        <v>38</v>
      </c>
      <c r="B13539" t="s">
        <v>11969</v>
      </c>
      <c r="C13539">
        <v>6103</v>
      </c>
      <c r="D13539" t="str">
        <f>"1570-8667"</f>
        <v>1570-8667</v>
      </c>
      <c r="E13539" t="s">
        <v>8</v>
      </c>
      <c r="F13539" t="s">
        <v>13545</v>
      </c>
      <c r="G13539">
        <v>1</v>
      </c>
    </row>
    <row r="13540" spans="1:7" x14ac:dyDescent="0.25">
      <c r="A13540">
        <v>38</v>
      </c>
      <c r="B13540" t="s">
        <v>11969</v>
      </c>
      <c r="C13540">
        <v>11477</v>
      </c>
      <c r="D13540" t="str">
        <f>"1017-9909"</f>
        <v>1017-9909</v>
      </c>
      <c r="E13540" t="s">
        <v>8</v>
      </c>
      <c r="F13540" t="s">
        <v>13546</v>
      </c>
      <c r="G13540">
        <v>1</v>
      </c>
    </row>
    <row r="13541" spans="1:7" x14ac:dyDescent="0.25">
      <c r="A13541">
        <v>38</v>
      </c>
      <c r="B13541" t="s">
        <v>11969</v>
      </c>
      <c r="C13541">
        <v>7079</v>
      </c>
      <c r="D13541" t="str">
        <f>"0923-8174"</f>
        <v>0923-8174</v>
      </c>
      <c r="E13541" t="s">
        <v>8</v>
      </c>
      <c r="F13541" t="s">
        <v>13547</v>
      </c>
      <c r="G13541">
        <v>1</v>
      </c>
    </row>
    <row r="13542" spans="1:7" x14ac:dyDescent="0.25">
      <c r="A13542">
        <v>38</v>
      </c>
      <c r="B13542" t="s">
        <v>11969</v>
      </c>
      <c r="C13542">
        <v>7629</v>
      </c>
      <c r="D13542" t="str">
        <f>"0952-813X"</f>
        <v>0952-813X</v>
      </c>
      <c r="E13542" t="s">
        <v>8</v>
      </c>
      <c r="F13542" t="s">
        <v>13548</v>
      </c>
      <c r="G13542">
        <v>1</v>
      </c>
    </row>
    <row r="13543" spans="1:7" x14ac:dyDescent="0.25">
      <c r="A13543">
        <v>38</v>
      </c>
      <c r="B13543" t="s">
        <v>11969</v>
      </c>
      <c r="C13543">
        <v>24231</v>
      </c>
      <c r="D13543" t="str">
        <f>"1570-7873"</f>
        <v>1570-7873</v>
      </c>
      <c r="E13543" t="s">
        <v>8</v>
      </c>
      <c r="F13543" t="s">
        <v>13549</v>
      </c>
      <c r="G13543">
        <v>1</v>
      </c>
    </row>
    <row r="13544" spans="1:7" x14ac:dyDescent="0.25">
      <c r="A13544">
        <v>38</v>
      </c>
      <c r="B13544" t="s">
        <v>11969</v>
      </c>
      <c r="C13544">
        <v>12499</v>
      </c>
      <c r="D13544" t="str">
        <f>"1464-7141"</f>
        <v>1464-7141</v>
      </c>
      <c r="E13544" t="s">
        <v>8</v>
      </c>
      <c r="F13544" t="s">
        <v>13550</v>
      </c>
      <c r="G13544">
        <v>1</v>
      </c>
    </row>
    <row r="13545" spans="1:7" x14ac:dyDescent="0.25">
      <c r="A13545">
        <v>38</v>
      </c>
      <c r="B13545" t="s">
        <v>11969</v>
      </c>
      <c r="C13545">
        <v>6209</v>
      </c>
      <c r="D13545" t="str">
        <f>"0252-2667"</f>
        <v>0252-2667</v>
      </c>
      <c r="E13545" t="s">
        <v>8</v>
      </c>
      <c r="F13545" t="s">
        <v>13551</v>
      </c>
      <c r="G13545">
        <v>1</v>
      </c>
    </row>
    <row r="13546" spans="1:7" x14ac:dyDescent="0.25">
      <c r="A13546">
        <v>38</v>
      </c>
      <c r="B13546" t="s">
        <v>11969</v>
      </c>
      <c r="C13546">
        <v>11973</v>
      </c>
      <c r="D13546" t="str">
        <f>"1016-2364"</f>
        <v>1016-2364</v>
      </c>
      <c r="E13546" t="s">
        <v>8</v>
      </c>
      <c r="F13546" t="s">
        <v>13552</v>
      </c>
      <c r="G13546">
        <v>1</v>
      </c>
    </row>
    <row r="13547" spans="1:7" x14ac:dyDescent="0.25">
      <c r="A13547">
        <v>38</v>
      </c>
      <c r="B13547" t="s">
        <v>11969</v>
      </c>
      <c r="C13547">
        <v>10870</v>
      </c>
      <c r="D13547" t="str">
        <f>"1064-1246"</f>
        <v>1064-1246</v>
      </c>
      <c r="E13547" t="s">
        <v>8</v>
      </c>
      <c r="F13547" t="s">
        <v>13553</v>
      </c>
      <c r="G13547">
        <v>1</v>
      </c>
    </row>
    <row r="13548" spans="1:7" x14ac:dyDescent="0.25">
      <c r="A13548">
        <v>38</v>
      </c>
      <c r="B13548" t="s">
        <v>11969</v>
      </c>
      <c r="C13548">
        <v>16935</v>
      </c>
      <c r="D13548" t="str">
        <f>"0219-2659"</f>
        <v>0219-2659</v>
      </c>
      <c r="E13548" t="s">
        <v>8</v>
      </c>
      <c r="F13548" t="s">
        <v>13554</v>
      </c>
      <c r="G13548">
        <v>1</v>
      </c>
    </row>
    <row r="13549" spans="1:7" x14ac:dyDescent="0.25">
      <c r="A13549">
        <v>38</v>
      </c>
      <c r="B13549" t="s">
        <v>11969</v>
      </c>
      <c r="C13549">
        <v>88702</v>
      </c>
      <c r="D13549" t="str">
        <f>"1607-9264"</f>
        <v>1607-9264</v>
      </c>
      <c r="E13549" t="s">
        <v>8</v>
      </c>
      <c r="F13549" t="s">
        <v>13555</v>
      </c>
      <c r="G13549">
        <v>1</v>
      </c>
    </row>
    <row r="13550" spans="1:7" x14ac:dyDescent="0.25">
      <c r="A13550">
        <v>38</v>
      </c>
      <c r="B13550" t="s">
        <v>11969</v>
      </c>
      <c r="C13550">
        <v>23334</v>
      </c>
      <c r="D13550" t="str">
        <f>"1748-9725"</f>
        <v>1748-9725</v>
      </c>
      <c r="E13550" t="s">
        <v>8</v>
      </c>
      <c r="F13550" t="s">
        <v>13556</v>
      </c>
      <c r="G13550">
        <v>1</v>
      </c>
    </row>
    <row r="13551" spans="1:7" x14ac:dyDescent="0.25">
      <c r="A13551">
        <v>38</v>
      </c>
      <c r="B13551" t="s">
        <v>11969</v>
      </c>
      <c r="C13551">
        <v>18990</v>
      </c>
      <c r="D13551" t="str">
        <f>"1546-1998"</f>
        <v>1546-1998</v>
      </c>
      <c r="E13551" t="s">
        <v>8</v>
      </c>
      <c r="F13551" t="s">
        <v>13557</v>
      </c>
      <c r="G13551">
        <v>1</v>
      </c>
    </row>
    <row r="13552" spans="1:7" x14ac:dyDescent="0.25">
      <c r="A13552">
        <v>38</v>
      </c>
      <c r="B13552" t="s">
        <v>11969</v>
      </c>
      <c r="C13552">
        <v>27779</v>
      </c>
      <c r="D13552" t="str">
        <f>"1550-4646"</f>
        <v>1550-4646</v>
      </c>
      <c r="E13552" t="s">
        <v>8</v>
      </c>
      <c r="F13552" t="s">
        <v>13558</v>
      </c>
      <c r="G13552">
        <v>1</v>
      </c>
    </row>
    <row r="13553" spans="1:7" x14ac:dyDescent="0.25">
      <c r="A13553">
        <v>38</v>
      </c>
      <c r="B13553" t="s">
        <v>11969</v>
      </c>
      <c r="C13553">
        <v>16485</v>
      </c>
      <c r="D13553" t="str">
        <f>"1542-3980"</f>
        <v>1542-3980</v>
      </c>
      <c r="E13553" t="s">
        <v>8</v>
      </c>
      <c r="F13553" t="s">
        <v>13559</v>
      </c>
      <c r="G13553">
        <v>1</v>
      </c>
    </row>
    <row r="13554" spans="1:7" x14ac:dyDescent="0.25">
      <c r="A13554">
        <v>38</v>
      </c>
      <c r="B13554" t="s">
        <v>11969</v>
      </c>
      <c r="C13554">
        <v>10018</v>
      </c>
      <c r="D13554" t="str">
        <f>"1084-8045"</f>
        <v>1084-8045</v>
      </c>
      <c r="E13554" t="s">
        <v>8</v>
      </c>
      <c r="F13554" t="s">
        <v>13560</v>
      </c>
      <c r="G13554">
        <v>1</v>
      </c>
    </row>
    <row r="13555" spans="1:7" x14ac:dyDescent="0.25">
      <c r="A13555">
        <v>38</v>
      </c>
      <c r="B13555" t="s">
        <v>11969</v>
      </c>
      <c r="C13555">
        <v>8979</v>
      </c>
      <c r="E13555" t="s">
        <v>8</v>
      </c>
      <c r="F13555" t="s">
        <v>13561</v>
      </c>
      <c r="G13555">
        <v>1</v>
      </c>
    </row>
    <row r="13556" spans="1:7" x14ac:dyDescent="0.25">
      <c r="A13556">
        <v>38</v>
      </c>
      <c r="B13556" t="s">
        <v>11969</v>
      </c>
      <c r="C13556">
        <v>8758257</v>
      </c>
      <c r="D13556" t="str">
        <f>"2035-3928"</f>
        <v>2035-3928</v>
      </c>
      <c r="E13556" t="s">
        <v>8</v>
      </c>
      <c r="F13556" t="s">
        <v>13562</v>
      </c>
      <c r="G13556">
        <v>1</v>
      </c>
    </row>
    <row r="13557" spans="1:7" x14ac:dyDescent="0.25">
      <c r="A13557">
        <v>38</v>
      </c>
      <c r="B13557" t="s">
        <v>11969</v>
      </c>
      <c r="C13557">
        <v>14415</v>
      </c>
      <c r="D13557" t="str">
        <f>"0920-8542"</f>
        <v>0920-8542</v>
      </c>
      <c r="E13557" t="s">
        <v>8</v>
      </c>
      <c r="F13557" t="s">
        <v>13563</v>
      </c>
      <c r="G13557">
        <v>1</v>
      </c>
    </row>
    <row r="13558" spans="1:7" x14ac:dyDescent="0.25">
      <c r="A13558">
        <v>38</v>
      </c>
      <c r="B13558" t="s">
        <v>11969</v>
      </c>
      <c r="C13558">
        <v>8681</v>
      </c>
      <c r="D13558" t="str">
        <f>"1009-6124"</f>
        <v>1009-6124</v>
      </c>
      <c r="E13558" t="s">
        <v>8</v>
      </c>
      <c r="F13558" t="s">
        <v>13564</v>
      </c>
      <c r="G13558">
        <v>1</v>
      </c>
    </row>
    <row r="13559" spans="1:7" x14ac:dyDescent="0.25">
      <c r="A13559">
        <v>38</v>
      </c>
      <c r="B13559" t="s">
        <v>11969</v>
      </c>
      <c r="C13559">
        <v>27401</v>
      </c>
      <c r="D13559" t="str">
        <f>"0718-1876"</f>
        <v>0718-1876</v>
      </c>
      <c r="E13559" t="s">
        <v>8</v>
      </c>
      <c r="F13559" t="s">
        <v>13565</v>
      </c>
      <c r="G13559">
        <v>1</v>
      </c>
    </row>
    <row r="13560" spans="1:7" x14ac:dyDescent="0.25">
      <c r="A13560">
        <v>38</v>
      </c>
      <c r="B13560" t="s">
        <v>11969</v>
      </c>
      <c r="C13560">
        <v>27869</v>
      </c>
      <c r="D13560" t="str">
        <f>"0948-695X"</f>
        <v>0948-695X</v>
      </c>
      <c r="E13560" t="s">
        <v>8</v>
      </c>
      <c r="F13560" t="s">
        <v>13566</v>
      </c>
      <c r="G13560">
        <v>1</v>
      </c>
    </row>
    <row r="13561" spans="1:7" x14ac:dyDescent="0.25">
      <c r="A13561">
        <v>38</v>
      </c>
      <c r="B13561" t="s">
        <v>11969</v>
      </c>
      <c r="C13561">
        <v>728</v>
      </c>
      <c r="D13561" t="str">
        <f>"1045-926X"</f>
        <v>1045-926X</v>
      </c>
      <c r="E13561" t="s">
        <v>8</v>
      </c>
      <c r="F13561" t="s">
        <v>13567</v>
      </c>
      <c r="G13561">
        <v>1</v>
      </c>
    </row>
    <row r="13562" spans="1:7" x14ac:dyDescent="0.25">
      <c r="A13562">
        <v>38</v>
      </c>
      <c r="B13562" t="s">
        <v>11969</v>
      </c>
      <c r="C13562">
        <v>16520</v>
      </c>
      <c r="D13562" t="str">
        <f>"1343-8875"</f>
        <v>1343-8875</v>
      </c>
      <c r="E13562" t="s">
        <v>8</v>
      </c>
      <c r="F13562" t="s">
        <v>13568</v>
      </c>
      <c r="G13562">
        <v>1</v>
      </c>
    </row>
    <row r="13563" spans="1:7" x14ac:dyDescent="0.25">
      <c r="A13563">
        <v>38</v>
      </c>
      <c r="B13563" t="s">
        <v>11969</v>
      </c>
      <c r="C13563">
        <v>17671</v>
      </c>
      <c r="D13563" t="str">
        <f>"1540-9589"</f>
        <v>1540-9589</v>
      </c>
      <c r="E13563" t="s">
        <v>8</v>
      </c>
      <c r="F13563" t="s">
        <v>13569</v>
      </c>
      <c r="G13563">
        <v>1</v>
      </c>
    </row>
    <row r="13564" spans="1:7" x14ac:dyDescent="0.25">
      <c r="A13564">
        <v>38</v>
      </c>
      <c r="B13564" t="s">
        <v>11969</v>
      </c>
      <c r="C13564">
        <v>55125</v>
      </c>
      <c r="D13564" t="str">
        <f>"1861-2032"</f>
        <v>1861-2032</v>
      </c>
      <c r="E13564" t="s">
        <v>8</v>
      </c>
      <c r="F13564" t="s">
        <v>13570</v>
      </c>
      <c r="G13564">
        <v>1</v>
      </c>
    </row>
    <row r="13565" spans="1:7" x14ac:dyDescent="0.25">
      <c r="A13565">
        <v>38</v>
      </c>
      <c r="B13565" t="s">
        <v>11969</v>
      </c>
      <c r="C13565">
        <v>5000030</v>
      </c>
      <c r="E13565" t="s">
        <v>2100</v>
      </c>
      <c r="F13565" t="s">
        <v>13571</v>
      </c>
      <c r="G13565">
        <v>1</v>
      </c>
    </row>
    <row r="13566" spans="1:7" x14ac:dyDescent="0.25">
      <c r="A13566">
        <v>38</v>
      </c>
      <c r="B13566" t="s">
        <v>11969</v>
      </c>
      <c r="C13566">
        <v>8783361</v>
      </c>
      <c r="E13566" t="s">
        <v>2100</v>
      </c>
      <c r="F13566" t="s">
        <v>13572</v>
      </c>
      <c r="G13566">
        <v>1</v>
      </c>
    </row>
    <row r="13567" spans="1:7" x14ac:dyDescent="0.25">
      <c r="A13567">
        <v>38</v>
      </c>
      <c r="B13567" t="s">
        <v>11969</v>
      </c>
      <c r="C13567">
        <v>6385</v>
      </c>
      <c r="D13567" t="str">
        <f>"0368-492X"</f>
        <v>0368-492X</v>
      </c>
      <c r="E13567" t="s">
        <v>8</v>
      </c>
      <c r="F13567" t="s">
        <v>13573</v>
      </c>
      <c r="G13567">
        <v>1</v>
      </c>
    </row>
    <row r="13568" spans="1:7" x14ac:dyDescent="0.25">
      <c r="A13568">
        <v>38</v>
      </c>
      <c r="B13568" t="s">
        <v>11969</v>
      </c>
      <c r="C13568">
        <v>4675</v>
      </c>
      <c r="D13568" t="str">
        <f>"0023-5954"</f>
        <v>0023-5954</v>
      </c>
      <c r="E13568" t="s">
        <v>8</v>
      </c>
      <c r="F13568" t="s">
        <v>13574</v>
      </c>
      <c r="G13568">
        <v>1</v>
      </c>
    </row>
    <row r="13569" spans="1:7" x14ac:dyDescent="0.25">
      <c r="A13569">
        <v>38</v>
      </c>
      <c r="B13569" t="s">
        <v>11969</v>
      </c>
      <c r="C13569">
        <v>5010133</v>
      </c>
      <c r="E13569" t="s">
        <v>2100</v>
      </c>
      <c r="F13569" t="s">
        <v>13575</v>
      </c>
      <c r="G13569">
        <v>1</v>
      </c>
    </row>
    <row r="13570" spans="1:7" x14ac:dyDescent="0.25">
      <c r="A13570">
        <v>38</v>
      </c>
      <c r="B13570" t="s">
        <v>11969</v>
      </c>
      <c r="C13570">
        <v>5010105</v>
      </c>
      <c r="E13570" t="s">
        <v>2100</v>
      </c>
      <c r="F13570" t="s">
        <v>13576</v>
      </c>
      <c r="G13570">
        <v>1</v>
      </c>
    </row>
    <row r="13571" spans="1:7" x14ac:dyDescent="0.25">
      <c r="A13571">
        <v>38</v>
      </c>
      <c r="B13571" t="s">
        <v>11969</v>
      </c>
      <c r="C13571">
        <v>5010109</v>
      </c>
      <c r="E13571" t="s">
        <v>2100</v>
      </c>
      <c r="F13571" t="s">
        <v>13577</v>
      </c>
      <c r="G13571">
        <v>1</v>
      </c>
    </row>
    <row r="13572" spans="1:7" x14ac:dyDescent="0.25">
      <c r="A13572">
        <v>38</v>
      </c>
      <c r="B13572" t="s">
        <v>11969</v>
      </c>
      <c r="C13572">
        <v>5010113</v>
      </c>
      <c r="E13572" t="s">
        <v>2100</v>
      </c>
      <c r="F13572" t="s">
        <v>13578</v>
      </c>
      <c r="G13572">
        <v>1</v>
      </c>
    </row>
    <row r="13573" spans="1:7" x14ac:dyDescent="0.25">
      <c r="A13573">
        <v>38</v>
      </c>
      <c r="B13573" t="s">
        <v>11969</v>
      </c>
      <c r="C13573">
        <v>5010112</v>
      </c>
      <c r="E13573" t="s">
        <v>2100</v>
      </c>
      <c r="F13573" t="s">
        <v>13579</v>
      </c>
      <c r="G13573">
        <v>1</v>
      </c>
    </row>
    <row r="13574" spans="1:7" x14ac:dyDescent="0.25">
      <c r="A13574">
        <v>38</v>
      </c>
      <c r="B13574" t="s">
        <v>11969</v>
      </c>
      <c r="C13574">
        <v>5000349</v>
      </c>
      <c r="E13574" t="s">
        <v>2100</v>
      </c>
      <c r="F13574" t="s">
        <v>13580</v>
      </c>
      <c r="G13574">
        <v>1</v>
      </c>
    </row>
    <row r="13575" spans="1:7" x14ac:dyDescent="0.25">
      <c r="A13575">
        <v>38</v>
      </c>
      <c r="B13575" t="s">
        <v>11969</v>
      </c>
      <c r="C13575">
        <v>5010117</v>
      </c>
      <c r="E13575" t="s">
        <v>2100</v>
      </c>
      <c r="F13575" t="s">
        <v>13581</v>
      </c>
      <c r="G13575">
        <v>1</v>
      </c>
    </row>
    <row r="13576" spans="1:7" x14ac:dyDescent="0.25">
      <c r="A13576">
        <v>38</v>
      </c>
      <c r="B13576" t="s">
        <v>11969</v>
      </c>
      <c r="C13576">
        <v>5010110</v>
      </c>
      <c r="E13576" t="s">
        <v>2100</v>
      </c>
      <c r="F13576" t="s">
        <v>13582</v>
      </c>
      <c r="G13576">
        <v>1</v>
      </c>
    </row>
    <row r="13577" spans="1:7" x14ac:dyDescent="0.25">
      <c r="A13577">
        <v>38</v>
      </c>
      <c r="B13577" t="s">
        <v>11969</v>
      </c>
      <c r="C13577">
        <v>5010107</v>
      </c>
      <c r="E13577" t="s">
        <v>2100</v>
      </c>
      <c r="F13577" t="s">
        <v>13583</v>
      </c>
      <c r="G13577">
        <v>1</v>
      </c>
    </row>
    <row r="13578" spans="1:7" x14ac:dyDescent="0.25">
      <c r="A13578">
        <v>38</v>
      </c>
      <c r="B13578" t="s">
        <v>11969</v>
      </c>
      <c r="C13578">
        <v>5010103</v>
      </c>
      <c r="E13578" t="s">
        <v>2100</v>
      </c>
      <c r="F13578" t="s">
        <v>13584</v>
      </c>
      <c r="G13578">
        <v>1</v>
      </c>
    </row>
    <row r="13579" spans="1:7" x14ac:dyDescent="0.25">
      <c r="A13579">
        <v>38</v>
      </c>
      <c r="B13579" t="s">
        <v>11969</v>
      </c>
      <c r="C13579">
        <v>170369</v>
      </c>
      <c r="D13579" t="str">
        <f>"1865-1348"</f>
        <v>1865-1348</v>
      </c>
      <c r="E13579" t="s">
        <v>15</v>
      </c>
      <c r="F13579" t="s">
        <v>13585</v>
      </c>
      <c r="G13579">
        <v>1</v>
      </c>
    </row>
    <row r="13580" spans="1:7" x14ac:dyDescent="0.25">
      <c r="A13580">
        <v>38</v>
      </c>
      <c r="B13580" t="s">
        <v>11969</v>
      </c>
      <c r="C13580">
        <v>11214</v>
      </c>
      <c r="D13580" t="str">
        <f>"1439-7358"</f>
        <v>1439-7358</v>
      </c>
      <c r="E13580" t="s">
        <v>15</v>
      </c>
      <c r="F13580" t="s">
        <v>13586</v>
      </c>
      <c r="G13580">
        <v>1</v>
      </c>
    </row>
    <row r="13581" spans="1:7" x14ac:dyDescent="0.25">
      <c r="A13581">
        <v>38</v>
      </c>
      <c r="B13581" t="s">
        <v>11969</v>
      </c>
      <c r="C13581">
        <v>7398</v>
      </c>
      <c r="D13581" t="str">
        <f>"0302-9743"</f>
        <v>0302-9743</v>
      </c>
      <c r="E13581" t="s">
        <v>15</v>
      </c>
      <c r="F13581" t="s">
        <v>13587</v>
      </c>
      <c r="G13581">
        <v>1</v>
      </c>
    </row>
    <row r="13582" spans="1:7" x14ac:dyDescent="0.25">
      <c r="A13582">
        <v>38</v>
      </c>
      <c r="B13582" t="s">
        <v>11969</v>
      </c>
      <c r="C13582">
        <v>5010135</v>
      </c>
      <c r="E13582" t="s">
        <v>2100</v>
      </c>
      <c r="F13582" t="s">
        <v>13588</v>
      </c>
      <c r="G13582">
        <v>1</v>
      </c>
    </row>
    <row r="13583" spans="1:7" x14ac:dyDescent="0.25">
      <c r="A13583">
        <v>38</v>
      </c>
      <c r="B13583" t="s">
        <v>11969</v>
      </c>
      <c r="C13583">
        <v>2533</v>
      </c>
      <c r="D13583" t="str">
        <f>"1075-3583"</f>
        <v>1075-3583</v>
      </c>
      <c r="E13583" t="s">
        <v>8</v>
      </c>
      <c r="F13583" t="s">
        <v>13589</v>
      </c>
      <c r="G13583">
        <v>1</v>
      </c>
    </row>
    <row r="13584" spans="1:7" x14ac:dyDescent="0.25">
      <c r="A13584">
        <v>38</v>
      </c>
      <c r="B13584" t="s">
        <v>11969</v>
      </c>
      <c r="C13584">
        <v>156443</v>
      </c>
      <c r="D13584" t="str">
        <f>"1867-7193"</f>
        <v>1867-7193</v>
      </c>
      <c r="E13584" t="s">
        <v>8</v>
      </c>
      <c r="F13584" t="s">
        <v>13590</v>
      </c>
      <c r="G13584">
        <v>1</v>
      </c>
    </row>
    <row r="13585" spans="1:7" x14ac:dyDescent="0.25">
      <c r="A13585">
        <v>38</v>
      </c>
      <c r="B13585" t="s">
        <v>11969</v>
      </c>
      <c r="C13585">
        <v>145851</v>
      </c>
      <c r="D13585" t="str">
        <f>"1861-2059"</f>
        <v>1861-2059</v>
      </c>
      <c r="E13585" t="s">
        <v>8</v>
      </c>
      <c r="F13585" t="s">
        <v>13591</v>
      </c>
      <c r="G13585">
        <v>1</v>
      </c>
    </row>
    <row r="13586" spans="1:7" x14ac:dyDescent="0.25">
      <c r="A13586">
        <v>38</v>
      </c>
      <c r="B13586" t="s">
        <v>11969</v>
      </c>
      <c r="C13586">
        <v>5000245</v>
      </c>
      <c r="E13586" t="s">
        <v>2100</v>
      </c>
      <c r="F13586" t="s">
        <v>13592</v>
      </c>
      <c r="G13586">
        <v>1</v>
      </c>
    </row>
    <row r="13587" spans="1:7" x14ac:dyDescent="0.25">
      <c r="A13587">
        <v>38</v>
      </c>
      <c r="B13587" t="s">
        <v>11969</v>
      </c>
      <c r="C13587">
        <v>5010201</v>
      </c>
      <c r="E13587" t="s">
        <v>2100</v>
      </c>
      <c r="F13587" t="s">
        <v>13593</v>
      </c>
      <c r="G13587">
        <v>1</v>
      </c>
    </row>
    <row r="13588" spans="1:7" x14ac:dyDescent="0.25">
      <c r="A13588">
        <v>38</v>
      </c>
      <c r="B13588" t="s">
        <v>11969</v>
      </c>
      <c r="C13588">
        <v>6197214</v>
      </c>
      <c r="D13588" t="str">
        <f>"1867-2949"</f>
        <v>1867-2949</v>
      </c>
      <c r="E13588" t="s">
        <v>8</v>
      </c>
      <c r="F13588" t="s">
        <v>13594</v>
      </c>
      <c r="G13588">
        <v>1</v>
      </c>
    </row>
    <row r="13589" spans="1:7" x14ac:dyDescent="0.25">
      <c r="A13589">
        <v>38</v>
      </c>
      <c r="B13589" t="s">
        <v>11969</v>
      </c>
      <c r="C13589">
        <v>21383</v>
      </c>
      <c r="D13589" t="str">
        <f>"1661-8270"</f>
        <v>1661-8270</v>
      </c>
      <c r="E13589" t="s">
        <v>8</v>
      </c>
      <c r="F13589" t="s">
        <v>13595</v>
      </c>
      <c r="G13589">
        <v>1</v>
      </c>
    </row>
    <row r="13590" spans="1:7" x14ac:dyDescent="0.25">
      <c r="A13590">
        <v>38</v>
      </c>
      <c r="B13590" t="s">
        <v>11969</v>
      </c>
      <c r="C13590">
        <v>5000525</v>
      </c>
      <c r="E13590" t="s">
        <v>2100</v>
      </c>
      <c r="F13590" t="s">
        <v>13596</v>
      </c>
      <c r="G13590">
        <v>1</v>
      </c>
    </row>
    <row r="13591" spans="1:7" x14ac:dyDescent="0.25">
      <c r="A13591">
        <v>38</v>
      </c>
      <c r="B13591" t="s">
        <v>11969</v>
      </c>
      <c r="C13591">
        <v>5010148</v>
      </c>
      <c r="E13591" t="s">
        <v>2100</v>
      </c>
      <c r="F13591" t="s">
        <v>13597</v>
      </c>
      <c r="G13591">
        <v>1</v>
      </c>
    </row>
    <row r="13592" spans="1:7" x14ac:dyDescent="0.25">
      <c r="A13592">
        <v>38</v>
      </c>
      <c r="B13592" t="s">
        <v>11969</v>
      </c>
      <c r="C13592">
        <v>5010238</v>
      </c>
      <c r="E13592" t="s">
        <v>2100</v>
      </c>
      <c r="F13592" t="s">
        <v>13598</v>
      </c>
      <c r="G13592">
        <v>1</v>
      </c>
    </row>
    <row r="13593" spans="1:7" x14ac:dyDescent="0.25">
      <c r="A13593">
        <v>38</v>
      </c>
      <c r="B13593" t="s">
        <v>11969</v>
      </c>
      <c r="C13593">
        <v>5010598</v>
      </c>
      <c r="E13593" t="s">
        <v>2100</v>
      </c>
      <c r="F13593" t="s">
        <v>13599</v>
      </c>
      <c r="G13593">
        <v>1</v>
      </c>
    </row>
    <row r="13594" spans="1:7" x14ac:dyDescent="0.25">
      <c r="A13594">
        <v>38</v>
      </c>
      <c r="B13594" t="s">
        <v>11969</v>
      </c>
      <c r="C13594">
        <v>5010152</v>
      </c>
      <c r="E13594" t="s">
        <v>2100</v>
      </c>
      <c r="F13594" t="s">
        <v>13600</v>
      </c>
      <c r="G13594">
        <v>1</v>
      </c>
    </row>
    <row r="13595" spans="1:7" x14ac:dyDescent="0.25">
      <c r="A13595">
        <v>38</v>
      </c>
      <c r="B13595" t="s">
        <v>11969</v>
      </c>
      <c r="C13595">
        <v>5000526</v>
      </c>
      <c r="E13595" t="s">
        <v>2100</v>
      </c>
      <c r="F13595" t="s">
        <v>13601</v>
      </c>
      <c r="G13595">
        <v>1</v>
      </c>
    </row>
    <row r="13596" spans="1:7" x14ac:dyDescent="0.25">
      <c r="A13596">
        <v>38</v>
      </c>
      <c r="B13596" t="s">
        <v>11969</v>
      </c>
      <c r="C13596">
        <v>5010402</v>
      </c>
      <c r="E13596" t="s">
        <v>2100</v>
      </c>
      <c r="F13596" t="s">
        <v>13602</v>
      </c>
      <c r="G13596">
        <v>1</v>
      </c>
    </row>
    <row r="13597" spans="1:7" x14ac:dyDescent="0.25">
      <c r="A13597">
        <v>38</v>
      </c>
      <c r="B13597" t="s">
        <v>11969</v>
      </c>
      <c r="C13597">
        <v>5165</v>
      </c>
      <c r="D13597" t="str">
        <f>"0141-9331"</f>
        <v>0141-9331</v>
      </c>
      <c r="E13597" t="s">
        <v>8</v>
      </c>
      <c r="F13597" t="s">
        <v>13603</v>
      </c>
      <c r="G13597">
        <v>1</v>
      </c>
    </row>
    <row r="13598" spans="1:7" x14ac:dyDescent="0.25">
      <c r="A13598">
        <v>38</v>
      </c>
      <c r="B13598" t="s">
        <v>11969</v>
      </c>
      <c r="C13598">
        <v>5000446</v>
      </c>
      <c r="E13598" t="s">
        <v>2100</v>
      </c>
      <c r="F13598" t="s">
        <v>13604</v>
      </c>
      <c r="G13598">
        <v>1</v>
      </c>
    </row>
    <row r="13599" spans="1:7" x14ac:dyDescent="0.25">
      <c r="A13599">
        <v>38</v>
      </c>
      <c r="B13599" t="s">
        <v>11969</v>
      </c>
      <c r="C13599">
        <v>1345</v>
      </c>
      <c r="D13599" t="str">
        <f>"1383-469X"</f>
        <v>1383-469X</v>
      </c>
      <c r="E13599" t="s">
        <v>8</v>
      </c>
      <c r="F13599" t="s">
        <v>13605</v>
      </c>
      <c r="G13599">
        <v>1</v>
      </c>
    </row>
    <row r="13600" spans="1:7" x14ac:dyDescent="0.25">
      <c r="A13600">
        <v>38</v>
      </c>
      <c r="B13600" t="s">
        <v>11969</v>
      </c>
      <c r="C13600">
        <v>5010140</v>
      </c>
      <c r="E13600" t="s">
        <v>2100</v>
      </c>
      <c r="F13600" t="s">
        <v>13606</v>
      </c>
      <c r="G13600">
        <v>1</v>
      </c>
    </row>
    <row r="13601" spans="1:7" x14ac:dyDescent="0.25">
      <c r="A13601">
        <v>38</v>
      </c>
      <c r="B13601" t="s">
        <v>11969</v>
      </c>
      <c r="C13601">
        <v>23247</v>
      </c>
      <c r="D13601" t="str">
        <f>"1574-1702"</f>
        <v>1574-1702</v>
      </c>
      <c r="E13601" t="s">
        <v>8</v>
      </c>
      <c r="F13601" t="s">
        <v>13607</v>
      </c>
      <c r="G13601">
        <v>1</v>
      </c>
    </row>
    <row r="13602" spans="1:7" x14ac:dyDescent="0.25">
      <c r="A13602">
        <v>38</v>
      </c>
      <c r="B13602" t="s">
        <v>11969</v>
      </c>
      <c r="C13602">
        <v>5010191</v>
      </c>
      <c r="E13602" t="s">
        <v>2100</v>
      </c>
      <c r="F13602" t="s">
        <v>13608</v>
      </c>
      <c r="G13602">
        <v>1</v>
      </c>
    </row>
    <row r="13603" spans="1:7" x14ac:dyDescent="0.25">
      <c r="A13603">
        <v>38</v>
      </c>
      <c r="B13603" t="s">
        <v>11969</v>
      </c>
      <c r="C13603">
        <v>4706</v>
      </c>
      <c r="D13603" t="str">
        <f>"0942-4962"</f>
        <v>0942-4962</v>
      </c>
      <c r="E13603" t="s">
        <v>8</v>
      </c>
      <c r="F13603" t="s">
        <v>13609</v>
      </c>
      <c r="G13603">
        <v>1</v>
      </c>
    </row>
    <row r="13604" spans="1:7" x14ac:dyDescent="0.25">
      <c r="A13604">
        <v>38</v>
      </c>
      <c r="B13604" t="s">
        <v>11969</v>
      </c>
      <c r="C13604">
        <v>591</v>
      </c>
      <c r="D13604" t="str">
        <f>"1380-7501"</f>
        <v>1380-7501</v>
      </c>
      <c r="E13604" t="s">
        <v>8</v>
      </c>
      <c r="F13604" t="s">
        <v>13610</v>
      </c>
      <c r="G13604">
        <v>1</v>
      </c>
    </row>
    <row r="13605" spans="1:7" x14ac:dyDescent="0.25">
      <c r="A13605">
        <v>38</v>
      </c>
      <c r="B13605" t="s">
        <v>11969</v>
      </c>
      <c r="C13605">
        <v>5010139</v>
      </c>
      <c r="E13605" t="s">
        <v>2100</v>
      </c>
      <c r="F13605" t="s">
        <v>13611</v>
      </c>
      <c r="G13605">
        <v>1</v>
      </c>
    </row>
    <row r="13606" spans="1:7" x14ac:dyDescent="0.25">
      <c r="A13606">
        <v>38</v>
      </c>
      <c r="B13606" t="s">
        <v>11969</v>
      </c>
      <c r="C13606">
        <v>5000373</v>
      </c>
      <c r="E13606" t="s">
        <v>2100</v>
      </c>
      <c r="F13606" t="s">
        <v>13612</v>
      </c>
      <c r="G13606">
        <v>1</v>
      </c>
    </row>
    <row r="13607" spans="1:7" x14ac:dyDescent="0.25">
      <c r="A13607">
        <v>38</v>
      </c>
      <c r="B13607" t="s">
        <v>11969</v>
      </c>
      <c r="C13607">
        <v>5010634</v>
      </c>
      <c r="E13607" t="s">
        <v>2100</v>
      </c>
      <c r="F13607" t="s">
        <v>13613</v>
      </c>
      <c r="G13607">
        <v>1</v>
      </c>
    </row>
    <row r="13608" spans="1:7" x14ac:dyDescent="0.25">
      <c r="A13608">
        <v>38</v>
      </c>
      <c r="B13608" t="s">
        <v>11969</v>
      </c>
      <c r="C13608">
        <v>5010082</v>
      </c>
      <c r="E13608" t="s">
        <v>2100</v>
      </c>
      <c r="F13608" t="s">
        <v>13614</v>
      </c>
      <c r="G13608">
        <v>1</v>
      </c>
    </row>
    <row r="13609" spans="1:7" x14ac:dyDescent="0.25">
      <c r="A13609">
        <v>38</v>
      </c>
      <c r="B13609" t="s">
        <v>11969</v>
      </c>
      <c r="C13609">
        <v>5000572</v>
      </c>
      <c r="E13609" t="s">
        <v>2100</v>
      </c>
      <c r="F13609" t="s">
        <v>13615</v>
      </c>
      <c r="G13609">
        <v>1</v>
      </c>
    </row>
    <row r="13610" spans="1:7" x14ac:dyDescent="0.25">
      <c r="A13610">
        <v>38</v>
      </c>
      <c r="B13610" t="s">
        <v>11969</v>
      </c>
      <c r="C13610">
        <v>5010153</v>
      </c>
      <c r="E13610" t="s">
        <v>2100</v>
      </c>
      <c r="F13610" t="s">
        <v>13616</v>
      </c>
      <c r="G13610">
        <v>1</v>
      </c>
    </row>
    <row r="13611" spans="1:7" x14ac:dyDescent="0.25">
      <c r="A13611">
        <v>38</v>
      </c>
      <c r="B13611" t="s">
        <v>11969</v>
      </c>
      <c r="C13611">
        <v>5010275</v>
      </c>
      <c r="E13611" t="s">
        <v>2100</v>
      </c>
      <c r="F13611" t="s">
        <v>13617</v>
      </c>
      <c r="G13611">
        <v>1</v>
      </c>
    </row>
    <row r="13612" spans="1:7" x14ac:dyDescent="0.25">
      <c r="A13612">
        <v>38</v>
      </c>
      <c r="B13612" t="s">
        <v>11969</v>
      </c>
      <c r="C13612">
        <v>5000491</v>
      </c>
      <c r="E13612" t="s">
        <v>2100</v>
      </c>
      <c r="F13612" t="s">
        <v>13618</v>
      </c>
      <c r="G13612">
        <v>1</v>
      </c>
    </row>
    <row r="13613" spans="1:7" x14ac:dyDescent="0.25">
      <c r="A13613">
        <v>38</v>
      </c>
      <c r="B13613" t="s">
        <v>11969</v>
      </c>
      <c r="C13613">
        <v>5000200</v>
      </c>
      <c r="E13613" t="s">
        <v>2100</v>
      </c>
      <c r="F13613" t="s">
        <v>13619</v>
      </c>
      <c r="G13613">
        <v>1</v>
      </c>
    </row>
    <row r="13614" spans="1:7" x14ac:dyDescent="0.25">
      <c r="A13614">
        <v>38</v>
      </c>
      <c r="B13614" t="s">
        <v>11969</v>
      </c>
      <c r="C13614">
        <v>5010648</v>
      </c>
      <c r="E13614" t="s">
        <v>2100</v>
      </c>
      <c r="F13614" t="s">
        <v>13620</v>
      </c>
      <c r="G13614">
        <v>1</v>
      </c>
    </row>
    <row r="13615" spans="1:7" x14ac:dyDescent="0.25">
      <c r="A13615">
        <v>38</v>
      </c>
      <c r="B13615" t="s">
        <v>11969</v>
      </c>
      <c r="C13615">
        <v>5010908</v>
      </c>
      <c r="E13615" t="s">
        <v>2100</v>
      </c>
      <c r="F13615" t="s">
        <v>13621</v>
      </c>
      <c r="G13615">
        <v>1</v>
      </c>
    </row>
    <row r="13616" spans="1:7" x14ac:dyDescent="0.25">
      <c r="A13616">
        <v>38</v>
      </c>
      <c r="B13616" t="s">
        <v>11969</v>
      </c>
      <c r="C13616">
        <v>7377</v>
      </c>
      <c r="D13616" t="str">
        <f>"0941-0643"</f>
        <v>0941-0643</v>
      </c>
      <c r="E13616" t="s">
        <v>8</v>
      </c>
      <c r="F13616" t="s">
        <v>13622</v>
      </c>
      <c r="G13616">
        <v>1</v>
      </c>
    </row>
    <row r="13617" spans="1:7" x14ac:dyDescent="0.25">
      <c r="A13617">
        <v>38</v>
      </c>
      <c r="B13617" t="s">
        <v>11969</v>
      </c>
      <c r="C13617">
        <v>5010167</v>
      </c>
      <c r="E13617" t="s">
        <v>2100</v>
      </c>
      <c r="F13617" t="s">
        <v>13623</v>
      </c>
      <c r="G13617">
        <v>1</v>
      </c>
    </row>
    <row r="13618" spans="1:7" x14ac:dyDescent="0.25">
      <c r="A13618">
        <v>38</v>
      </c>
      <c r="B13618" t="s">
        <v>11969</v>
      </c>
      <c r="C13618">
        <v>8783359</v>
      </c>
      <c r="E13618" t="s">
        <v>2100</v>
      </c>
      <c r="F13618" t="s">
        <v>13624</v>
      </c>
      <c r="G13618">
        <v>1</v>
      </c>
    </row>
    <row r="13619" spans="1:7" x14ac:dyDescent="0.25">
      <c r="A13619">
        <v>38</v>
      </c>
      <c r="B13619" t="s">
        <v>11969</v>
      </c>
      <c r="C13619">
        <v>5010160</v>
      </c>
      <c r="E13619" t="s">
        <v>2100</v>
      </c>
      <c r="F13619" t="s">
        <v>13625</v>
      </c>
      <c r="G13619">
        <v>1</v>
      </c>
    </row>
    <row r="13620" spans="1:7" x14ac:dyDescent="0.25">
      <c r="A13620">
        <v>38</v>
      </c>
      <c r="B13620" t="s">
        <v>11969</v>
      </c>
      <c r="C13620">
        <v>5010906</v>
      </c>
      <c r="E13620" t="s">
        <v>2100</v>
      </c>
      <c r="F13620" t="s">
        <v>13626</v>
      </c>
      <c r="G13620">
        <v>1</v>
      </c>
    </row>
    <row r="13621" spans="1:7" x14ac:dyDescent="0.25">
      <c r="A13621">
        <v>38</v>
      </c>
      <c r="B13621" t="s">
        <v>11969</v>
      </c>
      <c r="C13621">
        <v>5010899</v>
      </c>
      <c r="E13621" t="s">
        <v>2100</v>
      </c>
      <c r="F13621" t="s">
        <v>13627</v>
      </c>
      <c r="G13621">
        <v>1</v>
      </c>
    </row>
    <row r="13622" spans="1:7" x14ac:dyDescent="0.25">
      <c r="A13622">
        <v>38</v>
      </c>
      <c r="B13622" t="s">
        <v>11969</v>
      </c>
      <c r="C13622">
        <v>5010163</v>
      </c>
      <c r="E13622" t="s">
        <v>2100</v>
      </c>
      <c r="F13622" t="s">
        <v>13628</v>
      </c>
      <c r="G13622">
        <v>1</v>
      </c>
    </row>
    <row r="13623" spans="1:7" x14ac:dyDescent="0.25">
      <c r="A13623">
        <v>38</v>
      </c>
      <c r="B13623" t="s">
        <v>11969</v>
      </c>
      <c r="C13623">
        <v>5010904</v>
      </c>
      <c r="E13623" t="s">
        <v>2100</v>
      </c>
      <c r="F13623" t="s">
        <v>13629</v>
      </c>
      <c r="G13623">
        <v>1</v>
      </c>
    </row>
    <row r="13624" spans="1:7" x14ac:dyDescent="0.25">
      <c r="A13624">
        <v>38</v>
      </c>
      <c r="B13624" t="s">
        <v>11969</v>
      </c>
      <c r="C13624">
        <v>5010178</v>
      </c>
      <c r="E13624" t="s">
        <v>2100</v>
      </c>
      <c r="F13624" t="s">
        <v>13630</v>
      </c>
      <c r="G13624">
        <v>1</v>
      </c>
    </row>
    <row r="13625" spans="1:7" x14ac:dyDescent="0.25">
      <c r="A13625">
        <v>38</v>
      </c>
      <c r="B13625" t="s">
        <v>11969</v>
      </c>
      <c r="C13625">
        <v>5010654</v>
      </c>
      <c r="E13625" t="s">
        <v>2100</v>
      </c>
      <c r="F13625" t="s">
        <v>13631</v>
      </c>
      <c r="G13625">
        <v>1</v>
      </c>
    </row>
    <row r="13626" spans="1:7" x14ac:dyDescent="0.25">
      <c r="A13626">
        <v>38</v>
      </c>
      <c r="B13626" t="s">
        <v>11969</v>
      </c>
      <c r="C13626">
        <v>5010179</v>
      </c>
      <c r="E13626" t="s">
        <v>2100</v>
      </c>
      <c r="F13626" t="s">
        <v>13632</v>
      </c>
      <c r="G13626">
        <v>1</v>
      </c>
    </row>
    <row r="13627" spans="1:7" x14ac:dyDescent="0.25">
      <c r="A13627">
        <v>38</v>
      </c>
      <c r="B13627" t="s">
        <v>11969</v>
      </c>
      <c r="C13627">
        <v>25541</v>
      </c>
      <c r="D13627" t="str">
        <f>"0163-5980"</f>
        <v>0163-5980</v>
      </c>
      <c r="E13627" t="s">
        <v>8</v>
      </c>
      <c r="F13627" t="s">
        <v>13633</v>
      </c>
      <c r="G13627">
        <v>1</v>
      </c>
    </row>
    <row r="13628" spans="1:7" x14ac:dyDescent="0.25">
      <c r="A13628">
        <v>38</v>
      </c>
      <c r="B13628" t="s">
        <v>11969</v>
      </c>
      <c r="C13628">
        <v>21947</v>
      </c>
      <c r="D13628" t="str">
        <f>"1862-4472"</f>
        <v>1862-4472</v>
      </c>
      <c r="E13628" t="s">
        <v>8</v>
      </c>
      <c r="F13628" t="s">
        <v>13634</v>
      </c>
      <c r="G13628">
        <v>1</v>
      </c>
    </row>
    <row r="13629" spans="1:7" x14ac:dyDescent="0.25">
      <c r="A13629">
        <v>38</v>
      </c>
      <c r="B13629" t="s">
        <v>11969</v>
      </c>
      <c r="C13629">
        <v>5010190</v>
      </c>
      <c r="E13629" t="s">
        <v>2100</v>
      </c>
      <c r="F13629" t="s">
        <v>13635</v>
      </c>
      <c r="G13629">
        <v>1</v>
      </c>
    </row>
    <row r="13630" spans="1:7" x14ac:dyDescent="0.25">
      <c r="A13630">
        <v>38</v>
      </c>
      <c r="B13630" t="s">
        <v>11969</v>
      </c>
      <c r="C13630">
        <v>5000239</v>
      </c>
      <c r="E13630" t="s">
        <v>2100</v>
      </c>
      <c r="F13630" t="s">
        <v>13636</v>
      </c>
      <c r="G13630">
        <v>1</v>
      </c>
    </row>
    <row r="13631" spans="1:7" x14ac:dyDescent="0.25">
      <c r="A13631">
        <v>38</v>
      </c>
      <c r="B13631" t="s">
        <v>11969</v>
      </c>
      <c r="C13631">
        <v>5000222</v>
      </c>
      <c r="E13631" t="s">
        <v>2100</v>
      </c>
      <c r="F13631" t="s">
        <v>13637</v>
      </c>
      <c r="G13631">
        <v>1</v>
      </c>
    </row>
    <row r="13632" spans="1:7" x14ac:dyDescent="0.25">
      <c r="A13632">
        <v>38</v>
      </c>
      <c r="B13632" t="s">
        <v>11969</v>
      </c>
      <c r="C13632">
        <v>5000401</v>
      </c>
      <c r="E13632" t="s">
        <v>2100</v>
      </c>
      <c r="F13632" t="s">
        <v>13638</v>
      </c>
      <c r="G13632">
        <v>1</v>
      </c>
    </row>
    <row r="13633" spans="1:7" x14ac:dyDescent="0.25">
      <c r="A13633">
        <v>38</v>
      </c>
      <c r="B13633" t="s">
        <v>11969</v>
      </c>
      <c r="C13633">
        <v>7701833</v>
      </c>
      <c r="D13633" t="str">
        <f>"2080-9778"</f>
        <v>2080-9778</v>
      </c>
      <c r="E13633" t="s">
        <v>8</v>
      </c>
      <c r="F13633" t="s">
        <v>13639</v>
      </c>
      <c r="G13633">
        <v>1</v>
      </c>
    </row>
    <row r="13634" spans="1:7" x14ac:dyDescent="0.25">
      <c r="A13634">
        <v>38</v>
      </c>
      <c r="B13634" t="s">
        <v>11969</v>
      </c>
      <c r="C13634">
        <v>5000128</v>
      </c>
      <c r="E13634" t="s">
        <v>2100</v>
      </c>
      <c r="F13634" t="s">
        <v>13640</v>
      </c>
      <c r="G13634">
        <v>1</v>
      </c>
    </row>
    <row r="13635" spans="1:7" x14ac:dyDescent="0.25">
      <c r="A13635">
        <v>38</v>
      </c>
      <c r="B13635" t="s">
        <v>11969</v>
      </c>
      <c r="C13635">
        <v>1013</v>
      </c>
      <c r="D13635" t="str">
        <f>"1433-7541"</f>
        <v>1433-7541</v>
      </c>
      <c r="E13635" t="s">
        <v>8</v>
      </c>
      <c r="F13635" t="s">
        <v>13641</v>
      </c>
      <c r="G13635">
        <v>1</v>
      </c>
    </row>
    <row r="13636" spans="1:7" x14ac:dyDescent="0.25">
      <c r="A13636">
        <v>38</v>
      </c>
      <c r="B13636" t="s">
        <v>11969</v>
      </c>
      <c r="C13636">
        <v>8774042</v>
      </c>
      <c r="E13636" t="s">
        <v>8</v>
      </c>
      <c r="F13636" t="s">
        <v>13642</v>
      </c>
      <c r="G13636">
        <v>1</v>
      </c>
    </row>
    <row r="13637" spans="1:7" x14ac:dyDescent="0.25">
      <c r="A13637">
        <v>38</v>
      </c>
      <c r="B13637" t="s">
        <v>11969</v>
      </c>
      <c r="C13637">
        <v>12548</v>
      </c>
      <c r="D13637" t="str">
        <f>"1617-4909"</f>
        <v>1617-4909</v>
      </c>
      <c r="E13637" t="s">
        <v>8</v>
      </c>
      <c r="F13637" t="s">
        <v>13643</v>
      </c>
      <c r="G13637">
        <v>1</v>
      </c>
    </row>
    <row r="13638" spans="1:7" x14ac:dyDescent="0.25">
      <c r="A13638">
        <v>38</v>
      </c>
      <c r="B13638" t="s">
        <v>11969</v>
      </c>
      <c r="C13638">
        <v>7704178</v>
      </c>
      <c r="D13638" t="str">
        <f>"1877-0509"</f>
        <v>1877-0509</v>
      </c>
      <c r="E13638" t="s">
        <v>8</v>
      </c>
      <c r="F13638" t="s">
        <v>13644</v>
      </c>
      <c r="G13638">
        <v>1</v>
      </c>
    </row>
    <row r="13639" spans="1:7" x14ac:dyDescent="0.25">
      <c r="A13639">
        <v>38</v>
      </c>
      <c r="B13639" t="s">
        <v>11969</v>
      </c>
      <c r="C13639">
        <v>8782829</v>
      </c>
      <c r="E13639" t="s">
        <v>8</v>
      </c>
      <c r="F13639" t="s">
        <v>13645</v>
      </c>
      <c r="G13639">
        <v>1</v>
      </c>
    </row>
    <row r="13640" spans="1:7" x14ac:dyDescent="0.25">
      <c r="A13640">
        <v>38</v>
      </c>
      <c r="B13640" t="s">
        <v>11969</v>
      </c>
      <c r="C13640">
        <v>8758256</v>
      </c>
      <c r="E13640" t="s">
        <v>8</v>
      </c>
      <c r="F13640" t="s">
        <v>13646</v>
      </c>
      <c r="G13640">
        <v>1</v>
      </c>
    </row>
    <row r="13641" spans="1:7" x14ac:dyDescent="0.25">
      <c r="A13641">
        <v>38</v>
      </c>
      <c r="B13641" t="s">
        <v>11969</v>
      </c>
      <c r="C13641">
        <v>12147</v>
      </c>
      <c r="D13641" t="str">
        <f>"1944-2793"</f>
        <v>1944-2793</v>
      </c>
      <c r="E13641" t="s">
        <v>15</v>
      </c>
      <c r="F13641" t="s">
        <v>13647</v>
      </c>
      <c r="G13641">
        <v>1</v>
      </c>
    </row>
    <row r="13642" spans="1:7" x14ac:dyDescent="0.25">
      <c r="A13642">
        <v>38</v>
      </c>
      <c r="B13642" t="s">
        <v>11969</v>
      </c>
      <c r="C13642">
        <v>16836</v>
      </c>
      <c r="D13642" t="str">
        <f>"1727-8376"</f>
        <v>1727-8376</v>
      </c>
      <c r="E13642" t="s">
        <v>15</v>
      </c>
      <c r="F13642" t="s">
        <v>13648</v>
      </c>
      <c r="G13642">
        <v>1</v>
      </c>
    </row>
    <row r="13643" spans="1:7" x14ac:dyDescent="0.25">
      <c r="A13643">
        <v>38</v>
      </c>
      <c r="B13643" t="s">
        <v>11969</v>
      </c>
      <c r="C13643">
        <v>5887</v>
      </c>
      <c r="D13643" t="str">
        <f>"1550-6185"</f>
        <v>1550-6185</v>
      </c>
      <c r="E13643" t="s">
        <v>15</v>
      </c>
      <c r="F13643" t="s">
        <v>13649</v>
      </c>
      <c r="G13643">
        <v>1</v>
      </c>
    </row>
    <row r="13644" spans="1:7" x14ac:dyDescent="0.25">
      <c r="A13644">
        <v>38</v>
      </c>
      <c r="B13644" t="s">
        <v>11969</v>
      </c>
      <c r="C13644">
        <v>4362</v>
      </c>
      <c r="D13644" t="str">
        <f>"1063-6927"</f>
        <v>1063-6927</v>
      </c>
      <c r="E13644" t="s">
        <v>8</v>
      </c>
      <c r="F13644" t="s">
        <v>13650</v>
      </c>
      <c r="G13644">
        <v>1</v>
      </c>
    </row>
    <row r="13645" spans="1:7" x14ac:dyDescent="0.25">
      <c r="A13645">
        <v>38</v>
      </c>
      <c r="B13645" t="s">
        <v>11969</v>
      </c>
      <c r="C13645">
        <v>965</v>
      </c>
      <c r="D13645" t="str">
        <f>"0361-7688"</f>
        <v>0361-7688</v>
      </c>
      <c r="E13645" t="s">
        <v>8</v>
      </c>
      <c r="F13645" t="s">
        <v>13651</v>
      </c>
      <c r="G13645">
        <v>1</v>
      </c>
    </row>
    <row r="13646" spans="1:7" x14ac:dyDescent="0.25">
      <c r="A13646">
        <v>38</v>
      </c>
      <c r="B13646" t="s">
        <v>11969</v>
      </c>
      <c r="C13646">
        <v>5010449</v>
      </c>
      <c r="E13646" t="s">
        <v>2100</v>
      </c>
      <c r="F13646" t="s">
        <v>13652</v>
      </c>
      <c r="G13646">
        <v>1</v>
      </c>
    </row>
    <row r="13647" spans="1:7" x14ac:dyDescent="0.25">
      <c r="A13647">
        <v>38</v>
      </c>
      <c r="B13647" t="s">
        <v>11969</v>
      </c>
      <c r="C13647">
        <v>5010441</v>
      </c>
      <c r="E13647" t="s">
        <v>2100</v>
      </c>
      <c r="F13647" t="s">
        <v>13653</v>
      </c>
      <c r="G13647">
        <v>1</v>
      </c>
    </row>
    <row r="13648" spans="1:7" x14ac:dyDescent="0.25">
      <c r="A13648">
        <v>38</v>
      </c>
      <c r="B13648" t="s">
        <v>11969</v>
      </c>
      <c r="C13648">
        <v>4704</v>
      </c>
      <c r="D13648" t="str">
        <f>"1533-7146"</f>
        <v>1533-7146</v>
      </c>
      <c r="E13648" t="s">
        <v>8</v>
      </c>
      <c r="F13648" t="s">
        <v>13654</v>
      </c>
      <c r="G13648">
        <v>1</v>
      </c>
    </row>
    <row r="13649" spans="1:7" x14ac:dyDescent="0.25">
      <c r="A13649">
        <v>38</v>
      </c>
      <c r="B13649" t="s">
        <v>11969</v>
      </c>
      <c r="C13649">
        <v>9678</v>
      </c>
      <c r="D13649" t="str">
        <f>"0257-0130"</f>
        <v>0257-0130</v>
      </c>
      <c r="E13649" t="s">
        <v>8</v>
      </c>
      <c r="F13649" t="s">
        <v>13655</v>
      </c>
      <c r="G13649">
        <v>1</v>
      </c>
    </row>
    <row r="13650" spans="1:7" x14ac:dyDescent="0.25">
      <c r="A13650">
        <v>38</v>
      </c>
      <c r="B13650" t="s">
        <v>11969</v>
      </c>
      <c r="C13650">
        <v>4685</v>
      </c>
      <c r="D13650" t="str">
        <f>"0988-3754"</f>
        <v>0988-3754</v>
      </c>
      <c r="E13650" t="s">
        <v>8</v>
      </c>
      <c r="F13650" t="s">
        <v>13656</v>
      </c>
      <c r="G13650">
        <v>1</v>
      </c>
    </row>
    <row r="13651" spans="1:7" x14ac:dyDescent="0.25">
      <c r="A13651">
        <v>38</v>
      </c>
      <c r="B13651" t="s">
        <v>11969</v>
      </c>
      <c r="C13651">
        <v>16460</v>
      </c>
      <c r="D13651" t="str">
        <f>"1385-3139"</f>
        <v>1385-3139</v>
      </c>
      <c r="E13651" t="s">
        <v>8</v>
      </c>
      <c r="F13651" t="s">
        <v>13657</v>
      </c>
      <c r="G13651">
        <v>1</v>
      </c>
    </row>
    <row r="13652" spans="1:7" x14ac:dyDescent="0.25">
      <c r="A13652">
        <v>38</v>
      </c>
      <c r="B13652" t="s">
        <v>11969</v>
      </c>
      <c r="C13652">
        <v>8529</v>
      </c>
      <c r="D13652" t="str">
        <f>"0947-3602"</f>
        <v>0947-3602</v>
      </c>
      <c r="E13652" t="s">
        <v>8</v>
      </c>
      <c r="F13652" t="s">
        <v>13658</v>
      </c>
      <c r="G13652">
        <v>1</v>
      </c>
    </row>
    <row r="13653" spans="1:7" x14ac:dyDescent="0.25">
      <c r="A13653">
        <v>38</v>
      </c>
      <c r="B13653" t="s">
        <v>11969</v>
      </c>
      <c r="C13653">
        <v>8783141</v>
      </c>
      <c r="E13653" t="s">
        <v>2100</v>
      </c>
      <c r="F13653" t="s">
        <v>13659</v>
      </c>
      <c r="G13653">
        <v>1</v>
      </c>
    </row>
    <row r="13654" spans="1:7" x14ac:dyDescent="0.25">
      <c r="A13654">
        <v>38</v>
      </c>
      <c r="B13654" t="s">
        <v>11969</v>
      </c>
      <c r="C13654">
        <v>5020061</v>
      </c>
      <c r="E13654" t="s">
        <v>2100</v>
      </c>
      <c r="F13654" t="s">
        <v>13660</v>
      </c>
      <c r="G13654">
        <v>1</v>
      </c>
    </row>
    <row r="13655" spans="1:7" x14ac:dyDescent="0.25">
      <c r="A13655">
        <v>38</v>
      </c>
      <c r="B13655" t="s">
        <v>11969</v>
      </c>
      <c r="C13655">
        <v>5000106</v>
      </c>
      <c r="E13655" t="s">
        <v>2100</v>
      </c>
      <c r="F13655" t="s">
        <v>13661</v>
      </c>
      <c r="G13655">
        <v>1</v>
      </c>
    </row>
    <row r="13656" spans="1:7" x14ac:dyDescent="0.25">
      <c r="A13656">
        <v>38</v>
      </c>
      <c r="B13656" t="s">
        <v>11969</v>
      </c>
      <c r="C13656">
        <v>5010789</v>
      </c>
      <c r="E13656" t="s">
        <v>2100</v>
      </c>
      <c r="F13656" t="s">
        <v>13662</v>
      </c>
      <c r="G13656">
        <v>1</v>
      </c>
    </row>
    <row r="13657" spans="1:7" x14ac:dyDescent="0.25">
      <c r="A13657">
        <v>38</v>
      </c>
      <c r="B13657" t="s">
        <v>11969</v>
      </c>
      <c r="C13657">
        <v>5010827</v>
      </c>
      <c r="E13657" t="s">
        <v>2100</v>
      </c>
      <c r="F13657" t="s">
        <v>13663</v>
      </c>
      <c r="G13657">
        <v>1</v>
      </c>
    </row>
    <row r="13658" spans="1:7" x14ac:dyDescent="0.25">
      <c r="A13658">
        <v>38</v>
      </c>
      <c r="B13658" t="s">
        <v>11969</v>
      </c>
      <c r="C13658">
        <v>6273630</v>
      </c>
      <c r="D13658" t="str">
        <f>"1674-733X"</f>
        <v>1674-733X</v>
      </c>
      <c r="E13658" t="s">
        <v>8</v>
      </c>
      <c r="F13658" t="s">
        <v>13664</v>
      </c>
      <c r="G13658">
        <v>1</v>
      </c>
    </row>
    <row r="13659" spans="1:7" x14ac:dyDescent="0.25">
      <c r="A13659">
        <v>38</v>
      </c>
      <c r="B13659" t="s">
        <v>11969</v>
      </c>
      <c r="C13659">
        <v>8783374</v>
      </c>
      <c r="E13659" t="s">
        <v>8</v>
      </c>
      <c r="F13659" t="s">
        <v>13665</v>
      </c>
      <c r="G13659">
        <v>1</v>
      </c>
    </row>
    <row r="13660" spans="1:7" x14ac:dyDescent="0.25">
      <c r="A13660">
        <v>38</v>
      </c>
      <c r="B13660" t="s">
        <v>11969</v>
      </c>
      <c r="C13660">
        <v>4470</v>
      </c>
      <c r="D13660" t="str">
        <f>"1058-9244"</f>
        <v>1058-9244</v>
      </c>
      <c r="E13660" t="s">
        <v>8</v>
      </c>
      <c r="F13660" t="s">
        <v>13666</v>
      </c>
      <c r="G13660">
        <v>1</v>
      </c>
    </row>
    <row r="13661" spans="1:7" x14ac:dyDescent="0.25">
      <c r="A13661">
        <v>38</v>
      </c>
      <c r="B13661" t="s">
        <v>11969</v>
      </c>
      <c r="C13661">
        <v>5000484</v>
      </c>
      <c r="E13661" t="s">
        <v>2100</v>
      </c>
      <c r="F13661" t="s">
        <v>13667</v>
      </c>
      <c r="G13661">
        <v>1</v>
      </c>
    </row>
    <row r="13662" spans="1:7" x14ac:dyDescent="0.25">
      <c r="A13662">
        <v>38</v>
      </c>
      <c r="B13662" t="s">
        <v>11969</v>
      </c>
      <c r="C13662">
        <v>8783692</v>
      </c>
      <c r="D13662" t="str">
        <f>"1865-0929"</f>
        <v>1865-0929</v>
      </c>
      <c r="E13662" t="s">
        <v>2100</v>
      </c>
      <c r="F13662" t="s">
        <v>13668</v>
      </c>
      <c r="G13662">
        <v>1</v>
      </c>
    </row>
    <row r="13663" spans="1:7" x14ac:dyDescent="0.25">
      <c r="A13663">
        <v>38</v>
      </c>
      <c r="B13663" t="s">
        <v>11969</v>
      </c>
      <c r="C13663">
        <v>5010698</v>
      </c>
      <c r="E13663" t="s">
        <v>2100</v>
      </c>
      <c r="F13663" t="s">
        <v>13669</v>
      </c>
      <c r="G13663">
        <v>1</v>
      </c>
    </row>
    <row r="13664" spans="1:7" x14ac:dyDescent="0.25">
      <c r="A13664">
        <v>38</v>
      </c>
      <c r="B13664" t="s">
        <v>11969</v>
      </c>
      <c r="C13664">
        <v>5010840</v>
      </c>
      <c r="E13664" t="s">
        <v>2100</v>
      </c>
      <c r="F13664" t="s">
        <v>13670</v>
      </c>
      <c r="G13664">
        <v>1</v>
      </c>
    </row>
    <row r="13665" spans="1:7" x14ac:dyDescent="0.25">
      <c r="A13665">
        <v>38</v>
      </c>
      <c r="B13665" t="s">
        <v>11969</v>
      </c>
      <c r="C13665">
        <v>5010836</v>
      </c>
      <c r="E13665" t="s">
        <v>2100</v>
      </c>
      <c r="F13665" t="s">
        <v>13671</v>
      </c>
      <c r="G13665">
        <v>1</v>
      </c>
    </row>
    <row r="13666" spans="1:7" x14ac:dyDescent="0.25">
      <c r="A13666">
        <v>38</v>
      </c>
      <c r="B13666" t="s">
        <v>11969</v>
      </c>
      <c r="C13666">
        <v>5010799</v>
      </c>
      <c r="E13666" t="s">
        <v>2100</v>
      </c>
      <c r="F13666" t="s">
        <v>13672</v>
      </c>
      <c r="G13666">
        <v>1</v>
      </c>
    </row>
    <row r="13667" spans="1:7" x14ac:dyDescent="0.25">
      <c r="A13667">
        <v>38</v>
      </c>
      <c r="B13667" t="s">
        <v>11969</v>
      </c>
      <c r="C13667">
        <v>946</v>
      </c>
      <c r="D13667" t="str">
        <f>"0923-5965"</f>
        <v>0923-5965</v>
      </c>
      <c r="E13667" t="s">
        <v>8</v>
      </c>
      <c r="F13667" t="s">
        <v>13673</v>
      </c>
      <c r="G13667">
        <v>1</v>
      </c>
    </row>
    <row r="13668" spans="1:7" x14ac:dyDescent="0.25">
      <c r="A13668">
        <v>38</v>
      </c>
      <c r="B13668" t="s">
        <v>11969</v>
      </c>
      <c r="C13668">
        <v>25037</v>
      </c>
      <c r="D13668" t="str">
        <f>"1863-1703"</f>
        <v>1863-1703</v>
      </c>
      <c r="E13668" t="s">
        <v>8</v>
      </c>
      <c r="F13668" t="s">
        <v>13674</v>
      </c>
      <c r="G13668">
        <v>1</v>
      </c>
    </row>
    <row r="13669" spans="1:7" x14ac:dyDescent="0.25">
      <c r="A13669">
        <v>38</v>
      </c>
      <c r="B13669" t="s">
        <v>11969</v>
      </c>
      <c r="C13669">
        <v>5010380</v>
      </c>
      <c r="E13669" t="s">
        <v>2100</v>
      </c>
      <c r="F13669" t="s">
        <v>13675</v>
      </c>
      <c r="G13669">
        <v>1</v>
      </c>
    </row>
    <row r="13670" spans="1:7" x14ac:dyDescent="0.25">
      <c r="A13670">
        <v>38</v>
      </c>
      <c r="B13670" t="s">
        <v>11969</v>
      </c>
      <c r="C13670">
        <v>13395</v>
      </c>
      <c r="D13670" t="str">
        <f>"1432-7643"</f>
        <v>1432-7643</v>
      </c>
      <c r="E13670" t="s">
        <v>8</v>
      </c>
      <c r="F13670" t="s">
        <v>13676</v>
      </c>
      <c r="G13670">
        <v>1</v>
      </c>
    </row>
    <row r="13671" spans="1:7" x14ac:dyDescent="0.25">
      <c r="A13671">
        <v>38</v>
      </c>
      <c r="B13671" t="s">
        <v>11969</v>
      </c>
      <c r="C13671">
        <v>2442</v>
      </c>
      <c r="D13671" t="str">
        <f>"0963-9314"</f>
        <v>0963-9314</v>
      </c>
      <c r="E13671" t="s">
        <v>8</v>
      </c>
      <c r="F13671" t="s">
        <v>13677</v>
      </c>
      <c r="G13671">
        <v>1</v>
      </c>
    </row>
    <row r="13672" spans="1:7" x14ac:dyDescent="0.25">
      <c r="A13672">
        <v>38</v>
      </c>
      <c r="B13672" t="s">
        <v>11969</v>
      </c>
      <c r="C13672">
        <v>8758283</v>
      </c>
      <c r="E13672" t="s">
        <v>2100</v>
      </c>
      <c r="F13672" t="s">
        <v>13678</v>
      </c>
      <c r="G13672">
        <v>1</v>
      </c>
    </row>
    <row r="13673" spans="1:7" x14ac:dyDescent="0.25">
      <c r="A13673">
        <v>38</v>
      </c>
      <c r="B13673" t="s">
        <v>11969</v>
      </c>
      <c r="C13673">
        <v>7585</v>
      </c>
      <c r="D13673" t="str">
        <f>"1860-949X"</f>
        <v>1860-949X</v>
      </c>
      <c r="E13673" t="s">
        <v>15</v>
      </c>
      <c r="F13673" t="s">
        <v>13679</v>
      </c>
      <c r="G13673">
        <v>1</v>
      </c>
    </row>
    <row r="13674" spans="1:7" x14ac:dyDescent="0.25">
      <c r="A13674">
        <v>38</v>
      </c>
      <c r="B13674" t="s">
        <v>11969</v>
      </c>
      <c r="C13674">
        <v>17</v>
      </c>
      <c r="D13674" t="str">
        <f>"1434-9922"</f>
        <v>1434-9922</v>
      </c>
      <c r="E13674" t="s">
        <v>15</v>
      </c>
      <c r="F13674" t="s">
        <v>13680</v>
      </c>
      <c r="G13674">
        <v>1</v>
      </c>
    </row>
    <row r="13675" spans="1:7" x14ac:dyDescent="0.25">
      <c r="A13675">
        <v>38</v>
      </c>
      <c r="B13675" t="s">
        <v>11969</v>
      </c>
      <c r="C13675">
        <v>16118</v>
      </c>
      <c r="D13675" t="str">
        <f>"1220-1766"</f>
        <v>1220-1766</v>
      </c>
      <c r="E13675" t="s">
        <v>8</v>
      </c>
      <c r="F13675" t="s">
        <v>13681</v>
      </c>
      <c r="G13675">
        <v>1</v>
      </c>
    </row>
    <row r="13676" spans="1:7" x14ac:dyDescent="0.25">
      <c r="A13676">
        <v>38</v>
      </c>
      <c r="B13676" t="s">
        <v>11969</v>
      </c>
      <c r="C13676">
        <v>7713354</v>
      </c>
      <c r="D13676" t="str">
        <f>"2210-6502"</f>
        <v>2210-6502</v>
      </c>
      <c r="E13676" t="s">
        <v>8</v>
      </c>
      <c r="F13676" t="s">
        <v>13682</v>
      </c>
      <c r="G13676">
        <v>1</v>
      </c>
    </row>
    <row r="13677" spans="1:7" x14ac:dyDescent="0.25">
      <c r="A13677">
        <v>38</v>
      </c>
      <c r="B13677" t="s">
        <v>11969</v>
      </c>
      <c r="C13677">
        <v>18989</v>
      </c>
      <c r="D13677" t="str">
        <f>"1935-3812"</f>
        <v>1935-3812</v>
      </c>
      <c r="E13677" t="s">
        <v>8</v>
      </c>
      <c r="F13677" t="s">
        <v>13683</v>
      </c>
      <c r="G13677">
        <v>1</v>
      </c>
    </row>
    <row r="13678" spans="1:7" x14ac:dyDescent="0.25">
      <c r="A13678">
        <v>38</v>
      </c>
      <c r="B13678" t="s">
        <v>11969</v>
      </c>
      <c r="C13678">
        <v>5000188</v>
      </c>
      <c r="E13678" t="s">
        <v>2100</v>
      </c>
      <c r="F13678" t="s">
        <v>13684</v>
      </c>
      <c r="G13678">
        <v>1</v>
      </c>
    </row>
    <row r="13679" spans="1:7" x14ac:dyDescent="0.25">
      <c r="A13679">
        <v>38</v>
      </c>
      <c r="B13679" t="s">
        <v>11969</v>
      </c>
      <c r="C13679">
        <v>5010425</v>
      </c>
      <c r="E13679" t="s">
        <v>2100</v>
      </c>
      <c r="F13679" t="s">
        <v>13685</v>
      </c>
      <c r="G13679">
        <v>1</v>
      </c>
    </row>
    <row r="13680" spans="1:7" x14ac:dyDescent="0.25">
      <c r="A13680">
        <v>38</v>
      </c>
      <c r="B13680" t="s">
        <v>11969</v>
      </c>
      <c r="C13680">
        <v>5010337</v>
      </c>
      <c r="E13680" t="s">
        <v>2100</v>
      </c>
      <c r="F13680" t="s">
        <v>13686</v>
      </c>
      <c r="G13680">
        <v>1</v>
      </c>
    </row>
    <row r="13681" spans="1:7" x14ac:dyDescent="0.25">
      <c r="A13681">
        <v>38</v>
      </c>
      <c r="B13681" t="s">
        <v>11969</v>
      </c>
      <c r="C13681">
        <v>5010757</v>
      </c>
      <c r="E13681" t="s">
        <v>2100</v>
      </c>
      <c r="F13681" t="s">
        <v>13687</v>
      </c>
      <c r="G13681">
        <v>1</v>
      </c>
    </row>
    <row r="13682" spans="1:7" x14ac:dyDescent="0.25">
      <c r="A13682">
        <v>38</v>
      </c>
      <c r="B13682" t="s">
        <v>11969</v>
      </c>
      <c r="C13682">
        <v>5010843</v>
      </c>
      <c r="E13682" t="s">
        <v>2100</v>
      </c>
      <c r="F13682" t="s">
        <v>13688</v>
      </c>
      <c r="G13682">
        <v>1</v>
      </c>
    </row>
    <row r="13683" spans="1:7" x14ac:dyDescent="0.25">
      <c r="A13683">
        <v>38</v>
      </c>
      <c r="B13683" t="s">
        <v>11969</v>
      </c>
      <c r="C13683">
        <v>5010837</v>
      </c>
      <c r="E13683" t="s">
        <v>2100</v>
      </c>
      <c r="F13683" t="s">
        <v>13689</v>
      </c>
      <c r="G13683">
        <v>1</v>
      </c>
    </row>
    <row r="13684" spans="1:7" x14ac:dyDescent="0.25">
      <c r="A13684">
        <v>38</v>
      </c>
      <c r="B13684" t="s">
        <v>11969</v>
      </c>
      <c r="C13684">
        <v>113710</v>
      </c>
      <c r="D13684" t="str">
        <f>"1939-4608"</f>
        <v>1939-4608</v>
      </c>
      <c r="E13684" t="s">
        <v>15</v>
      </c>
      <c r="F13684" t="s">
        <v>13690</v>
      </c>
      <c r="G13684">
        <v>1</v>
      </c>
    </row>
    <row r="13685" spans="1:7" x14ac:dyDescent="0.25">
      <c r="A13685">
        <v>38</v>
      </c>
      <c r="B13685" t="s">
        <v>11969</v>
      </c>
      <c r="C13685">
        <v>107334</v>
      </c>
      <c r="D13685" t="str">
        <f>"1935-3235"</f>
        <v>1935-3235</v>
      </c>
      <c r="E13685" t="s">
        <v>15</v>
      </c>
      <c r="F13685" t="s">
        <v>13691</v>
      </c>
      <c r="G13685">
        <v>1</v>
      </c>
    </row>
    <row r="13686" spans="1:7" x14ac:dyDescent="0.25">
      <c r="A13686">
        <v>38</v>
      </c>
      <c r="B13686" t="s">
        <v>11969</v>
      </c>
      <c r="C13686">
        <v>65142</v>
      </c>
      <c r="D13686" t="str">
        <f>"1933-8996"</f>
        <v>1933-8996</v>
      </c>
      <c r="E13686" t="s">
        <v>15</v>
      </c>
      <c r="F13686" t="s">
        <v>13692</v>
      </c>
      <c r="G13686">
        <v>1</v>
      </c>
    </row>
    <row r="13687" spans="1:7" x14ac:dyDescent="0.25">
      <c r="A13687">
        <v>38</v>
      </c>
      <c r="B13687" t="s">
        <v>11969</v>
      </c>
      <c r="C13687">
        <v>85009</v>
      </c>
      <c r="D13687" t="str">
        <f>"1932-1228"</f>
        <v>1932-1228</v>
      </c>
      <c r="E13687" t="s">
        <v>15</v>
      </c>
      <c r="F13687" t="s">
        <v>13693</v>
      </c>
      <c r="G13687">
        <v>1</v>
      </c>
    </row>
    <row r="13688" spans="1:7" x14ac:dyDescent="0.25">
      <c r="A13688">
        <v>38</v>
      </c>
      <c r="B13688" t="s">
        <v>11969</v>
      </c>
      <c r="C13688">
        <v>30752</v>
      </c>
      <c r="D13688" t="str">
        <f>"1933-9011"</f>
        <v>1933-9011</v>
      </c>
      <c r="E13688" t="s">
        <v>15</v>
      </c>
      <c r="F13688" t="s">
        <v>13694</v>
      </c>
      <c r="G13688">
        <v>1</v>
      </c>
    </row>
    <row r="13689" spans="1:7" x14ac:dyDescent="0.25">
      <c r="A13689">
        <v>38</v>
      </c>
      <c r="B13689" t="s">
        <v>11969</v>
      </c>
      <c r="C13689">
        <v>5010169</v>
      </c>
      <c r="E13689" t="s">
        <v>2100</v>
      </c>
      <c r="F13689" t="s">
        <v>13695</v>
      </c>
      <c r="G13689">
        <v>1</v>
      </c>
    </row>
    <row r="13690" spans="1:7" x14ac:dyDescent="0.25">
      <c r="A13690">
        <v>38</v>
      </c>
      <c r="B13690" t="s">
        <v>11969</v>
      </c>
      <c r="C13690">
        <v>16981</v>
      </c>
      <c r="D13690" t="str">
        <f>"1018-4864"</f>
        <v>1018-4864</v>
      </c>
      <c r="E13690" t="s">
        <v>8</v>
      </c>
      <c r="F13690" t="s">
        <v>13696</v>
      </c>
      <c r="G13690">
        <v>1</v>
      </c>
    </row>
    <row r="13691" spans="1:7" x14ac:dyDescent="0.25">
      <c r="A13691">
        <v>38</v>
      </c>
      <c r="B13691" t="s">
        <v>11969</v>
      </c>
      <c r="C13691">
        <v>5010898</v>
      </c>
      <c r="E13691" t="s">
        <v>2100</v>
      </c>
      <c r="F13691" t="s">
        <v>13697</v>
      </c>
      <c r="G13691">
        <v>1</v>
      </c>
    </row>
    <row r="13692" spans="1:7" x14ac:dyDescent="0.25">
      <c r="A13692">
        <v>38</v>
      </c>
      <c r="B13692" t="s">
        <v>11969</v>
      </c>
      <c r="C13692">
        <v>27055</v>
      </c>
      <c r="D13692" t="str">
        <f>"1683-3198"</f>
        <v>1683-3198</v>
      </c>
      <c r="E13692" t="s">
        <v>8</v>
      </c>
      <c r="F13692" t="s">
        <v>13698</v>
      </c>
      <c r="G13692">
        <v>1</v>
      </c>
    </row>
    <row r="13693" spans="1:7" x14ac:dyDescent="0.25">
      <c r="A13693">
        <v>38</v>
      </c>
      <c r="B13693" t="s">
        <v>11969</v>
      </c>
      <c r="C13693">
        <v>20820</v>
      </c>
      <c r="D13693" t="str">
        <f>"1081-1451"</f>
        <v>1081-1451</v>
      </c>
      <c r="E13693" t="s">
        <v>8</v>
      </c>
      <c r="F13693" t="s">
        <v>13699</v>
      </c>
      <c r="G13693">
        <v>1</v>
      </c>
    </row>
    <row r="13694" spans="1:7" x14ac:dyDescent="0.25">
      <c r="A13694">
        <v>38</v>
      </c>
      <c r="B13694" t="s">
        <v>11969</v>
      </c>
      <c r="C13694">
        <v>8782534</v>
      </c>
      <c r="E13694" t="s">
        <v>8</v>
      </c>
      <c r="F13694" t="s">
        <v>13700</v>
      </c>
      <c r="G13694">
        <v>1</v>
      </c>
    </row>
    <row r="13695" spans="1:7" x14ac:dyDescent="0.25">
      <c r="A13695">
        <v>38</v>
      </c>
      <c r="B13695" t="s">
        <v>11969</v>
      </c>
      <c r="C13695">
        <v>1354</v>
      </c>
      <c r="D13695" t="str">
        <f>"0164-1212"</f>
        <v>0164-1212</v>
      </c>
      <c r="E13695" t="s">
        <v>8</v>
      </c>
      <c r="F13695" t="s">
        <v>13701</v>
      </c>
      <c r="G13695">
        <v>1</v>
      </c>
    </row>
    <row r="13696" spans="1:7" x14ac:dyDescent="0.25">
      <c r="A13696">
        <v>38</v>
      </c>
      <c r="B13696" t="s">
        <v>11969</v>
      </c>
      <c r="C13696">
        <v>1779</v>
      </c>
      <c r="D13696" t="str">
        <f>"0178-2789"</f>
        <v>0178-2789</v>
      </c>
      <c r="E13696" t="s">
        <v>8</v>
      </c>
      <c r="F13696" t="s">
        <v>13702</v>
      </c>
      <c r="G13696">
        <v>1</v>
      </c>
    </row>
    <row r="13697" spans="1:7" x14ac:dyDescent="0.25">
      <c r="A13697">
        <v>38</v>
      </c>
      <c r="B13697" t="s">
        <v>11969</v>
      </c>
      <c r="C13697">
        <v>138256</v>
      </c>
      <c r="E13697" t="s">
        <v>8</v>
      </c>
      <c r="F13697" t="s">
        <v>13703</v>
      </c>
      <c r="G13697">
        <v>1</v>
      </c>
    </row>
    <row r="13698" spans="1:7" x14ac:dyDescent="0.25">
      <c r="A13698">
        <v>38</v>
      </c>
      <c r="B13698" t="s">
        <v>11969</v>
      </c>
      <c r="C13698">
        <v>8782725</v>
      </c>
      <c r="E13698" t="s">
        <v>8</v>
      </c>
      <c r="F13698" t="s">
        <v>13704</v>
      </c>
      <c r="G13698">
        <v>1</v>
      </c>
    </row>
    <row r="13699" spans="1:7" x14ac:dyDescent="0.25">
      <c r="A13699">
        <v>38</v>
      </c>
      <c r="B13699" t="s">
        <v>11969</v>
      </c>
      <c r="C13699">
        <v>27338</v>
      </c>
      <c r="D13699" t="str">
        <f>"1864-306X"</f>
        <v>1864-306X</v>
      </c>
      <c r="E13699" t="s">
        <v>8</v>
      </c>
      <c r="F13699" t="s">
        <v>13705</v>
      </c>
      <c r="G13699">
        <v>1</v>
      </c>
    </row>
    <row r="13700" spans="1:7" x14ac:dyDescent="0.25">
      <c r="A13700">
        <v>38</v>
      </c>
      <c r="B13700" t="s">
        <v>11969</v>
      </c>
      <c r="C13700">
        <v>156436</v>
      </c>
      <c r="D13700" t="str">
        <f>"1869-1994"</f>
        <v>1869-1994</v>
      </c>
      <c r="E13700" t="s">
        <v>8</v>
      </c>
      <c r="F13700" t="s">
        <v>13706</v>
      </c>
      <c r="G13700">
        <v>1</v>
      </c>
    </row>
    <row r="13701" spans="1:7" x14ac:dyDescent="0.25">
      <c r="A13701">
        <v>38</v>
      </c>
      <c r="B13701" t="s">
        <v>11969</v>
      </c>
      <c r="C13701">
        <v>25275</v>
      </c>
      <c r="D13701" t="str">
        <f>"0752-4072"</f>
        <v>0752-4072</v>
      </c>
      <c r="E13701" t="s">
        <v>8</v>
      </c>
      <c r="F13701" t="s">
        <v>13707</v>
      </c>
      <c r="G13701">
        <v>1</v>
      </c>
    </row>
    <row r="13702" spans="1:7" x14ac:dyDescent="0.25">
      <c r="A13702">
        <v>38</v>
      </c>
      <c r="B13702" t="s">
        <v>11969</v>
      </c>
      <c r="C13702">
        <v>5000613</v>
      </c>
      <c r="E13702" t="s">
        <v>2100</v>
      </c>
      <c r="F13702" t="s">
        <v>13708</v>
      </c>
      <c r="G13702">
        <v>1</v>
      </c>
    </row>
    <row r="13703" spans="1:7" x14ac:dyDescent="0.25">
      <c r="A13703">
        <v>38</v>
      </c>
      <c r="B13703" t="s">
        <v>11969</v>
      </c>
      <c r="C13703">
        <v>5000615</v>
      </c>
      <c r="E13703" t="s">
        <v>2100</v>
      </c>
      <c r="F13703" t="s">
        <v>13709</v>
      </c>
      <c r="G13703">
        <v>1</v>
      </c>
    </row>
    <row r="13704" spans="1:7" x14ac:dyDescent="0.25">
      <c r="A13704">
        <v>38</v>
      </c>
      <c r="B13704" t="s">
        <v>11969</v>
      </c>
      <c r="C13704">
        <v>5010503</v>
      </c>
      <c r="E13704" t="s">
        <v>2100</v>
      </c>
      <c r="F13704" t="s">
        <v>13710</v>
      </c>
      <c r="G13704">
        <v>1</v>
      </c>
    </row>
    <row r="13705" spans="1:7" x14ac:dyDescent="0.25">
      <c r="A13705">
        <v>38</v>
      </c>
      <c r="B13705" t="s">
        <v>11969</v>
      </c>
      <c r="C13705">
        <v>5000378</v>
      </c>
      <c r="E13705" t="s">
        <v>2100</v>
      </c>
      <c r="F13705" t="s">
        <v>13711</v>
      </c>
      <c r="G13705">
        <v>1</v>
      </c>
    </row>
    <row r="13706" spans="1:7" x14ac:dyDescent="0.25">
      <c r="A13706">
        <v>38</v>
      </c>
      <c r="B13706" t="s">
        <v>11969</v>
      </c>
      <c r="C13706">
        <v>5010484</v>
      </c>
      <c r="E13706" t="s">
        <v>2100</v>
      </c>
      <c r="F13706" t="s">
        <v>13712</v>
      </c>
      <c r="G13706">
        <v>1</v>
      </c>
    </row>
    <row r="13707" spans="1:7" x14ac:dyDescent="0.25">
      <c r="A13707">
        <v>38</v>
      </c>
      <c r="B13707" t="s">
        <v>11969</v>
      </c>
      <c r="C13707">
        <v>5010471</v>
      </c>
      <c r="E13707" t="s">
        <v>2100</v>
      </c>
      <c r="F13707" t="s">
        <v>13713</v>
      </c>
      <c r="G13707">
        <v>1</v>
      </c>
    </row>
    <row r="13708" spans="1:7" x14ac:dyDescent="0.25">
      <c r="A13708">
        <v>38</v>
      </c>
      <c r="B13708" t="s">
        <v>11969</v>
      </c>
      <c r="C13708">
        <v>5010616</v>
      </c>
      <c r="D13708" t="str">
        <f>"0929-0672"</f>
        <v>0929-0672</v>
      </c>
      <c r="E13708" t="s">
        <v>2100</v>
      </c>
      <c r="F13708" t="s">
        <v>13714</v>
      </c>
      <c r="G13708">
        <v>1</v>
      </c>
    </row>
    <row r="13709" spans="1:7" x14ac:dyDescent="0.25">
      <c r="A13709">
        <v>38</v>
      </c>
      <c r="B13709" t="s">
        <v>11969</v>
      </c>
      <c r="C13709">
        <v>5010798</v>
      </c>
      <c r="E13709" t="s">
        <v>2100</v>
      </c>
      <c r="F13709" t="s">
        <v>13715</v>
      </c>
      <c r="G13709">
        <v>1</v>
      </c>
    </row>
    <row r="13710" spans="1:7" x14ac:dyDescent="0.25">
      <c r="A13710">
        <v>38</v>
      </c>
      <c r="B13710" t="s">
        <v>11969</v>
      </c>
      <c r="C13710">
        <v>5010268</v>
      </c>
      <c r="E13710" t="s">
        <v>2100</v>
      </c>
      <c r="F13710" t="s">
        <v>13716</v>
      </c>
      <c r="G13710">
        <v>1</v>
      </c>
    </row>
    <row r="13711" spans="1:7" x14ac:dyDescent="0.25">
      <c r="A13711">
        <v>38</v>
      </c>
      <c r="B13711" t="s">
        <v>11969</v>
      </c>
      <c r="C13711">
        <v>5010585</v>
      </c>
      <c r="E13711" t="s">
        <v>2100</v>
      </c>
      <c r="F13711" t="s">
        <v>13717</v>
      </c>
      <c r="G13711">
        <v>1</v>
      </c>
    </row>
    <row r="13712" spans="1:7" x14ac:dyDescent="0.25">
      <c r="A13712">
        <v>38</v>
      </c>
      <c r="B13712" t="s">
        <v>11969</v>
      </c>
      <c r="C13712">
        <v>6329100</v>
      </c>
      <c r="D13712" t="str">
        <f>"1942-4787"</f>
        <v>1942-4787</v>
      </c>
      <c r="E13712" t="s">
        <v>8</v>
      </c>
      <c r="F13712" t="s">
        <v>13718</v>
      </c>
      <c r="G13712">
        <v>1</v>
      </c>
    </row>
    <row r="13713" spans="1:7" x14ac:dyDescent="0.25">
      <c r="A13713">
        <v>38</v>
      </c>
      <c r="B13713" t="s">
        <v>11969</v>
      </c>
      <c r="C13713">
        <v>5000283</v>
      </c>
      <c r="E13713" t="s">
        <v>2100</v>
      </c>
      <c r="F13713" t="s">
        <v>13719</v>
      </c>
      <c r="G13713">
        <v>1</v>
      </c>
    </row>
    <row r="13714" spans="1:7" x14ac:dyDescent="0.25">
      <c r="A13714">
        <v>38</v>
      </c>
      <c r="B13714" t="s">
        <v>11969</v>
      </c>
      <c r="C13714">
        <v>5010627</v>
      </c>
      <c r="E13714" t="s">
        <v>2100</v>
      </c>
      <c r="F13714" t="s">
        <v>13720</v>
      </c>
      <c r="G13714">
        <v>1</v>
      </c>
    </row>
    <row r="13715" spans="1:7" x14ac:dyDescent="0.25">
      <c r="A13715">
        <v>38</v>
      </c>
      <c r="B13715" t="s">
        <v>11969</v>
      </c>
      <c r="C13715">
        <v>7334147</v>
      </c>
      <c r="D13715" t="str">
        <f>"1530-8669"</f>
        <v>1530-8669</v>
      </c>
      <c r="E13715" t="s">
        <v>8</v>
      </c>
      <c r="F13715" t="s">
        <v>13721</v>
      </c>
      <c r="G13715">
        <v>1</v>
      </c>
    </row>
    <row r="13716" spans="1:7" x14ac:dyDescent="0.25">
      <c r="A13716">
        <v>38</v>
      </c>
      <c r="B13716" t="s">
        <v>11969</v>
      </c>
      <c r="C13716">
        <v>5000028</v>
      </c>
      <c r="E13716" t="s">
        <v>2100</v>
      </c>
      <c r="F13716" t="s">
        <v>13722</v>
      </c>
      <c r="G13716">
        <v>1</v>
      </c>
    </row>
    <row r="13717" spans="1:7" x14ac:dyDescent="0.25">
      <c r="A13717">
        <v>38</v>
      </c>
      <c r="B13717" t="s">
        <v>11969</v>
      </c>
      <c r="C13717">
        <v>5010544</v>
      </c>
      <c r="E13717" t="s">
        <v>2100</v>
      </c>
      <c r="F13717" t="s">
        <v>13723</v>
      </c>
      <c r="G13717">
        <v>1</v>
      </c>
    </row>
    <row r="13718" spans="1:7" x14ac:dyDescent="0.25">
      <c r="A13718">
        <v>38</v>
      </c>
      <c r="B13718" t="s">
        <v>11969</v>
      </c>
      <c r="C13718">
        <v>5000211</v>
      </c>
      <c r="E13718" t="s">
        <v>2100</v>
      </c>
      <c r="F13718" t="s">
        <v>13724</v>
      </c>
      <c r="G13718">
        <v>1</v>
      </c>
    </row>
    <row r="13719" spans="1:7" x14ac:dyDescent="0.25">
      <c r="A13719">
        <v>38</v>
      </c>
      <c r="B13719" t="s">
        <v>11969</v>
      </c>
      <c r="C13719">
        <v>5010535</v>
      </c>
      <c r="E13719" t="s">
        <v>2100</v>
      </c>
      <c r="F13719" t="s">
        <v>13725</v>
      </c>
      <c r="G13719">
        <v>1</v>
      </c>
    </row>
    <row r="13720" spans="1:7" x14ac:dyDescent="0.25">
      <c r="A13720">
        <v>38</v>
      </c>
      <c r="B13720" t="s">
        <v>11969</v>
      </c>
      <c r="C13720">
        <v>5000355</v>
      </c>
      <c r="E13720" t="s">
        <v>2100</v>
      </c>
      <c r="F13720" t="s">
        <v>13726</v>
      </c>
      <c r="G13720">
        <v>1</v>
      </c>
    </row>
    <row r="13721" spans="1:7" x14ac:dyDescent="0.25">
      <c r="A13721">
        <v>38</v>
      </c>
      <c r="B13721" t="s">
        <v>11969</v>
      </c>
      <c r="C13721">
        <v>5010539</v>
      </c>
      <c r="E13721" t="s">
        <v>2100</v>
      </c>
      <c r="F13721" t="s">
        <v>13727</v>
      </c>
      <c r="G13721">
        <v>1</v>
      </c>
    </row>
    <row r="13722" spans="1:7" x14ac:dyDescent="0.25">
      <c r="A13722">
        <v>38</v>
      </c>
      <c r="B13722" t="s">
        <v>11969</v>
      </c>
      <c r="C13722">
        <v>5010534</v>
      </c>
      <c r="E13722" t="s">
        <v>2100</v>
      </c>
      <c r="F13722" t="s">
        <v>13728</v>
      </c>
      <c r="G13722">
        <v>1</v>
      </c>
    </row>
    <row r="13723" spans="1:7" x14ac:dyDescent="0.25">
      <c r="A13723">
        <v>38</v>
      </c>
      <c r="B13723" t="s">
        <v>11969</v>
      </c>
      <c r="C13723">
        <v>5010553</v>
      </c>
      <c r="E13723" t="s">
        <v>2100</v>
      </c>
      <c r="F13723" t="s">
        <v>13729</v>
      </c>
      <c r="G13723">
        <v>1</v>
      </c>
    </row>
    <row r="13724" spans="1:7" x14ac:dyDescent="0.25">
      <c r="A13724">
        <v>38</v>
      </c>
      <c r="B13724" t="s">
        <v>11969</v>
      </c>
      <c r="C13724">
        <v>5010515</v>
      </c>
      <c r="E13724" t="s">
        <v>2100</v>
      </c>
      <c r="F13724" t="s">
        <v>13730</v>
      </c>
      <c r="G13724">
        <v>1</v>
      </c>
    </row>
    <row r="13725" spans="1:7" x14ac:dyDescent="0.25">
      <c r="A13725">
        <v>38</v>
      </c>
      <c r="B13725" t="s">
        <v>11969</v>
      </c>
      <c r="C13725">
        <v>5010396</v>
      </c>
      <c r="E13725" t="s">
        <v>2100</v>
      </c>
      <c r="F13725" t="s">
        <v>13731</v>
      </c>
      <c r="G13725">
        <v>1</v>
      </c>
    </row>
    <row r="13726" spans="1:7" x14ac:dyDescent="0.25">
      <c r="A13726">
        <v>38</v>
      </c>
      <c r="B13726" t="s">
        <v>11969</v>
      </c>
      <c r="C13726">
        <v>5010566</v>
      </c>
      <c r="E13726" t="s">
        <v>2100</v>
      </c>
      <c r="F13726" t="s">
        <v>13732</v>
      </c>
      <c r="G13726">
        <v>1</v>
      </c>
    </row>
    <row r="13727" spans="1:7" x14ac:dyDescent="0.25">
      <c r="A13727">
        <v>38</v>
      </c>
      <c r="B13727" t="s">
        <v>11969</v>
      </c>
      <c r="C13727">
        <v>5010568</v>
      </c>
      <c r="E13727" t="s">
        <v>2100</v>
      </c>
      <c r="F13727" t="s">
        <v>13733</v>
      </c>
      <c r="G13727">
        <v>1</v>
      </c>
    </row>
    <row r="13728" spans="1:7" x14ac:dyDescent="0.25">
      <c r="A13728">
        <v>38</v>
      </c>
      <c r="B13728" t="s">
        <v>11969</v>
      </c>
      <c r="C13728">
        <v>5010359</v>
      </c>
      <c r="E13728" t="s">
        <v>2100</v>
      </c>
      <c r="F13728" t="s">
        <v>13734</v>
      </c>
      <c r="G13728">
        <v>1</v>
      </c>
    </row>
    <row r="13729" spans="1:7" x14ac:dyDescent="0.25">
      <c r="A13729">
        <v>38</v>
      </c>
      <c r="B13729" t="s">
        <v>11969</v>
      </c>
      <c r="C13729">
        <v>8783197</v>
      </c>
      <c r="E13729" t="s">
        <v>2100</v>
      </c>
      <c r="F13729" t="s">
        <v>13735</v>
      </c>
      <c r="G13729">
        <v>1</v>
      </c>
    </row>
    <row r="13730" spans="1:7" x14ac:dyDescent="0.25">
      <c r="A13730">
        <v>38</v>
      </c>
      <c r="B13730" t="s">
        <v>11969</v>
      </c>
      <c r="C13730">
        <v>5010583</v>
      </c>
      <c r="E13730" t="s">
        <v>2100</v>
      </c>
      <c r="F13730" t="s">
        <v>13736</v>
      </c>
      <c r="G13730">
        <v>1</v>
      </c>
    </row>
    <row r="13731" spans="1:7" x14ac:dyDescent="0.25">
      <c r="A13731">
        <v>38</v>
      </c>
      <c r="B13731" t="s">
        <v>11969</v>
      </c>
      <c r="C13731">
        <v>5010306</v>
      </c>
      <c r="E13731" t="s">
        <v>2100</v>
      </c>
      <c r="F13731" t="s">
        <v>13737</v>
      </c>
      <c r="G13731">
        <v>1</v>
      </c>
    </row>
    <row r="13732" spans="1:7" x14ac:dyDescent="0.25">
      <c r="A13732">
        <v>38</v>
      </c>
      <c r="B13732" t="s">
        <v>11969</v>
      </c>
      <c r="C13732">
        <v>5010308</v>
      </c>
      <c r="E13732" t="s">
        <v>2100</v>
      </c>
      <c r="F13732" t="s">
        <v>13738</v>
      </c>
      <c r="G13732">
        <v>1</v>
      </c>
    </row>
    <row r="13733" spans="1:7" x14ac:dyDescent="0.25">
      <c r="A13733">
        <v>38</v>
      </c>
      <c r="B13733" t="s">
        <v>11969</v>
      </c>
      <c r="C13733">
        <v>5010891</v>
      </c>
      <c r="E13733" t="s">
        <v>2100</v>
      </c>
      <c r="F13733" t="s">
        <v>13739</v>
      </c>
      <c r="G13733">
        <v>1</v>
      </c>
    </row>
    <row r="13734" spans="1:7" x14ac:dyDescent="0.25">
      <c r="A13734">
        <v>38</v>
      </c>
      <c r="B13734" t="s">
        <v>11969</v>
      </c>
      <c r="C13734">
        <v>5010288</v>
      </c>
      <c r="E13734" t="s">
        <v>2100</v>
      </c>
      <c r="F13734" t="s">
        <v>13740</v>
      </c>
      <c r="G13734">
        <v>1</v>
      </c>
    </row>
    <row r="13735" spans="1:7" x14ac:dyDescent="0.25">
      <c r="A13735">
        <v>38</v>
      </c>
      <c r="B13735" t="s">
        <v>11969</v>
      </c>
      <c r="C13735">
        <v>5000408</v>
      </c>
      <c r="E13735" t="s">
        <v>2100</v>
      </c>
      <c r="F13735" t="s">
        <v>13741</v>
      </c>
      <c r="G13735">
        <v>1</v>
      </c>
    </row>
    <row r="13736" spans="1:7" x14ac:dyDescent="0.25">
      <c r="A13736">
        <v>38</v>
      </c>
      <c r="B13736" t="s">
        <v>11969</v>
      </c>
      <c r="C13736">
        <v>5010591</v>
      </c>
      <c r="E13736" t="s">
        <v>2100</v>
      </c>
      <c r="F13736" t="s">
        <v>13742</v>
      </c>
      <c r="G13736">
        <v>1</v>
      </c>
    </row>
    <row r="13737" spans="1:7" x14ac:dyDescent="0.25">
      <c r="A13737">
        <v>38</v>
      </c>
      <c r="B13737" t="s">
        <v>11969</v>
      </c>
      <c r="C13737">
        <v>5010613</v>
      </c>
      <c r="E13737" t="s">
        <v>2100</v>
      </c>
      <c r="F13737" t="s">
        <v>13743</v>
      </c>
      <c r="G13737">
        <v>1</v>
      </c>
    </row>
    <row r="13738" spans="1:7" x14ac:dyDescent="0.25">
      <c r="A13738">
        <v>38</v>
      </c>
      <c r="B13738" t="s">
        <v>11969</v>
      </c>
      <c r="C13738">
        <v>5010738</v>
      </c>
      <c r="E13738" t="s">
        <v>2100</v>
      </c>
      <c r="F13738" t="s">
        <v>13744</v>
      </c>
      <c r="G13738">
        <v>1</v>
      </c>
    </row>
    <row r="13739" spans="1:7" x14ac:dyDescent="0.25">
      <c r="A13739">
        <v>38</v>
      </c>
      <c r="B13739" t="s">
        <v>11969</v>
      </c>
      <c r="C13739">
        <v>5000337</v>
      </c>
      <c r="E13739" t="s">
        <v>2100</v>
      </c>
      <c r="F13739" t="s">
        <v>13745</v>
      </c>
      <c r="G13739">
        <v>1</v>
      </c>
    </row>
    <row r="13740" spans="1:7" x14ac:dyDescent="0.25">
      <c r="A13740">
        <v>38</v>
      </c>
      <c r="B13740" t="s">
        <v>11969</v>
      </c>
      <c r="C13740">
        <v>5010620</v>
      </c>
      <c r="E13740" t="s">
        <v>2100</v>
      </c>
      <c r="F13740" t="s">
        <v>13746</v>
      </c>
      <c r="G13740">
        <v>1</v>
      </c>
    </row>
    <row r="13741" spans="1:7" x14ac:dyDescent="0.25">
      <c r="A13741">
        <v>38</v>
      </c>
      <c r="B13741" t="s">
        <v>11969</v>
      </c>
      <c r="C13741">
        <v>5000285</v>
      </c>
      <c r="E13741" t="s">
        <v>2100</v>
      </c>
      <c r="F13741" t="s">
        <v>13747</v>
      </c>
      <c r="G13741">
        <v>1</v>
      </c>
    </row>
    <row r="13742" spans="1:7" x14ac:dyDescent="0.25">
      <c r="A13742">
        <v>38</v>
      </c>
      <c r="B13742" t="s">
        <v>11969</v>
      </c>
      <c r="C13742">
        <v>5010168</v>
      </c>
      <c r="E13742" t="s">
        <v>2100</v>
      </c>
      <c r="F13742" t="s">
        <v>13748</v>
      </c>
      <c r="G13742">
        <v>1</v>
      </c>
    </row>
    <row r="13743" spans="1:7" x14ac:dyDescent="0.25">
      <c r="A13743">
        <v>38</v>
      </c>
      <c r="B13743" t="s">
        <v>11969</v>
      </c>
      <c r="C13743">
        <v>5010806</v>
      </c>
      <c r="E13743" t="s">
        <v>2100</v>
      </c>
      <c r="F13743" t="s">
        <v>13749</v>
      </c>
      <c r="G13743">
        <v>1</v>
      </c>
    </row>
    <row r="13744" spans="1:7" x14ac:dyDescent="0.25">
      <c r="A13744">
        <v>38</v>
      </c>
      <c r="B13744" t="s">
        <v>11969</v>
      </c>
      <c r="C13744">
        <v>5010625</v>
      </c>
      <c r="E13744" t="s">
        <v>2100</v>
      </c>
      <c r="F13744" t="s">
        <v>13750</v>
      </c>
      <c r="G13744">
        <v>1</v>
      </c>
    </row>
    <row r="13745" spans="1:7" x14ac:dyDescent="0.25">
      <c r="A13745">
        <v>38</v>
      </c>
      <c r="B13745" t="s">
        <v>11969</v>
      </c>
      <c r="C13745">
        <v>5010631</v>
      </c>
      <c r="E13745" t="s">
        <v>2100</v>
      </c>
      <c r="F13745" t="s">
        <v>13751</v>
      </c>
      <c r="G13745">
        <v>1</v>
      </c>
    </row>
    <row r="13746" spans="1:7" x14ac:dyDescent="0.25">
      <c r="A13746">
        <v>38</v>
      </c>
      <c r="B13746" t="s">
        <v>11969</v>
      </c>
      <c r="C13746">
        <v>5010639</v>
      </c>
      <c r="E13746" t="s">
        <v>2100</v>
      </c>
      <c r="F13746" t="s">
        <v>13752</v>
      </c>
      <c r="G13746">
        <v>1</v>
      </c>
    </row>
    <row r="13747" spans="1:7" x14ac:dyDescent="0.25">
      <c r="A13747">
        <v>38</v>
      </c>
      <c r="B13747" t="s">
        <v>11969</v>
      </c>
      <c r="C13747">
        <v>5020060</v>
      </c>
      <c r="E13747" t="s">
        <v>2100</v>
      </c>
      <c r="F13747" t="s">
        <v>13753</v>
      </c>
      <c r="G13747">
        <v>1</v>
      </c>
    </row>
    <row r="13748" spans="1:7" x14ac:dyDescent="0.25">
      <c r="A13748">
        <v>38</v>
      </c>
      <c r="B13748" t="s">
        <v>11969</v>
      </c>
      <c r="C13748">
        <v>5020071</v>
      </c>
      <c r="E13748" t="s">
        <v>2100</v>
      </c>
      <c r="F13748" t="s">
        <v>13754</v>
      </c>
      <c r="G13748">
        <v>1</v>
      </c>
    </row>
    <row r="13749" spans="1:7" x14ac:dyDescent="0.25">
      <c r="A13749">
        <v>38</v>
      </c>
      <c r="B13749" t="s">
        <v>11969</v>
      </c>
      <c r="C13749">
        <v>5010775</v>
      </c>
      <c r="E13749" t="s">
        <v>2100</v>
      </c>
      <c r="F13749" t="s">
        <v>13755</v>
      </c>
      <c r="G13749">
        <v>1</v>
      </c>
    </row>
    <row r="13750" spans="1:7" x14ac:dyDescent="0.25">
      <c r="A13750">
        <v>38</v>
      </c>
      <c r="B13750" t="s">
        <v>11969</v>
      </c>
      <c r="C13750">
        <v>8783690</v>
      </c>
      <c r="E13750" t="s">
        <v>2100</v>
      </c>
      <c r="F13750" t="s">
        <v>13756</v>
      </c>
      <c r="G13750">
        <v>1</v>
      </c>
    </row>
    <row r="13751" spans="1:7" x14ac:dyDescent="0.25">
      <c r="A13751">
        <v>38</v>
      </c>
      <c r="B13751" t="s">
        <v>11969</v>
      </c>
      <c r="C13751">
        <v>5010828</v>
      </c>
      <c r="E13751" t="s">
        <v>2100</v>
      </c>
      <c r="F13751" t="s">
        <v>13757</v>
      </c>
      <c r="G13751">
        <v>1</v>
      </c>
    </row>
    <row r="13752" spans="1:7" x14ac:dyDescent="0.25">
      <c r="A13752">
        <v>38</v>
      </c>
      <c r="B13752" t="s">
        <v>11969</v>
      </c>
      <c r="C13752">
        <v>8783693</v>
      </c>
      <c r="E13752" t="s">
        <v>2100</v>
      </c>
      <c r="F13752" t="s">
        <v>13758</v>
      </c>
      <c r="G13752">
        <v>1</v>
      </c>
    </row>
    <row r="13753" spans="1:7" x14ac:dyDescent="0.25">
      <c r="A13753">
        <v>38</v>
      </c>
      <c r="B13753" t="s">
        <v>11969</v>
      </c>
      <c r="C13753">
        <v>5010504</v>
      </c>
      <c r="E13753" t="s">
        <v>2100</v>
      </c>
      <c r="F13753" t="s">
        <v>13759</v>
      </c>
      <c r="G13753">
        <v>1</v>
      </c>
    </row>
    <row r="13754" spans="1:7" x14ac:dyDescent="0.25">
      <c r="A13754">
        <v>38</v>
      </c>
      <c r="B13754" t="s">
        <v>11969</v>
      </c>
      <c r="C13754">
        <v>5010511</v>
      </c>
      <c r="E13754" t="s">
        <v>2100</v>
      </c>
      <c r="F13754" t="s">
        <v>13760</v>
      </c>
      <c r="G13754">
        <v>1</v>
      </c>
    </row>
    <row r="13755" spans="1:7" x14ac:dyDescent="0.25">
      <c r="A13755">
        <v>38</v>
      </c>
      <c r="B13755" t="s">
        <v>11969</v>
      </c>
      <c r="C13755">
        <v>5010482</v>
      </c>
      <c r="E13755" t="s">
        <v>2100</v>
      </c>
      <c r="F13755" t="s">
        <v>13761</v>
      </c>
      <c r="G13755">
        <v>1</v>
      </c>
    </row>
    <row r="13756" spans="1:7" x14ac:dyDescent="0.25">
      <c r="A13756">
        <v>38</v>
      </c>
      <c r="B13756" t="s">
        <v>11969</v>
      </c>
      <c r="C13756">
        <v>5010578</v>
      </c>
      <c r="E13756" t="s">
        <v>2100</v>
      </c>
      <c r="F13756" t="s">
        <v>13762</v>
      </c>
      <c r="G13756">
        <v>1</v>
      </c>
    </row>
    <row r="13757" spans="1:7" x14ac:dyDescent="0.25">
      <c r="A13757">
        <v>38</v>
      </c>
      <c r="B13757" t="s">
        <v>11969</v>
      </c>
      <c r="C13757">
        <v>5010652</v>
      </c>
      <c r="E13757" t="s">
        <v>2100</v>
      </c>
      <c r="F13757" t="s">
        <v>13763</v>
      </c>
      <c r="G13757">
        <v>1</v>
      </c>
    </row>
    <row r="13758" spans="1:7" x14ac:dyDescent="0.25">
      <c r="A13758">
        <v>38</v>
      </c>
      <c r="B13758" t="s">
        <v>11969</v>
      </c>
      <c r="C13758">
        <v>5010257</v>
      </c>
      <c r="E13758" t="s">
        <v>2100</v>
      </c>
      <c r="F13758" t="s">
        <v>13764</v>
      </c>
      <c r="G13758">
        <v>1</v>
      </c>
    </row>
    <row r="13759" spans="1:7" x14ac:dyDescent="0.25">
      <c r="A13759">
        <v>38</v>
      </c>
      <c r="B13759" t="s">
        <v>11969</v>
      </c>
      <c r="C13759">
        <v>5010584</v>
      </c>
      <c r="E13759" t="s">
        <v>2100</v>
      </c>
      <c r="F13759" t="s">
        <v>13765</v>
      </c>
      <c r="G13759">
        <v>1</v>
      </c>
    </row>
    <row r="13760" spans="1:7" x14ac:dyDescent="0.25">
      <c r="A13760">
        <v>38</v>
      </c>
      <c r="B13760" t="s">
        <v>11969</v>
      </c>
      <c r="C13760">
        <v>5010609</v>
      </c>
      <c r="E13760" t="s">
        <v>2100</v>
      </c>
      <c r="F13760" t="s">
        <v>13766</v>
      </c>
      <c r="G13760">
        <v>1</v>
      </c>
    </row>
    <row r="13761" spans="1:7" x14ac:dyDescent="0.25">
      <c r="A13761">
        <v>38</v>
      </c>
      <c r="B13761" t="s">
        <v>11969</v>
      </c>
      <c r="C13761">
        <v>5000154</v>
      </c>
      <c r="E13761" t="s">
        <v>2100</v>
      </c>
      <c r="F13761" t="s">
        <v>13767</v>
      </c>
      <c r="G13761">
        <v>1</v>
      </c>
    </row>
    <row r="13762" spans="1:7" x14ac:dyDescent="0.25">
      <c r="A13762">
        <v>38</v>
      </c>
      <c r="B13762" t="s">
        <v>11969</v>
      </c>
      <c r="C13762">
        <v>5010557</v>
      </c>
      <c r="E13762" t="s">
        <v>2100</v>
      </c>
      <c r="F13762" t="s">
        <v>13768</v>
      </c>
      <c r="G13762">
        <v>1</v>
      </c>
    </row>
    <row r="13763" spans="1:7" x14ac:dyDescent="0.25">
      <c r="A13763">
        <v>38</v>
      </c>
      <c r="B13763" t="s">
        <v>11969</v>
      </c>
      <c r="C13763">
        <v>5010605</v>
      </c>
      <c r="E13763" t="s">
        <v>2100</v>
      </c>
      <c r="F13763" t="s">
        <v>13769</v>
      </c>
      <c r="G13763">
        <v>1</v>
      </c>
    </row>
    <row r="13764" spans="1:7" x14ac:dyDescent="0.25">
      <c r="A13764">
        <v>38</v>
      </c>
      <c r="B13764" t="s">
        <v>11969</v>
      </c>
      <c r="C13764">
        <v>5010818</v>
      </c>
      <c r="E13764" t="s">
        <v>2100</v>
      </c>
      <c r="F13764" t="s">
        <v>13770</v>
      </c>
      <c r="G13764">
        <v>1</v>
      </c>
    </row>
    <row r="13765" spans="1:7" x14ac:dyDescent="0.25">
      <c r="A13765">
        <v>38</v>
      </c>
      <c r="B13765" t="s">
        <v>11969</v>
      </c>
      <c r="C13765">
        <v>5010647</v>
      </c>
      <c r="E13765" t="s">
        <v>2100</v>
      </c>
      <c r="F13765" t="s">
        <v>13771</v>
      </c>
      <c r="G13765">
        <v>1</v>
      </c>
    </row>
    <row r="13766" spans="1:7" x14ac:dyDescent="0.25">
      <c r="A13766">
        <v>38</v>
      </c>
      <c r="B13766" t="s">
        <v>11969</v>
      </c>
      <c r="C13766">
        <v>5010748</v>
      </c>
      <c r="E13766" t="s">
        <v>2100</v>
      </c>
      <c r="F13766" t="s">
        <v>13772</v>
      </c>
      <c r="G13766">
        <v>1</v>
      </c>
    </row>
    <row r="13767" spans="1:7" x14ac:dyDescent="0.25">
      <c r="A13767">
        <v>38</v>
      </c>
      <c r="B13767" t="s">
        <v>11969</v>
      </c>
      <c r="C13767">
        <v>5000297</v>
      </c>
      <c r="E13767" t="s">
        <v>2100</v>
      </c>
      <c r="F13767" t="s">
        <v>13773</v>
      </c>
      <c r="G13767">
        <v>1</v>
      </c>
    </row>
    <row r="13768" spans="1:7" x14ac:dyDescent="0.25">
      <c r="A13768">
        <v>39</v>
      </c>
      <c r="B13768" t="s">
        <v>13774</v>
      </c>
      <c r="C13768">
        <v>12879</v>
      </c>
      <c r="D13768" t="str">
        <f>"1367-5788"</f>
        <v>1367-5788</v>
      </c>
      <c r="E13768" t="s">
        <v>8</v>
      </c>
      <c r="F13768" t="s">
        <v>13775</v>
      </c>
      <c r="G13768">
        <v>2</v>
      </c>
    </row>
    <row r="13769" spans="1:7" x14ac:dyDescent="0.25">
      <c r="A13769">
        <v>39</v>
      </c>
      <c r="B13769" t="s">
        <v>13774</v>
      </c>
      <c r="C13769">
        <v>16934</v>
      </c>
      <c r="D13769" t="str">
        <f>"0003-682X"</f>
        <v>0003-682X</v>
      </c>
      <c r="E13769" t="s">
        <v>8</v>
      </c>
      <c r="F13769" t="s">
        <v>13776</v>
      </c>
      <c r="G13769">
        <v>2</v>
      </c>
    </row>
    <row r="13770" spans="1:7" x14ac:dyDescent="0.25">
      <c r="A13770">
        <v>39</v>
      </c>
      <c r="B13770" t="s">
        <v>13774</v>
      </c>
      <c r="C13770">
        <v>8114</v>
      </c>
      <c r="D13770" t="str">
        <f>"0005-1098"</f>
        <v>0005-1098</v>
      </c>
      <c r="E13770" t="s">
        <v>8</v>
      </c>
      <c r="F13770" t="s">
        <v>13777</v>
      </c>
      <c r="G13770">
        <v>2</v>
      </c>
    </row>
    <row r="13771" spans="1:7" x14ac:dyDescent="0.25">
      <c r="A13771">
        <v>39</v>
      </c>
      <c r="B13771" t="s">
        <v>13774</v>
      </c>
      <c r="C13771">
        <v>7688331</v>
      </c>
      <c r="D13771" t="str">
        <f>"2156-7085"</f>
        <v>2156-7085</v>
      </c>
      <c r="E13771" t="s">
        <v>8</v>
      </c>
      <c r="F13771" t="s">
        <v>13778</v>
      </c>
      <c r="G13771">
        <v>2</v>
      </c>
    </row>
    <row r="13772" spans="1:7" x14ac:dyDescent="0.25">
      <c r="A13772">
        <v>39</v>
      </c>
      <c r="B13772" t="s">
        <v>13774</v>
      </c>
      <c r="C13772">
        <v>6804</v>
      </c>
      <c r="D13772" t="str">
        <f>"1389-1286"</f>
        <v>1389-1286</v>
      </c>
      <c r="E13772" t="s">
        <v>8</v>
      </c>
      <c r="F13772" t="s">
        <v>13779</v>
      </c>
      <c r="G13772">
        <v>2</v>
      </c>
    </row>
    <row r="13773" spans="1:7" x14ac:dyDescent="0.25">
      <c r="A13773">
        <v>39</v>
      </c>
      <c r="B13773" t="s">
        <v>13774</v>
      </c>
      <c r="C13773">
        <v>12</v>
      </c>
      <c r="D13773" t="str">
        <f>"1077-3142"</f>
        <v>1077-3142</v>
      </c>
      <c r="E13773" t="s">
        <v>8</v>
      </c>
      <c r="F13773" t="s">
        <v>13780</v>
      </c>
      <c r="G13773">
        <v>2</v>
      </c>
    </row>
    <row r="13774" spans="1:7" x14ac:dyDescent="0.25">
      <c r="A13774">
        <v>39</v>
      </c>
      <c r="B13774" t="s">
        <v>13774</v>
      </c>
      <c r="C13774">
        <v>14475</v>
      </c>
      <c r="D13774" t="str">
        <f>"0967-0661"</f>
        <v>0967-0661</v>
      </c>
      <c r="E13774" t="s">
        <v>8</v>
      </c>
      <c r="F13774" t="s">
        <v>13781</v>
      </c>
      <c r="G13774">
        <v>2</v>
      </c>
    </row>
    <row r="13775" spans="1:7" x14ac:dyDescent="0.25">
      <c r="A13775">
        <v>39</v>
      </c>
      <c r="B13775" t="s">
        <v>13774</v>
      </c>
      <c r="C13775">
        <v>2750</v>
      </c>
      <c r="D13775" t="str">
        <f>"0378-7796"</f>
        <v>0378-7796</v>
      </c>
      <c r="E13775" t="s">
        <v>8</v>
      </c>
      <c r="F13775" t="s">
        <v>13782</v>
      </c>
      <c r="G13775">
        <v>2</v>
      </c>
    </row>
    <row r="13776" spans="1:7" x14ac:dyDescent="0.25">
      <c r="A13776">
        <v>39</v>
      </c>
      <c r="B13776" t="s">
        <v>13774</v>
      </c>
      <c r="C13776">
        <v>13746</v>
      </c>
      <c r="D13776" t="str">
        <f>"1063-6692"</f>
        <v>1063-6692</v>
      </c>
      <c r="E13776" t="s">
        <v>8</v>
      </c>
      <c r="F13776" t="s">
        <v>13783</v>
      </c>
      <c r="G13776">
        <v>2</v>
      </c>
    </row>
    <row r="13777" spans="1:7" x14ac:dyDescent="0.25">
      <c r="A13777">
        <v>39</v>
      </c>
      <c r="B13777" t="s">
        <v>13774</v>
      </c>
      <c r="C13777">
        <v>5886</v>
      </c>
      <c r="D13777" t="str">
        <f>"1083-4435"</f>
        <v>1083-4435</v>
      </c>
      <c r="E13777" t="s">
        <v>8</v>
      </c>
      <c r="F13777" t="s">
        <v>13784</v>
      </c>
      <c r="G13777">
        <v>2</v>
      </c>
    </row>
    <row r="13778" spans="1:7" x14ac:dyDescent="0.25">
      <c r="A13778">
        <v>39</v>
      </c>
      <c r="B13778" t="s">
        <v>13774</v>
      </c>
      <c r="C13778">
        <v>20888</v>
      </c>
      <c r="D13778" t="str">
        <f>"1531-636X"</f>
        <v>1531-636X</v>
      </c>
      <c r="E13778" t="s">
        <v>8</v>
      </c>
      <c r="F13778" t="s">
        <v>13785</v>
      </c>
      <c r="G13778">
        <v>2</v>
      </c>
    </row>
    <row r="13779" spans="1:7" x14ac:dyDescent="0.25">
      <c r="A13779">
        <v>39</v>
      </c>
      <c r="B13779" t="s">
        <v>13774</v>
      </c>
      <c r="C13779">
        <v>16187</v>
      </c>
      <c r="D13779" t="str">
        <f>"0163-6804"</f>
        <v>0163-6804</v>
      </c>
      <c r="E13779" t="s">
        <v>8</v>
      </c>
      <c r="F13779" t="s">
        <v>13786</v>
      </c>
      <c r="G13779">
        <v>2</v>
      </c>
    </row>
    <row r="13780" spans="1:7" x14ac:dyDescent="0.25">
      <c r="A13780">
        <v>39</v>
      </c>
      <c r="B13780" t="s">
        <v>13774</v>
      </c>
      <c r="C13780">
        <v>13041</v>
      </c>
      <c r="E13780" t="s">
        <v>8</v>
      </c>
      <c r="F13780" t="s">
        <v>13787</v>
      </c>
      <c r="G13780">
        <v>2</v>
      </c>
    </row>
    <row r="13781" spans="1:7" x14ac:dyDescent="0.25">
      <c r="A13781">
        <v>39</v>
      </c>
      <c r="B13781" t="s">
        <v>13774</v>
      </c>
      <c r="C13781">
        <v>20582</v>
      </c>
      <c r="D13781" t="str">
        <f>"1932-4529"</f>
        <v>1932-4529</v>
      </c>
      <c r="E13781" t="s">
        <v>8</v>
      </c>
      <c r="F13781" t="s">
        <v>13788</v>
      </c>
      <c r="G13781">
        <v>2</v>
      </c>
    </row>
    <row r="13782" spans="1:7" x14ac:dyDescent="0.25">
      <c r="A13782">
        <v>39</v>
      </c>
      <c r="B13782" t="s">
        <v>13774</v>
      </c>
      <c r="C13782">
        <v>7738398</v>
      </c>
      <c r="D13782" t="str">
        <f>"2168-6777"</f>
        <v>2168-6777</v>
      </c>
      <c r="E13782" t="s">
        <v>8</v>
      </c>
      <c r="F13782" t="s">
        <v>13789</v>
      </c>
      <c r="G13782">
        <v>2</v>
      </c>
    </row>
    <row r="13783" spans="1:7" x14ac:dyDescent="0.25">
      <c r="A13783">
        <v>39</v>
      </c>
      <c r="B13783" t="s">
        <v>13774</v>
      </c>
      <c r="C13783">
        <v>15679</v>
      </c>
      <c r="D13783" t="str">
        <f>"0018-9197"</f>
        <v>0018-9197</v>
      </c>
      <c r="E13783" t="s">
        <v>8</v>
      </c>
      <c r="F13783" t="s">
        <v>13790</v>
      </c>
      <c r="G13783">
        <v>2</v>
      </c>
    </row>
    <row r="13784" spans="1:7" x14ac:dyDescent="0.25">
      <c r="A13784">
        <v>39</v>
      </c>
      <c r="B13784" t="s">
        <v>13774</v>
      </c>
      <c r="C13784">
        <v>1152</v>
      </c>
      <c r="D13784" t="str">
        <f>"0018-9200"</f>
        <v>0018-9200</v>
      </c>
      <c r="E13784" t="s">
        <v>8</v>
      </c>
      <c r="F13784" t="s">
        <v>13791</v>
      </c>
      <c r="G13784">
        <v>2</v>
      </c>
    </row>
    <row r="13785" spans="1:7" x14ac:dyDescent="0.25">
      <c r="A13785">
        <v>39</v>
      </c>
      <c r="B13785" t="s">
        <v>13774</v>
      </c>
      <c r="C13785">
        <v>12717</v>
      </c>
      <c r="D13785" t="str">
        <f>"0733-8716"</f>
        <v>0733-8716</v>
      </c>
      <c r="E13785" t="s">
        <v>8</v>
      </c>
      <c r="F13785" t="s">
        <v>13792</v>
      </c>
      <c r="G13785">
        <v>2</v>
      </c>
    </row>
    <row r="13786" spans="1:7" x14ac:dyDescent="0.25">
      <c r="A13786">
        <v>39</v>
      </c>
      <c r="B13786" t="s">
        <v>13774</v>
      </c>
      <c r="C13786">
        <v>11707</v>
      </c>
      <c r="D13786" t="str">
        <f>"1077-260X"</f>
        <v>1077-260X</v>
      </c>
      <c r="E13786" t="s">
        <v>8</v>
      </c>
      <c r="F13786" t="s">
        <v>13793</v>
      </c>
      <c r="G13786">
        <v>2</v>
      </c>
    </row>
    <row r="13787" spans="1:7" x14ac:dyDescent="0.25">
      <c r="A13787">
        <v>39</v>
      </c>
      <c r="B13787" t="s">
        <v>13774</v>
      </c>
      <c r="C13787">
        <v>24463</v>
      </c>
      <c r="D13787" t="str">
        <f>"1932-4553"</f>
        <v>1932-4553</v>
      </c>
      <c r="E13787" t="s">
        <v>8</v>
      </c>
      <c r="F13787" t="s">
        <v>13794</v>
      </c>
      <c r="G13787">
        <v>2</v>
      </c>
    </row>
    <row r="13788" spans="1:7" x14ac:dyDescent="0.25">
      <c r="A13788">
        <v>39</v>
      </c>
      <c r="B13788" t="s">
        <v>13774</v>
      </c>
      <c r="C13788">
        <v>9434</v>
      </c>
      <c r="D13788" t="str">
        <f>"0890-8044"</f>
        <v>0890-8044</v>
      </c>
      <c r="E13788" t="s">
        <v>8</v>
      </c>
      <c r="F13788" t="s">
        <v>13795</v>
      </c>
      <c r="G13788">
        <v>2</v>
      </c>
    </row>
    <row r="13789" spans="1:7" x14ac:dyDescent="0.25">
      <c r="A13789">
        <v>39</v>
      </c>
      <c r="B13789" t="s">
        <v>13774</v>
      </c>
      <c r="C13789">
        <v>13294</v>
      </c>
      <c r="D13789" t="str">
        <f>"1041-1135"</f>
        <v>1041-1135</v>
      </c>
      <c r="E13789" t="s">
        <v>8</v>
      </c>
      <c r="F13789" t="s">
        <v>13796</v>
      </c>
      <c r="G13789">
        <v>2</v>
      </c>
    </row>
    <row r="13790" spans="1:7" x14ac:dyDescent="0.25">
      <c r="A13790">
        <v>39</v>
      </c>
      <c r="B13790" t="s">
        <v>13774</v>
      </c>
      <c r="C13790">
        <v>18056</v>
      </c>
      <c r="D13790" t="str">
        <f>"1540-7977"</f>
        <v>1540-7977</v>
      </c>
      <c r="E13790" t="s">
        <v>8</v>
      </c>
      <c r="F13790" t="s">
        <v>13797</v>
      </c>
      <c r="G13790">
        <v>2</v>
      </c>
    </row>
    <row r="13791" spans="1:7" x14ac:dyDescent="0.25">
      <c r="A13791">
        <v>39</v>
      </c>
      <c r="B13791" t="s">
        <v>13774</v>
      </c>
      <c r="C13791">
        <v>2162</v>
      </c>
      <c r="D13791" t="str">
        <f>"1070-9932"</f>
        <v>1070-9932</v>
      </c>
      <c r="E13791" t="s">
        <v>8</v>
      </c>
      <c r="F13791" t="s">
        <v>13798</v>
      </c>
      <c r="G13791">
        <v>2</v>
      </c>
    </row>
    <row r="13792" spans="1:7" x14ac:dyDescent="0.25">
      <c r="A13792">
        <v>39</v>
      </c>
      <c r="B13792" t="s">
        <v>13774</v>
      </c>
      <c r="C13792">
        <v>236</v>
      </c>
      <c r="D13792" t="str">
        <f>"1530-437X"</f>
        <v>1530-437X</v>
      </c>
      <c r="E13792" t="s">
        <v>8</v>
      </c>
      <c r="F13792" t="s">
        <v>13799</v>
      </c>
      <c r="G13792">
        <v>2</v>
      </c>
    </row>
    <row r="13793" spans="1:7" x14ac:dyDescent="0.25">
      <c r="A13793">
        <v>39</v>
      </c>
      <c r="B13793" t="s">
        <v>13774</v>
      </c>
      <c r="C13793">
        <v>2536</v>
      </c>
      <c r="D13793" t="str">
        <f>"1053-5888"</f>
        <v>1053-5888</v>
      </c>
      <c r="E13793" t="s">
        <v>8</v>
      </c>
      <c r="F13793" t="s">
        <v>13800</v>
      </c>
      <c r="G13793">
        <v>2</v>
      </c>
    </row>
    <row r="13794" spans="1:7" x14ac:dyDescent="0.25">
      <c r="A13794">
        <v>39</v>
      </c>
      <c r="B13794" t="s">
        <v>13774</v>
      </c>
      <c r="C13794">
        <v>3578</v>
      </c>
      <c r="D13794" t="str">
        <f>"0018-926X"</f>
        <v>0018-926X</v>
      </c>
      <c r="E13794" t="s">
        <v>8</v>
      </c>
      <c r="F13794" t="s">
        <v>13801</v>
      </c>
      <c r="G13794">
        <v>2</v>
      </c>
    </row>
    <row r="13795" spans="1:7" x14ac:dyDescent="0.25">
      <c r="A13795">
        <v>39</v>
      </c>
      <c r="B13795" t="s">
        <v>13774</v>
      </c>
      <c r="C13795">
        <v>4668</v>
      </c>
      <c r="D13795" t="str">
        <f>"0018-9286"</f>
        <v>0018-9286</v>
      </c>
      <c r="E13795" t="s">
        <v>8</v>
      </c>
      <c r="F13795" t="s">
        <v>13802</v>
      </c>
      <c r="G13795">
        <v>2</v>
      </c>
    </row>
    <row r="13796" spans="1:7" x14ac:dyDescent="0.25">
      <c r="A13796">
        <v>39</v>
      </c>
      <c r="B13796" t="s">
        <v>13774</v>
      </c>
      <c r="C13796">
        <v>8701</v>
      </c>
      <c r="D13796" t="str">
        <f>"0090-6778"</f>
        <v>0090-6778</v>
      </c>
      <c r="E13796" t="s">
        <v>8</v>
      </c>
      <c r="F13796" t="s">
        <v>13803</v>
      </c>
      <c r="G13796">
        <v>2</v>
      </c>
    </row>
    <row r="13797" spans="1:7" x14ac:dyDescent="0.25">
      <c r="A13797">
        <v>39</v>
      </c>
      <c r="B13797" t="s">
        <v>13774</v>
      </c>
      <c r="C13797">
        <v>14788</v>
      </c>
      <c r="D13797" t="str">
        <f>"1063-6536"</f>
        <v>1063-6536</v>
      </c>
      <c r="E13797" t="s">
        <v>8</v>
      </c>
      <c r="F13797" t="s">
        <v>13804</v>
      </c>
      <c r="G13797">
        <v>2</v>
      </c>
    </row>
    <row r="13798" spans="1:7" x14ac:dyDescent="0.25">
      <c r="A13798">
        <v>39</v>
      </c>
      <c r="B13798" t="s">
        <v>13774</v>
      </c>
      <c r="C13798">
        <v>11003</v>
      </c>
      <c r="D13798" t="str">
        <f>"1070-9878"</f>
        <v>1070-9878</v>
      </c>
      <c r="E13798" t="s">
        <v>8</v>
      </c>
      <c r="F13798" t="s">
        <v>13805</v>
      </c>
      <c r="G13798">
        <v>2</v>
      </c>
    </row>
    <row r="13799" spans="1:7" x14ac:dyDescent="0.25">
      <c r="A13799">
        <v>39</v>
      </c>
      <c r="B13799" t="s">
        <v>13774</v>
      </c>
      <c r="C13799">
        <v>6564</v>
      </c>
      <c r="D13799" t="str">
        <f>"1057-7149"</f>
        <v>1057-7149</v>
      </c>
      <c r="E13799" t="s">
        <v>8</v>
      </c>
      <c r="F13799" t="s">
        <v>13806</v>
      </c>
      <c r="G13799">
        <v>2</v>
      </c>
    </row>
    <row r="13800" spans="1:7" x14ac:dyDescent="0.25">
      <c r="A13800">
        <v>39</v>
      </c>
      <c r="B13800" t="s">
        <v>13774</v>
      </c>
      <c r="C13800">
        <v>3287</v>
      </c>
      <c r="D13800" t="str">
        <f>"0278-0046"</f>
        <v>0278-0046</v>
      </c>
      <c r="E13800" t="s">
        <v>8</v>
      </c>
      <c r="F13800" t="s">
        <v>13807</v>
      </c>
      <c r="G13800">
        <v>2</v>
      </c>
    </row>
    <row r="13801" spans="1:7" x14ac:dyDescent="0.25">
      <c r="A13801">
        <v>39</v>
      </c>
      <c r="B13801" t="s">
        <v>13774</v>
      </c>
      <c r="C13801">
        <v>3523</v>
      </c>
      <c r="D13801" t="str">
        <f>"0093-9994"</f>
        <v>0093-9994</v>
      </c>
      <c r="E13801" t="s">
        <v>8</v>
      </c>
      <c r="F13801" t="s">
        <v>13808</v>
      </c>
      <c r="G13801">
        <v>2</v>
      </c>
    </row>
    <row r="13802" spans="1:7" x14ac:dyDescent="0.25">
      <c r="A13802">
        <v>39</v>
      </c>
      <c r="B13802" t="s">
        <v>13774</v>
      </c>
      <c r="C13802">
        <v>13820</v>
      </c>
      <c r="D13802" t="str">
        <f>"0018-9480"</f>
        <v>0018-9480</v>
      </c>
      <c r="E13802" t="s">
        <v>8</v>
      </c>
      <c r="F13802" t="s">
        <v>13809</v>
      </c>
      <c r="G13802">
        <v>2</v>
      </c>
    </row>
    <row r="13803" spans="1:7" x14ac:dyDescent="0.25">
      <c r="A13803">
        <v>39</v>
      </c>
      <c r="B13803" t="s">
        <v>13774</v>
      </c>
      <c r="C13803">
        <v>6933</v>
      </c>
      <c r="D13803" t="str">
        <f>"1536-1233"</f>
        <v>1536-1233</v>
      </c>
      <c r="E13803" t="s">
        <v>8</v>
      </c>
      <c r="F13803" t="s">
        <v>13810</v>
      </c>
      <c r="G13803">
        <v>2</v>
      </c>
    </row>
    <row r="13804" spans="1:7" x14ac:dyDescent="0.25">
      <c r="A13804">
        <v>39</v>
      </c>
      <c r="B13804" t="s">
        <v>13774</v>
      </c>
      <c r="C13804">
        <v>176</v>
      </c>
      <c r="D13804" t="str">
        <f>"1520-9210"</f>
        <v>1520-9210</v>
      </c>
      <c r="E13804" t="s">
        <v>8</v>
      </c>
      <c r="F13804" t="s">
        <v>13811</v>
      </c>
      <c r="G13804">
        <v>2</v>
      </c>
    </row>
    <row r="13805" spans="1:7" x14ac:dyDescent="0.25">
      <c r="A13805">
        <v>39</v>
      </c>
      <c r="B13805" t="s">
        <v>13774</v>
      </c>
      <c r="C13805">
        <v>13139</v>
      </c>
      <c r="D13805" t="str">
        <f>"0885-8993"</f>
        <v>0885-8993</v>
      </c>
      <c r="E13805" t="s">
        <v>8</v>
      </c>
      <c r="F13805" t="s">
        <v>13812</v>
      </c>
      <c r="G13805">
        <v>2</v>
      </c>
    </row>
    <row r="13806" spans="1:7" x14ac:dyDescent="0.25">
      <c r="A13806">
        <v>39</v>
      </c>
      <c r="B13806" t="s">
        <v>13774</v>
      </c>
      <c r="C13806">
        <v>7991</v>
      </c>
      <c r="D13806" t="str">
        <f>"0885-8950"</f>
        <v>0885-8950</v>
      </c>
      <c r="E13806" t="s">
        <v>8</v>
      </c>
      <c r="F13806" t="s">
        <v>13813</v>
      </c>
      <c r="G13806">
        <v>2</v>
      </c>
    </row>
    <row r="13807" spans="1:7" x14ac:dyDescent="0.25">
      <c r="A13807">
        <v>39</v>
      </c>
      <c r="B13807" t="s">
        <v>13774</v>
      </c>
      <c r="C13807">
        <v>17574</v>
      </c>
      <c r="D13807" t="str">
        <f>"1552-3098"</f>
        <v>1552-3098</v>
      </c>
      <c r="E13807" t="s">
        <v>8</v>
      </c>
      <c r="F13807" t="s">
        <v>13814</v>
      </c>
      <c r="G13807">
        <v>2</v>
      </c>
    </row>
    <row r="13808" spans="1:7" x14ac:dyDescent="0.25">
      <c r="A13808">
        <v>39</v>
      </c>
      <c r="B13808" t="s">
        <v>13774</v>
      </c>
      <c r="C13808">
        <v>16576</v>
      </c>
      <c r="D13808" t="str">
        <f>"1053-587X"</f>
        <v>1053-587X</v>
      </c>
      <c r="E13808" t="s">
        <v>8</v>
      </c>
      <c r="F13808" t="s">
        <v>13815</v>
      </c>
      <c r="G13808">
        <v>2</v>
      </c>
    </row>
    <row r="13809" spans="1:7" x14ac:dyDescent="0.25">
      <c r="A13809">
        <v>39</v>
      </c>
      <c r="B13809" t="s">
        <v>13774</v>
      </c>
      <c r="C13809">
        <v>4015</v>
      </c>
      <c r="D13809" t="str">
        <f>"0885-3010"</f>
        <v>0885-3010</v>
      </c>
      <c r="E13809" t="s">
        <v>8</v>
      </c>
      <c r="F13809" t="s">
        <v>13816</v>
      </c>
      <c r="G13809">
        <v>2</v>
      </c>
    </row>
    <row r="13810" spans="1:7" x14ac:dyDescent="0.25">
      <c r="A13810">
        <v>39</v>
      </c>
      <c r="B13810" t="s">
        <v>13774</v>
      </c>
      <c r="C13810">
        <v>13898</v>
      </c>
      <c r="D13810" t="str">
        <f>"0018-9545"</f>
        <v>0018-9545</v>
      </c>
      <c r="E13810" t="s">
        <v>8</v>
      </c>
      <c r="F13810" t="s">
        <v>13817</v>
      </c>
      <c r="G13810">
        <v>2</v>
      </c>
    </row>
    <row r="13811" spans="1:7" x14ac:dyDescent="0.25">
      <c r="A13811">
        <v>39</v>
      </c>
      <c r="B13811" t="s">
        <v>13774</v>
      </c>
      <c r="C13811">
        <v>2033</v>
      </c>
      <c r="D13811" t="str">
        <f>"1536-1276"</f>
        <v>1536-1276</v>
      </c>
      <c r="E13811" t="s">
        <v>8</v>
      </c>
      <c r="F13811" t="s">
        <v>13818</v>
      </c>
      <c r="G13811">
        <v>2</v>
      </c>
    </row>
    <row r="13812" spans="1:7" x14ac:dyDescent="0.25">
      <c r="A13812">
        <v>39</v>
      </c>
      <c r="B13812" t="s">
        <v>13774</v>
      </c>
      <c r="C13812">
        <v>87846</v>
      </c>
      <c r="D13812" t="str">
        <f>"1556-6072"</f>
        <v>1556-6072</v>
      </c>
      <c r="E13812" t="s">
        <v>8</v>
      </c>
      <c r="F13812" t="s">
        <v>13819</v>
      </c>
      <c r="G13812">
        <v>2</v>
      </c>
    </row>
    <row r="13813" spans="1:7" x14ac:dyDescent="0.25">
      <c r="A13813">
        <v>39</v>
      </c>
      <c r="B13813" t="s">
        <v>13774</v>
      </c>
      <c r="C13813">
        <v>7105</v>
      </c>
      <c r="D13813" t="str">
        <f>"1536-1284"</f>
        <v>1536-1284</v>
      </c>
      <c r="E13813" t="s">
        <v>8</v>
      </c>
      <c r="F13813" t="s">
        <v>13820</v>
      </c>
      <c r="G13813">
        <v>2</v>
      </c>
    </row>
    <row r="13814" spans="1:7" x14ac:dyDescent="0.25">
      <c r="A13814">
        <v>39</v>
      </c>
      <c r="B13814" t="s">
        <v>13774</v>
      </c>
      <c r="C13814">
        <v>7755704</v>
      </c>
      <c r="D13814" t="str">
        <f>"2329-9290"</f>
        <v>2329-9290</v>
      </c>
      <c r="E13814" t="s">
        <v>8</v>
      </c>
      <c r="F13814" t="s">
        <v>13821</v>
      </c>
      <c r="G13814">
        <v>2</v>
      </c>
    </row>
    <row r="13815" spans="1:7" x14ac:dyDescent="0.25">
      <c r="A13815">
        <v>39</v>
      </c>
      <c r="B13815" t="s">
        <v>13774</v>
      </c>
      <c r="C13815">
        <v>1996</v>
      </c>
      <c r="D13815" t="str">
        <f>"1752-1416"</f>
        <v>1752-1416</v>
      </c>
      <c r="E13815" t="s">
        <v>8</v>
      </c>
      <c r="F13815" t="s">
        <v>13822</v>
      </c>
      <c r="G13815">
        <v>2</v>
      </c>
    </row>
    <row r="13816" spans="1:7" x14ac:dyDescent="0.25">
      <c r="A13816">
        <v>39</v>
      </c>
      <c r="B13816" t="s">
        <v>13774</v>
      </c>
      <c r="C13816">
        <v>5458</v>
      </c>
      <c r="D13816" t="str">
        <f>"0020-0255"</f>
        <v>0020-0255</v>
      </c>
      <c r="E13816" t="s">
        <v>8</v>
      </c>
      <c r="F13816" t="s">
        <v>13823</v>
      </c>
      <c r="G13816">
        <v>2</v>
      </c>
    </row>
    <row r="13817" spans="1:7" x14ac:dyDescent="0.25">
      <c r="A13817">
        <v>39</v>
      </c>
      <c r="B13817" t="s">
        <v>13774</v>
      </c>
      <c r="C13817">
        <v>12216</v>
      </c>
      <c r="D13817" t="str">
        <f>"1069-2509"</f>
        <v>1069-2509</v>
      </c>
      <c r="E13817" t="s">
        <v>8</v>
      </c>
      <c r="F13817" t="s">
        <v>13824</v>
      </c>
      <c r="G13817">
        <v>2</v>
      </c>
    </row>
    <row r="13818" spans="1:7" x14ac:dyDescent="0.25">
      <c r="A13818">
        <v>39</v>
      </c>
      <c r="B13818" t="s">
        <v>13774</v>
      </c>
      <c r="C13818">
        <v>11582</v>
      </c>
      <c r="D13818" t="str">
        <f>"0920-5691"</f>
        <v>0920-5691</v>
      </c>
      <c r="E13818" t="s">
        <v>8</v>
      </c>
      <c r="F13818" t="s">
        <v>13825</v>
      </c>
      <c r="G13818">
        <v>2</v>
      </c>
    </row>
    <row r="13819" spans="1:7" x14ac:dyDescent="0.25">
      <c r="A13819">
        <v>39</v>
      </c>
      <c r="B13819" t="s">
        <v>13774</v>
      </c>
      <c r="C13819">
        <v>15747</v>
      </c>
      <c r="D13819" t="str">
        <f>"0142-0615"</f>
        <v>0142-0615</v>
      </c>
      <c r="E13819" t="s">
        <v>8</v>
      </c>
      <c r="F13819" t="s">
        <v>13826</v>
      </c>
      <c r="G13819">
        <v>2</v>
      </c>
    </row>
    <row r="13820" spans="1:7" x14ac:dyDescent="0.25">
      <c r="A13820">
        <v>39</v>
      </c>
      <c r="B13820" t="s">
        <v>13774</v>
      </c>
      <c r="C13820">
        <v>3609</v>
      </c>
      <c r="D13820" t="str">
        <f>"1049-8923"</f>
        <v>1049-8923</v>
      </c>
      <c r="E13820" t="s">
        <v>8</v>
      </c>
      <c r="F13820" t="s">
        <v>13827</v>
      </c>
      <c r="G13820">
        <v>2</v>
      </c>
    </row>
    <row r="13821" spans="1:7" x14ac:dyDescent="0.25">
      <c r="A13821">
        <v>39</v>
      </c>
      <c r="B13821" t="s">
        <v>13774</v>
      </c>
      <c r="C13821">
        <v>8782942</v>
      </c>
      <c r="D13821" t="str">
        <f>"1045-9243"</f>
        <v>1045-9243</v>
      </c>
      <c r="E13821" t="s">
        <v>2100</v>
      </c>
      <c r="F13821" t="s">
        <v>13828</v>
      </c>
      <c r="G13821">
        <v>2</v>
      </c>
    </row>
    <row r="13822" spans="1:7" x14ac:dyDescent="0.25">
      <c r="A13822">
        <v>39</v>
      </c>
      <c r="B13822" t="s">
        <v>13774</v>
      </c>
      <c r="C13822">
        <v>17982</v>
      </c>
      <c r="D13822" t="str">
        <f>"1556-4959"</f>
        <v>1556-4959</v>
      </c>
      <c r="E13822" t="s">
        <v>8</v>
      </c>
      <c r="F13822" t="s">
        <v>13829</v>
      </c>
      <c r="G13822">
        <v>2</v>
      </c>
    </row>
    <row r="13823" spans="1:7" x14ac:dyDescent="0.25">
      <c r="A13823">
        <v>39</v>
      </c>
      <c r="B13823" t="s">
        <v>13774</v>
      </c>
      <c r="C13823">
        <v>721</v>
      </c>
      <c r="D13823" t="str">
        <f>"0733-8724"</f>
        <v>0733-8724</v>
      </c>
      <c r="E13823" t="s">
        <v>8</v>
      </c>
      <c r="F13823" t="s">
        <v>13830</v>
      </c>
      <c r="G13823">
        <v>2</v>
      </c>
    </row>
    <row r="13824" spans="1:7" x14ac:dyDescent="0.25">
      <c r="A13824">
        <v>39</v>
      </c>
      <c r="B13824" t="s">
        <v>13774</v>
      </c>
      <c r="C13824">
        <v>7256</v>
      </c>
      <c r="D13824" t="str">
        <f>"1057-7157"</f>
        <v>1057-7157</v>
      </c>
      <c r="E13824" t="s">
        <v>8</v>
      </c>
      <c r="F13824" t="s">
        <v>13831</v>
      </c>
      <c r="G13824">
        <v>2</v>
      </c>
    </row>
    <row r="13825" spans="1:7" x14ac:dyDescent="0.25">
      <c r="A13825">
        <v>39</v>
      </c>
      <c r="B13825" t="s">
        <v>13774</v>
      </c>
      <c r="C13825">
        <v>13178</v>
      </c>
      <c r="D13825" t="str">
        <f>"0957-0233"</f>
        <v>0957-0233</v>
      </c>
      <c r="E13825" t="s">
        <v>8</v>
      </c>
      <c r="F13825" t="s">
        <v>13832</v>
      </c>
      <c r="G13825">
        <v>2</v>
      </c>
    </row>
    <row r="13826" spans="1:7" x14ac:dyDescent="0.25">
      <c r="A13826">
        <v>39</v>
      </c>
      <c r="B13826" t="s">
        <v>13774</v>
      </c>
      <c r="C13826">
        <v>8766408</v>
      </c>
      <c r="D13826" t="str">
        <f>"2334-2536"</f>
        <v>2334-2536</v>
      </c>
      <c r="E13826" t="s">
        <v>8</v>
      </c>
      <c r="F13826" t="s">
        <v>13833</v>
      </c>
      <c r="G13826">
        <v>2</v>
      </c>
    </row>
    <row r="13827" spans="1:7" x14ac:dyDescent="0.25">
      <c r="A13827">
        <v>39</v>
      </c>
      <c r="B13827" t="s">
        <v>13774</v>
      </c>
      <c r="C13827">
        <v>14399</v>
      </c>
      <c r="D13827" t="str">
        <f>"0030-4018"</f>
        <v>0030-4018</v>
      </c>
      <c r="E13827" t="s">
        <v>8</v>
      </c>
      <c r="F13827" t="s">
        <v>13834</v>
      </c>
      <c r="G13827">
        <v>2</v>
      </c>
    </row>
    <row r="13828" spans="1:7" x14ac:dyDescent="0.25">
      <c r="A13828">
        <v>39</v>
      </c>
      <c r="B13828" t="s">
        <v>13774</v>
      </c>
      <c r="C13828">
        <v>10527</v>
      </c>
      <c r="D13828" t="str">
        <f>"1566-1199"</f>
        <v>1566-1199</v>
      </c>
      <c r="E13828" t="s">
        <v>8</v>
      </c>
      <c r="F13828" t="s">
        <v>13835</v>
      </c>
      <c r="G13828">
        <v>2</v>
      </c>
    </row>
    <row r="13829" spans="1:7" x14ac:dyDescent="0.25">
      <c r="A13829">
        <v>39</v>
      </c>
      <c r="B13829" t="s">
        <v>13774</v>
      </c>
      <c r="C13829">
        <v>3465</v>
      </c>
      <c r="D13829" t="str">
        <f>"0018-9219"</f>
        <v>0018-9219</v>
      </c>
      <c r="E13829" t="s">
        <v>8</v>
      </c>
      <c r="F13829" t="s">
        <v>13836</v>
      </c>
      <c r="G13829">
        <v>2</v>
      </c>
    </row>
    <row r="13830" spans="1:7" x14ac:dyDescent="0.25">
      <c r="A13830">
        <v>39</v>
      </c>
      <c r="B13830" t="s">
        <v>13774</v>
      </c>
      <c r="C13830">
        <v>6376</v>
      </c>
      <c r="D13830" t="str">
        <f>"0079-6638"</f>
        <v>0079-6638</v>
      </c>
      <c r="E13830" t="s">
        <v>15</v>
      </c>
      <c r="F13830" t="s">
        <v>13837</v>
      </c>
      <c r="G13830">
        <v>2</v>
      </c>
    </row>
    <row r="13831" spans="1:7" x14ac:dyDescent="0.25">
      <c r="A13831">
        <v>39</v>
      </c>
      <c r="B13831" t="s">
        <v>13774</v>
      </c>
      <c r="C13831">
        <v>34</v>
      </c>
      <c r="D13831" t="str">
        <f>"0079-6727"</f>
        <v>0079-6727</v>
      </c>
      <c r="E13831" t="s">
        <v>8</v>
      </c>
      <c r="F13831" t="s">
        <v>13838</v>
      </c>
      <c r="G13831">
        <v>2</v>
      </c>
    </row>
    <row r="13832" spans="1:7" x14ac:dyDescent="0.25">
      <c r="A13832">
        <v>39</v>
      </c>
      <c r="B13832" t="s">
        <v>13774</v>
      </c>
      <c r="C13832">
        <v>15788</v>
      </c>
      <c r="D13832" t="str">
        <f>"0921-8890"</f>
        <v>0921-8890</v>
      </c>
      <c r="E13832" t="s">
        <v>8</v>
      </c>
      <c r="F13832" t="s">
        <v>13839</v>
      </c>
      <c r="G13832">
        <v>2</v>
      </c>
    </row>
    <row r="13833" spans="1:7" x14ac:dyDescent="0.25">
      <c r="A13833">
        <v>39</v>
      </c>
      <c r="B13833" t="s">
        <v>13774</v>
      </c>
      <c r="C13833">
        <v>15523</v>
      </c>
      <c r="D13833" t="str">
        <f>"0268-1242"</f>
        <v>0268-1242</v>
      </c>
      <c r="E13833" t="s">
        <v>8</v>
      </c>
      <c r="F13833" t="s">
        <v>13840</v>
      </c>
      <c r="G13833">
        <v>2</v>
      </c>
    </row>
    <row r="13834" spans="1:7" x14ac:dyDescent="0.25">
      <c r="A13834">
        <v>39</v>
      </c>
      <c r="B13834" t="s">
        <v>13774</v>
      </c>
      <c r="C13834">
        <v>13926</v>
      </c>
      <c r="D13834" t="str">
        <f>"1424-8220"</f>
        <v>1424-8220</v>
      </c>
      <c r="E13834" t="s">
        <v>8</v>
      </c>
      <c r="F13834" t="s">
        <v>13841</v>
      </c>
      <c r="G13834">
        <v>2</v>
      </c>
    </row>
    <row r="13835" spans="1:7" x14ac:dyDescent="0.25">
      <c r="A13835">
        <v>39</v>
      </c>
      <c r="B13835" t="s">
        <v>13774</v>
      </c>
      <c r="C13835">
        <v>10289</v>
      </c>
      <c r="D13835" t="str">
        <f>"0924-4247"</f>
        <v>0924-4247</v>
      </c>
      <c r="E13835" t="s">
        <v>8</v>
      </c>
      <c r="F13835" t="s">
        <v>13842</v>
      </c>
      <c r="G13835">
        <v>2</v>
      </c>
    </row>
    <row r="13836" spans="1:7" x14ac:dyDescent="0.25">
      <c r="A13836">
        <v>39</v>
      </c>
      <c r="B13836" t="s">
        <v>13774</v>
      </c>
      <c r="C13836">
        <v>13220</v>
      </c>
      <c r="D13836" t="str">
        <f>"0165-1684"</f>
        <v>0165-1684</v>
      </c>
      <c r="E13836" t="s">
        <v>8</v>
      </c>
      <c r="F13836" t="s">
        <v>13843</v>
      </c>
      <c r="G13836">
        <v>2</v>
      </c>
    </row>
    <row r="13837" spans="1:7" x14ac:dyDescent="0.25">
      <c r="A13837">
        <v>39</v>
      </c>
      <c r="B13837" t="s">
        <v>13774</v>
      </c>
      <c r="C13837">
        <v>8783458</v>
      </c>
      <c r="E13837" t="s">
        <v>2100</v>
      </c>
      <c r="F13837" t="s">
        <v>13844</v>
      </c>
      <c r="G13837">
        <v>1</v>
      </c>
    </row>
    <row r="13838" spans="1:7" x14ac:dyDescent="0.25">
      <c r="A13838">
        <v>39</v>
      </c>
      <c r="B13838" t="s">
        <v>13774</v>
      </c>
      <c r="C13838">
        <v>6931</v>
      </c>
      <c r="D13838" t="str">
        <f>"1539-9087"</f>
        <v>1539-9087</v>
      </c>
      <c r="E13838" t="s">
        <v>8</v>
      </c>
      <c r="F13838" t="s">
        <v>13845</v>
      </c>
      <c r="G13838">
        <v>1</v>
      </c>
    </row>
    <row r="13839" spans="1:7" x14ac:dyDescent="0.25">
      <c r="A13839">
        <v>39</v>
      </c>
      <c r="B13839" t="s">
        <v>13774</v>
      </c>
      <c r="C13839">
        <v>32523</v>
      </c>
      <c r="D13839" t="str">
        <f>"1936-7406"</f>
        <v>1936-7406</v>
      </c>
      <c r="E13839" t="s">
        <v>8</v>
      </c>
      <c r="F13839" t="s">
        <v>13846</v>
      </c>
      <c r="G13839">
        <v>1</v>
      </c>
    </row>
    <row r="13840" spans="1:7" x14ac:dyDescent="0.25">
      <c r="A13840">
        <v>39</v>
      </c>
      <c r="B13840" t="s">
        <v>13774</v>
      </c>
      <c r="C13840">
        <v>9810</v>
      </c>
      <c r="D13840" t="str">
        <f>"1346-3969"</f>
        <v>1346-3969</v>
      </c>
      <c r="E13840" t="s">
        <v>8</v>
      </c>
      <c r="F13840" t="s">
        <v>13847</v>
      </c>
      <c r="G13840">
        <v>1</v>
      </c>
    </row>
    <row r="13841" spans="1:7" x14ac:dyDescent="0.25">
      <c r="A13841">
        <v>39</v>
      </c>
      <c r="B13841" t="s">
        <v>13774</v>
      </c>
      <c r="C13841">
        <v>8563</v>
      </c>
      <c r="D13841" t="str">
        <f>"0882-7516"</f>
        <v>0882-7516</v>
      </c>
      <c r="E13841" t="s">
        <v>8</v>
      </c>
      <c r="F13841" t="s">
        <v>13848</v>
      </c>
      <c r="G13841">
        <v>1</v>
      </c>
    </row>
    <row r="13842" spans="1:7" x14ac:dyDescent="0.25">
      <c r="A13842">
        <v>39</v>
      </c>
      <c r="B13842" t="s">
        <v>13774</v>
      </c>
      <c r="C13842">
        <v>7714425</v>
      </c>
      <c r="E13842" t="s">
        <v>8</v>
      </c>
      <c r="F13842" t="s">
        <v>13849</v>
      </c>
      <c r="G13842">
        <v>1</v>
      </c>
    </row>
    <row r="13843" spans="1:7" x14ac:dyDescent="0.25">
      <c r="A13843">
        <v>39</v>
      </c>
      <c r="B13843" t="s">
        <v>13774</v>
      </c>
      <c r="C13843">
        <v>15744</v>
      </c>
      <c r="D13843" t="str">
        <f>"1610-1928"</f>
        <v>1610-1928</v>
      </c>
      <c r="E13843" t="s">
        <v>8</v>
      </c>
      <c r="F13843" t="s">
        <v>13850</v>
      </c>
      <c r="G13843">
        <v>1</v>
      </c>
    </row>
    <row r="13844" spans="1:7" x14ac:dyDescent="0.25">
      <c r="A13844">
        <v>39</v>
      </c>
      <c r="B13844" t="s">
        <v>13774</v>
      </c>
      <c r="C13844">
        <v>2062</v>
      </c>
      <c r="D13844" t="str">
        <f>"1570-8705"</f>
        <v>1570-8705</v>
      </c>
      <c r="E13844" t="s">
        <v>8</v>
      </c>
      <c r="F13844" t="s">
        <v>13851</v>
      </c>
      <c r="G13844">
        <v>1</v>
      </c>
    </row>
    <row r="13845" spans="1:7" x14ac:dyDescent="0.25">
      <c r="A13845">
        <v>39</v>
      </c>
      <c r="B13845" t="s">
        <v>13774</v>
      </c>
      <c r="C13845">
        <v>7362</v>
      </c>
      <c r="D13845" t="str">
        <f>"1551-9899"</f>
        <v>1551-9899</v>
      </c>
      <c r="E13845" t="s">
        <v>8</v>
      </c>
      <c r="F13845" t="s">
        <v>13852</v>
      </c>
      <c r="G13845">
        <v>1</v>
      </c>
    </row>
    <row r="13846" spans="1:7" x14ac:dyDescent="0.25">
      <c r="A13846">
        <v>39</v>
      </c>
      <c r="B13846" t="s">
        <v>13774</v>
      </c>
      <c r="C13846">
        <v>7734132</v>
      </c>
      <c r="E13846" t="s">
        <v>8</v>
      </c>
      <c r="F13846" t="s">
        <v>13853</v>
      </c>
      <c r="G13846">
        <v>1</v>
      </c>
    </row>
    <row r="13847" spans="1:7" x14ac:dyDescent="0.25">
      <c r="A13847">
        <v>39</v>
      </c>
      <c r="B13847" t="s">
        <v>13774</v>
      </c>
      <c r="C13847">
        <v>3500</v>
      </c>
      <c r="D13847" t="str">
        <f>"1474-0346"</f>
        <v>1474-0346</v>
      </c>
      <c r="E13847" t="s">
        <v>8</v>
      </c>
      <c r="F13847" t="s">
        <v>13854</v>
      </c>
      <c r="G13847">
        <v>1</v>
      </c>
    </row>
    <row r="13848" spans="1:7" x14ac:dyDescent="0.25">
      <c r="A13848">
        <v>39</v>
      </c>
      <c r="B13848" t="s">
        <v>13774</v>
      </c>
      <c r="C13848">
        <v>14100</v>
      </c>
      <c r="D13848" t="str">
        <f>"0169-1864"</f>
        <v>0169-1864</v>
      </c>
      <c r="E13848" t="s">
        <v>8</v>
      </c>
      <c r="F13848" t="s">
        <v>13855</v>
      </c>
      <c r="G13848">
        <v>1</v>
      </c>
    </row>
    <row r="13849" spans="1:7" x14ac:dyDescent="0.25">
      <c r="A13849">
        <v>39</v>
      </c>
      <c r="B13849" t="s">
        <v>13774</v>
      </c>
      <c r="C13849">
        <v>11454</v>
      </c>
      <c r="D13849" t="str">
        <f>"1076-5670"</f>
        <v>1076-5670</v>
      </c>
      <c r="E13849" t="s">
        <v>15</v>
      </c>
      <c r="F13849" t="s">
        <v>13856</v>
      </c>
      <c r="G13849">
        <v>1</v>
      </c>
    </row>
    <row r="13850" spans="1:7" x14ac:dyDescent="0.25">
      <c r="A13850">
        <v>39</v>
      </c>
      <c r="B13850" t="s">
        <v>13774</v>
      </c>
      <c r="C13850">
        <v>21912</v>
      </c>
      <c r="D13850" t="str">
        <f>"1687-5680"</f>
        <v>1687-5680</v>
      </c>
      <c r="E13850" t="s">
        <v>15</v>
      </c>
      <c r="F13850" t="s">
        <v>13857</v>
      </c>
      <c r="G13850">
        <v>1</v>
      </c>
    </row>
    <row r="13851" spans="1:7" x14ac:dyDescent="0.25">
      <c r="A13851">
        <v>39</v>
      </c>
      <c r="B13851" t="s">
        <v>13774</v>
      </c>
      <c r="C13851">
        <v>8783314</v>
      </c>
      <c r="E13851" t="s">
        <v>2100</v>
      </c>
      <c r="F13851" t="s">
        <v>13858</v>
      </c>
      <c r="G13851">
        <v>1</v>
      </c>
    </row>
    <row r="13852" spans="1:7" x14ac:dyDescent="0.25">
      <c r="A13852">
        <v>39</v>
      </c>
      <c r="B13852" t="s">
        <v>13774</v>
      </c>
      <c r="C13852">
        <v>8783294</v>
      </c>
      <c r="E13852" t="s">
        <v>2100</v>
      </c>
      <c r="F13852" t="s">
        <v>13859</v>
      </c>
      <c r="G13852">
        <v>1</v>
      </c>
    </row>
    <row r="13853" spans="1:7" x14ac:dyDescent="0.25">
      <c r="A13853">
        <v>39</v>
      </c>
      <c r="B13853" t="s">
        <v>13774</v>
      </c>
      <c r="C13853">
        <v>8783256</v>
      </c>
      <c r="E13853" t="s">
        <v>2100</v>
      </c>
      <c r="F13853" t="s">
        <v>13860</v>
      </c>
      <c r="G13853">
        <v>1</v>
      </c>
    </row>
    <row r="13854" spans="1:7" x14ac:dyDescent="0.25">
      <c r="A13854">
        <v>39</v>
      </c>
      <c r="B13854" t="s">
        <v>13774</v>
      </c>
      <c r="C13854">
        <v>5010926</v>
      </c>
      <c r="E13854" t="s">
        <v>2100</v>
      </c>
      <c r="F13854" t="s">
        <v>13861</v>
      </c>
      <c r="G13854">
        <v>1</v>
      </c>
    </row>
    <row r="13855" spans="1:7" x14ac:dyDescent="0.25">
      <c r="A13855">
        <v>39</v>
      </c>
      <c r="B13855" t="s">
        <v>13774</v>
      </c>
      <c r="C13855">
        <v>8783310</v>
      </c>
      <c r="E13855" t="s">
        <v>2100</v>
      </c>
      <c r="F13855" t="s">
        <v>13862</v>
      </c>
      <c r="G13855">
        <v>1</v>
      </c>
    </row>
    <row r="13856" spans="1:7" x14ac:dyDescent="0.25">
      <c r="A13856">
        <v>39</v>
      </c>
      <c r="B13856" t="s">
        <v>13774</v>
      </c>
      <c r="C13856">
        <v>45053</v>
      </c>
      <c r="E13856" t="s">
        <v>8</v>
      </c>
      <c r="F13856" t="s">
        <v>13863</v>
      </c>
      <c r="G13856">
        <v>1</v>
      </c>
    </row>
    <row r="13857" spans="1:7" x14ac:dyDescent="0.25">
      <c r="A13857">
        <v>39</v>
      </c>
      <c r="B13857" t="s">
        <v>13774</v>
      </c>
      <c r="C13857">
        <v>900</v>
      </c>
      <c r="D13857" t="str">
        <f>"0743-1619"</f>
        <v>0743-1619</v>
      </c>
      <c r="E13857" t="s">
        <v>8</v>
      </c>
      <c r="F13857" t="s">
        <v>13864</v>
      </c>
      <c r="G13857">
        <v>1</v>
      </c>
    </row>
    <row r="13858" spans="1:7" x14ac:dyDescent="0.25">
      <c r="A13858">
        <v>39</v>
      </c>
      <c r="B13858" t="s">
        <v>13774</v>
      </c>
      <c r="C13858">
        <v>31088</v>
      </c>
      <c r="D13858" t="str">
        <f>"1872-082X"</f>
        <v>1872-082X</v>
      </c>
      <c r="E13858" t="s">
        <v>15</v>
      </c>
      <c r="F13858" t="s">
        <v>13865</v>
      </c>
      <c r="G13858">
        <v>1</v>
      </c>
    </row>
    <row r="13859" spans="1:7" x14ac:dyDescent="0.25">
      <c r="A13859">
        <v>39</v>
      </c>
      <c r="B13859" t="s">
        <v>13774</v>
      </c>
      <c r="C13859">
        <v>9773</v>
      </c>
      <c r="D13859" t="str">
        <f>"0925-1030"</f>
        <v>0925-1030</v>
      </c>
      <c r="E13859" t="s">
        <v>8</v>
      </c>
      <c r="F13859" t="s">
        <v>13866</v>
      </c>
      <c r="G13859">
        <v>1</v>
      </c>
    </row>
    <row r="13860" spans="1:7" x14ac:dyDescent="0.25">
      <c r="A13860">
        <v>39</v>
      </c>
      <c r="B13860" t="s">
        <v>13774</v>
      </c>
      <c r="C13860">
        <v>15209</v>
      </c>
      <c r="D13860" t="str">
        <f>"0003-4347"</f>
        <v>0003-4347</v>
      </c>
      <c r="E13860" t="s">
        <v>8</v>
      </c>
      <c r="F13860" t="s">
        <v>13867</v>
      </c>
      <c r="G13860">
        <v>1</v>
      </c>
    </row>
    <row r="13861" spans="1:7" x14ac:dyDescent="0.25">
      <c r="A13861">
        <v>39</v>
      </c>
      <c r="B13861" t="s">
        <v>13774</v>
      </c>
      <c r="C13861">
        <v>8783252</v>
      </c>
      <c r="E13861" t="s">
        <v>2100</v>
      </c>
      <c r="F13861" t="s">
        <v>13868</v>
      </c>
      <c r="G13861">
        <v>1</v>
      </c>
    </row>
    <row r="13862" spans="1:7" x14ac:dyDescent="0.25">
      <c r="A13862">
        <v>39</v>
      </c>
      <c r="B13862" t="s">
        <v>13774</v>
      </c>
      <c r="C13862">
        <v>8783289</v>
      </c>
      <c r="D13862" t="str">
        <f>"2375-7477"</f>
        <v>2375-7477</v>
      </c>
      <c r="E13862" t="s">
        <v>2100</v>
      </c>
      <c r="F13862" t="s">
        <v>13869</v>
      </c>
      <c r="G13862">
        <v>1</v>
      </c>
    </row>
    <row r="13863" spans="1:7" x14ac:dyDescent="0.25">
      <c r="A13863">
        <v>39</v>
      </c>
      <c r="B13863" t="s">
        <v>13774</v>
      </c>
      <c r="C13863">
        <v>8783288</v>
      </c>
      <c r="E13863" t="s">
        <v>2100</v>
      </c>
      <c r="F13863" t="s">
        <v>13870</v>
      </c>
      <c r="G13863">
        <v>1</v>
      </c>
    </row>
    <row r="13864" spans="1:7" x14ac:dyDescent="0.25">
      <c r="A13864">
        <v>39</v>
      </c>
      <c r="B13864" t="s">
        <v>13774</v>
      </c>
      <c r="C13864">
        <v>8783251</v>
      </c>
      <c r="D13864" t="str">
        <f>"0149-144X"</f>
        <v>0149-144X</v>
      </c>
      <c r="E13864" t="s">
        <v>2100</v>
      </c>
      <c r="F13864" t="s">
        <v>13871</v>
      </c>
      <c r="G13864">
        <v>1</v>
      </c>
    </row>
    <row r="13865" spans="1:7" x14ac:dyDescent="0.25">
      <c r="A13865">
        <v>39</v>
      </c>
      <c r="B13865" t="s">
        <v>13774</v>
      </c>
      <c r="C13865">
        <v>6677</v>
      </c>
      <c r="D13865" t="str">
        <f>"0938-1279"</f>
        <v>0938-1279</v>
      </c>
      <c r="E13865" t="s">
        <v>8</v>
      </c>
      <c r="F13865" t="s">
        <v>13872</v>
      </c>
      <c r="G13865">
        <v>1</v>
      </c>
    </row>
    <row r="13866" spans="1:7" x14ac:dyDescent="0.25">
      <c r="A13866">
        <v>39</v>
      </c>
      <c r="B13866" t="s">
        <v>13774</v>
      </c>
      <c r="C13866">
        <v>20529</v>
      </c>
      <c r="D13866" t="str">
        <f>"1176-2322"</f>
        <v>1176-2322</v>
      </c>
      <c r="E13866" t="s">
        <v>8</v>
      </c>
      <c r="F13866" t="s">
        <v>13873</v>
      </c>
      <c r="G13866">
        <v>1</v>
      </c>
    </row>
    <row r="13867" spans="1:7" x14ac:dyDescent="0.25">
      <c r="A13867">
        <v>39</v>
      </c>
      <c r="B13867" t="s">
        <v>13774</v>
      </c>
      <c r="C13867">
        <v>18015</v>
      </c>
      <c r="D13867" t="str">
        <f>"1054-4887"</f>
        <v>1054-4887</v>
      </c>
      <c r="E13867" t="s">
        <v>8</v>
      </c>
      <c r="F13867" t="s">
        <v>13874</v>
      </c>
      <c r="G13867">
        <v>1</v>
      </c>
    </row>
    <row r="13868" spans="1:7" x14ac:dyDescent="0.25">
      <c r="A13868">
        <v>39</v>
      </c>
      <c r="B13868" t="s">
        <v>13774</v>
      </c>
      <c r="C13868">
        <v>8783307</v>
      </c>
      <c r="E13868" t="s">
        <v>2100</v>
      </c>
      <c r="F13868" t="s">
        <v>13875</v>
      </c>
      <c r="G13868">
        <v>1</v>
      </c>
    </row>
    <row r="13869" spans="1:7" x14ac:dyDescent="0.25">
      <c r="A13869">
        <v>39</v>
      </c>
      <c r="B13869" t="s">
        <v>13774</v>
      </c>
      <c r="C13869">
        <v>24128</v>
      </c>
      <c r="D13869" t="str">
        <f>"1433-5298"</f>
        <v>1433-5298</v>
      </c>
      <c r="E13869" t="s">
        <v>8</v>
      </c>
      <c r="F13869" t="s">
        <v>13876</v>
      </c>
      <c r="G13869">
        <v>1</v>
      </c>
    </row>
    <row r="13870" spans="1:7" x14ac:dyDescent="0.25">
      <c r="A13870">
        <v>39</v>
      </c>
      <c r="B13870" t="s">
        <v>13774</v>
      </c>
      <c r="C13870">
        <v>8783287</v>
      </c>
      <c r="E13870" t="s">
        <v>2100</v>
      </c>
      <c r="F13870" t="s">
        <v>13877</v>
      </c>
      <c r="G13870">
        <v>1</v>
      </c>
    </row>
    <row r="13871" spans="1:7" x14ac:dyDescent="0.25">
      <c r="A13871">
        <v>39</v>
      </c>
      <c r="B13871" t="s">
        <v>13774</v>
      </c>
      <c r="C13871">
        <v>8782600</v>
      </c>
      <c r="E13871" t="s">
        <v>2100</v>
      </c>
      <c r="F13871" t="s">
        <v>13878</v>
      </c>
      <c r="G13871">
        <v>1</v>
      </c>
    </row>
    <row r="13872" spans="1:7" x14ac:dyDescent="0.25">
      <c r="A13872">
        <v>39</v>
      </c>
      <c r="B13872" t="s">
        <v>13774</v>
      </c>
      <c r="C13872">
        <v>3241</v>
      </c>
      <c r="D13872" t="str">
        <f>"1561-8625"</f>
        <v>1561-8625</v>
      </c>
      <c r="E13872" t="s">
        <v>8</v>
      </c>
      <c r="F13872" t="s">
        <v>13879</v>
      </c>
      <c r="G13872">
        <v>1</v>
      </c>
    </row>
    <row r="13873" spans="1:7" x14ac:dyDescent="0.25">
      <c r="A13873">
        <v>39</v>
      </c>
      <c r="B13873" t="s">
        <v>13774</v>
      </c>
      <c r="C13873">
        <v>8783014</v>
      </c>
      <c r="E13873" t="s">
        <v>2100</v>
      </c>
      <c r="F13873" t="s">
        <v>13880</v>
      </c>
      <c r="G13873">
        <v>1</v>
      </c>
    </row>
    <row r="13874" spans="1:7" x14ac:dyDescent="0.25">
      <c r="A13874">
        <v>39</v>
      </c>
      <c r="B13874" t="s">
        <v>13774</v>
      </c>
      <c r="C13874">
        <v>74779</v>
      </c>
      <c r="D13874" t="str">
        <f>"1058-6393"</f>
        <v>1058-6393</v>
      </c>
      <c r="E13874" t="s">
        <v>8</v>
      </c>
      <c r="F13874" t="s">
        <v>13881</v>
      </c>
      <c r="G13874">
        <v>1</v>
      </c>
    </row>
    <row r="13875" spans="1:7" x14ac:dyDescent="0.25">
      <c r="A13875">
        <v>39</v>
      </c>
      <c r="B13875" t="s">
        <v>13774</v>
      </c>
      <c r="C13875">
        <v>8783017</v>
      </c>
      <c r="E13875" t="s">
        <v>2100</v>
      </c>
      <c r="F13875" t="s">
        <v>13882</v>
      </c>
      <c r="G13875">
        <v>1</v>
      </c>
    </row>
    <row r="13876" spans="1:7" x14ac:dyDescent="0.25">
      <c r="A13876">
        <v>39</v>
      </c>
      <c r="B13876" t="s">
        <v>13774</v>
      </c>
      <c r="C13876">
        <v>8783308</v>
      </c>
      <c r="E13876" t="s">
        <v>2100</v>
      </c>
      <c r="F13876" t="s">
        <v>13883</v>
      </c>
      <c r="G13876">
        <v>1</v>
      </c>
    </row>
    <row r="13877" spans="1:7" x14ac:dyDescent="0.25">
      <c r="A13877">
        <v>39</v>
      </c>
      <c r="B13877" t="s">
        <v>13774</v>
      </c>
      <c r="C13877">
        <v>8782592</v>
      </c>
      <c r="E13877" t="s">
        <v>2100</v>
      </c>
      <c r="F13877" t="s">
        <v>13884</v>
      </c>
      <c r="G13877">
        <v>1</v>
      </c>
    </row>
    <row r="13878" spans="1:7" x14ac:dyDescent="0.25">
      <c r="A13878">
        <v>39</v>
      </c>
      <c r="B13878" t="s">
        <v>13774</v>
      </c>
      <c r="C13878">
        <v>8783286</v>
      </c>
      <c r="E13878" t="s">
        <v>2100</v>
      </c>
      <c r="F13878" t="s">
        <v>13885</v>
      </c>
      <c r="G13878">
        <v>1</v>
      </c>
    </row>
    <row r="13879" spans="1:7" x14ac:dyDescent="0.25">
      <c r="A13879">
        <v>39</v>
      </c>
      <c r="B13879" t="s">
        <v>13774</v>
      </c>
      <c r="C13879">
        <v>4398</v>
      </c>
      <c r="D13879" t="str">
        <f>"0005-1144"</f>
        <v>0005-1144</v>
      </c>
      <c r="E13879" t="s">
        <v>8</v>
      </c>
      <c r="F13879" t="s">
        <v>13886</v>
      </c>
      <c r="G13879">
        <v>1</v>
      </c>
    </row>
    <row r="13880" spans="1:7" x14ac:dyDescent="0.25">
      <c r="A13880">
        <v>39</v>
      </c>
      <c r="B13880" t="s">
        <v>13774</v>
      </c>
      <c r="C13880">
        <v>8235</v>
      </c>
      <c r="D13880" t="str">
        <f>"0005-1179"</f>
        <v>0005-1179</v>
      </c>
      <c r="E13880" t="s">
        <v>8</v>
      </c>
      <c r="F13880" t="s">
        <v>13887</v>
      </c>
      <c r="G13880">
        <v>1</v>
      </c>
    </row>
    <row r="13881" spans="1:7" x14ac:dyDescent="0.25">
      <c r="A13881">
        <v>39</v>
      </c>
      <c r="B13881" t="s">
        <v>13774</v>
      </c>
      <c r="C13881">
        <v>1214</v>
      </c>
      <c r="D13881" t="str">
        <f>"1089-7089"</f>
        <v>1089-7089</v>
      </c>
      <c r="E13881" t="s">
        <v>8</v>
      </c>
      <c r="F13881" t="s">
        <v>13888</v>
      </c>
      <c r="G13881">
        <v>1</v>
      </c>
    </row>
    <row r="13882" spans="1:7" x14ac:dyDescent="0.25">
      <c r="A13882">
        <v>39</v>
      </c>
      <c r="B13882" t="s">
        <v>13774</v>
      </c>
      <c r="C13882">
        <v>11248</v>
      </c>
      <c r="D13882" t="str">
        <f>"0197-8462"</f>
        <v>0197-8462</v>
      </c>
      <c r="E13882" t="s">
        <v>8</v>
      </c>
      <c r="F13882" t="s">
        <v>13889</v>
      </c>
      <c r="G13882">
        <v>1</v>
      </c>
    </row>
    <row r="13883" spans="1:7" x14ac:dyDescent="0.25">
      <c r="A13883">
        <v>39</v>
      </c>
      <c r="B13883" t="s">
        <v>13774</v>
      </c>
      <c r="C13883">
        <v>8783285</v>
      </c>
      <c r="E13883" t="s">
        <v>2100</v>
      </c>
      <c r="F13883" t="s">
        <v>13890</v>
      </c>
      <c r="G13883">
        <v>1</v>
      </c>
    </row>
    <row r="13884" spans="1:7" x14ac:dyDescent="0.25">
      <c r="A13884">
        <v>39</v>
      </c>
      <c r="B13884" t="s">
        <v>13774</v>
      </c>
      <c r="C13884">
        <v>8783022</v>
      </c>
      <c r="E13884" t="s">
        <v>2100</v>
      </c>
      <c r="F13884" t="s">
        <v>13891</v>
      </c>
      <c r="G13884">
        <v>1</v>
      </c>
    </row>
    <row r="13885" spans="1:7" x14ac:dyDescent="0.25">
      <c r="A13885">
        <v>39</v>
      </c>
      <c r="B13885" t="s">
        <v>13774</v>
      </c>
      <c r="C13885">
        <v>8783012</v>
      </c>
      <c r="E13885" t="s">
        <v>2100</v>
      </c>
      <c r="F13885" t="s">
        <v>13892</v>
      </c>
      <c r="G13885">
        <v>1</v>
      </c>
    </row>
    <row r="13886" spans="1:7" x14ac:dyDescent="0.25">
      <c r="A13886">
        <v>39</v>
      </c>
      <c r="B13886" t="s">
        <v>13774</v>
      </c>
      <c r="C13886">
        <v>8783015</v>
      </c>
      <c r="D13886" t="str">
        <f>"1934-1768"</f>
        <v>1934-1768</v>
      </c>
      <c r="E13886" t="s">
        <v>2100</v>
      </c>
      <c r="F13886" t="s">
        <v>13893</v>
      </c>
      <c r="G13886">
        <v>1</v>
      </c>
    </row>
    <row r="13887" spans="1:7" x14ac:dyDescent="0.25">
      <c r="A13887">
        <v>39</v>
      </c>
      <c r="B13887" t="s">
        <v>13774</v>
      </c>
      <c r="C13887">
        <v>1230</v>
      </c>
      <c r="D13887" t="str">
        <f>"0305-6120"</f>
        <v>0305-6120</v>
      </c>
      <c r="E13887" t="s">
        <v>8</v>
      </c>
      <c r="F13887" t="s">
        <v>13894</v>
      </c>
      <c r="G13887">
        <v>1</v>
      </c>
    </row>
    <row r="13888" spans="1:7" x14ac:dyDescent="0.25">
      <c r="A13888">
        <v>39</v>
      </c>
      <c r="B13888" t="s">
        <v>13774</v>
      </c>
      <c r="C13888">
        <v>4125</v>
      </c>
      <c r="D13888" t="str">
        <f>"0278-081X"</f>
        <v>0278-081X</v>
      </c>
      <c r="E13888" t="s">
        <v>8</v>
      </c>
      <c r="F13888" t="s">
        <v>13895</v>
      </c>
      <c r="G13888">
        <v>1</v>
      </c>
    </row>
    <row r="13889" spans="1:7" x14ac:dyDescent="0.25">
      <c r="A13889">
        <v>39</v>
      </c>
      <c r="B13889" t="s">
        <v>13774</v>
      </c>
      <c r="C13889">
        <v>8783306</v>
      </c>
      <c r="E13889" t="s">
        <v>2100</v>
      </c>
      <c r="F13889" t="s">
        <v>13896</v>
      </c>
      <c r="G13889">
        <v>1</v>
      </c>
    </row>
    <row r="13890" spans="1:7" x14ac:dyDescent="0.25">
      <c r="A13890">
        <v>39</v>
      </c>
      <c r="B13890" t="s">
        <v>13774</v>
      </c>
      <c r="C13890">
        <v>180106</v>
      </c>
      <c r="D13890" t="str">
        <f>"1865-0929"</f>
        <v>1865-0929</v>
      </c>
      <c r="E13890" t="s">
        <v>15</v>
      </c>
      <c r="F13890" t="s">
        <v>13897</v>
      </c>
      <c r="G13890">
        <v>1</v>
      </c>
    </row>
    <row r="13891" spans="1:7" x14ac:dyDescent="0.25">
      <c r="A13891">
        <v>39</v>
      </c>
      <c r="B13891" t="s">
        <v>13774</v>
      </c>
      <c r="C13891">
        <v>13204</v>
      </c>
      <c r="D13891" t="str">
        <f>"0140-3664"</f>
        <v>0140-3664</v>
      </c>
      <c r="E13891" t="s">
        <v>8</v>
      </c>
      <c r="F13891" t="s">
        <v>13898</v>
      </c>
      <c r="G13891">
        <v>1</v>
      </c>
    </row>
    <row r="13892" spans="1:7" x14ac:dyDescent="0.25">
      <c r="A13892">
        <v>39</v>
      </c>
      <c r="B13892" t="s">
        <v>13774</v>
      </c>
      <c r="C13892">
        <v>8783284</v>
      </c>
      <c r="E13892" t="s">
        <v>2100</v>
      </c>
      <c r="F13892" t="s">
        <v>13899</v>
      </c>
      <c r="G13892">
        <v>1</v>
      </c>
    </row>
    <row r="13893" spans="1:7" x14ac:dyDescent="0.25">
      <c r="A13893">
        <v>39</v>
      </c>
      <c r="B13893" t="s">
        <v>13774</v>
      </c>
      <c r="C13893">
        <v>6193</v>
      </c>
      <c r="D13893" t="str">
        <f>"0885-2308"</f>
        <v>0885-2308</v>
      </c>
      <c r="E13893" t="s">
        <v>8</v>
      </c>
      <c r="F13893" t="s">
        <v>13900</v>
      </c>
      <c r="G13893">
        <v>1</v>
      </c>
    </row>
    <row r="13894" spans="1:7" x14ac:dyDescent="0.25">
      <c r="A13894">
        <v>39</v>
      </c>
      <c r="B13894" t="s">
        <v>13774</v>
      </c>
      <c r="C13894">
        <v>8783283</v>
      </c>
      <c r="D13894" t="str">
        <f>"2162-1195"</f>
        <v>2162-1195</v>
      </c>
      <c r="E13894" t="s">
        <v>2100</v>
      </c>
      <c r="F13894" t="s">
        <v>13901</v>
      </c>
      <c r="G13894">
        <v>1</v>
      </c>
    </row>
    <row r="13895" spans="1:7" x14ac:dyDescent="0.25">
      <c r="A13895">
        <v>39</v>
      </c>
      <c r="B13895" t="s">
        <v>13774</v>
      </c>
      <c r="C13895">
        <v>7335124</v>
      </c>
      <c r="D13895" t="str">
        <f>"2160-9020"</f>
        <v>2160-9020</v>
      </c>
      <c r="E13895" t="s">
        <v>15</v>
      </c>
      <c r="F13895" t="s">
        <v>13902</v>
      </c>
      <c r="G13895">
        <v>1</v>
      </c>
    </row>
    <row r="13896" spans="1:7" x14ac:dyDescent="0.25">
      <c r="A13896">
        <v>39</v>
      </c>
      <c r="B13896" t="s">
        <v>13774</v>
      </c>
      <c r="C13896">
        <v>8783139</v>
      </c>
      <c r="E13896" t="s">
        <v>2100</v>
      </c>
      <c r="F13896" t="s">
        <v>13903</v>
      </c>
      <c r="G13896">
        <v>1</v>
      </c>
    </row>
    <row r="13897" spans="1:7" x14ac:dyDescent="0.25">
      <c r="A13897">
        <v>39</v>
      </c>
      <c r="B13897" t="s">
        <v>13774</v>
      </c>
      <c r="C13897">
        <v>8783138</v>
      </c>
      <c r="E13897" t="s">
        <v>2100</v>
      </c>
      <c r="F13897" t="s">
        <v>13904</v>
      </c>
      <c r="G13897">
        <v>1</v>
      </c>
    </row>
    <row r="13898" spans="1:7" x14ac:dyDescent="0.25">
      <c r="A13898">
        <v>39</v>
      </c>
      <c r="B13898" t="s">
        <v>13774</v>
      </c>
      <c r="C13898">
        <v>8783019</v>
      </c>
      <c r="E13898" t="s">
        <v>2100</v>
      </c>
      <c r="F13898" t="s">
        <v>13905</v>
      </c>
      <c r="G13898">
        <v>1</v>
      </c>
    </row>
    <row r="13899" spans="1:7" x14ac:dyDescent="0.25">
      <c r="A13899">
        <v>39</v>
      </c>
      <c r="B13899" t="s">
        <v>13774</v>
      </c>
      <c r="C13899">
        <v>8783173</v>
      </c>
      <c r="D13899" t="str">
        <f>"2191-5644"</f>
        <v>2191-5644</v>
      </c>
      <c r="E13899" t="s">
        <v>2100</v>
      </c>
      <c r="F13899" t="s">
        <v>13906</v>
      </c>
      <c r="G13899">
        <v>1</v>
      </c>
    </row>
    <row r="13900" spans="1:7" x14ac:dyDescent="0.25">
      <c r="A13900">
        <v>39</v>
      </c>
      <c r="B13900" t="s">
        <v>13774</v>
      </c>
      <c r="C13900">
        <v>1822</v>
      </c>
      <c r="D13900" t="str">
        <f>"0160-8371"</f>
        <v>0160-8371</v>
      </c>
      <c r="E13900" t="s">
        <v>15</v>
      </c>
      <c r="F13900" t="s">
        <v>13907</v>
      </c>
      <c r="G13900">
        <v>1</v>
      </c>
    </row>
    <row r="13901" spans="1:7" x14ac:dyDescent="0.25">
      <c r="A13901">
        <v>39</v>
      </c>
      <c r="B13901" t="s">
        <v>13774</v>
      </c>
      <c r="C13901">
        <v>2526</v>
      </c>
      <c r="D13901" t="str">
        <f>"0324-8569"</f>
        <v>0324-8569</v>
      </c>
      <c r="E13901" t="s">
        <v>8</v>
      </c>
      <c r="F13901" t="s">
        <v>13908</v>
      </c>
      <c r="G13901">
        <v>1</v>
      </c>
    </row>
    <row r="13902" spans="1:7" x14ac:dyDescent="0.25">
      <c r="A13902">
        <v>39</v>
      </c>
      <c r="B13902" t="s">
        <v>13774</v>
      </c>
      <c r="C13902">
        <v>5602</v>
      </c>
      <c r="D13902" t="str">
        <f>"0010-8049"</f>
        <v>0010-8049</v>
      </c>
      <c r="E13902" t="s">
        <v>8</v>
      </c>
      <c r="F13902" t="s">
        <v>13909</v>
      </c>
      <c r="G13902">
        <v>1</v>
      </c>
    </row>
    <row r="13903" spans="1:7" x14ac:dyDescent="0.25">
      <c r="A13903">
        <v>39</v>
      </c>
      <c r="B13903" t="s">
        <v>13774</v>
      </c>
      <c r="C13903">
        <v>14320</v>
      </c>
      <c r="D13903" t="str">
        <f>"0193-6530"</f>
        <v>0193-6530</v>
      </c>
      <c r="E13903" t="s">
        <v>8</v>
      </c>
      <c r="F13903" t="s">
        <v>13910</v>
      </c>
      <c r="G13903">
        <v>1</v>
      </c>
    </row>
    <row r="13904" spans="1:7" x14ac:dyDescent="0.25">
      <c r="A13904">
        <v>39</v>
      </c>
      <c r="B13904" t="s">
        <v>13774</v>
      </c>
      <c r="C13904">
        <v>4626</v>
      </c>
      <c r="D13904" t="str">
        <f>"1051-2004"</f>
        <v>1051-2004</v>
      </c>
      <c r="E13904" t="s">
        <v>8</v>
      </c>
      <c r="F13904" t="s">
        <v>13911</v>
      </c>
      <c r="G13904">
        <v>1</v>
      </c>
    </row>
    <row r="13905" spans="1:7" x14ac:dyDescent="0.25">
      <c r="A13905">
        <v>39</v>
      </c>
      <c r="B13905" t="s">
        <v>13774</v>
      </c>
      <c r="C13905">
        <v>6351</v>
      </c>
      <c r="D13905" t="str">
        <f>"0141-9382"</f>
        <v>0141-9382</v>
      </c>
      <c r="E13905" t="s">
        <v>8</v>
      </c>
      <c r="F13905" t="s">
        <v>13912</v>
      </c>
      <c r="G13905">
        <v>1</v>
      </c>
    </row>
    <row r="13906" spans="1:7" x14ac:dyDescent="0.25">
      <c r="A13906">
        <v>39</v>
      </c>
      <c r="B13906" t="s">
        <v>13774</v>
      </c>
      <c r="C13906">
        <v>8783309</v>
      </c>
      <c r="E13906" t="s">
        <v>2100</v>
      </c>
      <c r="F13906" t="s">
        <v>13913</v>
      </c>
      <c r="G13906">
        <v>1</v>
      </c>
    </row>
    <row r="13907" spans="1:7" x14ac:dyDescent="0.25">
      <c r="A13907">
        <v>39</v>
      </c>
      <c r="B13907" t="s">
        <v>13774</v>
      </c>
      <c r="C13907">
        <v>8783313</v>
      </c>
      <c r="E13907" t="s">
        <v>2100</v>
      </c>
      <c r="F13907" t="s">
        <v>13914</v>
      </c>
      <c r="G13907">
        <v>1</v>
      </c>
    </row>
    <row r="13908" spans="1:7" x14ac:dyDescent="0.25">
      <c r="A13908">
        <v>39</v>
      </c>
      <c r="B13908" t="s">
        <v>13774</v>
      </c>
      <c r="C13908">
        <v>15377</v>
      </c>
      <c r="D13908" t="str">
        <f>"1685-9545"</f>
        <v>1685-9545</v>
      </c>
      <c r="E13908" t="s">
        <v>8</v>
      </c>
      <c r="F13908" t="s">
        <v>13915</v>
      </c>
      <c r="G13908">
        <v>1</v>
      </c>
    </row>
    <row r="13909" spans="1:7" x14ac:dyDescent="0.25">
      <c r="A13909">
        <v>39</v>
      </c>
      <c r="B13909" t="s">
        <v>13774</v>
      </c>
      <c r="C13909">
        <v>11272</v>
      </c>
      <c r="D13909" t="str">
        <f>"0149-0370"</f>
        <v>0149-0370</v>
      </c>
      <c r="E13909" t="s">
        <v>8</v>
      </c>
      <c r="F13909" t="s">
        <v>13916</v>
      </c>
      <c r="G13909">
        <v>1</v>
      </c>
    </row>
    <row r="13910" spans="1:7" x14ac:dyDescent="0.25">
      <c r="A13910">
        <v>39</v>
      </c>
      <c r="B13910" t="s">
        <v>13774</v>
      </c>
      <c r="C13910">
        <v>9464</v>
      </c>
      <c r="D13910" t="str">
        <f>"1532-5008"</f>
        <v>1532-5008</v>
      </c>
      <c r="E13910" t="s">
        <v>8</v>
      </c>
      <c r="F13910" t="s">
        <v>13917</v>
      </c>
      <c r="G13910">
        <v>1</v>
      </c>
    </row>
    <row r="13911" spans="1:7" x14ac:dyDescent="0.25">
      <c r="A13911">
        <v>39</v>
      </c>
      <c r="B13911" t="s">
        <v>13774</v>
      </c>
      <c r="C13911">
        <v>6561</v>
      </c>
      <c r="D13911" t="str">
        <f>"0948-7921"</f>
        <v>0948-7921</v>
      </c>
      <c r="E13911" t="s">
        <v>8</v>
      </c>
      <c r="F13911" t="s">
        <v>13918</v>
      </c>
      <c r="G13911">
        <v>1</v>
      </c>
    </row>
    <row r="13912" spans="1:7" x14ac:dyDescent="0.25">
      <c r="A13912">
        <v>39</v>
      </c>
      <c r="B13912" t="s">
        <v>13774</v>
      </c>
      <c r="C13912">
        <v>11128</v>
      </c>
      <c r="D13912" t="str">
        <f>"0424-7760"</f>
        <v>0424-7760</v>
      </c>
      <c r="E13912" t="s">
        <v>8</v>
      </c>
      <c r="F13912" t="s">
        <v>13919</v>
      </c>
      <c r="G13912">
        <v>1</v>
      </c>
    </row>
    <row r="13913" spans="1:7" x14ac:dyDescent="0.25">
      <c r="A13913">
        <v>39</v>
      </c>
      <c r="B13913" t="s">
        <v>13774</v>
      </c>
      <c r="C13913">
        <v>2657</v>
      </c>
      <c r="D13913" t="str">
        <f>"0272-6343"</f>
        <v>0272-6343</v>
      </c>
      <c r="E13913" t="s">
        <v>8</v>
      </c>
      <c r="F13913" t="s">
        <v>13920</v>
      </c>
      <c r="G13913">
        <v>1</v>
      </c>
    </row>
    <row r="13914" spans="1:7" x14ac:dyDescent="0.25">
      <c r="A13914">
        <v>39</v>
      </c>
      <c r="B13914" t="s">
        <v>13774</v>
      </c>
      <c r="C13914">
        <v>2316</v>
      </c>
      <c r="D13914" t="str">
        <f>"0013-4872"</f>
        <v>0013-4872</v>
      </c>
      <c r="E13914" t="s">
        <v>8</v>
      </c>
      <c r="F13914" t="s">
        <v>13921</v>
      </c>
      <c r="G13914">
        <v>1</v>
      </c>
    </row>
    <row r="13915" spans="1:7" x14ac:dyDescent="0.25">
      <c r="A13915">
        <v>39</v>
      </c>
      <c r="B13915" t="s">
        <v>13774</v>
      </c>
      <c r="C13915">
        <v>6895</v>
      </c>
      <c r="D13915" t="str">
        <f>"0013-4953"</f>
        <v>0013-4953</v>
      </c>
      <c r="E13915" t="s">
        <v>8</v>
      </c>
      <c r="F13915" t="s">
        <v>13922</v>
      </c>
      <c r="G13915">
        <v>1</v>
      </c>
    </row>
    <row r="13916" spans="1:7" x14ac:dyDescent="0.25">
      <c r="A13916">
        <v>39</v>
      </c>
      <c r="B13916" t="s">
        <v>13774</v>
      </c>
      <c r="C13916">
        <v>7714454</v>
      </c>
      <c r="D13916" t="str">
        <f>"2079-9292"</f>
        <v>2079-9292</v>
      </c>
      <c r="E13916" t="s">
        <v>8</v>
      </c>
      <c r="F13916" t="s">
        <v>13923</v>
      </c>
      <c r="G13916">
        <v>1</v>
      </c>
    </row>
    <row r="13917" spans="1:7" x14ac:dyDescent="0.25">
      <c r="A13917">
        <v>39</v>
      </c>
      <c r="B13917" t="s">
        <v>13774</v>
      </c>
      <c r="C13917">
        <v>8915</v>
      </c>
      <c r="D13917" t="str">
        <f>"0013-5194"</f>
        <v>0013-5194</v>
      </c>
      <c r="E13917" t="s">
        <v>8</v>
      </c>
      <c r="F13917" t="s">
        <v>13924</v>
      </c>
      <c r="G13917">
        <v>1</v>
      </c>
    </row>
    <row r="13918" spans="1:7" x14ac:dyDescent="0.25">
      <c r="A13918">
        <v>39</v>
      </c>
      <c r="B13918" t="s">
        <v>13774</v>
      </c>
      <c r="C13918">
        <v>10315</v>
      </c>
      <c r="D13918" t="str">
        <f>"1365-4675"</f>
        <v>1365-4675</v>
      </c>
      <c r="E13918" t="s">
        <v>8</v>
      </c>
      <c r="F13918" t="s">
        <v>13925</v>
      </c>
      <c r="G13918">
        <v>1</v>
      </c>
    </row>
    <row r="13919" spans="1:7" x14ac:dyDescent="0.25">
      <c r="A13919">
        <v>39</v>
      </c>
      <c r="B13919" t="s">
        <v>13774</v>
      </c>
      <c r="C13919">
        <v>26107</v>
      </c>
      <c r="D13919" t="str">
        <f>"1558-2493"</f>
        <v>1558-2493</v>
      </c>
      <c r="E13919" t="s">
        <v>8</v>
      </c>
      <c r="F13919" t="s">
        <v>13926</v>
      </c>
      <c r="G13919">
        <v>1</v>
      </c>
    </row>
    <row r="13920" spans="1:7" x14ac:dyDescent="0.25">
      <c r="A13920">
        <v>39</v>
      </c>
      <c r="B13920" t="s">
        <v>13774</v>
      </c>
      <c r="C13920">
        <v>8782793</v>
      </c>
      <c r="E13920" t="s">
        <v>2100</v>
      </c>
      <c r="F13920" t="s">
        <v>13927</v>
      </c>
      <c r="G13920">
        <v>1</v>
      </c>
    </row>
    <row r="13921" spans="1:7" x14ac:dyDescent="0.25">
      <c r="A13921">
        <v>39</v>
      </c>
      <c r="B13921" t="s">
        <v>13774</v>
      </c>
      <c r="C13921">
        <v>3979</v>
      </c>
      <c r="D13921" t="str">
        <f>"0939-8368"</f>
        <v>0939-8368</v>
      </c>
      <c r="E13921" t="s">
        <v>8</v>
      </c>
      <c r="F13921" t="s">
        <v>13928</v>
      </c>
      <c r="G13921">
        <v>1</v>
      </c>
    </row>
    <row r="13922" spans="1:7" x14ac:dyDescent="0.25">
      <c r="A13922">
        <v>39</v>
      </c>
      <c r="B13922" t="s">
        <v>13774</v>
      </c>
      <c r="C13922">
        <v>6472</v>
      </c>
      <c r="D13922" t="str">
        <f>"0014-0171"</f>
        <v>0014-0171</v>
      </c>
      <c r="E13922" t="s">
        <v>8</v>
      </c>
      <c r="F13922" t="s">
        <v>13929</v>
      </c>
      <c r="G13922">
        <v>1</v>
      </c>
    </row>
    <row r="13923" spans="1:7" x14ac:dyDescent="0.25">
      <c r="A13923">
        <v>39</v>
      </c>
      <c r="B13923" t="s">
        <v>13774</v>
      </c>
      <c r="C13923">
        <v>16142</v>
      </c>
      <c r="D13923" t="str">
        <f>"1225-6463"</f>
        <v>1225-6463</v>
      </c>
      <c r="E13923" t="s">
        <v>8</v>
      </c>
      <c r="F13923" t="s">
        <v>13930</v>
      </c>
      <c r="G13923">
        <v>1</v>
      </c>
    </row>
    <row r="13924" spans="1:7" x14ac:dyDescent="0.25">
      <c r="A13924">
        <v>39</v>
      </c>
      <c r="B13924" t="s">
        <v>13774</v>
      </c>
      <c r="C13924">
        <v>2775</v>
      </c>
      <c r="D13924" t="str">
        <f>"1687-6172"</f>
        <v>1687-6172</v>
      </c>
      <c r="E13924" t="s">
        <v>8</v>
      </c>
      <c r="F13924" t="s">
        <v>13931</v>
      </c>
      <c r="G13924">
        <v>1</v>
      </c>
    </row>
    <row r="13925" spans="1:7" x14ac:dyDescent="0.25">
      <c r="A13925">
        <v>39</v>
      </c>
      <c r="B13925" t="s">
        <v>13774</v>
      </c>
      <c r="C13925">
        <v>20393</v>
      </c>
      <c r="D13925" t="str">
        <f>"1687-4714"</f>
        <v>1687-4714</v>
      </c>
      <c r="E13925" t="s">
        <v>8</v>
      </c>
      <c r="F13925" t="s">
        <v>13932</v>
      </c>
      <c r="G13925">
        <v>1</v>
      </c>
    </row>
    <row r="13926" spans="1:7" x14ac:dyDescent="0.25">
      <c r="A13926">
        <v>39</v>
      </c>
      <c r="B13926" t="s">
        <v>13774</v>
      </c>
      <c r="C13926">
        <v>19188</v>
      </c>
      <c r="D13926" t="str">
        <f>"1687-4145"</f>
        <v>1687-4145</v>
      </c>
      <c r="E13926" t="s">
        <v>8</v>
      </c>
      <c r="F13926" t="s">
        <v>13933</v>
      </c>
      <c r="G13926">
        <v>1</v>
      </c>
    </row>
    <row r="13927" spans="1:7" x14ac:dyDescent="0.25">
      <c r="A13927">
        <v>39</v>
      </c>
      <c r="B13927" t="s">
        <v>13774</v>
      </c>
      <c r="C13927">
        <v>19800</v>
      </c>
      <c r="D13927" t="str">
        <f>"1687-3955"</f>
        <v>1687-3955</v>
      </c>
      <c r="E13927" t="s">
        <v>8</v>
      </c>
      <c r="F13927" t="s">
        <v>13934</v>
      </c>
      <c r="G13927">
        <v>1</v>
      </c>
    </row>
    <row r="13928" spans="1:7" x14ac:dyDescent="0.25">
      <c r="A13928">
        <v>39</v>
      </c>
      <c r="B13928" t="s">
        <v>13774</v>
      </c>
      <c r="C13928">
        <v>32643</v>
      </c>
      <c r="D13928" t="str">
        <f>"1687-4161"</f>
        <v>1687-4161</v>
      </c>
      <c r="E13928" t="s">
        <v>8</v>
      </c>
      <c r="F13928" t="s">
        <v>13935</v>
      </c>
      <c r="G13928">
        <v>1</v>
      </c>
    </row>
    <row r="13929" spans="1:7" x14ac:dyDescent="0.25">
      <c r="A13929">
        <v>39</v>
      </c>
      <c r="B13929" t="s">
        <v>13774</v>
      </c>
      <c r="C13929">
        <v>5158</v>
      </c>
      <c r="D13929" t="str">
        <f>"1687-1472"</f>
        <v>1687-1472</v>
      </c>
      <c r="E13929" t="s">
        <v>8</v>
      </c>
      <c r="F13929" t="s">
        <v>13936</v>
      </c>
      <c r="G13929">
        <v>1</v>
      </c>
    </row>
    <row r="13930" spans="1:7" x14ac:dyDescent="0.25">
      <c r="A13930">
        <v>39</v>
      </c>
      <c r="B13930" t="s">
        <v>13774</v>
      </c>
      <c r="C13930">
        <v>5010932</v>
      </c>
      <c r="E13930" t="s">
        <v>2100</v>
      </c>
      <c r="F13930" t="s">
        <v>13937</v>
      </c>
      <c r="G13930">
        <v>1</v>
      </c>
    </row>
    <row r="13931" spans="1:7" x14ac:dyDescent="0.25">
      <c r="A13931">
        <v>39</v>
      </c>
      <c r="B13931" t="s">
        <v>13774</v>
      </c>
      <c r="C13931">
        <v>8783704</v>
      </c>
      <c r="E13931" t="s">
        <v>15</v>
      </c>
      <c r="F13931" t="s">
        <v>13938</v>
      </c>
      <c r="G13931">
        <v>1</v>
      </c>
    </row>
    <row r="13932" spans="1:7" x14ac:dyDescent="0.25">
      <c r="A13932">
        <v>39</v>
      </c>
      <c r="B13932" t="s">
        <v>13774</v>
      </c>
      <c r="C13932">
        <v>8783305</v>
      </c>
      <c r="E13932" t="s">
        <v>2100</v>
      </c>
      <c r="F13932" t="s">
        <v>13939</v>
      </c>
      <c r="G13932">
        <v>1</v>
      </c>
    </row>
    <row r="13933" spans="1:7" x14ac:dyDescent="0.25">
      <c r="A13933">
        <v>39</v>
      </c>
      <c r="B13933" t="s">
        <v>13774</v>
      </c>
      <c r="C13933">
        <v>8783018</v>
      </c>
      <c r="E13933" t="s">
        <v>2100</v>
      </c>
      <c r="F13933" t="s">
        <v>13940</v>
      </c>
      <c r="G13933">
        <v>1</v>
      </c>
    </row>
    <row r="13934" spans="1:7" x14ac:dyDescent="0.25">
      <c r="A13934">
        <v>39</v>
      </c>
      <c r="B13934" t="s">
        <v>13774</v>
      </c>
      <c r="C13934">
        <v>5010925</v>
      </c>
      <c r="E13934" t="s">
        <v>2100</v>
      </c>
      <c r="F13934" t="s">
        <v>13941</v>
      </c>
      <c r="G13934">
        <v>1</v>
      </c>
    </row>
    <row r="13935" spans="1:7" x14ac:dyDescent="0.25">
      <c r="A13935">
        <v>39</v>
      </c>
      <c r="B13935" t="s">
        <v>13774</v>
      </c>
      <c r="C13935">
        <v>1461</v>
      </c>
      <c r="D13935" t="str">
        <f>"0947-3580"</f>
        <v>0947-3580</v>
      </c>
      <c r="E13935" t="s">
        <v>8</v>
      </c>
      <c r="F13935" t="s">
        <v>13942</v>
      </c>
      <c r="G13935">
        <v>1</v>
      </c>
    </row>
    <row r="13936" spans="1:7" x14ac:dyDescent="0.25">
      <c r="A13936">
        <v>39</v>
      </c>
      <c r="B13936" t="s">
        <v>13774</v>
      </c>
      <c r="C13936">
        <v>8783281</v>
      </c>
      <c r="D13936" t="str">
        <f>"2325-0305"</f>
        <v>2325-0305</v>
      </c>
      <c r="E13936" t="s">
        <v>2100</v>
      </c>
      <c r="F13936" t="s">
        <v>13943</v>
      </c>
      <c r="G13936">
        <v>1</v>
      </c>
    </row>
    <row r="13937" spans="1:7" x14ac:dyDescent="0.25">
      <c r="A13937">
        <v>39</v>
      </c>
      <c r="B13937" t="s">
        <v>13774</v>
      </c>
      <c r="C13937">
        <v>8783269</v>
      </c>
      <c r="E13937" t="s">
        <v>2100</v>
      </c>
      <c r="F13937" t="s">
        <v>13944</v>
      </c>
      <c r="G13937">
        <v>1</v>
      </c>
    </row>
    <row r="13938" spans="1:7" x14ac:dyDescent="0.25">
      <c r="A13938">
        <v>39</v>
      </c>
      <c r="B13938" t="s">
        <v>13774</v>
      </c>
      <c r="C13938">
        <v>8783013</v>
      </c>
      <c r="E13938" t="s">
        <v>2100</v>
      </c>
      <c r="F13938" t="s">
        <v>13945</v>
      </c>
      <c r="G13938">
        <v>1</v>
      </c>
    </row>
    <row r="13939" spans="1:7" x14ac:dyDescent="0.25">
      <c r="A13939">
        <v>39</v>
      </c>
      <c r="B13939" t="s">
        <v>13774</v>
      </c>
      <c r="C13939">
        <v>8782914</v>
      </c>
      <c r="D13939" t="str">
        <f>" 1759-0795"</f>
        <v xml:space="preserve"> 1759-0795</v>
      </c>
      <c r="E13939" t="s">
        <v>2100</v>
      </c>
      <c r="F13939" t="s">
        <v>13946</v>
      </c>
      <c r="G13939">
        <v>1</v>
      </c>
    </row>
    <row r="13940" spans="1:7" x14ac:dyDescent="0.25">
      <c r="A13940">
        <v>39</v>
      </c>
      <c r="B13940" t="s">
        <v>13774</v>
      </c>
      <c r="C13940">
        <v>8782916</v>
      </c>
      <c r="D13940" t="str">
        <f>"22195491"</f>
        <v>22195491</v>
      </c>
      <c r="E13940" t="s">
        <v>2100</v>
      </c>
      <c r="F13940" t="s">
        <v>13947</v>
      </c>
      <c r="G13940">
        <v>1</v>
      </c>
    </row>
    <row r="13941" spans="1:7" x14ac:dyDescent="0.25">
      <c r="A13941">
        <v>39</v>
      </c>
      <c r="B13941" t="s">
        <v>13774</v>
      </c>
      <c r="C13941">
        <v>8782918</v>
      </c>
      <c r="D13941" t="str">
        <f>"19308876"</f>
        <v>19308876</v>
      </c>
      <c r="E13941" t="s">
        <v>2100</v>
      </c>
      <c r="F13941" t="s">
        <v>13948</v>
      </c>
      <c r="G13941">
        <v>1</v>
      </c>
    </row>
    <row r="13942" spans="1:7" x14ac:dyDescent="0.25">
      <c r="A13942">
        <v>39</v>
      </c>
      <c r="B13942" t="s">
        <v>13774</v>
      </c>
      <c r="C13942">
        <v>8783304</v>
      </c>
      <c r="E13942" t="s">
        <v>2100</v>
      </c>
      <c r="F13942" t="s">
        <v>13949</v>
      </c>
      <c r="G13942">
        <v>1</v>
      </c>
    </row>
    <row r="13943" spans="1:7" x14ac:dyDescent="0.25">
      <c r="A13943">
        <v>39</v>
      </c>
      <c r="B13943" t="s">
        <v>13774</v>
      </c>
      <c r="C13943">
        <v>5010943</v>
      </c>
      <c r="E13943" t="s">
        <v>2100</v>
      </c>
      <c r="F13943" t="s">
        <v>13950</v>
      </c>
      <c r="G13943">
        <v>1</v>
      </c>
    </row>
    <row r="13944" spans="1:7" x14ac:dyDescent="0.25">
      <c r="A13944">
        <v>39</v>
      </c>
      <c r="B13944" t="s">
        <v>13774</v>
      </c>
      <c r="C13944">
        <v>8783020</v>
      </c>
      <c r="E13944" t="s">
        <v>2100</v>
      </c>
      <c r="F13944" t="s">
        <v>13951</v>
      </c>
      <c r="G13944">
        <v>1</v>
      </c>
    </row>
    <row r="13945" spans="1:7" x14ac:dyDescent="0.25">
      <c r="A13945">
        <v>39</v>
      </c>
      <c r="B13945" t="s">
        <v>13774</v>
      </c>
      <c r="C13945">
        <v>11252</v>
      </c>
      <c r="D13945" t="str">
        <f>"1018-4074"</f>
        <v>1018-4074</v>
      </c>
      <c r="E13945" t="s">
        <v>8</v>
      </c>
      <c r="F13945" t="s">
        <v>13952</v>
      </c>
      <c r="G13945">
        <v>1</v>
      </c>
    </row>
    <row r="13946" spans="1:7" x14ac:dyDescent="0.25">
      <c r="A13946">
        <v>39</v>
      </c>
      <c r="B13946" t="s">
        <v>13774</v>
      </c>
      <c r="C13946">
        <v>5010988</v>
      </c>
      <c r="E13946" t="s">
        <v>2100</v>
      </c>
      <c r="F13946" t="s">
        <v>13953</v>
      </c>
      <c r="G13946">
        <v>1</v>
      </c>
    </row>
    <row r="13947" spans="1:7" x14ac:dyDescent="0.25">
      <c r="A13947">
        <v>39</v>
      </c>
      <c r="B13947" t="s">
        <v>13774</v>
      </c>
      <c r="C13947">
        <v>150558</v>
      </c>
      <c r="D13947" t="str">
        <f>"1932-8346"</f>
        <v>1932-8346</v>
      </c>
      <c r="E13947" t="s">
        <v>8</v>
      </c>
      <c r="F13947" t="s">
        <v>13954</v>
      </c>
      <c r="G13947">
        <v>1</v>
      </c>
    </row>
    <row r="13948" spans="1:7" x14ac:dyDescent="0.25">
      <c r="A13948">
        <v>39</v>
      </c>
      <c r="B13948" t="s">
        <v>13774</v>
      </c>
      <c r="C13948">
        <v>8783041</v>
      </c>
      <c r="E13948" t="s">
        <v>2100</v>
      </c>
      <c r="F13948" t="s">
        <v>13955</v>
      </c>
      <c r="G13948">
        <v>1</v>
      </c>
    </row>
    <row r="13949" spans="1:7" x14ac:dyDescent="0.25">
      <c r="A13949">
        <v>39</v>
      </c>
      <c r="B13949" t="s">
        <v>13774</v>
      </c>
      <c r="C13949">
        <v>8783016</v>
      </c>
      <c r="E13949" t="s">
        <v>2100</v>
      </c>
      <c r="F13949" t="s">
        <v>13956</v>
      </c>
      <c r="G13949">
        <v>1</v>
      </c>
    </row>
    <row r="13950" spans="1:7" x14ac:dyDescent="0.25">
      <c r="A13950">
        <v>39</v>
      </c>
      <c r="B13950" t="s">
        <v>13774</v>
      </c>
      <c r="C13950">
        <v>5813</v>
      </c>
      <c r="D13950" t="str">
        <f>"1080-5370"</f>
        <v>1080-5370</v>
      </c>
      <c r="E13950" t="s">
        <v>8</v>
      </c>
      <c r="F13950" t="s">
        <v>13957</v>
      </c>
      <c r="G13950">
        <v>1</v>
      </c>
    </row>
    <row r="13951" spans="1:7" x14ac:dyDescent="0.25">
      <c r="A13951">
        <v>39</v>
      </c>
      <c r="B13951" t="s">
        <v>13774</v>
      </c>
      <c r="C13951">
        <v>14088</v>
      </c>
      <c r="D13951" t="str">
        <f>"1048-5104"</f>
        <v>1048-5104</v>
      </c>
      <c r="E13951" t="s">
        <v>8</v>
      </c>
      <c r="F13951" t="s">
        <v>13958</v>
      </c>
      <c r="G13951">
        <v>1</v>
      </c>
    </row>
    <row r="13952" spans="1:7" x14ac:dyDescent="0.25">
      <c r="A13952">
        <v>39</v>
      </c>
      <c r="B13952" t="s">
        <v>13774</v>
      </c>
      <c r="C13952">
        <v>5020015</v>
      </c>
      <c r="E13952" t="s">
        <v>2100</v>
      </c>
      <c r="F13952" t="s">
        <v>13959</v>
      </c>
      <c r="G13952">
        <v>1</v>
      </c>
    </row>
    <row r="13953" spans="1:7" x14ac:dyDescent="0.25">
      <c r="A13953">
        <v>39</v>
      </c>
      <c r="B13953" t="s">
        <v>13774</v>
      </c>
      <c r="C13953">
        <v>5767</v>
      </c>
      <c r="D13953" t="str">
        <f>"1001-9014"</f>
        <v>1001-9014</v>
      </c>
      <c r="E13953" t="s">
        <v>8</v>
      </c>
      <c r="F13953" t="s">
        <v>13960</v>
      </c>
      <c r="G13953">
        <v>1</v>
      </c>
    </row>
    <row r="13954" spans="1:7" x14ac:dyDescent="0.25">
      <c r="A13954">
        <v>39</v>
      </c>
      <c r="B13954" t="s">
        <v>13774</v>
      </c>
      <c r="C13954">
        <v>11042</v>
      </c>
      <c r="D13954" t="str">
        <f>"0262-1797"</f>
        <v>0262-1797</v>
      </c>
      <c r="E13954" t="s">
        <v>15</v>
      </c>
      <c r="F13954" t="s">
        <v>13961</v>
      </c>
      <c r="G13954">
        <v>1</v>
      </c>
    </row>
    <row r="13955" spans="1:7" x14ac:dyDescent="0.25">
      <c r="A13955">
        <v>39</v>
      </c>
      <c r="B13955" t="s">
        <v>13774</v>
      </c>
      <c r="C13955">
        <v>7748461</v>
      </c>
      <c r="D13955" t="str">
        <f>"2169-3536"</f>
        <v>2169-3536</v>
      </c>
      <c r="E13955" t="s">
        <v>8</v>
      </c>
      <c r="F13955" t="s">
        <v>13962</v>
      </c>
      <c r="G13955">
        <v>1</v>
      </c>
    </row>
    <row r="13956" spans="1:7" x14ac:dyDescent="0.25">
      <c r="A13956">
        <v>39</v>
      </c>
      <c r="B13956" t="s">
        <v>13774</v>
      </c>
      <c r="C13956">
        <v>8783005</v>
      </c>
      <c r="E13956" t="s">
        <v>2100</v>
      </c>
      <c r="F13956" t="s">
        <v>13963</v>
      </c>
      <c r="G13956">
        <v>1</v>
      </c>
    </row>
    <row r="13957" spans="1:7" x14ac:dyDescent="0.25">
      <c r="A13957">
        <v>39</v>
      </c>
      <c r="B13957" t="s">
        <v>13774</v>
      </c>
      <c r="C13957">
        <v>10252</v>
      </c>
      <c r="D13957" t="str">
        <f>"0885-8985"</f>
        <v>0885-8985</v>
      </c>
      <c r="E13957" t="s">
        <v>8</v>
      </c>
      <c r="F13957" t="s">
        <v>13964</v>
      </c>
      <c r="G13957">
        <v>1</v>
      </c>
    </row>
    <row r="13958" spans="1:7" x14ac:dyDescent="0.25">
      <c r="A13958">
        <v>39</v>
      </c>
      <c r="B13958" t="s">
        <v>13774</v>
      </c>
      <c r="C13958">
        <v>8783279</v>
      </c>
      <c r="D13958" t="str">
        <f>"1058-6393 "</f>
        <v xml:space="preserve">1058-6393 </v>
      </c>
      <c r="E13958" t="s">
        <v>2100</v>
      </c>
      <c r="F13958" t="s">
        <v>13965</v>
      </c>
      <c r="G13958">
        <v>1</v>
      </c>
    </row>
    <row r="13959" spans="1:7" x14ac:dyDescent="0.25">
      <c r="A13959">
        <v>39</v>
      </c>
      <c r="B13959" t="s">
        <v>13774</v>
      </c>
      <c r="C13959">
        <v>8783004</v>
      </c>
      <c r="D13959" t="str">
        <f>"1553-572X"</f>
        <v>1553-572X</v>
      </c>
      <c r="E13959" t="s">
        <v>2100</v>
      </c>
      <c r="F13959" t="s">
        <v>13966</v>
      </c>
      <c r="G13959">
        <v>1</v>
      </c>
    </row>
    <row r="13960" spans="1:7" x14ac:dyDescent="0.25">
      <c r="A13960">
        <v>39</v>
      </c>
      <c r="B13960" t="s">
        <v>13774</v>
      </c>
      <c r="C13960">
        <v>7806</v>
      </c>
      <c r="D13960" t="str">
        <f>"1045-9243"</f>
        <v>1045-9243</v>
      </c>
      <c r="E13960" t="s">
        <v>8</v>
      </c>
      <c r="F13960" t="s">
        <v>13967</v>
      </c>
      <c r="G13960">
        <v>1</v>
      </c>
    </row>
    <row r="13961" spans="1:7" x14ac:dyDescent="0.25">
      <c r="A13961">
        <v>39</v>
      </c>
      <c r="B13961" t="s">
        <v>13774</v>
      </c>
      <c r="C13961">
        <v>8783003</v>
      </c>
      <c r="D13961" t="str">
        <f>"1522-3965"</f>
        <v>1522-3965</v>
      </c>
      <c r="E13961" t="s">
        <v>2100</v>
      </c>
      <c r="F13961" t="s">
        <v>13968</v>
      </c>
      <c r="G13961">
        <v>1</v>
      </c>
    </row>
    <row r="13962" spans="1:7" x14ac:dyDescent="0.25">
      <c r="A13962">
        <v>39</v>
      </c>
      <c r="B13962" t="s">
        <v>13774</v>
      </c>
      <c r="C13962">
        <v>4432</v>
      </c>
      <c r="D13962" t="str">
        <f>"1536-1225"</f>
        <v>1536-1225</v>
      </c>
      <c r="E13962" t="s">
        <v>8</v>
      </c>
      <c r="F13962" t="s">
        <v>13969</v>
      </c>
      <c r="G13962">
        <v>1</v>
      </c>
    </row>
    <row r="13963" spans="1:7" x14ac:dyDescent="0.25">
      <c r="A13963">
        <v>39</v>
      </c>
      <c r="B13963" t="s">
        <v>13774</v>
      </c>
      <c r="C13963">
        <v>8783002</v>
      </c>
      <c r="D13963" t="str">
        <f>"1048-2334"</f>
        <v>1048-2334</v>
      </c>
      <c r="E13963" t="s">
        <v>2100</v>
      </c>
      <c r="F13963" t="s">
        <v>13970</v>
      </c>
      <c r="G13963">
        <v>1</v>
      </c>
    </row>
    <row r="13964" spans="1:7" x14ac:dyDescent="0.25">
      <c r="A13964">
        <v>39</v>
      </c>
      <c r="B13964" t="s">
        <v>13774</v>
      </c>
      <c r="C13964">
        <v>5020018</v>
      </c>
      <c r="E13964" t="s">
        <v>2100</v>
      </c>
      <c r="F13964" t="s">
        <v>13971</v>
      </c>
      <c r="G13964">
        <v>1</v>
      </c>
    </row>
    <row r="13965" spans="1:7" x14ac:dyDescent="0.25">
      <c r="A13965">
        <v>39</v>
      </c>
      <c r="B13965" t="s">
        <v>13774</v>
      </c>
      <c r="C13965">
        <v>8783268</v>
      </c>
      <c r="E13965" t="s">
        <v>2100</v>
      </c>
      <c r="F13965" t="s">
        <v>13972</v>
      </c>
      <c r="G13965">
        <v>1</v>
      </c>
    </row>
    <row r="13966" spans="1:7" x14ac:dyDescent="0.25">
      <c r="A13966">
        <v>39</v>
      </c>
      <c r="B13966" t="s">
        <v>13774</v>
      </c>
      <c r="C13966">
        <v>8783001</v>
      </c>
      <c r="E13966" t="s">
        <v>2100</v>
      </c>
      <c r="F13966" t="s">
        <v>13973</v>
      </c>
      <c r="G13966">
        <v>1</v>
      </c>
    </row>
    <row r="13967" spans="1:7" x14ac:dyDescent="0.25">
      <c r="A13967">
        <v>39</v>
      </c>
      <c r="B13967" t="s">
        <v>13774</v>
      </c>
      <c r="C13967">
        <v>8783112</v>
      </c>
      <c r="E13967" t="s">
        <v>2100</v>
      </c>
      <c r="F13967" t="s">
        <v>13974</v>
      </c>
      <c r="G13967">
        <v>1</v>
      </c>
    </row>
    <row r="13968" spans="1:7" x14ac:dyDescent="0.25">
      <c r="A13968">
        <v>39</v>
      </c>
      <c r="B13968" t="s">
        <v>13774</v>
      </c>
      <c r="C13968">
        <v>8783000</v>
      </c>
      <c r="E13968" t="s">
        <v>2100</v>
      </c>
      <c r="F13968" t="s">
        <v>13975</v>
      </c>
      <c r="G13968">
        <v>1</v>
      </c>
    </row>
    <row r="13969" spans="1:7" x14ac:dyDescent="0.25">
      <c r="A13969">
        <v>39</v>
      </c>
      <c r="B13969" t="s">
        <v>13774</v>
      </c>
      <c r="C13969">
        <v>15345</v>
      </c>
      <c r="D13969" t="str">
        <f>"1089-7798"</f>
        <v>1089-7798</v>
      </c>
      <c r="E13969" t="s">
        <v>8</v>
      </c>
      <c r="F13969" t="s">
        <v>13976</v>
      </c>
      <c r="G13969">
        <v>1</v>
      </c>
    </row>
    <row r="13970" spans="1:7" x14ac:dyDescent="0.25">
      <c r="A13970">
        <v>39</v>
      </c>
      <c r="B13970" t="s">
        <v>13774</v>
      </c>
      <c r="C13970">
        <v>151963</v>
      </c>
      <c r="E13970" t="s">
        <v>8</v>
      </c>
      <c r="F13970" t="s">
        <v>13977</v>
      </c>
      <c r="G13970">
        <v>1</v>
      </c>
    </row>
    <row r="13971" spans="1:7" x14ac:dyDescent="0.25">
      <c r="A13971">
        <v>39</v>
      </c>
      <c r="B13971" t="s">
        <v>13774</v>
      </c>
      <c r="C13971">
        <v>8783267</v>
      </c>
      <c r="D13971" t="str">
        <f>"1085-1992 "</f>
        <v xml:space="preserve">1085-1992 </v>
      </c>
      <c r="E13971" t="s">
        <v>2100</v>
      </c>
      <c r="F13971" t="s">
        <v>13978</v>
      </c>
      <c r="G13971">
        <v>1</v>
      </c>
    </row>
    <row r="13972" spans="1:7" x14ac:dyDescent="0.25">
      <c r="A13972">
        <v>39</v>
      </c>
      <c r="B13972" t="s">
        <v>13774</v>
      </c>
      <c r="C13972">
        <v>8782466</v>
      </c>
      <c r="E13972" t="s">
        <v>2100</v>
      </c>
      <c r="F13972" t="s">
        <v>13979</v>
      </c>
      <c r="G13972">
        <v>1</v>
      </c>
    </row>
    <row r="13973" spans="1:7" x14ac:dyDescent="0.25">
      <c r="A13973">
        <v>39</v>
      </c>
      <c r="B13973" t="s">
        <v>13774</v>
      </c>
      <c r="C13973">
        <v>8782999</v>
      </c>
      <c r="E13973" t="s">
        <v>2100</v>
      </c>
      <c r="F13973" t="s">
        <v>13980</v>
      </c>
      <c r="G13973">
        <v>1</v>
      </c>
    </row>
    <row r="13974" spans="1:7" x14ac:dyDescent="0.25">
      <c r="A13974">
        <v>39</v>
      </c>
      <c r="B13974" t="s">
        <v>13774</v>
      </c>
      <c r="C13974">
        <v>8782934</v>
      </c>
      <c r="E13974" t="s">
        <v>2100</v>
      </c>
      <c r="F13974" t="s">
        <v>13981</v>
      </c>
      <c r="G13974">
        <v>1</v>
      </c>
    </row>
    <row r="13975" spans="1:7" x14ac:dyDescent="0.25">
      <c r="A13975">
        <v>39</v>
      </c>
      <c r="B13975" t="s">
        <v>13774</v>
      </c>
      <c r="C13975">
        <v>8783087</v>
      </c>
      <c r="E13975" t="s">
        <v>2100</v>
      </c>
      <c r="F13975" t="s">
        <v>13981</v>
      </c>
      <c r="G13975">
        <v>1</v>
      </c>
    </row>
    <row r="13976" spans="1:7" x14ac:dyDescent="0.25">
      <c r="A13976">
        <v>39</v>
      </c>
      <c r="B13976" t="s">
        <v>13774</v>
      </c>
      <c r="C13976">
        <v>8782923</v>
      </c>
      <c r="E13976" t="s">
        <v>2100</v>
      </c>
      <c r="F13976" t="s">
        <v>13982</v>
      </c>
      <c r="G13976">
        <v>1</v>
      </c>
    </row>
    <row r="13977" spans="1:7" x14ac:dyDescent="0.25">
      <c r="A13977">
        <v>39</v>
      </c>
      <c r="B13977" t="s">
        <v>13774</v>
      </c>
      <c r="C13977">
        <v>8782680</v>
      </c>
      <c r="E13977" t="s">
        <v>2100</v>
      </c>
      <c r="F13977" t="s">
        <v>13983</v>
      </c>
      <c r="G13977">
        <v>1</v>
      </c>
    </row>
    <row r="13978" spans="1:7" x14ac:dyDescent="0.25">
      <c r="A13978">
        <v>39</v>
      </c>
      <c r="B13978" t="s">
        <v>13774</v>
      </c>
      <c r="C13978">
        <v>14699</v>
      </c>
      <c r="D13978" t="str">
        <f>"0888-0611"</f>
        <v>0888-0611</v>
      </c>
      <c r="E13978" t="s">
        <v>8</v>
      </c>
      <c r="F13978" t="s">
        <v>13984</v>
      </c>
      <c r="G13978">
        <v>1</v>
      </c>
    </row>
    <row r="13979" spans="1:7" x14ac:dyDescent="0.25">
      <c r="A13979">
        <v>39</v>
      </c>
      <c r="B13979" t="s">
        <v>13774</v>
      </c>
      <c r="C13979">
        <v>8782997</v>
      </c>
      <c r="E13979" t="s">
        <v>2100</v>
      </c>
      <c r="F13979" t="s">
        <v>13985</v>
      </c>
      <c r="G13979">
        <v>1</v>
      </c>
    </row>
    <row r="13980" spans="1:7" x14ac:dyDescent="0.25">
      <c r="A13980">
        <v>39</v>
      </c>
      <c r="B13980" t="s">
        <v>13774</v>
      </c>
      <c r="C13980">
        <v>8782996</v>
      </c>
      <c r="E13980" t="s">
        <v>2100</v>
      </c>
      <c r="F13980" t="s">
        <v>13986</v>
      </c>
      <c r="G13980">
        <v>1</v>
      </c>
    </row>
    <row r="13981" spans="1:7" x14ac:dyDescent="0.25">
      <c r="A13981">
        <v>39</v>
      </c>
      <c r="B13981" t="s">
        <v>13774</v>
      </c>
      <c r="C13981">
        <v>10564</v>
      </c>
      <c r="D13981" t="str">
        <f>"0883-7554"</f>
        <v>0883-7554</v>
      </c>
      <c r="E13981" t="s">
        <v>8</v>
      </c>
      <c r="F13981" t="s">
        <v>13987</v>
      </c>
      <c r="G13981">
        <v>1</v>
      </c>
    </row>
    <row r="13982" spans="1:7" x14ac:dyDescent="0.25">
      <c r="A13982">
        <v>39</v>
      </c>
      <c r="B13982" t="s">
        <v>13774</v>
      </c>
      <c r="C13982">
        <v>8782883</v>
      </c>
      <c r="E13982" t="s">
        <v>2100</v>
      </c>
      <c r="F13982" t="s">
        <v>13988</v>
      </c>
      <c r="G13982">
        <v>1</v>
      </c>
    </row>
    <row r="13983" spans="1:7" x14ac:dyDescent="0.25">
      <c r="A13983">
        <v>39</v>
      </c>
      <c r="B13983" t="s">
        <v>13774</v>
      </c>
      <c r="C13983">
        <v>16794</v>
      </c>
      <c r="D13983" t="str">
        <f>"0741-3106"</f>
        <v>0741-3106</v>
      </c>
      <c r="E13983" t="s">
        <v>8</v>
      </c>
      <c r="F13983" t="s">
        <v>13989</v>
      </c>
      <c r="G13983">
        <v>1</v>
      </c>
    </row>
    <row r="13984" spans="1:7" x14ac:dyDescent="0.25">
      <c r="A13984">
        <v>39</v>
      </c>
      <c r="B13984" t="s">
        <v>13774</v>
      </c>
      <c r="C13984">
        <v>8783081</v>
      </c>
      <c r="E13984" t="s">
        <v>2100</v>
      </c>
      <c r="F13984" t="s">
        <v>13990</v>
      </c>
      <c r="G13984">
        <v>1</v>
      </c>
    </row>
    <row r="13985" spans="1:7" x14ac:dyDescent="0.25">
      <c r="A13985">
        <v>39</v>
      </c>
      <c r="B13985" t="s">
        <v>13774</v>
      </c>
      <c r="C13985">
        <v>8782998</v>
      </c>
      <c r="D13985" t="str">
        <f>"1948-3546"</f>
        <v>1948-3546</v>
      </c>
      <c r="E13985" t="s">
        <v>2100</v>
      </c>
      <c r="F13985" t="s">
        <v>13991</v>
      </c>
      <c r="G13985">
        <v>1</v>
      </c>
    </row>
    <row r="13986" spans="1:7" x14ac:dyDescent="0.25">
      <c r="A13986">
        <v>39</v>
      </c>
      <c r="B13986" t="s">
        <v>13774</v>
      </c>
      <c r="C13986">
        <v>5010945</v>
      </c>
      <c r="E13986" t="s">
        <v>2100</v>
      </c>
      <c r="F13986" t="s">
        <v>13992</v>
      </c>
      <c r="G13986">
        <v>1</v>
      </c>
    </row>
    <row r="13987" spans="1:7" x14ac:dyDescent="0.25">
      <c r="A13987">
        <v>39</v>
      </c>
      <c r="B13987" t="s">
        <v>13774</v>
      </c>
      <c r="C13987">
        <v>8782585</v>
      </c>
      <c r="E13987" t="s">
        <v>2100</v>
      </c>
      <c r="F13987" t="s">
        <v>13993</v>
      </c>
      <c r="G13987">
        <v>1</v>
      </c>
    </row>
    <row r="13988" spans="1:7" x14ac:dyDescent="0.25">
      <c r="A13988">
        <v>39</v>
      </c>
      <c r="B13988" t="s">
        <v>13774</v>
      </c>
      <c r="C13988">
        <v>8782723</v>
      </c>
      <c r="D13988" t="str">
        <f>"2325-0313"</f>
        <v>2325-0313</v>
      </c>
      <c r="E13988" t="s">
        <v>2100</v>
      </c>
      <c r="F13988" t="s">
        <v>13994</v>
      </c>
      <c r="G13988">
        <v>1</v>
      </c>
    </row>
    <row r="13989" spans="1:7" x14ac:dyDescent="0.25">
      <c r="A13989">
        <v>39</v>
      </c>
      <c r="B13989" t="s">
        <v>13774</v>
      </c>
      <c r="C13989">
        <v>8783261</v>
      </c>
      <c r="E13989" t="s">
        <v>2100</v>
      </c>
      <c r="F13989" t="s">
        <v>13995</v>
      </c>
      <c r="G13989">
        <v>1</v>
      </c>
    </row>
    <row r="13990" spans="1:7" x14ac:dyDescent="0.25">
      <c r="A13990">
        <v>39</v>
      </c>
      <c r="B13990" t="s">
        <v>13774</v>
      </c>
      <c r="C13990">
        <v>50214</v>
      </c>
      <c r="D13990" t="str">
        <f>"1930-529X"</f>
        <v>1930-529X</v>
      </c>
      <c r="E13990" t="s">
        <v>8</v>
      </c>
      <c r="F13990" t="s">
        <v>13996</v>
      </c>
      <c r="G13990">
        <v>1</v>
      </c>
    </row>
    <row r="13991" spans="1:7" x14ac:dyDescent="0.25">
      <c r="A13991">
        <v>39</v>
      </c>
      <c r="B13991" t="s">
        <v>13774</v>
      </c>
      <c r="C13991">
        <v>8782995</v>
      </c>
      <c r="E13991" t="s">
        <v>2100</v>
      </c>
      <c r="F13991" t="s">
        <v>13997</v>
      </c>
      <c r="G13991">
        <v>1</v>
      </c>
    </row>
    <row r="13992" spans="1:7" x14ac:dyDescent="0.25">
      <c r="A13992">
        <v>39</v>
      </c>
      <c r="B13992" t="s">
        <v>13774</v>
      </c>
      <c r="C13992">
        <v>8783303</v>
      </c>
      <c r="E13992" t="s">
        <v>2100</v>
      </c>
      <c r="F13992" t="s">
        <v>13998</v>
      </c>
      <c r="G13992">
        <v>1</v>
      </c>
    </row>
    <row r="13993" spans="1:7" x14ac:dyDescent="0.25">
      <c r="A13993">
        <v>39</v>
      </c>
      <c r="B13993" t="s">
        <v>13774</v>
      </c>
      <c r="C13993">
        <v>8782584</v>
      </c>
      <c r="E13993" t="s">
        <v>2100</v>
      </c>
      <c r="F13993" t="s">
        <v>13999</v>
      </c>
      <c r="G13993">
        <v>1</v>
      </c>
    </row>
    <row r="13994" spans="1:7" x14ac:dyDescent="0.25">
      <c r="A13994">
        <v>39</v>
      </c>
      <c r="B13994" t="s">
        <v>13774</v>
      </c>
      <c r="C13994">
        <v>8783137</v>
      </c>
      <c r="E13994" t="s">
        <v>2100</v>
      </c>
      <c r="F13994" t="s">
        <v>14000</v>
      </c>
      <c r="G13994">
        <v>1</v>
      </c>
    </row>
    <row r="13995" spans="1:7" x14ac:dyDescent="0.25">
      <c r="A13995">
        <v>39</v>
      </c>
      <c r="B13995" t="s">
        <v>13774</v>
      </c>
      <c r="C13995">
        <v>8782993</v>
      </c>
      <c r="E13995" t="s">
        <v>2100</v>
      </c>
      <c r="F13995" t="s">
        <v>14001</v>
      </c>
      <c r="G13995">
        <v>1</v>
      </c>
    </row>
    <row r="13996" spans="1:7" x14ac:dyDescent="0.25">
      <c r="A13996">
        <v>39</v>
      </c>
      <c r="B13996" t="s">
        <v>13774</v>
      </c>
      <c r="C13996">
        <v>12221</v>
      </c>
      <c r="D13996" t="str">
        <f>"1094-6969"</f>
        <v>1094-6969</v>
      </c>
      <c r="E13996" t="s">
        <v>8</v>
      </c>
      <c r="F13996" t="s">
        <v>14002</v>
      </c>
      <c r="G13996">
        <v>1</v>
      </c>
    </row>
    <row r="13997" spans="1:7" x14ac:dyDescent="0.25">
      <c r="A13997">
        <v>39</v>
      </c>
      <c r="B13997" t="s">
        <v>13774</v>
      </c>
      <c r="C13997">
        <v>8783093</v>
      </c>
      <c r="D13997" t="str">
        <f>"1071-9032"</f>
        <v>1071-9032</v>
      </c>
      <c r="E13997" t="s">
        <v>2100</v>
      </c>
      <c r="F13997" t="s">
        <v>14003</v>
      </c>
      <c r="G13997">
        <v>1</v>
      </c>
    </row>
    <row r="13998" spans="1:7" x14ac:dyDescent="0.25">
      <c r="A13998">
        <v>39</v>
      </c>
      <c r="B13998" t="s">
        <v>13774</v>
      </c>
      <c r="C13998">
        <v>8782992</v>
      </c>
      <c r="D13998" t="str">
        <f>"2159-6247"</f>
        <v>2159-6247</v>
      </c>
      <c r="E13998" t="s">
        <v>2100</v>
      </c>
      <c r="F13998" t="s">
        <v>14004</v>
      </c>
      <c r="G13998">
        <v>1</v>
      </c>
    </row>
    <row r="13999" spans="1:7" x14ac:dyDescent="0.25">
      <c r="A13999">
        <v>39</v>
      </c>
      <c r="B13999" t="s">
        <v>13774</v>
      </c>
      <c r="C13999">
        <v>8783091</v>
      </c>
      <c r="E13999" t="s">
        <v>2100</v>
      </c>
      <c r="F13999" t="s">
        <v>14005</v>
      </c>
      <c r="G13999">
        <v>1</v>
      </c>
    </row>
    <row r="14000" spans="1:7" x14ac:dyDescent="0.25">
      <c r="A14000">
        <v>39</v>
      </c>
      <c r="B14000" t="s">
        <v>13774</v>
      </c>
      <c r="C14000">
        <v>8783080</v>
      </c>
      <c r="E14000" t="s">
        <v>2100</v>
      </c>
      <c r="F14000" t="s">
        <v>14006</v>
      </c>
      <c r="G14000">
        <v>1</v>
      </c>
    </row>
    <row r="14001" spans="1:7" x14ac:dyDescent="0.25">
      <c r="A14001">
        <v>39</v>
      </c>
      <c r="B14001" t="s">
        <v>13774</v>
      </c>
      <c r="C14001">
        <v>8782991</v>
      </c>
      <c r="E14001" t="s">
        <v>2100</v>
      </c>
      <c r="F14001" t="s">
        <v>14007</v>
      </c>
      <c r="G14001">
        <v>1</v>
      </c>
    </row>
    <row r="14002" spans="1:7" x14ac:dyDescent="0.25">
      <c r="A14002">
        <v>39</v>
      </c>
      <c r="B14002" t="s">
        <v>13774</v>
      </c>
      <c r="C14002">
        <v>8783110</v>
      </c>
      <c r="D14002" t="str">
        <f>"2166-6814"</f>
        <v>2166-6814</v>
      </c>
      <c r="E14002" t="s">
        <v>2100</v>
      </c>
      <c r="F14002" t="s">
        <v>14008</v>
      </c>
      <c r="G14002">
        <v>1</v>
      </c>
    </row>
    <row r="14003" spans="1:7" x14ac:dyDescent="0.25">
      <c r="A14003">
        <v>39</v>
      </c>
      <c r="B14003" t="s">
        <v>13774</v>
      </c>
      <c r="C14003">
        <v>8782990</v>
      </c>
      <c r="E14003" t="s">
        <v>2100</v>
      </c>
      <c r="F14003" t="s">
        <v>14009</v>
      </c>
      <c r="G14003">
        <v>1</v>
      </c>
    </row>
    <row r="14004" spans="1:7" x14ac:dyDescent="0.25">
      <c r="A14004">
        <v>39</v>
      </c>
      <c r="B14004" t="s">
        <v>13774</v>
      </c>
      <c r="C14004">
        <v>8783111</v>
      </c>
      <c r="E14004" t="s">
        <v>2100</v>
      </c>
      <c r="F14004" t="s">
        <v>14010</v>
      </c>
      <c r="G14004">
        <v>1</v>
      </c>
    </row>
    <row r="14005" spans="1:7" x14ac:dyDescent="0.25">
      <c r="A14005">
        <v>39</v>
      </c>
      <c r="B14005" t="s">
        <v>13774</v>
      </c>
      <c r="C14005">
        <v>8783109</v>
      </c>
      <c r="E14005" t="s">
        <v>2100</v>
      </c>
      <c r="F14005" t="s">
        <v>14011</v>
      </c>
      <c r="G14005">
        <v>1</v>
      </c>
    </row>
    <row r="14006" spans="1:7" x14ac:dyDescent="0.25">
      <c r="A14006">
        <v>39</v>
      </c>
      <c r="B14006" t="s">
        <v>13774</v>
      </c>
      <c r="C14006">
        <v>8782989</v>
      </c>
      <c r="E14006" t="s">
        <v>2100</v>
      </c>
      <c r="F14006" t="s">
        <v>14011</v>
      </c>
      <c r="G14006">
        <v>1</v>
      </c>
    </row>
    <row r="14007" spans="1:7" x14ac:dyDescent="0.25">
      <c r="A14007">
        <v>39</v>
      </c>
      <c r="B14007" t="s">
        <v>13774</v>
      </c>
      <c r="C14007">
        <v>8782988</v>
      </c>
      <c r="E14007" t="s">
        <v>2100</v>
      </c>
      <c r="F14007" t="s">
        <v>14012</v>
      </c>
      <c r="G14007">
        <v>1</v>
      </c>
    </row>
    <row r="14008" spans="1:7" x14ac:dyDescent="0.25">
      <c r="A14008">
        <v>39</v>
      </c>
      <c r="B14008" t="s">
        <v>13774</v>
      </c>
      <c r="C14008">
        <v>8782987</v>
      </c>
      <c r="D14008" t="str">
        <f>"1946-0740"</f>
        <v>1946-0740</v>
      </c>
      <c r="E14008" t="s">
        <v>2100</v>
      </c>
      <c r="F14008" t="s">
        <v>14013</v>
      </c>
      <c r="G14008">
        <v>1</v>
      </c>
    </row>
    <row r="14009" spans="1:7" x14ac:dyDescent="0.25">
      <c r="A14009">
        <v>39</v>
      </c>
      <c r="B14009" t="s">
        <v>13774</v>
      </c>
      <c r="C14009">
        <v>8783108</v>
      </c>
      <c r="D14009" t="str">
        <f>"2223-5329"</f>
        <v>2223-5329</v>
      </c>
      <c r="E14009" t="s">
        <v>2100</v>
      </c>
      <c r="F14009" t="s">
        <v>14014</v>
      </c>
      <c r="G14009">
        <v>1</v>
      </c>
    </row>
    <row r="14010" spans="1:7" x14ac:dyDescent="0.25">
      <c r="A14010">
        <v>39</v>
      </c>
      <c r="B14010" t="s">
        <v>13774</v>
      </c>
      <c r="C14010">
        <v>8782986</v>
      </c>
      <c r="E14010" t="s">
        <v>2100</v>
      </c>
      <c r="F14010" t="s">
        <v>14015</v>
      </c>
      <c r="G14010">
        <v>1</v>
      </c>
    </row>
    <row r="14011" spans="1:7" x14ac:dyDescent="0.25">
      <c r="A14011">
        <v>39</v>
      </c>
      <c r="B14011" t="s">
        <v>13774</v>
      </c>
      <c r="C14011">
        <v>8782985</v>
      </c>
      <c r="D14011" t="str">
        <f>"1522-4880"</f>
        <v>1522-4880</v>
      </c>
      <c r="E14011" t="s">
        <v>2100</v>
      </c>
      <c r="F14011" t="s">
        <v>14016</v>
      </c>
      <c r="G14011">
        <v>1</v>
      </c>
    </row>
    <row r="14012" spans="1:7" x14ac:dyDescent="0.25">
      <c r="A14012">
        <v>39</v>
      </c>
      <c r="B14012" t="s">
        <v>13774</v>
      </c>
      <c r="C14012">
        <v>8782984</v>
      </c>
      <c r="D14012" t="str">
        <f>"2157-3611"</f>
        <v>2157-3611</v>
      </c>
      <c r="E14012" t="s">
        <v>2100</v>
      </c>
      <c r="F14012" t="s">
        <v>14017</v>
      </c>
      <c r="G14012">
        <v>1</v>
      </c>
    </row>
    <row r="14013" spans="1:7" x14ac:dyDescent="0.25">
      <c r="A14013">
        <v>39</v>
      </c>
      <c r="B14013" t="s">
        <v>13774</v>
      </c>
      <c r="C14013">
        <v>8783090</v>
      </c>
      <c r="E14013" t="s">
        <v>2100</v>
      </c>
      <c r="F14013" t="s">
        <v>14018</v>
      </c>
      <c r="G14013">
        <v>1</v>
      </c>
    </row>
    <row r="14014" spans="1:7" x14ac:dyDescent="0.25">
      <c r="A14014">
        <v>39</v>
      </c>
      <c r="B14014" t="s">
        <v>13774</v>
      </c>
      <c r="C14014">
        <v>8782983</v>
      </c>
      <c r="E14014" t="s">
        <v>2100</v>
      </c>
      <c r="F14014" t="s">
        <v>14018</v>
      </c>
      <c r="G14014">
        <v>1</v>
      </c>
    </row>
    <row r="14015" spans="1:7" x14ac:dyDescent="0.25">
      <c r="A14015">
        <v>39</v>
      </c>
      <c r="B14015" t="s">
        <v>13774</v>
      </c>
      <c r="C14015">
        <v>8783276</v>
      </c>
      <c r="E14015" t="s">
        <v>2100</v>
      </c>
      <c r="F14015" t="s">
        <v>14019</v>
      </c>
      <c r="G14015">
        <v>1</v>
      </c>
    </row>
    <row r="14016" spans="1:7" x14ac:dyDescent="0.25">
      <c r="A14016">
        <v>39</v>
      </c>
      <c r="B14016" t="s">
        <v>13774</v>
      </c>
      <c r="C14016">
        <v>8782981</v>
      </c>
      <c r="E14016" t="s">
        <v>2100</v>
      </c>
      <c r="F14016" t="s">
        <v>14020</v>
      </c>
      <c r="G14016">
        <v>1</v>
      </c>
    </row>
    <row r="14017" spans="1:7" x14ac:dyDescent="0.25">
      <c r="A14017">
        <v>39</v>
      </c>
      <c r="B14017" t="s">
        <v>13774</v>
      </c>
      <c r="C14017">
        <v>8783049</v>
      </c>
      <c r="E14017" t="s">
        <v>2100</v>
      </c>
      <c r="F14017" t="s">
        <v>14021</v>
      </c>
      <c r="G14017">
        <v>1</v>
      </c>
    </row>
    <row r="14018" spans="1:7" x14ac:dyDescent="0.25">
      <c r="A14018">
        <v>39</v>
      </c>
      <c r="B14018" t="s">
        <v>13774</v>
      </c>
      <c r="C14018">
        <v>8783079</v>
      </c>
      <c r="D14018" t="str">
        <f>"1084-6999 "</f>
        <v xml:space="preserve">1084-6999 </v>
      </c>
      <c r="E14018" t="s">
        <v>2100</v>
      </c>
      <c r="F14018" t="s">
        <v>14022</v>
      </c>
      <c r="G14018">
        <v>1</v>
      </c>
    </row>
    <row r="14019" spans="1:7" x14ac:dyDescent="0.25">
      <c r="A14019">
        <v>39</v>
      </c>
      <c r="B14019" t="s">
        <v>13774</v>
      </c>
      <c r="C14019">
        <v>8782586</v>
      </c>
      <c r="E14019" t="s">
        <v>2100</v>
      </c>
      <c r="F14019" t="s">
        <v>14023</v>
      </c>
      <c r="G14019">
        <v>1</v>
      </c>
    </row>
    <row r="14020" spans="1:7" x14ac:dyDescent="0.25">
      <c r="A14020">
        <v>39</v>
      </c>
      <c r="B14020" t="s">
        <v>13774</v>
      </c>
      <c r="C14020">
        <v>8782581</v>
      </c>
      <c r="E14020" t="s">
        <v>2100</v>
      </c>
      <c r="F14020" t="s">
        <v>14024</v>
      </c>
      <c r="G14020">
        <v>1</v>
      </c>
    </row>
    <row r="14021" spans="1:7" x14ac:dyDescent="0.25">
      <c r="A14021">
        <v>39</v>
      </c>
      <c r="B14021" t="s">
        <v>13774</v>
      </c>
      <c r="C14021">
        <v>8783266</v>
      </c>
      <c r="E14021" t="s">
        <v>2100</v>
      </c>
      <c r="F14021" t="s">
        <v>14025</v>
      </c>
      <c r="G14021">
        <v>1</v>
      </c>
    </row>
    <row r="14022" spans="1:7" x14ac:dyDescent="0.25">
      <c r="A14022">
        <v>39</v>
      </c>
      <c r="B14022" t="s">
        <v>13774</v>
      </c>
      <c r="C14022">
        <v>8783265</v>
      </c>
      <c r="E14022" t="s">
        <v>2100</v>
      </c>
      <c r="F14022" t="s">
        <v>14026</v>
      </c>
      <c r="G14022">
        <v>1</v>
      </c>
    </row>
    <row r="14023" spans="1:7" x14ac:dyDescent="0.25">
      <c r="A14023">
        <v>39</v>
      </c>
      <c r="B14023" t="s">
        <v>13774</v>
      </c>
      <c r="C14023">
        <v>8783275</v>
      </c>
      <c r="D14023" t="str">
        <f>"2155-5516"</f>
        <v>2155-5516</v>
      </c>
      <c r="E14023" t="s">
        <v>2100</v>
      </c>
      <c r="F14023" t="s">
        <v>14027</v>
      </c>
      <c r="G14023">
        <v>1</v>
      </c>
    </row>
    <row r="14024" spans="1:7" x14ac:dyDescent="0.25">
      <c r="A14024">
        <v>39</v>
      </c>
      <c r="B14024" t="s">
        <v>13774</v>
      </c>
      <c r="C14024">
        <v>8783262</v>
      </c>
      <c r="D14024" t="str">
        <f>"2152-4092"</f>
        <v>2152-4092</v>
      </c>
      <c r="E14024" t="s">
        <v>2100</v>
      </c>
      <c r="F14024" t="s">
        <v>14028</v>
      </c>
      <c r="G14024">
        <v>1</v>
      </c>
    </row>
    <row r="14025" spans="1:7" x14ac:dyDescent="0.25">
      <c r="A14025">
        <v>39</v>
      </c>
      <c r="B14025" t="s">
        <v>13774</v>
      </c>
      <c r="C14025">
        <v>8782978</v>
      </c>
      <c r="E14025" t="s">
        <v>2100</v>
      </c>
      <c r="F14025" t="s">
        <v>14029</v>
      </c>
      <c r="G14025">
        <v>1</v>
      </c>
    </row>
    <row r="14026" spans="1:7" x14ac:dyDescent="0.25">
      <c r="A14026">
        <v>39</v>
      </c>
      <c r="B14026" t="s">
        <v>13774</v>
      </c>
      <c r="C14026">
        <v>8783107</v>
      </c>
      <c r="E14026" t="s">
        <v>2100</v>
      </c>
      <c r="F14026" t="s">
        <v>14030</v>
      </c>
      <c r="G14026">
        <v>1</v>
      </c>
    </row>
    <row r="14027" spans="1:7" x14ac:dyDescent="0.25">
      <c r="A14027">
        <v>39</v>
      </c>
      <c r="B14027" t="s">
        <v>13774</v>
      </c>
      <c r="C14027">
        <v>8782922</v>
      </c>
      <c r="E14027" t="s">
        <v>2100</v>
      </c>
      <c r="F14027" t="s">
        <v>14031</v>
      </c>
      <c r="G14027">
        <v>1</v>
      </c>
    </row>
    <row r="14028" spans="1:7" x14ac:dyDescent="0.25">
      <c r="A14028">
        <v>39</v>
      </c>
      <c r="B14028" t="s">
        <v>13774</v>
      </c>
      <c r="C14028">
        <v>8782583</v>
      </c>
      <c r="E14028" t="s">
        <v>2100</v>
      </c>
      <c r="F14028" t="s">
        <v>14032</v>
      </c>
      <c r="G14028">
        <v>1</v>
      </c>
    </row>
    <row r="14029" spans="1:7" x14ac:dyDescent="0.25">
      <c r="A14029">
        <v>39</v>
      </c>
      <c r="B14029" t="s">
        <v>13774</v>
      </c>
      <c r="C14029">
        <v>8782994</v>
      </c>
      <c r="E14029" t="s">
        <v>2100</v>
      </c>
      <c r="F14029" t="s">
        <v>14033</v>
      </c>
      <c r="G14029">
        <v>1</v>
      </c>
    </row>
    <row r="14030" spans="1:7" x14ac:dyDescent="0.25">
      <c r="A14030">
        <v>39</v>
      </c>
      <c r="B14030" t="s">
        <v>13774</v>
      </c>
      <c r="C14030">
        <v>8782977</v>
      </c>
      <c r="E14030" t="s">
        <v>2100</v>
      </c>
      <c r="F14030" t="s">
        <v>14034</v>
      </c>
      <c r="G14030">
        <v>1</v>
      </c>
    </row>
    <row r="14031" spans="1:7" x14ac:dyDescent="0.25">
      <c r="A14031">
        <v>39</v>
      </c>
      <c r="B14031" t="s">
        <v>13774</v>
      </c>
      <c r="C14031">
        <v>8782884</v>
      </c>
      <c r="D14031" t="str">
        <f>"21626588"</f>
        <v>21626588</v>
      </c>
      <c r="E14031" t="s">
        <v>2100</v>
      </c>
      <c r="F14031" t="s">
        <v>14035</v>
      </c>
      <c r="G14031">
        <v>1</v>
      </c>
    </row>
    <row r="14032" spans="1:7" x14ac:dyDescent="0.25">
      <c r="A14032">
        <v>39</v>
      </c>
      <c r="B14032" t="s">
        <v>13774</v>
      </c>
      <c r="C14032">
        <v>8782882</v>
      </c>
      <c r="E14032" t="s">
        <v>2100</v>
      </c>
      <c r="F14032" t="s">
        <v>14036</v>
      </c>
      <c r="G14032">
        <v>1</v>
      </c>
    </row>
    <row r="14033" spans="1:7" x14ac:dyDescent="0.25">
      <c r="A14033">
        <v>39</v>
      </c>
      <c r="B14033" t="s">
        <v>13774</v>
      </c>
      <c r="C14033">
        <v>8782921</v>
      </c>
      <c r="D14033" t="str">
        <f>"2164-4322"</f>
        <v>2164-4322</v>
      </c>
      <c r="E14033" t="s">
        <v>2100</v>
      </c>
      <c r="F14033" t="s">
        <v>14037</v>
      </c>
      <c r="G14033">
        <v>1</v>
      </c>
    </row>
    <row r="14034" spans="1:7" x14ac:dyDescent="0.25">
      <c r="A14034">
        <v>39</v>
      </c>
      <c r="B14034" t="s">
        <v>13774</v>
      </c>
      <c r="C14034">
        <v>8782582</v>
      </c>
      <c r="E14034" t="s">
        <v>2100</v>
      </c>
      <c r="F14034" t="s">
        <v>14038</v>
      </c>
      <c r="G14034">
        <v>1</v>
      </c>
    </row>
    <row r="14035" spans="1:7" x14ac:dyDescent="0.25">
      <c r="A14035">
        <v>39</v>
      </c>
      <c r="B14035" t="s">
        <v>13774</v>
      </c>
      <c r="C14035">
        <v>8782881</v>
      </c>
      <c r="D14035" t="str">
        <f>"00189464"</f>
        <v>00189464</v>
      </c>
      <c r="E14035" t="s">
        <v>2100</v>
      </c>
      <c r="F14035" t="s">
        <v>14039</v>
      </c>
      <c r="G14035">
        <v>1</v>
      </c>
    </row>
    <row r="14036" spans="1:7" x14ac:dyDescent="0.25">
      <c r="A14036">
        <v>39</v>
      </c>
      <c r="B14036" t="s">
        <v>13774</v>
      </c>
      <c r="C14036">
        <v>8783078</v>
      </c>
      <c r="D14036" t="str">
        <f>"1087-4852"</f>
        <v>1087-4852</v>
      </c>
      <c r="E14036" t="s">
        <v>2100</v>
      </c>
      <c r="F14036" t="s">
        <v>14040</v>
      </c>
      <c r="G14036">
        <v>1</v>
      </c>
    </row>
    <row r="14037" spans="1:7" x14ac:dyDescent="0.25">
      <c r="A14037">
        <v>39</v>
      </c>
      <c r="B14037" t="s">
        <v>13774</v>
      </c>
      <c r="C14037">
        <v>8782880</v>
      </c>
      <c r="D14037" t="str">
        <f>"15483746"</f>
        <v>15483746</v>
      </c>
      <c r="E14037" t="s">
        <v>2100</v>
      </c>
      <c r="F14037" t="s">
        <v>14041</v>
      </c>
      <c r="G14037">
        <v>1</v>
      </c>
    </row>
    <row r="14038" spans="1:7" x14ac:dyDescent="0.25">
      <c r="A14038">
        <v>39</v>
      </c>
      <c r="B14038" t="s">
        <v>13774</v>
      </c>
      <c r="C14038">
        <v>5020024</v>
      </c>
      <c r="E14038" t="s">
        <v>2100</v>
      </c>
      <c r="F14038" t="s">
        <v>14042</v>
      </c>
      <c r="G14038">
        <v>1</v>
      </c>
    </row>
    <row r="14039" spans="1:7" x14ac:dyDescent="0.25">
      <c r="A14039">
        <v>39</v>
      </c>
      <c r="B14039" t="s">
        <v>13774</v>
      </c>
      <c r="C14039">
        <v>8783274</v>
      </c>
      <c r="E14039" t="s">
        <v>2100</v>
      </c>
      <c r="F14039" t="s">
        <v>14042</v>
      </c>
      <c r="G14039">
        <v>1</v>
      </c>
    </row>
    <row r="14040" spans="1:7" x14ac:dyDescent="0.25">
      <c r="A14040">
        <v>39</v>
      </c>
      <c r="B14040" t="s">
        <v>13774</v>
      </c>
      <c r="C14040">
        <v>8782979</v>
      </c>
      <c r="E14040" t="s">
        <v>2100</v>
      </c>
      <c r="F14040" t="s">
        <v>14043</v>
      </c>
      <c r="G14040">
        <v>1</v>
      </c>
    </row>
    <row r="14041" spans="1:7" x14ac:dyDescent="0.25">
      <c r="A14041">
        <v>39</v>
      </c>
      <c r="B14041" t="s">
        <v>13774</v>
      </c>
      <c r="C14041">
        <v>8782976</v>
      </c>
      <c r="E14041" t="s">
        <v>2100</v>
      </c>
      <c r="F14041" t="s">
        <v>14044</v>
      </c>
      <c r="G14041">
        <v>1</v>
      </c>
    </row>
    <row r="14042" spans="1:7" x14ac:dyDescent="0.25">
      <c r="A14042">
        <v>39</v>
      </c>
      <c r="B14042" t="s">
        <v>13774</v>
      </c>
      <c r="C14042">
        <v>8783089</v>
      </c>
      <c r="E14042" t="s">
        <v>2100</v>
      </c>
      <c r="F14042" t="s">
        <v>14045</v>
      </c>
      <c r="G14042">
        <v>1</v>
      </c>
    </row>
    <row r="14043" spans="1:7" x14ac:dyDescent="0.25">
      <c r="A14043">
        <v>39</v>
      </c>
      <c r="B14043" t="s">
        <v>13774</v>
      </c>
      <c r="C14043">
        <v>8782975</v>
      </c>
      <c r="E14043" t="s">
        <v>2100</v>
      </c>
      <c r="F14043" t="s">
        <v>14046</v>
      </c>
      <c r="G14043">
        <v>1</v>
      </c>
    </row>
    <row r="14044" spans="1:7" x14ac:dyDescent="0.25">
      <c r="A14044">
        <v>39</v>
      </c>
      <c r="B14044" t="s">
        <v>13774</v>
      </c>
      <c r="C14044">
        <v>8782973</v>
      </c>
      <c r="D14044" t="str">
        <f>"1522-3965"</f>
        <v>1522-3965</v>
      </c>
      <c r="E14044" t="s">
        <v>2100</v>
      </c>
      <c r="F14044" t="s">
        <v>14047</v>
      </c>
      <c r="G14044">
        <v>1</v>
      </c>
    </row>
    <row r="14045" spans="1:7" x14ac:dyDescent="0.25">
      <c r="A14045">
        <v>39</v>
      </c>
      <c r="B14045" t="s">
        <v>13774</v>
      </c>
      <c r="C14045">
        <v>8783312</v>
      </c>
      <c r="E14045" t="s">
        <v>2100</v>
      </c>
      <c r="F14045" t="s">
        <v>14048</v>
      </c>
      <c r="G14045">
        <v>1</v>
      </c>
    </row>
    <row r="14046" spans="1:7" x14ac:dyDescent="0.25">
      <c r="A14046">
        <v>39</v>
      </c>
      <c r="B14046" t="s">
        <v>13774</v>
      </c>
      <c r="C14046">
        <v>8782920</v>
      </c>
      <c r="D14046" t="str">
        <f>"2155-5044"</f>
        <v>2155-5044</v>
      </c>
      <c r="E14046" t="s">
        <v>2100</v>
      </c>
      <c r="F14046" t="s">
        <v>14049</v>
      </c>
      <c r="G14046">
        <v>1</v>
      </c>
    </row>
    <row r="14047" spans="1:7" x14ac:dyDescent="0.25">
      <c r="A14047">
        <v>39</v>
      </c>
      <c r="B14047" t="s">
        <v>13774</v>
      </c>
      <c r="C14047">
        <v>8782974</v>
      </c>
      <c r="D14047" t="str">
        <f>"2379-4461"</f>
        <v>2379-4461</v>
      </c>
      <c r="E14047" t="s">
        <v>2100</v>
      </c>
      <c r="F14047" t="s">
        <v>14050</v>
      </c>
      <c r="G14047">
        <v>1</v>
      </c>
    </row>
    <row r="14048" spans="1:7" x14ac:dyDescent="0.25">
      <c r="A14048">
        <v>39</v>
      </c>
      <c r="B14048" t="s">
        <v>13774</v>
      </c>
      <c r="C14048">
        <v>8782980</v>
      </c>
      <c r="E14048" t="s">
        <v>2100</v>
      </c>
      <c r="F14048" t="s">
        <v>14051</v>
      </c>
      <c r="G14048">
        <v>1</v>
      </c>
    </row>
    <row r="14049" spans="1:7" x14ac:dyDescent="0.25">
      <c r="A14049">
        <v>39</v>
      </c>
      <c r="B14049" t="s">
        <v>13774</v>
      </c>
      <c r="C14049">
        <v>8782982</v>
      </c>
      <c r="D14049" t="str">
        <f>"2158-110X"</f>
        <v>2158-110X</v>
      </c>
      <c r="E14049" t="s">
        <v>2100</v>
      </c>
      <c r="F14049" t="s">
        <v>14052</v>
      </c>
      <c r="G14049">
        <v>1</v>
      </c>
    </row>
    <row r="14050" spans="1:7" x14ac:dyDescent="0.25">
      <c r="A14050">
        <v>39</v>
      </c>
      <c r="B14050" t="s">
        <v>13774</v>
      </c>
      <c r="C14050">
        <v>8782972</v>
      </c>
      <c r="E14050" t="s">
        <v>2100</v>
      </c>
      <c r="F14050" t="s">
        <v>14053</v>
      </c>
      <c r="G14050">
        <v>1</v>
      </c>
    </row>
    <row r="14051" spans="1:7" x14ac:dyDescent="0.25">
      <c r="A14051">
        <v>39</v>
      </c>
      <c r="B14051" t="s">
        <v>13774</v>
      </c>
      <c r="C14051">
        <v>8783264</v>
      </c>
      <c r="D14051" t="str">
        <f>"2163-5137"</f>
        <v>2163-5137</v>
      </c>
      <c r="E14051" t="s">
        <v>2100</v>
      </c>
      <c r="F14051" t="s">
        <v>14054</v>
      </c>
      <c r="G14051">
        <v>1</v>
      </c>
    </row>
    <row r="14052" spans="1:7" x14ac:dyDescent="0.25">
      <c r="A14052">
        <v>39</v>
      </c>
      <c r="B14052" t="s">
        <v>13774</v>
      </c>
      <c r="C14052">
        <v>7275575</v>
      </c>
      <c r="D14052" t="str">
        <f>"2166-9570"</f>
        <v>2166-9570</v>
      </c>
      <c r="E14052" t="s">
        <v>8</v>
      </c>
      <c r="F14052" t="s">
        <v>14055</v>
      </c>
      <c r="G14052">
        <v>1</v>
      </c>
    </row>
    <row r="14053" spans="1:7" x14ac:dyDescent="0.25">
      <c r="A14053">
        <v>39</v>
      </c>
      <c r="B14053" t="s">
        <v>13774</v>
      </c>
      <c r="C14053">
        <v>8783263</v>
      </c>
      <c r="D14053" t="str">
        <f>"2329-5759"</f>
        <v>2329-5759</v>
      </c>
      <c r="E14053" t="s">
        <v>2100</v>
      </c>
      <c r="F14053" t="s">
        <v>14056</v>
      </c>
      <c r="G14053">
        <v>1</v>
      </c>
    </row>
    <row r="14054" spans="1:7" x14ac:dyDescent="0.25">
      <c r="A14054">
        <v>39</v>
      </c>
      <c r="B14054" t="s">
        <v>13774</v>
      </c>
      <c r="C14054">
        <v>8783088</v>
      </c>
      <c r="D14054" t="str">
        <f>"1063-6854"</f>
        <v>1063-6854</v>
      </c>
      <c r="E14054" t="s">
        <v>2100</v>
      </c>
      <c r="F14054" t="s">
        <v>14057</v>
      </c>
      <c r="G14054">
        <v>1</v>
      </c>
    </row>
    <row r="14055" spans="1:7" x14ac:dyDescent="0.25">
      <c r="A14055">
        <v>39</v>
      </c>
      <c r="B14055" t="s">
        <v>13774</v>
      </c>
      <c r="C14055">
        <v>8782971</v>
      </c>
      <c r="E14055" t="s">
        <v>2100</v>
      </c>
      <c r="F14055" t="s">
        <v>14058</v>
      </c>
      <c r="G14055">
        <v>1</v>
      </c>
    </row>
    <row r="14056" spans="1:7" x14ac:dyDescent="0.25">
      <c r="A14056">
        <v>39</v>
      </c>
      <c r="B14056" t="s">
        <v>13774</v>
      </c>
      <c r="C14056">
        <v>8783260</v>
      </c>
      <c r="D14056" t="str">
        <f>"2154-0217  "</f>
        <v xml:space="preserve">2154-0217  </v>
      </c>
      <c r="E14056" t="s">
        <v>2100</v>
      </c>
      <c r="F14056" t="s">
        <v>14059</v>
      </c>
      <c r="G14056">
        <v>1</v>
      </c>
    </row>
    <row r="14057" spans="1:7" x14ac:dyDescent="0.25">
      <c r="A14057">
        <v>39</v>
      </c>
      <c r="B14057" t="s">
        <v>13774</v>
      </c>
      <c r="C14057">
        <v>8782969</v>
      </c>
      <c r="E14057" t="s">
        <v>2100</v>
      </c>
      <c r="F14057" t="s">
        <v>14060</v>
      </c>
      <c r="G14057">
        <v>1</v>
      </c>
    </row>
    <row r="14058" spans="1:7" x14ac:dyDescent="0.25">
      <c r="A14058">
        <v>39</v>
      </c>
      <c r="B14058" t="s">
        <v>13774</v>
      </c>
      <c r="C14058">
        <v>8782968</v>
      </c>
      <c r="D14058" t="str">
        <f>"0275-0473"</f>
        <v>0275-0473</v>
      </c>
      <c r="E14058" t="s">
        <v>2100</v>
      </c>
      <c r="F14058" t="s">
        <v>14061</v>
      </c>
      <c r="G14058">
        <v>1</v>
      </c>
    </row>
    <row r="14059" spans="1:7" x14ac:dyDescent="0.25">
      <c r="A14059">
        <v>39</v>
      </c>
      <c r="B14059" t="s">
        <v>13774</v>
      </c>
      <c r="C14059">
        <v>8782970</v>
      </c>
      <c r="E14059" t="s">
        <v>2100</v>
      </c>
      <c r="F14059" t="s">
        <v>14062</v>
      </c>
      <c r="G14059">
        <v>1</v>
      </c>
    </row>
    <row r="14060" spans="1:7" x14ac:dyDescent="0.25">
      <c r="A14060">
        <v>39</v>
      </c>
      <c r="B14060" t="s">
        <v>13774</v>
      </c>
      <c r="C14060">
        <v>8782967</v>
      </c>
      <c r="D14060" t="str">
        <f>"1948-5719"</f>
        <v>1948-5719</v>
      </c>
      <c r="E14060" t="s">
        <v>2100</v>
      </c>
      <c r="F14060" t="s">
        <v>14063</v>
      </c>
      <c r="G14060">
        <v>1</v>
      </c>
    </row>
    <row r="14061" spans="1:7" x14ac:dyDescent="0.25">
      <c r="A14061">
        <v>39</v>
      </c>
      <c r="B14061" t="s">
        <v>13774</v>
      </c>
      <c r="C14061">
        <v>8782966</v>
      </c>
      <c r="E14061" t="s">
        <v>2100</v>
      </c>
      <c r="F14061" t="s">
        <v>14064</v>
      </c>
      <c r="G14061">
        <v>1</v>
      </c>
    </row>
    <row r="14062" spans="1:7" x14ac:dyDescent="0.25">
      <c r="A14062">
        <v>39</v>
      </c>
      <c r="B14062" t="s">
        <v>13774</v>
      </c>
      <c r="C14062">
        <v>8783278</v>
      </c>
      <c r="E14062" t="s">
        <v>2100</v>
      </c>
      <c r="F14062" t="s">
        <v>14065</v>
      </c>
      <c r="G14062">
        <v>1</v>
      </c>
    </row>
    <row r="14063" spans="1:7" x14ac:dyDescent="0.25">
      <c r="A14063">
        <v>39</v>
      </c>
      <c r="B14063" t="s">
        <v>13774</v>
      </c>
      <c r="C14063">
        <v>8783258</v>
      </c>
      <c r="E14063" t="s">
        <v>2100</v>
      </c>
      <c r="F14063" t="s">
        <v>14066</v>
      </c>
      <c r="G14063">
        <v>1</v>
      </c>
    </row>
    <row r="14064" spans="1:7" x14ac:dyDescent="0.25">
      <c r="A14064">
        <v>39</v>
      </c>
      <c r="B14064" t="s">
        <v>13774</v>
      </c>
      <c r="C14064">
        <v>8782965</v>
      </c>
      <c r="E14064" t="s">
        <v>2100</v>
      </c>
      <c r="F14064" t="s">
        <v>14067</v>
      </c>
      <c r="G14064">
        <v>1</v>
      </c>
    </row>
    <row r="14065" spans="1:7" x14ac:dyDescent="0.25">
      <c r="A14065">
        <v>39</v>
      </c>
      <c r="B14065" t="s">
        <v>13774</v>
      </c>
      <c r="C14065">
        <v>8782679</v>
      </c>
      <c r="E14065" t="s">
        <v>2100</v>
      </c>
      <c r="F14065" t="s">
        <v>14068</v>
      </c>
      <c r="G14065">
        <v>1</v>
      </c>
    </row>
    <row r="14066" spans="1:7" x14ac:dyDescent="0.25">
      <c r="A14066">
        <v>39</v>
      </c>
      <c r="B14066" t="s">
        <v>13774</v>
      </c>
      <c r="C14066">
        <v>5010935</v>
      </c>
      <c r="E14066" t="s">
        <v>2100</v>
      </c>
      <c r="F14066" t="s">
        <v>14069</v>
      </c>
      <c r="G14066">
        <v>1</v>
      </c>
    </row>
    <row r="14067" spans="1:7" x14ac:dyDescent="0.25">
      <c r="A14067">
        <v>39</v>
      </c>
      <c r="B14067" t="s">
        <v>13774</v>
      </c>
      <c r="C14067">
        <v>8783106</v>
      </c>
      <c r="D14067" t="str">
        <f>"1936-3958"</f>
        <v>1936-3958</v>
      </c>
      <c r="E14067" t="s">
        <v>2100</v>
      </c>
      <c r="F14067" t="s">
        <v>14070</v>
      </c>
      <c r="G14067">
        <v>1</v>
      </c>
    </row>
    <row r="14068" spans="1:7" x14ac:dyDescent="0.25">
      <c r="A14068">
        <v>39</v>
      </c>
      <c r="B14068" t="s">
        <v>13774</v>
      </c>
      <c r="C14068">
        <v>8783113</v>
      </c>
      <c r="E14068" t="s">
        <v>2100</v>
      </c>
      <c r="F14068" t="s">
        <v>14071</v>
      </c>
      <c r="G14068">
        <v>1</v>
      </c>
    </row>
    <row r="14069" spans="1:7" x14ac:dyDescent="0.25">
      <c r="A14069">
        <v>39</v>
      </c>
      <c r="B14069" t="s">
        <v>13774</v>
      </c>
      <c r="C14069">
        <v>3450</v>
      </c>
      <c r="D14069" t="str">
        <f>"0882-4967"</f>
        <v>0882-4967</v>
      </c>
      <c r="E14069" t="s">
        <v>8</v>
      </c>
      <c r="F14069" t="s">
        <v>14072</v>
      </c>
      <c r="G14069">
        <v>1</v>
      </c>
    </row>
    <row r="14070" spans="1:7" x14ac:dyDescent="0.25">
      <c r="A14070">
        <v>39</v>
      </c>
      <c r="B14070" t="s">
        <v>13774</v>
      </c>
      <c r="C14070">
        <v>7700423</v>
      </c>
      <c r="D14070" t="str">
        <f>"2156-3357"</f>
        <v>2156-3357</v>
      </c>
      <c r="E14070" t="s">
        <v>8</v>
      </c>
      <c r="F14070" t="s">
        <v>14073</v>
      </c>
      <c r="G14070">
        <v>1</v>
      </c>
    </row>
    <row r="14071" spans="1:7" x14ac:dyDescent="0.25">
      <c r="A14071">
        <v>39</v>
      </c>
      <c r="B14071" t="s">
        <v>13774</v>
      </c>
      <c r="C14071">
        <v>1827</v>
      </c>
      <c r="D14071" t="str">
        <f>"1045-9235"</f>
        <v>1045-9235</v>
      </c>
      <c r="E14071" t="s">
        <v>8</v>
      </c>
      <c r="F14071" t="s">
        <v>14074</v>
      </c>
      <c r="G14071">
        <v>1</v>
      </c>
    </row>
    <row r="14072" spans="1:7" x14ac:dyDescent="0.25">
      <c r="A14072">
        <v>39</v>
      </c>
      <c r="B14072" t="s">
        <v>13774</v>
      </c>
      <c r="C14072">
        <v>8782963</v>
      </c>
      <c r="E14072" t="s">
        <v>2100</v>
      </c>
      <c r="F14072" t="s">
        <v>14075</v>
      </c>
      <c r="G14072">
        <v>1</v>
      </c>
    </row>
    <row r="14073" spans="1:7" x14ac:dyDescent="0.25">
      <c r="A14073">
        <v>39</v>
      </c>
      <c r="B14073" t="s">
        <v>13774</v>
      </c>
      <c r="C14073">
        <v>3830</v>
      </c>
      <c r="D14073" t="str">
        <f>"1531-1309"</f>
        <v>1531-1309</v>
      </c>
      <c r="E14073" t="s">
        <v>8</v>
      </c>
      <c r="F14073" t="s">
        <v>14076</v>
      </c>
      <c r="G14073">
        <v>1</v>
      </c>
    </row>
    <row r="14074" spans="1:7" x14ac:dyDescent="0.25">
      <c r="A14074">
        <v>39</v>
      </c>
      <c r="B14074" t="s">
        <v>13774</v>
      </c>
      <c r="C14074">
        <v>4065</v>
      </c>
      <c r="D14074" t="str">
        <f>"1527-3342"</f>
        <v>1527-3342</v>
      </c>
      <c r="E14074" t="s">
        <v>8</v>
      </c>
      <c r="F14074" t="s">
        <v>14077</v>
      </c>
      <c r="G14074">
        <v>1</v>
      </c>
    </row>
    <row r="14075" spans="1:7" x14ac:dyDescent="0.25">
      <c r="A14075">
        <v>39</v>
      </c>
      <c r="B14075" t="s">
        <v>13774</v>
      </c>
      <c r="C14075">
        <v>8782964</v>
      </c>
      <c r="E14075" t="s">
        <v>2100</v>
      </c>
      <c r="F14075" t="s">
        <v>14078</v>
      </c>
      <c r="G14075">
        <v>1</v>
      </c>
    </row>
    <row r="14076" spans="1:7" x14ac:dyDescent="0.25">
      <c r="A14076">
        <v>39</v>
      </c>
      <c r="B14076" t="s">
        <v>13774</v>
      </c>
      <c r="C14076">
        <v>8782962</v>
      </c>
      <c r="E14076" t="s">
        <v>2100</v>
      </c>
      <c r="F14076" t="s">
        <v>14079</v>
      </c>
      <c r="G14076">
        <v>1</v>
      </c>
    </row>
    <row r="14077" spans="1:7" x14ac:dyDescent="0.25">
      <c r="A14077">
        <v>39</v>
      </c>
      <c r="B14077" t="s">
        <v>13774</v>
      </c>
      <c r="C14077">
        <v>9532</v>
      </c>
      <c r="D14077" t="str">
        <f>"1070-986X"</f>
        <v>1070-986X</v>
      </c>
      <c r="E14077" t="s">
        <v>8</v>
      </c>
      <c r="F14077" t="s">
        <v>14080</v>
      </c>
      <c r="G14077">
        <v>1</v>
      </c>
    </row>
    <row r="14078" spans="1:7" x14ac:dyDescent="0.25">
      <c r="A14078">
        <v>39</v>
      </c>
      <c r="B14078" t="s">
        <v>13774</v>
      </c>
      <c r="C14078">
        <v>8782958</v>
      </c>
      <c r="E14078" t="s">
        <v>2100</v>
      </c>
      <c r="F14078" t="s">
        <v>14081</v>
      </c>
      <c r="G14078">
        <v>1</v>
      </c>
    </row>
    <row r="14079" spans="1:7" x14ac:dyDescent="0.25">
      <c r="A14079">
        <v>39</v>
      </c>
      <c r="B14079" t="s">
        <v>13774</v>
      </c>
      <c r="C14079">
        <v>8782957</v>
      </c>
      <c r="E14079" t="s">
        <v>2100</v>
      </c>
      <c r="F14079" t="s">
        <v>14082</v>
      </c>
      <c r="G14079">
        <v>1</v>
      </c>
    </row>
    <row r="14080" spans="1:7" x14ac:dyDescent="0.25">
      <c r="A14080">
        <v>39</v>
      </c>
      <c r="B14080" t="s">
        <v>13774</v>
      </c>
      <c r="C14080">
        <v>8783085</v>
      </c>
      <c r="E14080" t="s">
        <v>2100</v>
      </c>
      <c r="F14080" t="s">
        <v>14083</v>
      </c>
      <c r="G14080">
        <v>1</v>
      </c>
    </row>
    <row r="14081" spans="1:7" x14ac:dyDescent="0.25">
      <c r="A14081">
        <v>39</v>
      </c>
      <c r="B14081" t="s">
        <v>13774</v>
      </c>
      <c r="C14081">
        <v>8782961</v>
      </c>
      <c r="D14081" t="str">
        <f>"2157-4839"</f>
        <v>2157-4839</v>
      </c>
      <c r="E14081" t="s">
        <v>2100</v>
      </c>
      <c r="F14081" t="s">
        <v>14084</v>
      </c>
      <c r="G14081">
        <v>1</v>
      </c>
    </row>
    <row r="14082" spans="1:7" x14ac:dyDescent="0.25">
      <c r="A14082">
        <v>39</v>
      </c>
      <c r="B14082" t="s">
        <v>13774</v>
      </c>
      <c r="C14082">
        <v>8782960</v>
      </c>
      <c r="E14082" t="s">
        <v>2100</v>
      </c>
      <c r="F14082" t="s">
        <v>14085</v>
      </c>
      <c r="G14082">
        <v>1</v>
      </c>
    </row>
    <row r="14083" spans="1:7" x14ac:dyDescent="0.25">
      <c r="A14083">
        <v>39</v>
      </c>
      <c r="B14083" t="s">
        <v>13774</v>
      </c>
      <c r="C14083">
        <v>8782959</v>
      </c>
      <c r="E14083" t="s">
        <v>2100</v>
      </c>
      <c r="F14083" t="s">
        <v>14086</v>
      </c>
      <c r="G14083">
        <v>1</v>
      </c>
    </row>
    <row r="14084" spans="1:7" x14ac:dyDescent="0.25">
      <c r="A14084">
        <v>39</v>
      </c>
      <c r="B14084" t="s">
        <v>13774</v>
      </c>
      <c r="C14084">
        <v>8782701</v>
      </c>
      <c r="E14084" t="s">
        <v>2100</v>
      </c>
      <c r="F14084" t="s">
        <v>14087</v>
      </c>
      <c r="G14084">
        <v>1</v>
      </c>
    </row>
    <row r="14085" spans="1:7" x14ac:dyDescent="0.25">
      <c r="A14085">
        <v>39</v>
      </c>
      <c r="B14085" t="s">
        <v>13774</v>
      </c>
      <c r="C14085">
        <v>8782702</v>
      </c>
      <c r="E14085" t="s">
        <v>2100</v>
      </c>
      <c r="F14085" t="s">
        <v>14088</v>
      </c>
      <c r="G14085">
        <v>1</v>
      </c>
    </row>
    <row r="14086" spans="1:7" x14ac:dyDescent="0.25">
      <c r="A14086">
        <v>39</v>
      </c>
      <c r="B14086" t="s">
        <v>13774</v>
      </c>
      <c r="C14086">
        <v>8782588</v>
      </c>
      <c r="E14086" t="s">
        <v>2100</v>
      </c>
      <c r="F14086" t="s">
        <v>14089</v>
      </c>
      <c r="G14086">
        <v>1</v>
      </c>
    </row>
    <row r="14087" spans="1:7" x14ac:dyDescent="0.25">
      <c r="A14087">
        <v>39</v>
      </c>
      <c r="B14087" t="s">
        <v>13774</v>
      </c>
      <c r="C14087">
        <v>8782956</v>
      </c>
      <c r="D14087" t="str">
        <f>"2330-5665"</f>
        <v>2330-5665</v>
      </c>
      <c r="E14087" t="s">
        <v>2100</v>
      </c>
      <c r="F14087" t="s">
        <v>14090</v>
      </c>
      <c r="G14087">
        <v>1</v>
      </c>
    </row>
    <row r="14088" spans="1:7" x14ac:dyDescent="0.25">
      <c r="A14088">
        <v>39</v>
      </c>
      <c r="B14088" t="s">
        <v>13774</v>
      </c>
      <c r="C14088">
        <v>6144266</v>
      </c>
      <c r="D14088" t="str">
        <f>"1943-0655"</f>
        <v>1943-0655</v>
      </c>
      <c r="E14088" t="s">
        <v>8</v>
      </c>
      <c r="F14088" t="s">
        <v>14091</v>
      </c>
      <c r="G14088">
        <v>1</v>
      </c>
    </row>
    <row r="14089" spans="1:7" x14ac:dyDescent="0.25">
      <c r="A14089">
        <v>39</v>
      </c>
      <c r="B14089" t="s">
        <v>13774</v>
      </c>
      <c r="C14089">
        <v>8783105</v>
      </c>
      <c r="D14089" t="str">
        <f>"1944-9925"</f>
        <v>1944-9925</v>
      </c>
      <c r="E14089" t="s">
        <v>2100</v>
      </c>
      <c r="F14089" t="s">
        <v>14092</v>
      </c>
      <c r="G14089">
        <v>1</v>
      </c>
    </row>
    <row r="14090" spans="1:7" x14ac:dyDescent="0.25">
      <c r="A14090">
        <v>39</v>
      </c>
      <c r="B14090" t="s">
        <v>13774</v>
      </c>
      <c r="C14090">
        <v>8783104</v>
      </c>
      <c r="E14090" t="s">
        <v>2100</v>
      </c>
      <c r="F14090" t="s">
        <v>14093</v>
      </c>
      <c r="G14090">
        <v>1</v>
      </c>
    </row>
    <row r="14091" spans="1:7" x14ac:dyDescent="0.25">
      <c r="A14091">
        <v>39</v>
      </c>
      <c r="B14091" t="s">
        <v>13774</v>
      </c>
      <c r="C14091">
        <v>8782587</v>
      </c>
      <c r="E14091" t="s">
        <v>2100</v>
      </c>
      <c r="F14091" t="s">
        <v>14094</v>
      </c>
      <c r="G14091">
        <v>1</v>
      </c>
    </row>
    <row r="14092" spans="1:7" x14ac:dyDescent="0.25">
      <c r="A14092">
        <v>39</v>
      </c>
      <c r="B14092" t="s">
        <v>13774</v>
      </c>
      <c r="C14092">
        <v>8783301</v>
      </c>
      <c r="E14092" t="s">
        <v>2100</v>
      </c>
      <c r="F14092" t="s">
        <v>14095</v>
      </c>
      <c r="G14092">
        <v>1</v>
      </c>
    </row>
    <row r="14093" spans="1:7" x14ac:dyDescent="0.25">
      <c r="A14093">
        <v>39</v>
      </c>
      <c r="B14093" t="s">
        <v>13774</v>
      </c>
      <c r="C14093">
        <v>8783102</v>
      </c>
      <c r="E14093" t="s">
        <v>2100</v>
      </c>
      <c r="F14093" t="s">
        <v>14096</v>
      </c>
      <c r="G14093">
        <v>1</v>
      </c>
    </row>
    <row r="14094" spans="1:7" x14ac:dyDescent="0.25">
      <c r="A14094">
        <v>39</v>
      </c>
      <c r="B14094" t="s">
        <v>13774</v>
      </c>
      <c r="C14094">
        <v>2133</v>
      </c>
      <c r="D14094" t="str">
        <f>"1529-2517"</f>
        <v>1529-2517</v>
      </c>
      <c r="E14094" t="s">
        <v>8</v>
      </c>
      <c r="F14094" t="s">
        <v>14097</v>
      </c>
      <c r="G14094">
        <v>1</v>
      </c>
    </row>
    <row r="14095" spans="1:7" x14ac:dyDescent="0.25">
      <c r="A14095">
        <v>39</v>
      </c>
      <c r="B14095" t="s">
        <v>13774</v>
      </c>
      <c r="C14095">
        <v>8783103</v>
      </c>
      <c r="E14095" t="s">
        <v>2100</v>
      </c>
      <c r="F14095" t="s">
        <v>14098</v>
      </c>
      <c r="G14095">
        <v>1</v>
      </c>
    </row>
    <row r="14096" spans="1:7" x14ac:dyDescent="0.25">
      <c r="A14096">
        <v>39</v>
      </c>
      <c r="B14096" t="s">
        <v>13774</v>
      </c>
      <c r="C14096">
        <v>8783077</v>
      </c>
      <c r="D14096" t="str">
        <f>"1930-0395"</f>
        <v>1930-0395</v>
      </c>
      <c r="E14096" t="s">
        <v>2100</v>
      </c>
      <c r="F14096" t="s">
        <v>14099</v>
      </c>
      <c r="G14096">
        <v>1</v>
      </c>
    </row>
    <row r="14097" spans="1:7" x14ac:dyDescent="0.25">
      <c r="A14097">
        <v>39</v>
      </c>
      <c r="B14097" t="s">
        <v>13774</v>
      </c>
      <c r="C14097">
        <v>13979</v>
      </c>
      <c r="D14097" t="str">
        <f>"1070-9908"</f>
        <v>1070-9908</v>
      </c>
      <c r="E14097" t="s">
        <v>8</v>
      </c>
      <c r="F14097" t="s">
        <v>14100</v>
      </c>
      <c r="G14097">
        <v>1</v>
      </c>
    </row>
    <row r="14098" spans="1:7" x14ac:dyDescent="0.25">
      <c r="A14098">
        <v>39</v>
      </c>
      <c r="B14098" t="s">
        <v>13774</v>
      </c>
      <c r="C14098">
        <v>8783101</v>
      </c>
      <c r="E14098" t="s">
        <v>2100</v>
      </c>
      <c r="F14098" t="s">
        <v>14101</v>
      </c>
      <c r="G14098">
        <v>1</v>
      </c>
    </row>
    <row r="14099" spans="1:7" x14ac:dyDescent="0.25">
      <c r="A14099">
        <v>39</v>
      </c>
      <c r="B14099" t="s">
        <v>13774</v>
      </c>
      <c r="C14099">
        <v>2935</v>
      </c>
      <c r="D14099" t="str">
        <f>"0018-9235"</f>
        <v>0018-9235</v>
      </c>
      <c r="E14099" t="s">
        <v>8</v>
      </c>
      <c r="F14099" t="s">
        <v>14102</v>
      </c>
      <c r="G14099">
        <v>1</v>
      </c>
    </row>
    <row r="14100" spans="1:7" x14ac:dyDescent="0.25">
      <c r="A14100">
        <v>39</v>
      </c>
      <c r="B14100" t="s">
        <v>13774</v>
      </c>
      <c r="C14100">
        <v>8783100</v>
      </c>
      <c r="E14100" t="s">
        <v>2100</v>
      </c>
      <c r="F14100" t="s">
        <v>14103</v>
      </c>
      <c r="G14100">
        <v>1</v>
      </c>
    </row>
    <row r="14101" spans="1:7" x14ac:dyDescent="0.25">
      <c r="A14101">
        <v>39</v>
      </c>
      <c r="B14101" t="s">
        <v>13774</v>
      </c>
      <c r="C14101">
        <v>8783094</v>
      </c>
      <c r="E14101" t="s">
        <v>2100</v>
      </c>
      <c r="F14101" t="s">
        <v>14104</v>
      </c>
      <c r="G14101">
        <v>1</v>
      </c>
    </row>
    <row r="14102" spans="1:7" x14ac:dyDescent="0.25">
      <c r="A14102">
        <v>39</v>
      </c>
      <c r="B14102" t="s">
        <v>13774</v>
      </c>
      <c r="C14102">
        <v>8783099</v>
      </c>
      <c r="D14102" t="str">
        <f>"1081-6011"</f>
        <v>1081-6011</v>
      </c>
      <c r="E14102" t="s">
        <v>2100</v>
      </c>
      <c r="F14102" t="s">
        <v>14105</v>
      </c>
      <c r="G14102">
        <v>1</v>
      </c>
    </row>
    <row r="14103" spans="1:7" x14ac:dyDescent="0.25">
      <c r="A14103">
        <v>39</v>
      </c>
      <c r="B14103" t="s">
        <v>13774</v>
      </c>
      <c r="C14103">
        <v>12566</v>
      </c>
      <c r="D14103" t="str">
        <f>"0278-0097"</f>
        <v>0278-0097</v>
      </c>
      <c r="E14103" t="s">
        <v>8</v>
      </c>
      <c r="F14103" t="s">
        <v>14106</v>
      </c>
      <c r="G14103">
        <v>1</v>
      </c>
    </row>
    <row r="14104" spans="1:7" x14ac:dyDescent="0.25">
      <c r="A14104">
        <v>39</v>
      </c>
      <c r="B14104" t="s">
        <v>13774</v>
      </c>
      <c r="C14104">
        <v>12850</v>
      </c>
      <c r="D14104" t="str">
        <f>"0018-9251"</f>
        <v>0018-9251</v>
      </c>
      <c r="E14104" t="s">
        <v>8</v>
      </c>
      <c r="F14104" t="s">
        <v>14107</v>
      </c>
      <c r="G14104">
        <v>1</v>
      </c>
    </row>
    <row r="14105" spans="1:7" x14ac:dyDescent="0.25">
      <c r="A14105">
        <v>39</v>
      </c>
      <c r="B14105" t="s">
        <v>13774</v>
      </c>
      <c r="C14105">
        <v>13742</v>
      </c>
      <c r="D14105" t="str">
        <f>"1051-8223"</f>
        <v>1051-8223</v>
      </c>
      <c r="E14105" t="s">
        <v>8</v>
      </c>
      <c r="F14105" t="s">
        <v>14108</v>
      </c>
      <c r="G14105">
        <v>1</v>
      </c>
    </row>
    <row r="14106" spans="1:7" x14ac:dyDescent="0.25">
      <c r="A14106">
        <v>39</v>
      </c>
      <c r="B14106" t="s">
        <v>13774</v>
      </c>
      <c r="C14106">
        <v>9378</v>
      </c>
      <c r="D14106" t="str">
        <f>"1932-4545"</f>
        <v>1932-4545</v>
      </c>
      <c r="E14106" t="s">
        <v>8</v>
      </c>
      <c r="F14106" t="s">
        <v>14109</v>
      </c>
      <c r="G14106">
        <v>1</v>
      </c>
    </row>
    <row r="14107" spans="1:7" x14ac:dyDescent="0.25">
      <c r="A14107">
        <v>39</v>
      </c>
      <c r="B14107" t="s">
        <v>13774</v>
      </c>
      <c r="C14107">
        <v>2949</v>
      </c>
      <c r="D14107" t="str">
        <f>"0018-9316"</f>
        <v>0018-9316</v>
      </c>
      <c r="E14107" t="s">
        <v>8</v>
      </c>
      <c r="F14107" t="s">
        <v>14110</v>
      </c>
      <c r="G14107">
        <v>1</v>
      </c>
    </row>
    <row r="14108" spans="1:7" x14ac:dyDescent="0.25">
      <c r="A14108">
        <v>39</v>
      </c>
      <c r="B14108" t="s">
        <v>13774</v>
      </c>
      <c r="C14108">
        <v>5931</v>
      </c>
      <c r="D14108" t="str">
        <f>"1051-8215"</f>
        <v>1051-8215</v>
      </c>
      <c r="E14108" t="s">
        <v>8</v>
      </c>
      <c r="F14108" t="s">
        <v>14111</v>
      </c>
      <c r="G14108">
        <v>1</v>
      </c>
    </row>
    <row r="14109" spans="1:7" x14ac:dyDescent="0.25">
      <c r="A14109">
        <v>39</v>
      </c>
      <c r="B14109" t="s">
        <v>13774</v>
      </c>
      <c r="C14109">
        <v>17390</v>
      </c>
      <c r="D14109" t="str">
        <f>"1549-7747"</f>
        <v>1549-7747</v>
      </c>
      <c r="E14109" t="s">
        <v>8</v>
      </c>
      <c r="F14109" t="s">
        <v>14112</v>
      </c>
      <c r="G14109">
        <v>1</v>
      </c>
    </row>
    <row r="14110" spans="1:7" x14ac:dyDescent="0.25">
      <c r="A14110">
        <v>39</v>
      </c>
      <c r="B14110" t="s">
        <v>13774</v>
      </c>
      <c r="C14110">
        <v>18138</v>
      </c>
      <c r="D14110" t="str">
        <f>"1549-8328"</f>
        <v>1549-8328</v>
      </c>
      <c r="E14110" t="s">
        <v>8</v>
      </c>
      <c r="F14110" t="s">
        <v>14113</v>
      </c>
      <c r="G14110">
        <v>1</v>
      </c>
    </row>
    <row r="14111" spans="1:7" x14ac:dyDescent="0.25">
      <c r="A14111">
        <v>39</v>
      </c>
      <c r="B14111" t="s">
        <v>13774</v>
      </c>
      <c r="C14111">
        <v>16614</v>
      </c>
      <c r="D14111" t="str">
        <f>"2156-3950"</f>
        <v>2156-3950</v>
      </c>
      <c r="E14111" t="s">
        <v>8</v>
      </c>
      <c r="F14111" t="s">
        <v>14114</v>
      </c>
      <c r="G14111">
        <v>1</v>
      </c>
    </row>
    <row r="14112" spans="1:7" x14ac:dyDescent="0.25">
      <c r="A14112">
        <v>39</v>
      </c>
      <c r="B14112" t="s">
        <v>13774</v>
      </c>
      <c r="C14112">
        <v>9016</v>
      </c>
      <c r="E14112" t="s">
        <v>8</v>
      </c>
      <c r="F14112" t="s">
        <v>14114</v>
      </c>
      <c r="G14112">
        <v>1</v>
      </c>
    </row>
    <row r="14113" spans="1:7" x14ac:dyDescent="0.25">
      <c r="A14113">
        <v>39</v>
      </c>
      <c r="B14113" t="s">
        <v>13774</v>
      </c>
      <c r="C14113">
        <v>16487</v>
      </c>
      <c r="D14113" t="str">
        <f>"0278-0070"</f>
        <v>0278-0070</v>
      </c>
      <c r="E14113" t="s">
        <v>8</v>
      </c>
      <c r="F14113" t="s">
        <v>14115</v>
      </c>
      <c r="G14113">
        <v>1</v>
      </c>
    </row>
    <row r="14114" spans="1:7" x14ac:dyDescent="0.25">
      <c r="A14114">
        <v>39</v>
      </c>
      <c r="B14114" t="s">
        <v>13774</v>
      </c>
      <c r="C14114">
        <v>11942</v>
      </c>
      <c r="D14114" t="str">
        <f>"0098-3063"</f>
        <v>0098-3063</v>
      </c>
      <c r="E14114" t="s">
        <v>8</v>
      </c>
      <c r="F14114" t="s">
        <v>14116</v>
      </c>
      <c r="G14114">
        <v>1</v>
      </c>
    </row>
    <row r="14115" spans="1:7" x14ac:dyDescent="0.25">
      <c r="A14115">
        <v>39</v>
      </c>
      <c r="B14115" t="s">
        <v>13774</v>
      </c>
      <c r="C14115">
        <v>12923</v>
      </c>
      <c r="D14115" t="str">
        <f>"1530-4388"</f>
        <v>1530-4388</v>
      </c>
      <c r="E14115" t="s">
        <v>8</v>
      </c>
      <c r="F14115" t="s">
        <v>14117</v>
      </c>
      <c r="G14115">
        <v>1</v>
      </c>
    </row>
    <row r="14116" spans="1:7" x14ac:dyDescent="0.25">
      <c r="A14116">
        <v>39</v>
      </c>
      <c r="B14116" t="s">
        <v>13774</v>
      </c>
      <c r="C14116">
        <v>5330</v>
      </c>
      <c r="D14116" t="str">
        <f>"0018-9375"</f>
        <v>0018-9375</v>
      </c>
      <c r="E14116" t="s">
        <v>8</v>
      </c>
      <c r="F14116" t="s">
        <v>14118</v>
      </c>
      <c r="G14116">
        <v>1</v>
      </c>
    </row>
    <row r="14117" spans="1:7" x14ac:dyDescent="0.25">
      <c r="A14117">
        <v>39</v>
      </c>
      <c r="B14117" t="s">
        <v>13774</v>
      </c>
      <c r="C14117">
        <v>16617</v>
      </c>
      <c r="D14117" t="str">
        <f>"0018-9383"</f>
        <v>0018-9383</v>
      </c>
      <c r="E14117" t="s">
        <v>8</v>
      </c>
      <c r="F14117" t="s">
        <v>14119</v>
      </c>
      <c r="G14117">
        <v>1</v>
      </c>
    </row>
    <row r="14118" spans="1:7" x14ac:dyDescent="0.25">
      <c r="A14118">
        <v>39</v>
      </c>
      <c r="B14118" t="s">
        <v>13774</v>
      </c>
      <c r="C14118">
        <v>4055</v>
      </c>
      <c r="D14118" t="str">
        <f>"0018-9456"</f>
        <v>0018-9456</v>
      </c>
      <c r="E14118" t="s">
        <v>8</v>
      </c>
      <c r="F14118" t="s">
        <v>14120</v>
      </c>
      <c r="G14118">
        <v>1</v>
      </c>
    </row>
    <row r="14119" spans="1:7" x14ac:dyDescent="0.25">
      <c r="A14119">
        <v>39</v>
      </c>
      <c r="B14119" t="s">
        <v>13774</v>
      </c>
      <c r="C14119">
        <v>11145</v>
      </c>
      <c r="D14119" t="str">
        <f>"0018-9464"</f>
        <v>0018-9464</v>
      </c>
      <c r="E14119" t="s">
        <v>8</v>
      </c>
      <c r="F14119" t="s">
        <v>14121</v>
      </c>
      <c r="G14119">
        <v>1</v>
      </c>
    </row>
    <row r="14120" spans="1:7" x14ac:dyDescent="0.25">
      <c r="A14120">
        <v>39</v>
      </c>
      <c r="B14120" t="s">
        <v>13774</v>
      </c>
      <c r="C14120">
        <v>8546</v>
      </c>
      <c r="D14120" t="str">
        <f>"1045-9219"</f>
        <v>1045-9219</v>
      </c>
      <c r="E14120" t="s">
        <v>8</v>
      </c>
      <c r="F14120" t="s">
        <v>14122</v>
      </c>
      <c r="G14120">
        <v>1</v>
      </c>
    </row>
    <row r="14121" spans="1:7" x14ac:dyDescent="0.25">
      <c r="A14121">
        <v>39</v>
      </c>
      <c r="B14121" t="s">
        <v>13774</v>
      </c>
      <c r="C14121">
        <v>13933</v>
      </c>
      <c r="D14121" t="str">
        <f>"0018-9529"</f>
        <v>0018-9529</v>
      </c>
      <c r="E14121" t="s">
        <v>8</v>
      </c>
      <c r="F14121" t="s">
        <v>14123</v>
      </c>
      <c r="G14121">
        <v>1</v>
      </c>
    </row>
    <row r="14122" spans="1:7" x14ac:dyDescent="0.25">
      <c r="A14122">
        <v>39</v>
      </c>
      <c r="B14122" t="s">
        <v>13774</v>
      </c>
      <c r="C14122">
        <v>1256</v>
      </c>
      <c r="D14122" t="str">
        <f>"0894-6507"</f>
        <v>0894-6507</v>
      </c>
      <c r="E14122" t="s">
        <v>8</v>
      </c>
      <c r="F14122" t="s">
        <v>14124</v>
      </c>
      <c r="G14122">
        <v>1</v>
      </c>
    </row>
    <row r="14123" spans="1:7" x14ac:dyDescent="0.25">
      <c r="A14123">
        <v>39</v>
      </c>
      <c r="B14123" t="s">
        <v>13774</v>
      </c>
      <c r="C14123">
        <v>7700421</v>
      </c>
      <c r="D14123" t="str">
        <f>"2156-342X"</f>
        <v>2156-342X</v>
      </c>
      <c r="E14123" t="s">
        <v>8</v>
      </c>
      <c r="F14123" t="s">
        <v>14125</v>
      </c>
      <c r="G14123">
        <v>1</v>
      </c>
    </row>
    <row r="14124" spans="1:7" x14ac:dyDescent="0.25">
      <c r="A14124">
        <v>39</v>
      </c>
      <c r="B14124" t="s">
        <v>13774</v>
      </c>
      <c r="C14124">
        <v>8783098</v>
      </c>
      <c r="E14124" t="s">
        <v>2100</v>
      </c>
      <c r="F14124" t="s">
        <v>14126</v>
      </c>
      <c r="G14124">
        <v>1</v>
      </c>
    </row>
    <row r="14125" spans="1:7" x14ac:dyDescent="0.25">
      <c r="A14125">
        <v>39</v>
      </c>
      <c r="B14125" t="s">
        <v>13774</v>
      </c>
      <c r="C14125">
        <v>8783097</v>
      </c>
      <c r="E14125" t="s">
        <v>2100</v>
      </c>
      <c r="F14125" t="s">
        <v>14127</v>
      </c>
      <c r="G14125">
        <v>1</v>
      </c>
    </row>
    <row r="14126" spans="1:7" x14ac:dyDescent="0.25">
      <c r="A14126">
        <v>39</v>
      </c>
      <c r="B14126" t="s">
        <v>13774</v>
      </c>
      <c r="C14126">
        <v>8783096</v>
      </c>
      <c r="E14126" t="s">
        <v>2100</v>
      </c>
      <c r="F14126" t="s">
        <v>14128</v>
      </c>
      <c r="G14126">
        <v>1</v>
      </c>
    </row>
    <row r="14127" spans="1:7" x14ac:dyDescent="0.25">
      <c r="A14127">
        <v>39</v>
      </c>
      <c r="B14127" t="s">
        <v>13774</v>
      </c>
      <c r="C14127">
        <v>7732269</v>
      </c>
      <c r="D14127" t="str">
        <f>"2162-2337"</f>
        <v>2162-2337</v>
      </c>
      <c r="E14127" t="s">
        <v>8</v>
      </c>
      <c r="F14127" t="s">
        <v>14129</v>
      </c>
      <c r="G14127">
        <v>1</v>
      </c>
    </row>
    <row r="14128" spans="1:7" x14ac:dyDescent="0.25">
      <c r="A14128">
        <v>39</v>
      </c>
      <c r="B14128" t="s">
        <v>13774</v>
      </c>
      <c r="C14128">
        <v>8782919</v>
      </c>
      <c r="E14128" t="s">
        <v>2100</v>
      </c>
      <c r="F14128" t="s">
        <v>14130</v>
      </c>
      <c r="G14128">
        <v>1</v>
      </c>
    </row>
    <row r="14129" spans="1:7" x14ac:dyDescent="0.25">
      <c r="A14129">
        <v>39</v>
      </c>
      <c r="B14129" t="s">
        <v>13774</v>
      </c>
      <c r="C14129">
        <v>8783257</v>
      </c>
      <c r="E14129" t="s">
        <v>2100</v>
      </c>
      <c r="F14129" t="s">
        <v>14131</v>
      </c>
      <c r="G14129">
        <v>1</v>
      </c>
    </row>
    <row r="14130" spans="1:7" x14ac:dyDescent="0.25">
      <c r="A14130">
        <v>39</v>
      </c>
      <c r="B14130" t="s">
        <v>13774</v>
      </c>
      <c r="C14130">
        <v>8783095</v>
      </c>
      <c r="E14130" t="s">
        <v>2100</v>
      </c>
      <c r="F14130" t="s">
        <v>14132</v>
      </c>
      <c r="G14130">
        <v>1</v>
      </c>
    </row>
    <row r="14131" spans="1:7" x14ac:dyDescent="0.25">
      <c r="A14131">
        <v>39</v>
      </c>
      <c r="B14131" t="s">
        <v>13774</v>
      </c>
      <c r="C14131">
        <v>8783086</v>
      </c>
      <c r="E14131" t="s">
        <v>2100</v>
      </c>
      <c r="F14131" t="s">
        <v>14133</v>
      </c>
      <c r="G14131">
        <v>1</v>
      </c>
    </row>
    <row r="14132" spans="1:7" x14ac:dyDescent="0.25">
      <c r="A14132">
        <v>39</v>
      </c>
      <c r="B14132" t="s">
        <v>13774</v>
      </c>
      <c r="C14132">
        <v>4599</v>
      </c>
      <c r="D14132" t="str">
        <f>"0916-8516"</f>
        <v>0916-8516</v>
      </c>
      <c r="E14132" t="s">
        <v>8</v>
      </c>
      <c r="F14132" t="s">
        <v>14134</v>
      </c>
      <c r="G14132">
        <v>1</v>
      </c>
    </row>
    <row r="14133" spans="1:7" x14ac:dyDescent="0.25">
      <c r="A14133">
        <v>39</v>
      </c>
      <c r="B14133" t="s">
        <v>13774</v>
      </c>
      <c r="C14133">
        <v>17517</v>
      </c>
      <c r="D14133" t="str">
        <f>"1751-858X"</f>
        <v>1751-858X</v>
      </c>
      <c r="E14133" t="s">
        <v>8</v>
      </c>
      <c r="F14133" t="s">
        <v>14135</v>
      </c>
      <c r="G14133">
        <v>1</v>
      </c>
    </row>
    <row r="14134" spans="1:7" x14ac:dyDescent="0.25">
      <c r="A14134">
        <v>39</v>
      </c>
      <c r="B14134" t="s">
        <v>13774</v>
      </c>
      <c r="C14134">
        <v>8783198</v>
      </c>
      <c r="E14134" t="s">
        <v>2100</v>
      </c>
      <c r="F14134" t="s">
        <v>14136</v>
      </c>
      <c r="G14134">
        <v>1</v>
      </c>
    </row>
    <row r="14135" spans="1:7" x14ac:dyDescent="0.25">
      <c r="A14135">
        <v>39</v>
      </c>
      <c r="B14135" t="s">
        <v>13774</v>
      </c>
      <c r="C14135">
        <v>3178</v>
      </c>
      <c r="D14135" t="str">
        <f>"1751-8644"</f>
        <v>1751-8644</v>
      </c>
      <c r="E14135" t="s">
        <v>8</v>
      </c>
      <c r="F14135" t="s">
        <v>14137</v>
      </c>
      <c r="G14135">
        <v>1</v>
      </c>
    </row>
    <row r="14136" spans="1:7" x14ac:dyDescent="0.25">
      <c r="A14136">
        <v>39</v>
      </c>
      <c r="B14136" t="s">
        <v>13774</v>
      </c>
      <c r="C14136">
        <v>17993</v>
      </c>
      <c r="D14136" t="str">
        <f>"1751-8660"</f>
        <v>1751-8660</v>
      </c>
      <c r="E14136" t="s">
        <v>8</v>
      </c>
      <c r="F14136" t="s">
        <v>14138</v>
      </c>
      <c r="G14136">
        <v>1</v>
      </c>
    </row>
    <row r="14137" spans="1:7" x14ac:dyDescent="0.25">
      <c r="A14137">
        <v>39</v>
      </c>
      <c r="B14137" t="s">
        <v>13774</v>
      </c>
      <c r="C14137">
        <v>8783259</v>
      </c>
      <c r="E14137" t="s">
        <v>2100</v>
      </c>
      <c r="F14137" t="s">
        <v>14139</v>
      </c>
      <c r="G14137">
        <v>1</v>
      </c>
    </row>
    <row r="14138" spans="1:7" x14ac:dyDescent="0.25">
      <c r="A14138">
        <v>39</v>
      </c>
      <c r="B14138" t="s">
        <v>13774</v>
      </c>
      <c r="C14138">
        <v>8783273</v>
      </c>
      <c r="E14138" t="s">
        <v>2100</v>
      </c>
      <c r="F14138" t="s">
        <v>14140</v>
      </c>
      <c r="G14138">
        <v>1</v>
      </c>
    </row>
    <row r="14139" spans="1:7" x14ac:dyDescent="0.25">
      <c r="A14139">
        <v>39</v>
      </c>
      <c r="B14139" t="s">
        <v>13774</v>
      </c>
      <c r="C14139">
        <v>8783164</v>
      </c>
      <c r="E14139" t="s">
        <v>2100</v>
      </c>
      <c r="F14139" t="s">
        <v>14141</v>
      </c>
      <c r="G14139">
        <v>1</v>
      </c>
    </row>
    <row r="14140" spans="1:7" x14ac:dyDescent="0.25">
      <c r="A14140">
        <v>39</v>
      </c>
      <c r="B14140" t="s">
        <v>13774</v>
      </c>
      <c r="C14140">
        <v>8783162</v>
      </c>
      <c r="E14140" t="s">
        <v>2100</v>
      </c>
      <c r="F14140" t="s">
        <v>14142</v>
      </c>
      <c r="G14140">
        <v>1</v>
      </c>
    </row>
    <row r="14141" spans="1:7" x14ac:dyDescent="0.25">
      <c r="A14141">
        <v>39</v>
      </c>
      <c r="B14141" t="s">
        <v>13774</v>
      </c>
      <c r="C14141">
        <v>8783168</v>
      </c>
      <c r="E14141" t="s">
        <v>2100</v>
      </c>
      <c r="F14141" t="s">
        <v>14143</v>
      </c>
      <c r="G14141">
        <v>1</v>
      </c>
    </row>
    <row r="14142" spans="1:7" x14ac:dyDescent="0.25">
      <c r="A14142">
        <v>39</v>
      </c>
      <c r="B14142" t="s">
        <v>13774</v>
      </c>
      <c r="C14142">
        <v>17305</v>
      </c>
      <c r="D14142" t="str">
        <f>"1751-8725"</f>
        <v>1751-8725</v>
      </c>
      <c r="E14142" t="s">
        <v>8</v>
      </c>
      <c r="F14142" t="s">
        <v>14144</v>
      </c>
      <c r="G14142">
        <v>1</v>
      </c>
    </row>
    <row r="14143" spans="1:7" x14ac:dyDescent="0.25">
      <c r="A14143">
        <v>39</v>
      </c>
      <c r="B14143" t="s">
        <v>13774</v>
      </c>
      <c r="C14143">
        <v>17941</v>
      </c>
      <c r="D14143" t="str">
        <f>"1751-8768"</f>
        <v>1751-8768</v>
      </c>
      <c r="E14143" t="s">
        <v>8</v>
      </c>
      <c r="F14143" t="s">
        <v>14145</v>
      </c>
      <c r="G14143">
        <v>1</v>
      </c>
    </row>
    <row r="14144" spans="1:7" x14ac:dyDescent="0.25">
      <c r="A14144">
        <v>39</v>
      </c>
      <c r="B14144" t="s">
        <v>13774</v>
      </c>
      <c r="C14144">
        <v>74986</v>
      </c>
      <c r="D14144" t="str">
        <f>"1755-4535"</f>
        <v>1755-4535</v>
      </c>
      <c r="E14144" t="s">
        <v>8</v>
      </c>
      <c r="F14144" t="s">
        <v>14146</v>
      </c>
      <c r="G14144">
        <v>1</v>
      </c>
    </row>
    <row r="14145" spans="1:7" x14ac:dyDescent="0.25">
      <c r="A14145">
        <v>39</v>
      </c>
      <c r="B14145" t="s">
        <v>13774</v>
      </c>
      <c r="C14145">
        <v>17221</v>
      </c>
      <c r="D14145" t="str">
        <f>"1751-8784"</f>
        <v>1751-8784</v>
      </c>
      <c r="E14145" t="s">
        <v>8</v>
      </c>
      <c r="F14145" t="s">
        <v>14147</v>
      </c>
      <c r="G14145">
        <v>1</v>
      </c>
    </row>
    <row r="14146" spans="1:7" x14ac:dyDescent="0.25">
      <c r="A14146">
        <v>39</v>
      </c>
      <c r="B14146" t="s">
        <v>13774</v>
      </c>
      <c r="C14146">
        <v>8783131</v>
      </c>
      <c r="E14146" t="s">
        <v>2100</v>
      </c>
      <c r="F14146" t="s">
        <v>14148</v>
      </c>
      <c r="G14146">
        <v>1</v>
      </c>
    </row>
    <row r="14147" spans="1:7" x14ac:dyDescent="0.25">
      <c r="A14147">
        <v>39</v>
      </c>
      <c r="B14147" t="s">
        <v>13774</v>
      </c>
      <c r="C14147">
        <v>17463</v>
      </c>
      <c r="D14147" t="str">
        <f>"1751-8822"</f>
        <v>1751-8822</v>
      </c>
      <c r="E14147" t="s">
        <v>8</v>
      </c>
      <c r="F14147" t="s">
        <v>14149</v>
      </c>
      <c r="G14147">
        <v>1</v>
      </c>
    </row>
    <row r="14148" spans="1:7" x14ac:dyDescent="0.25">
      <c r="A14148">
        <v>39</v>
      </c>
      <c r="B14148" t="s">
        <v>13774</v>
      </c>
      <c r="C14148">
        <v>8783210</v>
      </c>
      <c r="E14148" t="s">
        <v>2100</v>
      </c>
      <c r="F14148" t="s">
        <v>14150</v>
      </c>
      <c r="G14148">
        <v>1</v>
      </c>
    </row>
    <row r="14149" spans="1:7" x14ac:dyDescent="0.25">
      <c r="A14149">
        <v>39</v>
      </c>
      <c r="B14149" t="s">
        <v>13774</v>
      </c>
      <c r="C14149">
        <v>14649</v>
      </c>
      <c r="D14149" t="str">
        <f>"0377-2063"</f>
        <v>0377-2063</v>
      </c>
      <c r="E14149" t="s">
        <v>8</v>
      </c>
      <c r="F14149" t="s">
        <v>14151</v>
      </c>
      <c r="G14149">
        <v>1</v>
      </c>
    </row>
    <row r="14150" spans="1:7" x14ac:dyDescent="0.25">
      <c r="A14150">
        <v>39</v>
      </c>
      <c r="B14150" t="s">
        <v>13774</v>
      </c>
      <c r="C14150">
        <v>8783300</v>
      </c>
      <c r="E14150" t="s">
        <v>2100</v>
      </c>
      <c r="F14150" t="s">
        <v>14152</v>
      </c>
      <c r="G14150">
        <v>1</v>
      </c>
    </row>
    <row r="14151" spans="1:7" x14ac:dyDescent="0.25">
      <c r="A14151">
        <v>39</v>
      </c>
      <c r="B14151" t="s">
        <v>13774</v>
      </c>
      <c r="C14151">
        <v>8783297</v>
      </c>
      <c r="E14151" t="s">
        <v>2100</v>
      </c>
      <c r="F14151" t="s">
        <v>14153</v>
      </c>
      <c r="G14151">
        <v>1</v>
      </c>
    </row>
    <row r="14152" spans="1:7" x14ac:dyDescent="0.25">
      <c r="A14152">
        <v>39</v>
      </c>
      <c r="B14152" t="s">
        <v>13774</v>
      </c>
      <c r="C14152">
        <v>8782590</v>
      </c>
      <c r="E14152" t="s">
        <v>2100</v>
      </c>
      <c r="F14152" t="s">
        <v>14154</v>
      </c>
      <c r="G14152">
        <v>1</v>
      </c>
    </row>
    <row r="14153" spans="1:7" x14ac:dyDescent="0.25">
      <c r="A14153">
        <v>39</v>
      </c>
      <c r="B14153" t="s">
        <v>13774</v>
      </c>
      <c r="C14153">
        <v>15225</v>
      </c>
      <c r="D14153" t="str">
        <f>"1369-4960"</f>
        <v>1369-4960</v>
      </c>
      <c r="E14153" t="s">
        <v>15</v>
      </c>
      <c r="F14153" t="s">
        <v>14155</v>
      </c>
      <c r="G14153">
        <v>1</v>
      </c>
    </row>
    <row r="14154" spans="1:7" x14ac:dyDescent="0.25">
      <c r="A14154">
        <v>39</v>
      </c>
      <c r="B14154" t="s">
        <v>13774</v>
      </c>
      <c r="C14154">
        <v>8782907</v>
      </c>
      <c r="D14154" t="str">
        <f>"2405-8963"</f>
        <v>2405-8963</v>
      </c>
      <c r="E14154" t="s">
        <v>15</v>
      </c>
      <c r="F14154" t="s">
        <v>14156</v>
      </c>
      <c r="G14154">
        <v>1</v>
      </c>
    </row>
    <row r="14155" spans="1:7" x14ac:dyDescent="0.25">
      <c r="A14155">
        <v>39</v>
      </c>
      <c r="B14155" t="s">
        <v>13774</v>
      </c>
      <c r="C14155">
        <v>8783249</v>
      </c>
      <c r="E14155" t="s">
        <v>2100</v>
      </c>
      <c r="F14155" t="s">
        <v>14157</v>
      </c>
      <c r="G14155">
        <v>1</v>
      </c>
    </row>
    <row r="14156" spans="1:7" x14ac:dyDescent="0.25">
      <c r="A14156">
        <v>39</v>
      </c>
      <c r="B14156" t="s">
        <v>13774</v>
      </c>
      <c r="C14156">
        <v>8783136</v>
      </c>
      <c r="E14156" t="s">
        <v>2100</v>
      </c>
      <c r="F14156" t="s">
        <v>14158</v>
      </c>
      <c r="G14156">
        <v>1</v>
      </c>
    </row>
    <row r="14157" spans="1:7" x14ac:dyDescent="0.25">
      <c r="A14157">
        <v>39</v>
      </c>
      <c r="B14157" t="s">
        <v>13774</v>
      </c>
      <c r="C14157">
        <v>16965</v>
      </c>
      <c r="D14157" t="str">
        <f>"0036-8792"</f>
        <v>0036-8792</v>
      </c>
      <c r="E14157" t="s">
        <v>8</v>
      </c>
      <c r="F14157" t="s">
        <v>14159</v>
      </c>
      <c r="G14157">
        <v>1</v>
      </c>
    </row>
    <row r="14158" spans="1:7" x14ac:dyDescent="0.25">
      <c r="A14158">
        <v>39</v>
      </c>
      <c r="B14158" t="s">
        <v>13774</v>
      </c>
      <c r="C14158">
        <v>9001</v>
      </c>
      <c r="D14158" t="str">
        <f>"0143-991X"</f>
        <v>0143-991X</v>
      </c>
      <c r="E14158" t="s">
        <v>8</v>
      </c>
      <c r="F14158" t="s">
        <v>14160</v>
      </c>
      <c r="G14158">
        <v>1</v>
      </c>
    </row>
    <row r="14159" spans="1:7" x14ac:dyDescent="0.25">
      <c r="A14159">
        <v>39</v>
      </c>
      <c r="B14159" t="s">
        <v>13774</v>
      </c>
      <c r="C14159">
        <v>25623</v>
      </c>
      <c r="D14159" t="str">
        <f>"1861-2776"</f>
        <v>1861-2776</v>
      </c>
      <c r="E14159" t="s">
        <v>8</v>
      </c>
      <c r="F14159" t="s">
        <v>14161</v>
      </c>
      <c r="G14159">
        <v>1</v>
      </c>
    </row>
    <row r="14160" spans="1:7" x14ac:dyDescent="0.25">
      <c r="A14160">
        <v>39</v>
      </c>
      <c r="B14160" t="s">
        <v>13774</v>
      </c>
      <c r="C14160">
        <v>8783255</v>
      </c>
      <c r="E14160" t="s">
        <v>2100</v>
      </c>
      <c r="F14160" t="s">
        <v>14162</v>
      </c>
      <c r="G14160">
        <v>1</v>
      </c>
    </row>
    <row r="14161" spans="1:7" x14ac:dyDescent="0.25">
      <c r="A14161">
        <v>39</v>
      </c>
      <c r="B14161" t="s">
        <v>13774</v>
      </c>
      <c r="C14161">
        <v>156453</v>
      </c>
      <c r="D14161" t="str">
        <f>"1736-3705"</f>
        <v>1736-3705</v>
      </c>
      <c r="E14161" t="s">
        <v>8</v>
      </c>
      <c r="F14161" t="s">
        <v>14163</v>
      </c>
      <c r="G14161">
        <v>1</v>
      </c>
    </row>
    <row r="14162" spans="1:7" x14ac:dyDescent="0.25">
      <c r="A14162">
        <v>39</v>
      </c>
      <c r="B14162" t="s">
        <v>13774</v>
      </c>
      <c r="C14162">
        <v>8783153</v>
      </c>
      <c r="D14162" t="str">
        <f>"0275-0473"</f>
        <v>0275-0473</v>
      </c>
      <c r="E14162" t="s">
        <v>2100</v>
      </c>
      <c r="F14162" t="s">
        <v>14164</v>
      </c>
      <c r="G14162">
        <v>1</v>
      </c>
    </row>
    <row r="14163" spans="1:7" x14ac:dyDescent="0.25">
      <c r="A14163">
        <v>39</v>
      </c>
      <c r="B14163" t="s">
        <v>13774</v>
      </c>
      <c r="C14163">
        <v>8782794</v>
      </c>
      <c r="E14163" t="s">
        <v>2100</v>
      </c>
      <c r="F14163" t="s">
        <v>14165</v>
      </c>
      <c r="G14163">
        <v>1</v>
      </c>
    </row>
    <row r="14164" spans="1:7" x14ac:dyDescent="0.25">
      <c r="A14164">
        <v>39</v>
      </c>
      <c r="B14164" t="s">
        <v>13774</v>
      </c>
      <c r="C14164">
        <v>8783244</v>
      </c>
      <c r="E14164" t="s">
        <v>2100</v>
      </c>
      <c r="F14164" t="s">
        <v>14166</v>
      </c>
      <c r="G14164">
        <v>1</v>
      </c>
    </row>
    <row r="14165" spans="1:7" x14ac:dyDescent="0.25">
      <c r="A14165">
        <v>39</v>
      </c>
      <c r="B14165" t="s">
        <v>13774</v>
      </c>
      <c r="C14165">
        <v>8782593</v>
      </c>
      <c r="E14165" t="s">
        <v>2100</v>
      </c>
      <c r="F14165" t="s">
        <v>14167</v>
      </c>
      <c r="G14165">
        <v>1</v>
      </c>
    </row>
    <row r="14166" spans="1:7" x14ac:dyDescent="0.25">
      <c r="A14166">
        <v>39</v>
      </c>
      <c r="B14166" t="s">
        <v>13774</v>
      </c>
      <c r="C14166">
        <v>8783044</v>
      </c>
      <c r="E14166" t="s">
        <v>2100</v>
      </c>
      <c r="F14166" t="s">
        <v>14168</v>
      </c>
      <c r="G14166">
        <v>1</v>
      </c>
    </row>
    <row r="14167" spans="1:7" x14ac:dyDescent="0.25">
      <c r="A14167">
        <v>39</v>
      </c>
      <c r="B14167" t="s">
        <v>13774</v>
      </c>
      <c r="C14167">
        <v>8783293</v>
      </c>
      <c r="E14167" t="s">
        <v>2100</v>
      </c>
      <c r="F14167" t="s">
        <v>14169</v>
      </c>
      <c r="G14167">
        <v>1</v>
      </c>
    </row>
    <row r="14168" spans="1:7" x14ac:dyDescent="0.25">
      <c r="A14168">
        <v>39</v>
      </c>
      <c r="B14168" t="s">
        <v>13774</v>
      </c>
      <c r="C14168">
        <v>8783134</v>
      </c>
      <c r="E14168" t="s">
        <v>2100</v>
      </c>
      <c r="F14168" t="s">
        <v>14170</v>
      </c>
      <c r="G14168">
        <v>1</v>
      </c>
    </row>
    <row r="14169" spans="1:7" x14ac:dyDescent="0.25">
      <c r="A14169">
        <v>39</v>
      </c>
      <c r="B14169" t="s">
        <v>13774</v>
      </c>
      <c r="C14169">
        <v>8783191</v>
      </c>
      <c r="E14169" t="s">
        <v>2100</v>
      </c>
      <c r="F14169" t="s">
        <v>14171</v>
      </c>
      <c r="G14169">
        <v>1</v>
      </c>
    </row>
    <row r="14170" spans="1:7" x14ac:dyDescent="0.25">
      <c r="A14170">
        <v>39</v>
      </c>
      <c r="B14170" t="s">
        <v>13774</v>
      </c>
      <c r="C14170">
        <v>8783247</v>
      </c>
      <c r="D14170" t="str">
        <f>"2162-1020"</f>
        <v>2162-1020</v>
      </c>
      <c r="E14170" t="s">
        <v>2100</v>
      </c>
      <c r="F14170" t="s">
        <v>14172</v>
      </c>
      <c r="G14170">
        <v>1</v>
      </c>
    </row>
    <row r="14171" spans="1:7" x14ac:dyDescent="0.25">
      <c r="A14171">
        <v>39</v>
      </c>
      <c r="B14171" t="s">
        <v>13774</v>
      </c>
      <c r="C14171">
        <v>8782955</v>
      </c>
      <c r="E14171" t="s">
        <v>2100</v>
      </c>
      <c r="F14171" t="s">
        <v>14173</v>
      </c>
      <c r="G14171">
        <v>1</v>
      </c>
    </row>
    <row r="14172" spans="1:7" x14ac:dyDescent="0.25">
      <c r="A14172">
        <v>39</v>
      </c>
      <c r="B14172" t="s">
        <v>13774</v>
      </c>
      <c r="C14172">
        <v>8782915</v>
      </c>
      <c r="E14172" t="s">
        <v>2100</v>
      </c>
      <c r="F14172" t="s">
        <v>14174</v>
      </c>
      <c r="G14172">
        <v>1</v>
      </c>
    </row>
    <row r="14173" spans="1:7" x14ac:dyDescent="0.25">
      <c r="A14173">
        <v>39</v>
      </c>
      <c r="B14173" t="s">
        <v>13774</v>
      </c>
      <c r="C14173">
        <v>8783292</v>
      </c>
      <c r="E14173" t="s">
        <v>2100</v>
      </c>
      <c r="F14173" t="s">
        <v>14175</v>
      </c>
      <c r="G14173">
        <v>1</v>
      </c>
    </row>
    <row r="14174" spans="1:7" x14ac:dyDescent="0.25">
      <c r="A14174">
        <v>39</v>
      </c>
      <c r="B14174" t="s">
        <v>13774</v>
      </c>
      <c r="C14174">
        <v>8783038</v>
      </c>
      <c r="E14174" t="s">
        <v>2100</v>
      </c>
      <c r="F14174" t="s">
        <v>14176</v>
      </c>
      <c r="G14174">
        <v>1</v>
      </c>
    </row>
    <row r="14175" spans="1:7" x14ac:dyDescent="0.25">
      <c r="A14175">
        <v>39</v>
      </c>
      <c r="B14175" t="s">
        <v>13774</v>
      </c>
      <c r="C14175">
        <v>8782954</v>
      </c>
      <c r="E14175" t="s">
        <v>2100</v>
      </c>
      <c r="F14175" t="s">
        <v>14177</v>
      </c>
      <c r="G14175">
        <v>1</v>
      </c>
    </row>
    <row r="14176" spans="1:7" x14ac:dyDescent="0.25">
      <c r="A14176">
        <v>39</v>
      </c>
      <c r="B14176" t="s">
        <v>13774</v>
      </c>
      <c r="C14176">
        <v>8783246</v>
      </c>
      <c r="E14176" t="s">
        <v>2100</v>
      </c>
      <c r="F14176" t="s">
        <v>14178</v>
      </c>
      <c r="G14176">
        <v>1</v>
      </c>
    </row>
    <row r="14177" spans="1:7" x14ac:dyDescent="0.25">
      <c r="A14177">
        <v>39</v>
      </c>
      <c r="B14177" t="s">
        <v>13774</v>
      </c>
      <c r="C14177">
        <v>8783295</v>
      </c>
      <c r="D14177" t="str">
        <f>"2162-1195  "</f>
        <v xml:space="preserve">2162-1195  </v>
      </c>
      <c r="E14177" t="s">
        <v>2100</v>
      </c>
      <c r="F14177" t="s">
        <v>14179</v>
      </c>
      <c r="G14177">
        <v>1</v>
      </c>
    </row>
    <row r="14178" spans="1:7" x14ac:dyDescent="0.25">
      <c r="A14178">
        <v>39</v>
      </c>
      <c r="B14178" t="s">
        <v>13774</v>
      </c>
      <c r="C14178">
        <v>8783160</v>
      </c>
      <c r="E14178" t="s">
        <v>2100</v>
      </c>
      <c r="F14178" t="s">
        <v>14180</v>
      </c>
      <c r="G14178">
        <v>1</v>
      </c>
    </row>
    <row r="14179" spans="1:7" x14ac:dyDescent="0.25">
      <c r="A14179">
        <v>39</v>
      </c>
      <c r="B14179" t="s">
        <v>13774</v>
      </c>
      <c r="C14179">
        <v>8782953</v>
      </c>
      <c r="E14179" t="s">
        <v>2100</v>
      </c>
      <c r="F14179" t="s">
        <v>14181</v>
      </c>
      <c r="G14179">
        <v>1</v>
      </c>
    </row>
    <row r="14180" spans="1:7" x14ac:dyDescent="0.25">
      <c r="A14180">
        <v>39</v>
      </c>
      <c r="B14180" t="s">
        <v>13774</v>
      </c>
      <c r="C14180">
        <v>8783291</v>
      </c>
      <c r="E14180" t="s">
        <v>2100</v>
      </c>
      <c r="F14180" t="s">
        <v>14182</v>
      </c>
      <c r="G14180">
        <v>1</v>
      </c>
    </row>
    <row r="14181" spans="1:7" x14ac:dyDescent="0.25">
      <c r="A14181">
        <v>39</v>
      </c>
      <c r="B14181" t="s">
        <v>13774</v>
      </c>
      <c r="C14181">
        <v>8783245</v>
      </c>
      <c r="E14181" t="s">
        <v>2100</v>
      </c>
      <c r="F14181" t="s">
        <v>14183</v>
      </c>
      <c r="G14181">
        <v>1</v>
      </c>
    </row>
    <row r="14182" spans="1:7" x14ac:dyDescent="0.25">
      <c r="A14182">
        <v>39</v>
      </c>
      <c r="B14182" t="s">
        <v>13774</v>
      </c>
      <c r="C14182">
        <v>5010936</v>
      </c>
      <c r="E14182" t="s">
        <v>2100</v>
      </c>
      <c r="F14182" t="s">
        <v>14184</v>
      </c>
      <c r="G14182">
        <v>1</v>
      </c>
    </row>
    <row r="14183" spans="1:7" x14ac:dyDescent="0.25">
      <c r="A14183">
        <v>39</v>
      </c>
      <c r="B14183" t="s">
        <v>13774</v>
      </c>
      <c r="C14183">
        <v>8783159</v>
      </c>
      <c r="E14183" t="s">
        <v>2100</v>
      </c>
      <c r="F14183" t="s">
        <v>14185</v>
      </c>
      <c r="G14183">
        <v>1</v>
      </c>
    </row>
    <row r="14184" spans="1:7" x14ac:dyDescent="0.25">
      <c r="A14184">
        <v>39</v>
      </c>
      <c r="B14184" t="s">
        <v>13774</v>
      </c>
      <c r="C14184">
        <v>8782952</v>
      </c>
      <c r="D14184" t="str">
        <f>"2381-4802"</f>
        <v>2381-4802</v>
      </c>
      <c r="E14184" t="s">
        <v>2100</v>
      </c>
      <c r="F14184" t="s">
        <v>14186</v>
      </c>
      <c r="G14184">
        <v>1</v>
      </c>
    </row>
    <row r="14185" spans="1:7" x14ac:dyDescent="0.25">
      <c r="A14185">
        <v>39</v>
      </c>
      <c r="B14185" t="s">
        <v>13774</v>
      </c>
      <c r="C14185">
        <v>8782950</v>
      </c>
      <c r="E14185" t="s">
        <v>2100</v>
      </c>
      <c r="F14185" t="s">
        <v>14187</v>
      </c>
      <c r="G14185">
        <v>1</v>
      </c>
    </row>
    <row r="14186" spans="1:7" x14ac:dyDescent="0.25">
      <c r="A14186">
        <v>39</v>
      </c>
      <c r="B14186" t="s">
        <v>13774</v>
      </c>
      <c r="C14186">
        <v>8783243</v>
      </c>
      <c r="E14186" t="s">
        <v>2100</v>
      </c>
      <c r="F14186" t="s">
        <v>14188</v>
      </c>
      <c r="G14186">
        <v>1</v>
      </c>
    </row>
    <row r="14187" spans="1:7" x14ac:dyDescent="0.25">
      <c r="A14187">
        <v>39</v>
      </c>
      <c r="B14187" t="s">
        <v>13774</v>
      </c>
      <c r="C14187">
        <v>5010931</v>
      </c>
      <c r="E14187" t="s">
        <v>2100</v>
      </c>
      <c r="F14187" t="s">
        <v>14189</v>
      </c>
      <c r="G14187">
        <v>1</v>
      </c>
    </row>
    <row r="14188" spans="1:7" x14ac:dyDescent="0.25">
      <c r="A14188">
        <v>39</v>
      </c>
      <c r="B14188" t="s">
        <v>13774</v>
      </c>
      <c r="C14188">
        <v>8783170</v>
      </c>
      <c r="E14188" t="s">
        <v>2100</v>
      </c>
      <c r="F14188" t="s">
        <v>14190</v>
      </c>
      <c r="G14188">
        <v>1</v>
      </c>
    </row>
    <row r="14189" spans="1:7" x14ac:dyDescent="0.25">
      <c r="A14189">
        <v>39</v>
      </c>
      <c r="B14189" t="s">
        <v>13774</v>
      </c>
      <c r="C14189">
        <v>156454</v>
      </c>
      <c r="D14189" t="str">
        <f>"1946-1488"</f>
        <v>1946-1488</v>
      </c>
      <c r="E14189" t="s">
        <v>8</v>
      </c>
      <c r="F14189" t="s">
        <v>14191</v>
      </c>
      <c r="G14189">
        <v>1</v>
      </c>
    </row>
    <row r="14190" spans="1:7" x14ac:dyDescent="0.25">
      <c r="A14190">
        <v>39</v>
      </c>
      <c r="B14190" t="s">
        <v>13774</v>
      </c>
      <c r="C14190">
        <v>8783157</v>
      </c>
      <c r="E14190" t="s">
        <v>2100</v>
      </c>
      <c r="F14190" t="s">
        <v>14192</v>
      </c>
      <c r="G14190">
        <v>1</v>
      </c>
    </row>
    <row r="14191" spans="1:7" x14ac:dyDescent="0.25">
      <c r="A14191">
        <v>39</v>
      </c>
      <c r="B14191" t="s">
        <v>13774</v>
      </c>
      <c r="C14191">
        <v>8783290</v>
      </c>
      <c r="E14191" t="s">
        <v>2100</v>
      </c>
      <c r="F14191" t="s">
        <v>14193</v>
      </c>
      <c r="G14191">
        <v>1</v>
      </c>
    </row>
    <row r="14192" spans="1:7" x14ac:dyDescent="0.25">
      <c r="A14192">
        <v>39</v>
      </c>
      <c r="B14192" t="s">
        <v>13774</v>
      </c>
      <c r="C14192">
        <v>5000445</v>
      </c>
      <c r="E14192" t="s">
        <v>2100</v>
      </c>
      <c r="F14192" t="s">
        <v>14194</v>
      </c>
      <c r="G14192">
        <v>1</v>
      </c>
    </row>
    <row r="14193" spans="1:7" x14ac:dyDescent="0.25">
      <c r="A14193">
        <v>39</v>
      </c>
      <c r="B14193" t="s">
        <v>13774</v>
      </c>
      <c r="C14193">
        <v>8783242</v>
      </c>
      <c r="E14193" t="s">
        <v>2100</v>
      </c>
      <c r="F14193" t="s">
        <v>14195</v>
      </c>
      <c r="G14193">
        <v>1</v>
      </c>
    </row>
    <row r="14194" spans="1:7" x14ac:dyDescent="0.25">
      <c r="A14194">
        <v>39</v>
      </c>
      <c r="B14194" t="s">
        <v>13774</v>
      </c>
      <c r="C14194">
        <v>8783048</v>
      </c>
      <c r="D14194" t="str">
        <f>"1948-3414"</f>
        <v>1948-3414</v>
      </c>
      <c r="E14194" t="s">
        <v>2100</v>
      </c>
      <c r="F14194" t="s">
        <v>14196</v>
      </c>
      <c r="G14194">
        <v>1</v>
      </c>
    </row>
    <row r="14195" spans="1:7" x14ac:dyDescent="0.25">
      <c r="A14195">
        <v>39</v>
      </c>
      <c r="B14195" t="s">
        <v>13774</v>
      </c>
      <c r="C14195">
        <v>8783130</v>
      </c>
      <c r="D14195" t="str">
        <f>"2162-2027"</f>
        <v>2162-2027</v>
      </c>
      <c r="E14195" t="s">
        <v>2100</v>
      </c>
      <c r="F14195" t="s">
        <v>14197</v>
      </c>
      <c r="G14195">
        <v>1</v>
      </c>
    </row>
    <row r="14196" spans="1:7" x14ac:dyDescent="0.25">
      <c r="A14196">
        <v>39</v>
      </c>
      <c r="B14196" t="s">
        <v>13774</v>
      </c>
      <c r="C14196">
        <v>8782595</v>
      </c>
      <c r="E14196" t="s">
        <v>2100</v>
      </c>
      <c r="F14196" t="s">
        <v>14198</v>
      </c>
      <c r="G14196">
        <v>1</v>
      </c>
    </row>
    <row r="14197" spans="1:7" x14ac:dyDescent="0.25">
      <c r="A14197">
        <v>39</v>
      </c>
      <c r="B14197" t="s">
        <v>13774</v>
      </c>
      <c r="C14197">
        <v>8783248</v>
      </c>
      <c r="E14197" t="s">
        <v>2100</v>
      </c>
      <c r="F14197" t="s">
        <v>14199</v>
      </c>
      <c r="G14197">
        <v>1</v>
      </c>
    </row>
    <row r="14198" spans="1:7" x14ac:dyDescent="0.25">
      <c r="A14198">
        <v>39</v>
      </c>
      <c r="B14198" t="s">
        <v>13774</v>
      </c>
      <c r="C14198">
        <v>8783282</v>
      </c>
      <c r="E14198" t="s">
        <v>2100</v>
      </c>
      <c r="F14198" t="s">
        <v>14200</v>
      </c>
      <c r="G14198">
        <v>1</v>
      </c>
    </row>
    <row r="14199" spans="1:7" x14ac:dyDescent="0.25">
      <c r="A14199">
        <v>39</v>
      </c>
      <c r="B14199" t="s">
        <v>13774</v>
      </c>
      <c r="C14199">
        <v>8783241</v>
      </c>
      <c r="E14199" t="s">
        <v>2100</v>
      </c>
      <c r="F14199" t="s">
        <v>14201</v>
      </c>
      <c r="G14199">
        <v>1</v>
      </c>
    </row>
    <row r="14200" spans="1:7" x14ac:dyDescent="0.25">
      <c r="A14200">
        <v>39</v>
      </c>
      <c r="B14200" t="s">
        <v>13774</v>
      </c>
      <c r="C14200">
        <v>8783192</v>
      </c>
      <c r="E14200" t="s">
        <v>2100</v>
      </c>
      <c r="F14200" t="s">
        <v>14202</v>
      </c>
      <c r="G14200">
        <v>1</v>
      </c>
    </row>
    <row r="14201" spans="1:7" x14ac:dyDescent="0.25">
      <c r="A14201">
        <v>39</v>
      </c>
      <c r="B14201" t="s">
        <v>13774</v>
      </c>
      <c r="C14201">
        <v>8783193</v>
      </c>
      <c r="E14201" t="s">
        <v>2100</v>
      </c>
      <c r="F14201" t="s">
        <v>14203</v>
      </c>
      <c r="G14201">
        <v>1</v>
      </c>
    </row>
    <row r="14202" spans="1:7" x14ac:dyDescent="0.25">
      <c r="A14202">
        <v>39</v>
      </c>
      <c r="B14202" t="s">
        <v>13774</v>
      </c>
      <c r="C14202">
        <v>8783280</v>
      </c>
      <c r="E14202" t="s">
        <v>2100</v>
      </c>
      <c r="F14202" t="s">
        <v>14204</v>
      </c>
      <c r="G14202">
        <v>1</v>
      </c>
    </row>
    <row r="14203" spans="1:7" x14ac:dyDescent="0.25">
      <c r="A14203">
        <v>39</v>
      </c>
      <c r="B14203" t="s">
        <v>13774</v>
      </c>
      <c r="C14203">
        <v>14606</v>
      </c>
      <c r="D14203" t="str">
        <f>"1084-6999"</f>
        <v>1084-6999</v>
      </c>
      <c r="E14203" t="s">
        <v>8</v>
      </c>
      <c r="F14203" t="s">
        <v>14205</v>
      </c>
      <c r="G14203">
        <v>1</v>
      </c>
    </row>
    <row r="14204" spans="1:7" x14ac:dyDescent="0.25">
      <c r="A14204">
        <v>39</v>
      </c>
      <c r="B14204" t="s">
        <v>13774</v>
      </c>
      <c r="C14204">
        <v>8783240</v>
      </c>
      <c r="D14204" t="str">
        <f>"2165-9605"</f>
        <v>2165-9605</v>
      </c>
      <c r="E14204" t="s">
        <v>2100</v>
      </c>
      <c r="F14204" t="s">
        <v>14206</v>
      </c>
      <c r="G14204">
        <v>1</v>
      </c>
    </row>
    <row r="14205" spans="1:7" x14ac:dyDescent="0.25">
      <c r="A14205">
        <v>39</v>
      </c>
      <c r="B14205" t="s">
        <v>13774</v>
      </c>
      <c r="C14205">
        <v>8783277</v>
      </c>
      <c r="E14205" t="s">
        <v>2100</v>
      </c>
      <c r="F14205" t="s">
        <v>14207</v>
      </c>
      <c r="G14205">
        <v>1</v>
      </c>
    </row>
    <row r="14206" spans="1:7" x14ac:dyDescent="0.25">
      <c r="A14206">
        <v>39</v>
      </c>
      <c r="B14206" t="s">
        <v>13774</v>
      </c>
      <c r="C14206">
        <v>8783239</v>
      </c>
      <c r="E14206" t="s">
        <v>2100</v>
      </c>
      <c r="F14206" t="s">
        <v>14208</v>
      </c>
      <c r="G14206">
        <v>1</v>
      </c>
    </row>
    <row r="14207" spans="1:7" x14ac:dyDescent="0.25">
      <c r="A14207">
        <v>39</v>
      </c>
      <c r="B14207" t="s">
        <v>13774</v>
      </c>
      <c r="C14207">
        <v>8783129</v>
      </c>
      <c r="E14207" t="s">
        <v>2100</v>
      </c>
      <c r="F14207" t="s">
        <v>14209</v>
      </c>
      <c r="G14207">
        <v>1</v>
      </c>
    </row>
    <row r="14208" spans="1:7" x14ac:dyDescent="0.25">
      <c r="A14208">
        <v>39</v>
      </c>
      <c r="B14208" t="s">
        <v>13774</v>
      </c>
      <c r="C14208">
        <v>156465</v>
      </c>
      <c r="E14208" t="s">
        <v>8</v>
      </c>
      <c r="F14208" t="s">
        <v>14210</v>
      </c>
      <c r="G14208">
        <v>1</v>
      </c>
    </row>
    <row r="14209" spans="1:7" x14ac:dyDescent="0.25">
      <c r="A14209">
        <v>39</v>
      </c>
      <c r="B14209" t="s">
        <v>13774</v>
      </c>
      <c r="C14209">
        <v>8782949</v>
      </c>
      <c r="E14209" t="s">
        <v>2100</v>
      </c>
      <c r="F14209" t="s">
        <v>14211</v>
      </c>
      <c r="G14209">
        <v>1</v>
      </c>
    </row>
    <row r="14210" spans="1:7" x14ac:dyDescent="0.25">
      <c r="A14210">
        <v>39</v>
      </c>
      <c r="B14210" t="s">
        <v>13774</v>
      </c>
      <c r="C14210">
        <v>8782951</v>
      </c>
      <c r="E14210" t="s">
        <v>2100</v>
      </c>
      <c r="F14210" t="s">
        <v>14212</v>
      </c>
      <c r="G14210">
        <v>1</v>
      </c>
    </row>
    <row r="14211" spans="1:7" x14ac:dyDescent="0.25">
      <c r="A14211">
        <v>39</v>
      </c>
      <c r="B14211" t="s">
        <v>13774</v>
      </c>
      <c r="C14211">
        <v>8783040</v>
      </c>
      <c r="E14211" t="s">
        <v>2100</v>
      </c>
      <c r="F14211" t="s">
        <v>14213</v>
      </c>
      <c r="G14211">
        <v>1</v>
      </c>
    </row>
    <row r="14212" spans="1:7" x14ac:dyDescent="0.25">
      <c r="A14212">
        <v>39</v>
      </c>
      <c r="B14212" t="s">
        <v>13774</v>
      </c>
      <c r="C14212">
        <v>156464</v>
      </c>
      <c r="E14212" t="s">
        <v>8</v>
      </c>
      <c r="F14212" t="s">
        <v>14214</v>
      </c>
      <c r="G14212">
        <v>1</v>
      </c>
    </row>
    <row r="14213" spans="1:7" x14ac:dyDescent="0.25">
      <c r="A14213">
        <v>39</v>
      </c>
      <c r="B14213" t="s">
        <v>13774</v>
      </c>
      <c r="C14213">
        <v>8783271</v>
      </c>
      <c r="E14213" t="s">
        <v>2100</v>
      </c>
      <c r="F14213" t="s">
        <v>14215</v>
      </c>
      <c r="G14213">
        <v>1</v>
      </c>
    </row>
    <row r="14214" spans="1:7" x14ac:dyDescent="0.25">
      <c r="A14214">
        <v>39</v>
      </c>
      <c r="B14214" t="s">
        <v>13774</v>
      </c>
      <c r="C14214">
        <v>8783238</v>
      </c>
      <c r="E14214" t="s">
        <v>2100</v>
      </c>
      <c r="F14214" t="s">
        <v>14216</v>
      </c>
      <c r="G14214">
        <v>1</v>
      </c>
    </row>
    <row r="14215" spans="1:7" x14ac:dyDescent="0.25">
      <c r="A14215">
        <v>39</v>
      </c>
      <c r="B14215" t="s">
        <v>13774</v>
      </c>
      <c r="C14215">
        <v>8783169</v>
      </c>
      <c r="E14215" t="s">
        <v>2100</v>
      </c>
      <c r="F14215" t="s">
        <v>14217</v>
      </c>
      <c r="G14215">
        <v>1</v>
      </c>
    </row>
    <row r="14216" spans="1:7" x14ac:dyDescent="0.25">
      <c r="A14216">
        <v>39</v>
      </c>
      <c r="B14216" t="s">
        <v>13774</v>
      </c>
      <c r="C14216">
        <v>8783272</v>
      </c>
      <c r="D14216" t="str">
        <f>"2434-9739"</f>
        <v>2434-9739</v>
      </c>
      <c r="E14216" t="s">
        <v>2100</v>
      </c>
      <c r="F14216" t="s">
        <v>14218</v>
      </c>
      <c r="G14216">
        <v>1</v>
      </c>
    </row>
    <row r="14217" spans="1:7" x14ac:dyDescent="0.25">
      <c r="A14217">
        <v>39</v>
      </c>
      <c r="B14217" t="s">
        <v>13774</v>
      </c>
      <c r="C14217">
        <v>8783237</v>
      </c>
      <c r="E14217" t="s">
        <v>2100</v>
      </c>
      <c r="F14217" t="s">
        <v>14219</v>
      </c>
      <c r="G14217">
        <v>1</v>
      </c>
    </row>
    <row r="14218" spans="1:7" x14ac:dyDescent="0.25">
      <c r="A14218">
        <v>39</v>
      </c>
      <c r="B14218" t="s">
        <v>13774</v>
      </c>
      <c r="C14218">
        <v>8783165</v>
      </c>
      <c r="E14218" t="s">
        <v>2100</v>
      </c>
      <c r="F14218" t="s">
        <v>14220</v>
      </c>
      <c r="G14218">
        <v>1</v>
      </c>
    </row>
    <row r="14219" spans="1:7" x14ac:dyDescent="0.25">
      <c r="A14219">
        <v>39</v>
      </c>
      <c r="B14219" t="s">
        <v>13774</v>
      </c>
      <c r="C14219">
        <v>8783236</v>
      </c>
      <c r="E14219" t="s">
        <v>2100</v>
      </c>
      <c r="F14219" t="s">
        <v>14221</v>
      </c>
      <c r="G14219">
        <v>1</v>
      </c>
    </row>
    <row r="14220" spans="1:7" x14ac:dyDescent="0.25">
      <c r="A14220">
        <v>39</v>
      </c>
      <c r="B14220" t="s">
        <v>13774</v>
      </c>
      <c r="C14220">
        <v>8783250</v>
      </c>
      <c r="E14220" t="s">
        <v>2100</v>
      </c>
      <c r="F14220" t="s">
        <v>14222</v>
      </c>
      <c r="G14220">
        <v>1</v>
      </c>
    </row>
    <row r="14221" spans="1:7" x14ac:dyDescent="0.25">
      <c r="A14221">
        <v>39</v>
      </c>
      <c r="B14221" t="s">
        <v>13774</v>
      </c>
      <c r="C14221">
        <v>8783235</v>
      </c>
      <c r="E14221" t="s">
        <v>2100</v>
      </c>
      <c r="F14221" t="s">
        <v>14223</v>
      </c>
      <c r="G14221">
        <v>1</v>
      </c>
    </row>
    <row r="14222" spans="1:7" x14ac:dyDescent="0.25">
      <c r="A14222">
        <v>39</v>
      </c>
      <c r="B14222" t="s">
        <v>13774</v>
      </c>
      <c r="C14222">
        <v>8783163</v>
      </c>
      <c r="E14222" t="s">
        <v>2100</v>
      </c>
      <c r="F14222" t="s">
        <v>14224</v>
      </c>
      <c r="G14222">
        <v>1</v>
      </c>
    </row>
    <row r="14223" spans="1:7" x14ac:dyDescent="0.25">
      <c r="A14223">
        <v>39</v>
      </c>
      <c r="B14223" t="s">
        <v>13774</v>
      </c>
      <c r="C14223">
        <v>8783114</v>
      </c>
      <c r="D14223" t="str">
        <f>"2167-0013"</f>
        <v>2167-0013</v>
      </c>
      <c r="E14223" t="s">
        <v>2100</v>
      </c>
      <c r="F14223" t="s">
        <v>14225</v>
      </c>
      <c r="G14223">
        <v>1</v>
      </c>
    </row>
    <row r="14224" spans="1:7" x14ac:dyDescent="0.25">
      <c r="A14224">
        <v>39</v>
      </c>
      <c r="B14224" t="s">
        <v>13774</v>
      </c>
      <c r="C14224">
        <v>8783135</v>
      </c>
      <c r="E14224" t="s">
        <v>2100</v>
      </c>
      <c r="F14224" t="s">
        <v>14226</v>
      </c>
      <c r="G14224">
        <v>1</v>
      </c>
    </row>
    <row r="14225" spans="1:7" x14ac:dyDescent="0.25">
      <c r="A14225">
        <v>39</v>
      </c>
      <c r="B14225" t="s">
        <v>13774</v>
      </c>
      <c r="C14225">
        <v>8783234</v>
      </c>
      <c r="D14225" t="str">
        <f>"1748-0671 "</f>
        <v xml:space="preserve">1748-0671 </v>
      </c>
      <c r="E14225" t="s">
        <v>2100</v>
      </c>
      <c r="F14225" t="s">
        <v>14227</v>
      </c>
      <c r="G14225">
        <v>1</v>
      </c>
    </row>
    <row r="14226" spans="1:7" x14ac:dyDescent="0.25">
      <c r="A14226">
        <v>39</v>
      </c>
      <c r="B14226" t="s">
        <v>13774</v>
      </c>
      <c r="C14226">
        <v>8783233</v>
      </c>
      <c r="D14226" t="str">
        <f>"2372-7314"</f>
        <v>2372-7314</v>
      </c>
      <c r="E14226" t="s">
        <v>2100</v>
      </c>
      <c r="F14226" t="s">
        <v>14228</v>
      </c>
      <c r="G14226">
        <v>1</v>
      </c>
    </row>
    <row r="14227" spans="1:7" x14ac:dyDescent="0.25">
      <c r="A14227">
        <v>39</v>
      </c>
      <c r="B14227" t="s">
        <v>13774</v>
      </c>
      <c r="C14227">
        <v>8782594</v>
      </c>
      <c r="E14227" t="s">
        <v>2100</v>
      </c>
      <c r="F14227" t="s">
        <v>14229</v>
      </c>
      <c r="G14227">
        <v>1</v>
      </c>
    </row>
    <row r="14228" spans="1:7" x14ac:dyDescent="0.25">
      <c r="A14228">
        <v>39</v>
      </c>
      <c r="B14228" t="s">
        <v>13774</v>
      </c>
      <c r="C14228">
        <v>8783128</v>
      </c>
      <c r="E14228" t="s">
        <v>2100</v>
      </c>
      <c r="F14228" t="s">
        <v>14230</v>
      </c>
      <c r="G14228">
        <v>1</v>
      </c>
    </row>
    <row r="14229" spans="1:7" x14ac:dyDescent="0.25">
      <c r="A14229">
        <v>39</v>
      </c>
      <c r="B14229" t="s">
        <v>13774</v>
      </c>
      <c r="C14229">
        <v>16639</v>
      </c>
      <c r="D14229" t="str">
        <f>"1094-2734"</f>
        <v>1094-2734</v>
      </c>
      <c r="E14229" t="s">
        <v>8</v>
      </c>
      <c r="F14229" t="s">
        <v>14231</v>
      </c>
      <c r="G14229">
        <v>1</v>
      </c>
    </row>
    <row r="14230" spans="1:7" x14ac:dyDescent="0.25">
      <c r="A14230">
        <v>39</v>
      </c>
      <c r="B14230" t="s">
        <v>13774</v>
      </c>
      <c r="C14230">
        <v>8783232</v>
      </c>
      <c r="E14230" t="s">
        <v>2100</v>
      </c>
      <c r="F14230" t="s">
        <v>14232</v>
      </c>
      <c r="G14230">
        <v>1</v>
      </c>
    </row>
    <row r="14231" spans="1:7" x14ac:dyDescent="0.25">
      <c r="A14231">
        <v>39</v>
      </c>
      <c r="B14231" t="s">
        <v>13774</v>
      </c>
      <c r="C14231">
        <v>8783167</v>
      </c>
      <c r="E14231" t="s">
        <v>2100</v>
      </c>
      <c r="F14231" t="s">
        <v>14233</v>
      </c>
      <c r="G14231">
        <v>1</v>
      </c>
    </row>
    <row r="14232" spans="1:7" x14ac:dyDescent="0.25">
      <c r="A14232">
        <v>39</v>
      </c>
      <c r="B14232" t="s">
        <v>13774</v>
      </c>
      <c r="C14232">
        <v>8782589</v>
      </c>
      <c r="E14232" t="s">
        <v>2100</v>
      </c>
      <c r="F14232" t="s">
        <v>14234</v>
      </c>
      <c r="G14232">
        <v>1</v>
      </c>
    </row>
    <row r="14233" spans="1:7" x14ac:dyDescent="0.25">
      <c r="A14233">
        <v>39</v>
      </c>
      <c r="B14233" t="s">
        <v>13774</v>
      </c>
      <c r="C14233">
        <v>8783228</v>
      </c>
      <c r="E14233" t="s">
        <v>2100</v>
      </c>
      <c r="F14233" t="s">
        <v>14235</v>
      </c>
      <c r="G14233">
        <v>1</v>
      </c>
    </row>
    <row r="14234" spans="1:7" x14ac:dyDescent="0.25">
      <c r="A14234">
        <v>39</v>
      </c>
      <c r="B14234" t="s">
        <v>13774</v>
      </c>
      <c r="C14234">
        <v>5020048</v>
      </c>
      <c r="E14234" t="s">
        <v>2100</v>
      </c>
      <c r="F14234" t="s">
        <v>14236</v>
      </c>
      <c r="G14234">
        <v>1</v>
      </c>
    </row>
    <row r="14235" spans="1:7" x14ac:dyDescent="0.25">
      <c r="A14235">
        <v>39</v>
      </c>
      <c r="B14235" t="s">
        <v>13774</v>
      </c>
      <c r="C14235">
        <v>8783227</v>
      </c>
      <c r="E14235" t="s">
        <v>2100</v>
      </c>
      <c r="F14235" t="s">
        <v>14237</v>
      </c>
      <c r="G14235">
        <v>1</v>
      </c>
    </row>
    <row r="14236" spans="1:7" x14ac:dyDescent="0.25">
      <c r="A14236">
        <v>39</v>
      </c>
      <c r="B14236" t="s">
        <v>13774</v>
      </c>
      <c r="C14236">
        <v>8783226</v>
      </c>
      <c r="E14236" t="s">
        <v>2100</v>
      </c>
      <c r="F14236" t="s">
        <v>14238</v>
      </c>
      <c r="G14236">
        <v>1</v>
      </c>
    </row>
    <row r="14237" spans="1:7" x14ac:dyDescent="0.25">
      <c r="A14237">
        <v>39</v>
      </c>
      <c r="B14237" t="s">
        <v>13774</v>
      </c>
      <c r="C14237">
        <v>8783225</v>
      </c>
      <c r="E14237" t="s">
        <v>2100</v>
      </c>
      <c r="F14237" t="s">
        <v>14239</v>
      </c>
      <c r="G14237">
        <v>1</v>
      </c>
    </row>
    <row r="14238" spans="1:7" x14ac:dyDescent="0.25">
      <c r="A14238">
        <v>39</v>
      </c>
      <c r="B14238" t="s">
        <v>13774</v>
      </c>
      <c r="C14238">
        <v>8783224</v>
      </c>
      <c r="E14238" t="s">
        <v>2100</v>
      </c>
      <c r="F14238" t="s">
        <v>14240</v>
      </c>
      <c r="G14238">
        <v>1</v>
      </c>
    </row>
    <row r="14239" spans="1:7" x14ac:dyDescent="0.25">
      <c r="A14239">
        <v>39</v>
      </c>
      <c r="B14239" t="s">
        <v>13774</v>
      </c>
      <c r="C14239">
        <v>13580</v>
      </c>
      <c r="D14239" t="str">
        <f>"0890-6327"</f>
        <v>0890-6327</v>
      </c>
      <c r="E14239" t="s">
        <v>8</v>
      </c>
      <c r="F14239" t="s">
        <v>14241</v>
      </c>
      <c r="G14239">
        <v>1</v>
      </c>
    </row>
    <row r="14240" spans="1:7" x14ac:dyDescent="0.25">
      <c r="A14240">
        <v>39</v>
      </c>
      <c r="B14240" t="s">
        <v>13774</v>
      </c>
      <c r="C14240">
        <v>27074</v>
      </c>
      <c r="D14240" t="str">
        <f>"1729-8806"</f>
        <v>1729-8806</v>
      </c>
      <c r="E14240" t="s">
        <v>8</v>
      </c>
      <c r="F14240" t="s">
        <v>14242</v>
      </c>
      <c r="G14240">
        <v>1</v>
      </c>
    </row>
    <row r="14241" spans="1:7" x14ac:dyDescent="0.25">
      <c r="A14241">
        <v>39</v>
      </c>
      <c r="B14241" t="s">
        <v>13774</v>
      </c>
      <c r="C14241">
        <v>5928</v>
      </c>
      <c r="D14241" t="str">
        <f>"1475-472X"</f>
        <v>1475-472X</v>
      </c>
      <c r="E14241" t="s">
        <v>8</v>
      </c>
      <c r="F14241" t="s">
        <v>14243</v>
      </c>
      <c r="G14241">
        <v>1</v>
      </c>
    </row>
    <row r="14242" spans="1:7" x14ac:dyDescent="0.25">
      <c r="A14242">
        <v>39</v>
      </c>
      <c r="B14242" t="s">
        <v>13774</v>
      </c>
      <c r="C14242">
        <v>21713</v>
      </c>
      <c r="D14242" t="str">
        <f>"1687-5869"</f>
        <v>1687-5869</v>
      </c>
      <c r="E14242" t="s">
        <v>8</v>
      </c>
      <c r="F14242" t="s">
        <v>14244</v>
      </c>
      <c r="G14242">
        <v>1</v>
      </c>
    </row>
    <row r="14243" spans="1:7" x14ac:dyDescent="0.25">
      <c r="A14243">
        <v>39</v>
      </c>
      <c r="B14243" t="s">
        <v>13774</v>
      </c>
      <c r="C14243">
        <v>20983</v>
      </c>
      <c r="D14243" t="str">
        <f>"1476-8186"</f>
        <v>1476-8186</v>
      </c>
      <c r="E14243" t="s">
        <v>8</v>
      </c>
      <c r="F14243" t="s">
        <v>14245</v>
      </c>
      <c r="G14243">
        <v>1</v>
      </c>
    </row>
    <row r="14244" spans="1:7" x14ac:dyDescent="0.25">
      <c r="A14244">
        <v>39</v>
      </c>
      <c r="B14244" t="s">
        <v>13774</v>
      </c>
      <c r="C14244">
        <v>20859</v>
      </c>
      <c r="D14244" t="str">
        <f>"1740-7516"</f>
        <v>1740-7516</v>
      </c>
      <c r="E14244" t="s">
        <v>8</v>
      </c>
      <c r="F14244" t="s">
        <v>14246</v>
      </c>
      <c r="G14244">
        <v>1</v>
      </c>
    </row>
    <row r="14245" spans="1:7" x14ac:dyDescent="0.25">
      <c r="A14245">
        <v>39</v>
      </c>
      <c r="B14245" t="s">
        <v>13774</v>
      </c>
      <c r="C14245">
        <v>31518</v>
      </c>
      <c r="D14245" t="str">
        <f>"1754-8632"</f>
        <v>1754-8632</v>
      </c>
      <c r="E14245" t="s">
        <v>8</v>
      </c>
      <c r="F14245" t="s">
        <v>14247</v>
      </c>
      <c r="G14245">
        <v>1</v>
      </c>
    </row>
    <row r="14246" spans="1:7" x14ac:dyDescent="0.25">
      <c r="A14246">
        <v>39</v>
      </c>
      <c r="B14246" t="s">
        <v>13774</v>
      </c>
      <c r="C14246">
        <v>1562</v>
      </c>
      <c r="D14246" t="str">
        <f>"0098-9886"</f>
        <v>0098-9886</v>
      </c>
      <c r="E14246" t="s">
        <v>8</v>
      </c>
      <c r="F14246" t="s">
        <v>14248</v>
      </c>
      <c r="G14246">
        <v>1</v>
      </c>
    </row>
    <row r="14247" spans="1:7" x14ac:dyDescent="0.25">
      <c r="A14247">
        <v>39</v>
      </c>
      <c r="B14247" t="s">
        <v>13774</v>
      </c>
      <c r="C14247">
        <v>3473</v>
      </c>
      <c r="D14247" t="str">
        <f>"0020-7179"</f>
        <v>0020-7179</v>
      </c>
      <c r="E14247" t="s">
        <v>8</v>
      </c>
      <c r="F14247" t="s">
        <v>14249</v>
      </c>
      <c r="G14247">
        <v>1</v>
      </c>
    </row>
    <row r="14248" spans="1:7" x14ac:dyDescent="0.25">
      <c r="A14248">
        <v>39</v>
      </c>
      <c r="B14248" t="s">
        <v>13774</v>
      </c>
      <c r="C14248">
        <v>17081</v>
      </c>
      <c r="D14248" t="str">
        <f>"1598-6446"</f>
        <v>1598-6446</v>
      </c>
      <c r="E14248" t="s">
        <v>8</v>
      </c>
      <c r="F14248" t="s">
        <v>14250</v>
      </c>
      <c r="G14248">
        <v>1</v>
      </c>
    </row>
    <row r="14249" spans="1:7" x14ac:dyDescent="0.25">
      <c r="A14249">
        <v>39</v>
      </c>
      <c r="B14249" t="s">
        <v>13774</v>
      </c>
      <c r="C14249">
        <v>151978</v>
      </c>
      <c r="D14249" t="str">
        <f>"1941-6210"</f>
        <v>1941-6210</v>
      </c>
      <c r="E14249" t="s">
        <v>8</v>
      </c>
      <c r="F14249" t="s">
        <v>14251</v>
      </c>
      <c r="G14249">
        <v>1</v>
      </c>
    </row>
    <row r="14250" spans="1:7" x14ac:dyDescent="0.25">
      <c r="A14250">
        <v>39</v>
      </c>
      <c r="B14250" t="s">
        <v>13774</v>
      </c>
      <c r="C14250">
        <v>138990</v>
      </c>
      <c r="D14250" t="str">
        <f>"1687-7578"</f>
        <v>1687-7578</v>
      </c>
      <c r="E14250" t="s">
        <v>8</v>
      </c>
      <c r="F14250" t="s">
        <v>14252</v>
      </c>
      <c r="G14250">
        <v>1</v>
      </c>
    </row>
    <row r="14251" spans="1:7" x14ac:dyDescent="0.25">
      <c r="A14251">
        <v>39</v>
      </c>
      <c r="B14251" t="s">
        <v>13774</v>
      </c>
      <c r="C14251">
        <v>12557</v>
      </c>
      <c r="D14251" t="str">
        <f>"0020-7217"</f>
        <v>0020-7217</v>
      </c>
      <c r="E14251" t="s">
        <v>8</v>
      </c>
      <c r="F14251" t="s">
        <v>14253</v>
      </c>
      <c r="G14251">
        <v>1</v>
      </c>
    </row>
    <row r="14252" spans="1:7" x14ac:dyDescent="0.25">
      <c r="A14252">
        <v>39</v>
      </c>
      <c r="B14252" t="s">
        <v>13774</v>
      </c>
      <c r="C14252">
        <v>11812</v>
      </c>
      <c r="D14252" t="str">
        <f>"0129-1564"</f>
        <v>0129-1564</v>
      </c>
      <c r="E14252" t="s">
        <v>8</v>
      </c>
      <c r="F14252" t="s">
        <v>14254</v>
      </c>
      <c r="G14252">
        <v>1</v>
      </c>
    </row>
    <row r="14253" spans="1:7" x14ac:dyDescent="0.25">
      <c r="A14253">
        <v>39</v>
      </c>
      <c r="B14253" t="s">
        <v>13774</v>
      </c>
      <c r="C14253">
        <v>7386</v>
      </c>
      <c r="D14253" t="str">
        <f>"1470-949X"</f>
        <v>1470-949X</v>
      </c>
      <c r="E14253" t="s">
        <v>8</v>
      </c>
      <c r="F14253" t="s">
        <v>14255</v>
      </c>
      <c r="G14253">
        <v>1</v>
      </c>
    </row>
    <row r="14254" spans="1:7" x14ac:dyDescent="0.25">
      <c r="A14254">
        <v>39</v>
      </c>
      <c r="B14254" t="s">
        <v>13774</v>
      </c>
      <c r="C14254">
        <v>6158180</v>
      </c>
      <c r="D14254" t="str">
        <f>"1937-9412"</f>
        <v>1937-9412</v>
      </c>
      <c r="E14254" t="s">
        <v>8</v>
      </c>
      <c r="F14254" t="s">
        <v>14256</v>
      </c>
      <c r="G14254">
        <v>1</v>
      </c>
    </row>
    <row r="14255" spans="1:7" x14ac:dyDescent="0.25">
      <c r="A14255">
        <v>39</v>
      </c>
      <c r="B14255" t="s">
        <v>13774</v>
      </c>
      <c r="C14255">
        <v>18223</v>
      </c>
      <c r="D14255" t="str">
        <f>"1744-2869"</f>
        <v>1744-2869</v>
      </c>
      <c r="E14255" t="s">
        <v>8</v>
      </c>
      <c r="F14255" t="s">
        <v>14257</v>
      </c>
      <c r="G14255">
        <v>1</v>
      </c>
    </row>
    <row r="14256" spans="1:7" x14ac:dyDescent="0.25">
      <c r="A14256">
        <v>39</v>
      </c>
      <c r="B14256" t="s">
        <v>13774</v>
      </c>
      <c r="C14256">
        <v>14189</v>
      </c>
      <c r="D14256" t="str">
        <f>"0894-3370"</f>
        <v>0894-3370</v>
      </c>
      <c r="E14256" t="s">
        <v>8</v>
      </c>
      <c r="F14256" t="s">
        <v>14258</v>
      </c>
      <c r="G14256">
        <v>1</v>
      </c>
    </row>
    <row r="14257" spans="1:7" x14ac:dyDescent="0.25">
      <c r="A14257">
        <v>39</v>
      </c>
      <c r="B14257" t="s">
        <v>13774</v>
      </c>
      <c r="C14257">
        <v>154109</v>
      </c>
      <c r="D14257" t="str">
        <f>"1756-638X"</f>
        <v>1756-638X</v>
      </c>
      <c r="E14257" t="s">
        <v>8</v>
      </c>
      <c r="F14257" t="s">
        <v>14259</v>
      </c>
      <c r="G14257">
        <v>1</v>
      </c>
    </row>
    <row r="14258" spans="1:7" x14ac:dyDescent="0.25">
      <c r="A14258">
        <v>39</v>
      </c>
      <c r="B14258" t="s">
        <v>13774</v>
      </c>
      <c r="C14258">
        <v>999</v>
      </c>
      <c r="D14258" t="str">
        <f>"1096-4290"</f>
        <v>1096-4290</v>
      </c>
      <c r="E14258" t="s">
        <v>8</v>
      </c>
      <c r="F14258" t="s">
        <v>14260</v>
      </c>
      <c r="G14258">
        <v>1</v>
      </c>
    </row>
    <row r="14259" spans="1:7" x14ac:dyDescent="0.25">
      <c r="A14259">
        <v>39</v>
      </c>
      <c r="B14259" t="s">
        <v>13774</v>
      </c>
      <c r="C14259">
        <v>32822</v>
      </c>
      <c r="D14259" t="str">
        <f>"1687-7195"</f>
        <v>1687-7195</v>
      </c>
      <c r="E14259" t="s">
        <v>8</v>
      </c>
      <c r="F14259" t="s">
        <v>14261</v>
      </c>
      <c r="G14259">
        <v>1</v>
      </c>
    </row>
    <row r="14260" spans="1:7" x14ac:dyDescent="0.25">
      <c r="A14260">
        <v>39</v>
      </c>
      <c r="B14260" t="s">
        <v>13774</v>
      </c>
      <c r="C14260">
        <v>18036</v>
      </c>
      <c r="D14260" t="str">
        <f>"0826-8185"</f>
        <v>0826-8185</v>
      </c>
      <c r="E14260" t="s">
        <v>8</v>
      </c>
      <c r="F14260" t="s">
        <v>14262</v>
      </c>
      <c r="G14260">
        <v>1</v>
      </c>
    </row>
    <row r="14261" spans="1:7" x14ac:dyDescent="0.25">
      <c r="A14261">
        <v>39</v>
      </c>
      <c r="B14261" t="s">
        <v>13774</v>
      </c>
      <c r="C14261">
        <v>14855</v>
      </c>
      <c r="D14261" t="str">
        <f>"1542-0973"</f>
        <v>1542-0973</v>
      </c>
      <c r="E14261" t="s">
        <v>8</v>
      </c>
      <c r="F14261" t="s">
        <v>14263</v>
      </c>
      <c r="G14261">
        <v>1</v>
      </c>
    </row>
    <row r="14262" spans="1:7" x14ac:dyDescent="0.25">
      <c r="A14262">
        <v>39</v>
      </c>
      <c r="B14262" t="s">
        <v>13774</v>
      </c>
      <c r="C14262">
        <v>6158588</v>
      </c>
      <c r="D14262" t="str">
        <f>"1875-4791"</f>
        <v>1875-4791</v>
      </c>
      <c r="E14262" t="s">
        <v>8</v>
      </c>
      <c r="F14262" t="s">
        <v>14264</v>
      </c>
      <c r="G14262">
        <v>1</v>
      </c>
    </row>
    <row r="14263" spans="1:7" x14ac:dyDescent="0.25">
      <c r="A14263">
        <v>39</v>
      </c>
      <c r="B14263" t="s">
        <v>13774</v>
      </c>
      <c r="C14263">
        <v>125418</v>
      </c>
      <c r="D14263" t="str">
        <f>"1755-9340"</f>
        <v>1755-9340</v>
      </c>
      <c r="E14263" t="s">
        <v>8</v>
      </c>
      <c r="F14263" t="s">
        <v>14265</v>
      </c>
      <c r="G14263">
        <v>1</v>
      </c>
    </row>
    <row r="14264" spans="1:7" x14ac:dyDescent="0.25">
      <c r="A14264">
        <v>39</v>
      </c>
      <c r="B14264" t="s">
        <v>13774</v>
      </c>
      <c r="C14264">
        <v>8783253</v>
      </c>
      <c r="E14264" t="s">
        <v>2100</v>
      </c>
      <c r="F14264" t="s">
        <v>14266</v>
      </c>
      <c r="G14264">
        <v>1</v>
      </c>
    </row>
    <row r="14265" spans="1:7" x14ac:dyDescent="0.25">
      <c r="A14265">
        <v>39</v>
      </c>
      <c r="B14265" t="s">
        <v>13774</v>
      </c>
      <c r="C14265">
        <v>8782948</v>
      </c>
      <c r="E14265" t="s">
        <v>2100</v>
      </c>
      <c r="F14265" t="s">
        <v>14267</v>
      </c>
      <c r="G14265">
        <v>1</v>
      </c>
    </row>
    <row r="14266" spans="1:7" x14ac:dyDescent="0.25">
      <c r="A14266">
        <v>39</v>
      </c>
      <c r="B14266" t="s">
        <v>13774</v>
      </c>
      <c r="C14266">
        <v>8782591</v>
      </c>
      <c r="E14266" t="s">
        <v>2100</v>
      </c>
      <c r="F14266" t="s">
        <v>14268</v>
      </c>
      <c r="G14266">
        <v>1</v>
      </c>
    </row>
    <row r="14267" spans="1:7" x14ac:dyDescent="0.25">
      <c r="A14267">
        <v>39</v>
      </c>
      <c r="B14267" t="s">
        <v>13774</v>
      </c>
      <c r="C14267">
        <v>8783223</v>
      </c>
      <c r="E14267" t="s">
        <v>2100</v>
      </c>
      <c r="F14267" t="s">
        <v>14269</v>
      </c>
      <c r="G14267">
        <v>1</v>
      </c>
    </row>
    <row r="14268" spans="1:7" x14ac:dyDescent="0.25">
      <c r="A14268">
        <v>39</v>
      </c>
      <c r="B14268" t="s">
        <v>13774</v>
      </c>
      <c r="C14268">
        <v>8783222</v>
      </c>
      <c r="E14268" t="s">
        <v>2100</v>
      </c>
      <c r="F14268" t="s">
        <v>14270</v>
      </c>
      <c r="G14268">
        <v>1</v>
      </c>
    </row>
    <row r="14269" spans="1:7" x14ac:dyDescent="0.25">
      <c r="A14269">
        <v>39</v>
      </c>
      <c r="B14269" t="s">
        <v>13774</v>
      </c>
      <c r="C14269">
        <v>8783123</v>
      </c>
      <c r="E14269" t="s">
        <v>2100</v>
      </c>
      <c r="F14269" t="s">
        <v>14271</v>
      </c>
      <c r="G14269">
        <v>1</v>
      </c>
    </row>
    <row r="14270" spans="1:7" x14ac:dyDescent="0.25">
      <c r="A14270">
        <v>39</v>
      </c>
      <c r="B14270" t="s">
        <v>13774</v>
      </c>
      <c r="C14270">
        <v>8783221</v>
      </c>
      <c r="E14270" t="s">
        <v>2100</v>
      </c>
      <c r="F14270" t="s">
        <v>14272</v>
      </c>
      <c r="G14270">
        <v>1</v>
      </c>
    </row>
    <row r="14271" spans="1:7" x14ac:dyDescent="0.25">
      <c r="A14271">
        <v>39</v>
      </c>
      <c r="B14271" t="s">
        <v>13774</v>
      </c>
      <c r="C14271">
        <v>8783302</v>
      </c>
      <c r="E14271" t="s">
        <v>2100</v>
      </c>
      <c r="F14271" t="s">
        <v>14273</v>
      </c>
      <c r="G14271">
        <v>1</v>
      </c>
    </row>
    <row r="14272" spans="1:7" x14ac:dyDescent="0.25">
      <c r="A14272">
        <v>39</v>
      </c>
      <c r="B14272" t="s">
        <v>13774</v>
      </c>
      <c r="C14272">
        <v>8783161</v>
      </c>
      <c r="E14272" t="s">
        <v>2100</v>
      </c>
      <c r="F14272" t="s">
        <v>14274</v>
      </c>
      <c r="G14272">
        <v>1</v>
      </c>
    </row>
    <row r="14273" spans="1:7" x14ac:dyDescent="0.25">
      <c r="A14273">
        <v>39</v>
      </c>
      <c r="B14273" t="s">
        <v>13774</v>
      </c>
      <c r="C14273">
        <v>8783220</v>
      </c>
      <c r="E14273" t="s">
        <v>2100</v>
      </c>
      <c r="F14273" t="s">
        <v>14275</v>
      </c>
      <c r="G14273">
        <v>1</v>
      </c>
    </row>
    <row r="14274" spans="1:7" x14ac:dyDescent="0.25">
      <c r="A14274">
        <v>39</v>
      </c>
      <c r="B14274" t="s">
        <v>13774</v>
      </c>
      <c r="C14274">
        <v>8783219</v>
      </c>
      <c r="E14274" t="s">
        <v>2100</v>
      </c>
      <c r="F14274" t="s">
        <v>14276</v>
      </c>
      <c r="G14274">
        <v>1</v>
      </c>
    </row>
    <row r="14275" spans="1:7" x14ac:dyDescent="0.25">
      <c r="A14275">
        <v>39</v>
      </c>
      <c r="B14275" t="s">
        <v>13774</v>
      </c>
      <c r="C14275">
        <v>6154596</v>
      </c>
      <c r="D14275" t="str">
        <f>"2213-8986"</f>
        <v>2213-8986</v>
      </c>
      <c r="E14275" t="s">
        <v>8</v>
      </c>
      <c r="F14275" t="s">
        <v>14277</v>
      </c>
      <c r="G14275">
        <v>1</v>
      </c>
    </row>
    <row r="14276" spans="1:7" x14ac:dyDescent="0.25">
      <c r="A14276">
        <v>39</v>
      </c>
      <c r="B14276" t="s">
        <v>13774</v>
      </c>
      <c r="C14276">
        <v>8783218</v>
      </c>
      <c r="E14276" t="s">
        <v>2100</v>
      </c>
      <c r="F14276" t="s">
        <v>14278</v>
      </c>
      <c r="G14276">
        <v>1</v>
      </c>
    </row>
    <row r="14277" spans="1:7" x14ac:dyDescent="0.25">
      <c r="A14277">
        <v>39</v>
      </c>
      <c r="B14277" t="s">
        <v>13774</v>
      </c>
      <c r="C14277">
        <v>8783127</v>
      </c>
      <c r="E14277" t="s">
        <v>2100</v>
      </c>
      <c r="F14277" t="s">
        <v>14279</v>
      </c>
      <c r="G14277">
        <v>1</v>
      </c>
    </row>
    <row r="14278" spans="1:7" x14ac:dyDescent="0.25">
      <c r="A14278">
        <v>39</v>
      </c>
      <c r="B14278" t="s">
        <v>13774</v>
      </c>
      <c r="C14278">
        <v>2879</v>
      </c>
      <c r="D14278" t="str">
        <f>"1522-8681"</f>
        <v>1522-8681</v>
      </c>
      <c r="E14278" t="s">
        <v>8</v>
      </c>
      <c r="F14278" t="s">
        <v>14280</v>
      </c>
      <c r="G14278">
        <v>1</v>
      </c>
    </row>
    <row r="14279" spans="1:7" x14ac:dyDescent="0.25">
      <c r="A14279">
        <v>39</v>
      </c>
      <c r="B14279" t="s">
        <v>13774</v>
      </c>
      <c r="C14279">
        <v>8783217</v>
      </c>
      <c r="E14279" t="s">
        <v>2100</v>
      </c>
      <c r="F14279" t="s">
        <v>14281</v>
      </c>
      <c r="G14279">
        <v>1</v>
      </c>
    </row>
    <row r="14280" spans="1:7" x14ac:dyDescent="0.25">
      <c r="A14280">
        <v>39</v>
      </c>
      <c r="B14280" t="s">
        <v>13774</v>
      </c>
      <c r="C14280">
        <v>8783216</v>
      </c>
      <c r="E14280" t="s">
        <v>2100</v>
      </c>
      <c r="F14280" t="s">
        <v>14282</v>
      </c>
      <c r="G14280">
        <v>1</v>
      </c>
    </row>
    <row r="14281" spans="1:7" x14ac:dyDescent="0.25">
      <c r="A14281">
        <v>39</v>
      </c>
      <c r="B14281" t="s">
        <v>13774</v>
      </c>
      <c r="C14281">
        <v>8783215</v>
      </c>
      <c r="E14281" t="s">
        <v>2100</v>
      </c>
      <c r="F14281" t="s">
        <v>14283</v>
      </c>
      <c r="G14281">
        <v>1</v>
      </c>
    </row>
    <row r="14282" spans="1:7" x14ac:dyDescent="0.25">
      <c r="A14282">
        <v>39</v>
      </c>
      <c r="B14282" t="s">
        <v>13774</v>
      </c>
      <c r="C14282">
        <v>8783156</v>
      </c>
      <c r="E14282" t="s">
        <v>2100</v>
      </c>
      <c r="F14282" t="s">
        <v>14284</v>
      </c>
      <c r="G14282">
        <v>1</v>
      </c>
    </row>
    <row r="14283" spans="1:7" x14ac:dyDescent="0.25">
      <c r="A14283">
        <v>39</v>
      </c>
      <c r="B14283" t="s">
        <v>13774</v>
      </c>
      <c r="C14283">
        <v>8783155</v>
      </c>
      <c r="D14283" t="str">
        <f>"2326-828X"</f>
        <v>2326-828X</v>
      </c>
      <c r="E14283" t="s">
        <v>2100</v>
      </c>
      <c r="F14283" t="s">
        <v>14285</v>
      </c>
      <c r="G14283">
        <v>1</v>
      </c>
    </row>
    <row r="14284" spans="1:7" x14ac:dyDescent="0.25">
      <c r="A14284">
        <v>39</v>
      </c>
      <c r="B14284" t="s">
        <v>13774</v>
      </c>
      <c r="C14284">
        <v>8783214</v>
      </c>
      <c r="E14284" t="s">
        <v>2100</v>
      </c>
      <c r="F14284" t="s">
        <v>14286</v>
      </c>
      <c r="G14284">
        <v>1</v>
      </c>
    </row>
    <row r="14285" spans="1:7" x14ac:dyDescent="0.25">
      <c r="A14285">
        <v>39</v>
      </c>
      <c r="B14285" t="s">
        <v>13774</v>
      </c>
      <c r="C14285">
        <v>8783211</v>
      </c>
      <c r="E14285" t="s">
        <v>2100</v>
      </c>
      <c r="F14285" t="s">
        <v>14287</v>
      </c>
      <c r="G14285">
        <v>1</v>
      </c>
    </row>
    <row r="14286" spans="1:7" x14ac:dyDescent="0.25">
      <c r="A14286">
        <v>39</v>
      </c>
      <c r="B14286" t="s">
        <v>13774</v>
      </c>
      <c r="C14286">
        <v>5020052</v>
      </c>
      <c r="E14286" t="s">
        <v>2100</v>
      </c>
      <c r="F14286" t="s">
        <v>14288</v>
      </c>
      <c r="G14286">
        <v>1</v>
      </c>
    </row>
    <row r="14287" spans="1:7" x14ac:dyDescent="0.25">
      <c r="A14287">
        <v>39</v>
      </c>
      <c r="B14287" t="s">
        <v>13774</v>
      </c>
      <c r="C14287">
        <v>8783270</v>
      </c>
      <c r="E14287" t="s">
        <v>2100</v>
      </c>
      <c r="F14287" t="s">
        <v>14289</v>
      </c>
      <c r="G14287">
        <v>1</v>
      </c>
    </row>
    <row r="14288" spans="1:7" x14ac:dyDescent="0.25">
      <c r="A14288">
        <v>39</v>
      </c>
      <c r="B14288" t="s">
        <v>13774</v>
      </c>
      <c r="C14288">
        <v>5010929</v>
      </c>
      <c r="E14288" t="s">
        <v>2100</v>
      </c>
      <c r="F14288" t="s">
        <v>14290</v>
      </c>
      <c r="G14288">
        <v>1</v>
      </c>
    </row>
    <row r="14289" spans="1:7" x14ac:dyDescent="0.25">
      <c r="A14289">
        <v>39</v>
      </c>
      <c r="B14289" t="s">
        <v>13774</v>
      </c>
      <c r="C14289">
        <v>5010989</v>
      </c>
      <c r="E14289" t="s">
        <v>2100</v>
      </c>
      <c r="F14289" t="s">
        <v>14291</v>
      </c>
      <c r="G14289">
        <v>1</v>
      </c>
    </row>
    <row r="14290" spans="1:7" x14ac:dyDescent="0.25">
      <c r="A14290">
        <v>39</v>
      </c>
      <c r="B14290" t="s">
        <v>13774</v>
      </c>
      <c r="C14290">
        <v>8783154</v>
      </c>
      <c r="E14290" t="s">
        <v>2100</v>
      </c>
      <c r="F14290" t="s">
        <v>14292</v>
      </c>
      <c r="G14290">
        <v>1</v>
      </c>
    </row>
    <row r="14291" spans="1:7" x14ac:dyDescent="0.25">
      <c r="A14291">
        <v>39</v>
      </c>
      <c r="B14291" t="s">
        <v>13774</v>
      </c>
      <c r="C14291">
        <v>8782563</v>
      </c>
      <c r="E14291" t="s">
        <v>8</v>
      </c>
      <c r="F14291" t="s">
        <v>14293</v>
      </c>
      <c r="G14291">
        <v>1</v>
      </c>
    </row>
    <row r="14292" spans="1:7" x14ac:dyDescent="0.25">
      <c r="A14292">
        <v>39</v>
      </c>
      <c r="B14292" t="s">
        <v>13774</v>
      </c>
      <c r="C14292">
        <v>8783151</v>
      </c>
      <c r="E14292" t="s">
        <v>2100</v>
      </c>
      <c r="F14292" t="s">
        <v>14294</v>
      </c>
      <c r="G14292">
        <v>1</v>
      </c>
    </row>
    <row r="14293" spans="1:7" x14ac:dyDescent="0.25">
      <c r="A14293">
        <v>39</v>
      </c>
      <c r="B14293" t="s">
        <v>13774</v>
      </c>
      <c r="C14293">
        <v>8783175</v>
      </c>
      <c r="E14293" t="s">
        <v>2100</v>
      </c>
      <c r="F14293" t="s">
        <v>14295</v>
      </c>
      <c r="G14293">
        <v>1</v>
      </c>
    </row>
    <row r="14294" spans="1:7" x14ac:dyDescent="0.25">
      <c r="A14294">
        <v>39</v>
      </c>
      <c r="B14294" t="s">
        <v>13774</v>
      </c>
      <c r="C14294">
        <v>8783150</v>
      </c>
      <c r="E14294" t="s">
        <v>2100</v>
      </c>
      <c r="F14294" t="s">
        <v>14296</v>
      </c>
      <c r="G14294">
        <v>1</v>
      </c>
    </row>
    <row r="14295" spans="1:7" x14ac:dyDescent="0.25">
      <c r="A14295">
        <v>39</v>
      </c>
      <c r="B14295" t="s">
        <v>13774</v>
      </c>
      <c r="C14295">
        <v>8783231</v>
      </c>
      <c r="E14295" t="s">
        <v>2100</v>
      </c>
      <c r="F14295" t="s">
        <v>14297</v>
      </c>
      <c r="G14295">
        <v>1</v>
      </c>
    </row>
    <row r="14296" spans="1:7" x14ac:dyDescent="0.25">
      <c r="A14296">
        <v>39</v>
      </c>
      <c r="B14296" t="s">
        <v>13774</v>
      </c>
      <c r="C14296">
        <v>8783213</v>
      </c>
      <c r="E14296" t="s">
        <v>2100</v>
      </c>
      <c r="F14296" t="s">
        <v>14298</v>
      </c>
      <c r="G14296">
        <v>1</v>
      </c>
    </row>
    <row r="14297" spans="1:7" x14ac:dyDescent="0.25">
      <c r="A14297">
        <v>39</v>
      </c>
      <c r="B14297" t="s">
        <v>13774</v>
      </c>
      <c r="C14297">
        <v>8783152</v>
      </c>
      <c r="D14297" t="str">
        <f>"2372-7179"</f>
        <v>2372-7179</v>
      </c>
      <c r="E14297" t="s">
        <v>2100</v>
      </c>
      <c r="F14297" t="s">
        <v>14299</v>
      </c>
      <c r="G14297">
        <v>1</v>
      </c>
    </row>
    <row r="14298" spans="1:7" x14ac:dyDescent="0.25">
      <c r="A14298">
        <v>39</v>
      </c>
      <c r="B14298" t="s">
        <v>13774</v>
      </c>
      <c r="C14298">
        <v>8783212</v>
      </c>
      <c r="E14298" t="s">
        <v>2100</v>
      </c>
      <c r="F14298" t="s">
        <v>14300</v>
      </c>
      <c r="G14298">
        <v>1</v>
      </c>
    </row>
    <row r="14299" spans="1:7" x14ac:dyDescent="0.25">
      <c r="A14299">
        <v>39</v>
      </c>
      <c r="B14299" t="s">
        <v>13774</v>
      </c>
      <c r="C14299">
        <v>8782917</v>
      </c>
      <c r="E14299" t="s">
        <v>2100</v>
      </c>
      <c r="F14299" t="s">
        <v>14301</v>
      </c>
      <c r="G14299">
        <v>1</v>
      </c>
    </row>
    <row r="14300" spans="1:7" x14ac:dyDescent="0.25">
      <c r="A14300">
        <v>39</v>
      </c>
      <c r="B14300" t="s">
        <v>13774</v>
      </c>
      <c r="C14300">
        <v>8774087</v>
      </c>
      <c r="E14300" t="s">
        <v>8</v>
      </c>
      <c r="F14300" t="s">
        <v>14302</v>
      </c>
      <c r="G14300">
        <v>1</v>
      </c>
    </row>
    <row r="14301" spans="1:7" x14ac:dyDescent="0.25">
      <c r="A14301">
        <v>39</v>
      </c>
      <c r="B14301" t="s">
        <v>13774</v>
      </c>
      <c r="C14301">
        <v>8783296</v>
      </c>
      <c r="E14301" t="s">
        <v>2100</v>
      </c>
      <c r="F14301" t="s">
        <v>14303</v>
      </c>
      <c r="G14301">
        <v>1</v>
      </c>
    </row>
    <row r="14302" spans="1:7" x14ac:dyDescent="0.25">
      <c r="A14302">
        <v>39</v>
      </c>
      <c r="B14302" t="s">
        <v>13774</v>
      </c>
      <c r="C14302">
        <v>1341</v>
      </c>
      <c r="D14302" t="str">
        <f>"1529-7853"</f>
        <v>1529-7853</v>
      </c>
      <c r="E14302" t="s">
        <v>8</v>
      </c>
      <c r="F14302" t="s">
        <v>14304</v>
      </c>
      <c r="G14302">
        <v>1</v>
      </c>
    </row>
    <row r="14303" spans="1:7" x14ac:dyDescent="0.25">
      <c r="A14303">
        <v>39</v>
      </c>
      <c r="B14303" t="s">
        <v>13774</v>
      </c>
      <c r="C14303">
        <v>8783021</v>
      </c>
      <c r="D14303" t="str">
        <f>"1552-5996"</f>
        <v>1552-5996</v>
      </c>
      <c r="E14303" t="s">
        <v>2100</v>
      </c>
      <c r="F14303" t="s">
        <v>7624</v>
      </c>
      <c r="G14303">
        <v>1</v>
      </c>
    </row>
    <row r="14304" spans="1:7" x14ac:dyDescent="0.25">
      <c r="A14304">
        <v>39</v>
      </c>
      <c r="B14304" t="s">
        <v>13774</v>
      </c>
      <c r="C14304">
        <v>8783122</v>
      </c>
      <c r="D14304" t="str">
        <f>"00002016"</f>
        <v>00002016</v>
      </c>
      <c r="E14304" t="s">
        <v>2100</v>
      </c>
      <c r="F14304" t="s">
        <v>14305</v>
      </c>
      <c r="G14304">
        <v>1</v>
      </c>
    </row>
    <row r="14305" spans="1:7" x14ac:dyDescent="0.25">
      <c r="A14305">
        <v>39</v>
      </c>
      <c r="B14305" t="s">
        <v>13774</v>
      </c>
      <c r="C14305">
        <v>6167478</v>
      </c>
      <c r="D14305" t="str">
        <f>"1943-023X"</f>
        <v>1943-023X</v>
      </c>
      <c r="E14305" t="s">
        <v>8</v>
      </c>
      <c r="F14305" t="s">
        <v>14306</v>
      </c>
      <c r="G14305">
        <v>1</v>
      </c>
    </row>
    <row r="14306" spans="1:7" x14ac:dyDescent="0.25">
      <c r="A14306">
        <v>39</v>
      </c>
      <c r="B14306" t="s">
        <v>13774</v>
      </c>
      <c r="C14306">
        <v>8458</v>
      </c>
      <c r="D14306" t="str">
        <f>"1005-8885"</f>
        <v>1005-8885</v>
      </c>
      <c r="E14306" t="s">
        <v>8</v>
      </c>
      <c r="F14306" t="s">
        <v>14307</v>
      </c>
      <c r="G14306">
        <v>1</v>
      </c>
    </row>
    <row r="14307" spans="1:7" x14ac:dyDescent="0.25">
      <c r="A14307">
        <v>39</v>
      </c>
      <c r="B14307" t="s">
        <v>13774</v>
      </c>
      <c r="C14307">
        <v>16988</v>
      </c>
      <c r="D14307" t="str">
        <f>"1229-2370"</f>
        <v>1229-2370</v>
      </c>
      <c r="E14307" t="s">
        <v>8</v>
      </c>
      <c r="F14307" t="s">
        <v>14308</v>
      </c>
      <c r="G14307">
        <v>1</v>
      </c>
    </row>
    <row r="14308" spans="1:7" x14ac:dyDescent="0.25">
      <c r="A14308">
        <v>39</v>
      </c>
      <c r="B14308" t="s">
        <v>13774</v>
      </c>
      <c r="C14308">
        <v>14716</v>
      </c>
      <c r="D14308" t="str">
        <f>"1845-6421"</f>
        <v>1845-6421</v>
      </c>
      <c r="E14308" t="s">
        <v>8</v>
      </c>
      <c r="F14308" t="s">
        <v>14309</v>
      </c>
      <c r="G14308">
        <v>1</v>
      </c>
    </row>
    <row r="14309" spans="1:7" x14ac:dyDescent="0.25">
      <c r="A14309">
        <v>39</v>
      </c>
      <c r="B14309" t="s">
        <v>13774</v>
      </c>
      <c r="C14309">
        <v>3910</v>
      </c>
      <c r="D14309" t="str">
        <f>"1064-2269"</f>
        <v>1064-2269</v>
      </c>
      <c r="E14309" t="s">
        <v>8</v>
      </c>
      <c r="F14309" t="s">
        <v>14310</v>
      </c>
      <c r="G14309">
        <v>1</v>
      </c>
    </row>
    <row r="14310" spans="1:7" x14ac:dyDescent="0.25">
      <c r="A14310">
        <v>39</v>
      </c>
      <c r="B14310" t="s">
        <v>13774</v>
      </c>
      <c r="C14310">
        <v>4436</v>
      </c>
      <c r="D14310" t="str">
        <f>"1569-8025"</f>
        <v>1569-8025</v>
      </c>
      <c r="E14310" t="s">
        <v>8</v>
      </c>
      <c r="F14310" t="s">
        <v>14311</v>
      </c>
      <c r="G14310">
        <v>1</v>
      </c>
    </row>
    <row r="14311" spans="1:7" x14ac:dyDescent="0.25">
      <c r="A14311">
        <v>39</v>
      </c>
      <c r="B14311" t="s">
        <v>13774</v>
      </c>
      <c r="C14311">
        <v>154407</v>
      </c>
      <c r="D14311" t="str">
        <f>"1844-6043"</f>
        <v>1844-6043</v>
      </c>
      <c r="E14311" t="s">
        <v>8</v>
      </c>
      <c r="F14311" t="s">
        <v>14312</v>
      </c>
      <c r="G14311">
        <v>1</v>
      </c>
    </row>
    <row r="14312" spans="1:7" x14ac:dyDescent="0.25">
      <c r="A14312">
        <v>39</v>
      </c>
      <c r="B14312" t="s">
        <v>13774</v>
      </c>
      <c r="C14312">
        <v>25390</v>
      </c>
      <c r="D14312" t="str">
        <f>"1672-6340"</f>
        <v>1672-6340</v>
      </c>
      <c r="E14312" t="s">
        <v>8</v>
      </c>
      <c r="F14312" t="s">
        <v>14313</v>
      </c>
      <c r="G14312">
        <v>1</v>
      </c>
    </row>
    <row r="14313" spans="1:7" x14ac:dyDescent="0.25">
      <c r="A14313">
        <v>39</v>
      </c>
      <c r="B14313" t="s">
        <v>13774</v>
      </c>
      <c r="C14313">
        <v>7736136</v>
      </c>
      <c r="D14313" t="str">
        <f>"2245-1439"</f>
        <v>2245-1439</v>
      </c>
      <c r="E14313" t="s">
        <v>8</v>
      </c>
      <c r="F14313" t="s">
        <v>14314</v>
      </c>
      <c r="G14313">
        <v>1</v>
      </c>
    </row>
    <row r="14314" spans="1:7" x14ac:dyDescent="0.25">
      <c r="A14314">
        <v>39</v>
      </c>
      <c r="B14314" t="s">
        <v>13774</v>
      </c>
      <c r="C14314">
        <v>16445</v>
      </c>
      <c r="D14314" t="str">
        <f>"1551-319X"</f>
        <v>1551-319X</v>
      </c>
      <c r="E14314" t="s">
        <v>8</v>
      </c>
      <c r="F14314" t="s">
        <v>14315</v>
      </c>
      <c r="G14314">
        <v>1</v>
      </c>
    </row>
    <row r="14315" spans="1:7" x14ac:dyDescent="0.25">
      <c r="A14315">
        <v>39</v>
      </c>
      <c r="B14315" t="s">
        <v>13774</v>
      </c>
      <c r="C14315">
        <v>2633</v>
      </c>
      <c r="D14315" t="str">
        <f>"0022-0434"</f>
        <v>0022-0434</v>
      </c>
      <c r="E14315" t="s">
        <v>8</v>
      </c>
      <c r="F14315" t="s">
        <v>14316</v>
      </c>
      <c r="G14315">
        <v>1</v>
      </c>
    </row>
    <row r="14316" spans="1:7" x14ac:dyDescent="0.25">
      <c r="A14316">
        <v>39</v>
      </c>
      <c r="B14316" t="s">
        <v>13774</v>
      </c>
      <c r="C14316">
        <v>6169167</v>
      </c>
      <c r="D14316" t="str">
        <f>"2090-0147"</f>
        <v>2090-0147</v>
      </c>
      <c r="E14316" t="s">
        <v>8</v>
      </c>
      <c r="F14316" t="s">
        <v>14317</v>
      </c>
      <c r="G14316">
        <v>1</v>
      </c>
    </row>
    <row r="14317" spans="1:7" x14ac:dyDescent="0.25">
      <c r="A14317">
        <v>39</v>
      </c>
      <c r="B14317" t="s">
        <v>13774</v>
      </c>
      <c r="C14317">
        <v>552</v>
      </c>
      <c r="D14317" t="str">
        <f>"0920-5071"</f>
        <v>0920-5071</v>
      </c>
      <c r="E14317" t="s">
        <v>8</v>
      </c>
      <c r="F14317" t="s">
        <v>14318</v>
      </c>
      <c r="G14317">
        <v>1</v>
      </c>
    </row>
    <row r="14318" spans="1:7" x14ac:dyDescent="0.25">
      <c r="A14318">
        <v>39</v>
      </c>
      <c r="B14318" t="s">
        <v>13774</v>
      </c>
      <c r="C14318">
        <v>16159</v>
      </c>
      <c r="D14318" t="str">
        <f>"0361-5235"</f>
        <v>0361-5235</v>
      </c>
      <c r="E14318" t="s">
        <v>8</v>
      </c>
      <c r="F14318" t="s">
        <v>14319</v>
      </c>
      <c r="G14318">
        <v>1</v>
      </c>
    </row>
    <row r="14319" spans="1:7" x14ac:dyDescent="0.25">
      <c r="A14319">
        <v>39</v>
      </c>
      <c r="B14319" t="s">
        <v>13774</v>
      </c>
      <c r="C14319">
        <v>5906</v>
      </c>
      <c r="D14319" t="str">
        <f>"1043-7398"</f>
        <v>1043-7398</v>
      </c>
      <c r="E14319" t="s">
        <v>8</v>
      </c>
      <c r="F14319" t="s">
        <v>14320</v>
      </c>
      <c r="G14319">
        <v>1</v>
      </c>
    </row>
    <row r="14320" spans="1:7" x14ac:dyDescent="0.25">
      <c r="A14320">
        <v>39</v>
      </c>
      <c r="B14320" t="s">
        <v>13774</v>
      </c>
      <c r="C14320">
        <v>16482</v>
      </c>
      <c r="D14320" t="str">
        <f>"0304-3886"</f>
        <v>0304-3886</v>
      </c>
      <c r="E14320" t="s">
        <v>8</v>
      </c>
      <c r="F14320" t="s">
        <v>14321</v>
      </c>
      <c r="G14320">
        <v>1</v>
      </c>
    </row>
    <row r="14321" spans="1:7" x14ac:dyDescent="0.25">
      <c r="A14321">
        <v>39</v>
      </c>
      <c r="B14321" t="s">
        <v>13774</v>
      </c>
      <c r="C14321">
        <v>6313</v>
      </c>
      <c r="D14321" t="str">
        <f>"0731-5090"</f>
        <v>0731-5090</v>
      </c>
      <c r="E14321" t="s">
        <v>8</v>
      </c>
      <c r="F14321" t="s">
        <v>14322</v>
      </c>
      <c r="G14321">
        <v>1</v>
      </c>
    </row>
    <row r="14322" spans="1:7" x14ac:dyDescent="0.25">
      <c r="A14322">
        <v>39</v>
      </c>
      <c r="B14322" t="s">
        <v>13774</v>
      </c>
      <c r="C14322">
        <v>8759524</v>
      </c>
      <c r="D14322" t="str">
        <f>"2245-800X"</f>
        <v>2245-800X</v>
      </c>
      <c r="E14322" t="s">
        <v>8</v>
      </c>
      <c r="F14322" t="s">
        <v>14323</v>
      </c>
      <c r="G14322">
        <v>1</v>
      </c>
    </row>
    <row r="14323" spans="1:7" x14ac:dyDescent="0.25">
      <c r="A14323">
        <v>39</v>
      </c>
      <c r="B14323" t="s">
        <v>13774</v>
      </c>
      <c r="C14323">
        <v>7976</v>
      </c>
      <c r="D14323" t="str">
        <f>"1866-6892"</f>
        <v>1866-6892</v>
      </c>
      <c r="E14323" t="s">
        <v>8</v>
      </c>
      <c r="F14323" t="s">
        <v>14324</v>
      </c>
      <c r="G14323">
        <v>1</v>
      </c>
    </row>
    <row r="14324" spans="1:7" x14ac:dyDescent="0.25">
      <c r="A14324">
        <v>39</v>
      </c>
      <c r="B14324" t="s">
        <v>13774</v>
      </c>
      <c r="C14324">
        <v>15003</v>
      </c>
      <c r="E14324" t="s">
        <v>8</v>
      </c>
      <c r="F14324" t="s">
        <v>14325</v>
      </c>
      <c r="G14324">
        <v>1</v>
      </c>
    </row>
    <row r="14325" spans="1:7" x14ac:dyDescent="0.25">
      <c r="A14325">
        <v>39</v>
      </c>
      <c r="B14325" t="s">
        <v>13774</v>
      </c>
      <c r="C14325">
        <v>22435</v>
      </c>
      <c r="D14325" t="str">
        <f>"0334-1860"</f>
        <v>0334-1860</v>
      </c>
      <c r="E14325" t="s">
        <v>8</v>
      </c>
      <c r="F14325" t="s">
        <v>14326</v>
      </c>
      <c r="G14325">
        <v>1</v>
      </c>
    </row>
    <row r="14326" spans="1:7" x14ac:dyDescent="0.25">
      <c r="A14326">
        <v>39</v>
      </c>
      <c r="B14326" t="s">
        <v>13774</v>
      </c>
      <c r="C14326">
        <v>6170753</v>
      </c>
      <c r="D14326" t="str">
        <f>"1942-4302"</f>
        <v>1942-4302</v>
      </c>
      <c r="E14326" t="s">
        <v>8</v>
      </c>
      <c r="F14326" t="s">
        <v>14327</v>
      </c>
      <c r="G14326">
        <v>1</v>
      </c>
    </row>
    <row r="14327" spans="1:7" x14ac:dyDescent="0.25">
      <c r="A14327">
        <v>39</v>
      </c>
      <c r="B14327" t="s">
        <v>13774</v>
      </c>
      <c r="C14327">
        <v>813</v>
      </c>
      <c r="D14327" t="str">
        <f>"1551-4897"</f>
        <v>1551-4897</v>
      </c>
      <c r="E14327" t="s">
        <v>8</v>
      </c>
      <c r="F14327" t="s">
        <v>14328</v>
      </c>
      <c r="G14327">
        <v>1</v>
      </c>
    </row>
    <row r="14328" spans="1:7" x14ac:dyDescent="0.25">
      <c r="A14328">
        <v>39</v>
      </c>
      <c r="B14328" t="s">
        <v>13774</v>
      </c>
      <c r="C14328">
        <v>7270</v>
      </c>
      <c r="D14328" t="str">
        <f>"0832-7823"</f>
        <v>0832-7823</v>
      </c>
      <c r="E14328" t="s">
        <v>8</v>
      </c>
      <c r="F14328" t="s">
        <v>14329</v>
      </c>
      <c r="G14328">
        <v>1</v>
      </c>
    </row>
    <row r="14329" spans="1:7" x14ac:dyDescent="0.25">
      <c r="A14329">
        <v>39</v>
      </c>
      <c r="B14329" t="s">
        <v>13774</v>
      </c>
      <c r="C14329">
        <v>7740765</v>
      </c>
      <c r="E14329" t="s">
        <v>8</v>
      </c>
      <c r="F14329" t="s">
        <v>14330</v>
      </c>
      <c r="G14329">
        <v>1</v>
      </c>
    </row>
    <row r="14330" spans="1:7" x14ac:dyDescent="0.25">
      <c r="A14330">
        <v>39</v>
      </c>
      <c r="B14330" t="s">
        <v>13774</v>
      </c>
      <c r="C14330">
        <v>8438</v>
      </c>
      <c r="D14330" t="str">
        <f>"0173-4911"</f>
        <v>0173-4911</v>
      </c>
      <c r="E14330" t="s">
        <v>8</v>
      </c>
      <c r="F14330" t="s">
        <v>14331</v>
      </c>
      <c r="G14330">
        <v>1</v>
      </c>
    </row>
    <row r="14331" spans="1:7" x14ac:dyDescent="0.25">
      <c r="A14331">
        <v>39</v>
      </c>
      <c r="B14331" t="s">
        <v>13774</v>
      </c>
      <c r="C14331">
        <v>15854</v>
      </c>
      <c r="D14331" t="str">
        <f>"1943-0620"</f>
        <v>1943-0620</v>
      </c>
      <c r="E14331" t="s">
        <v>8</v>
      </c>
      <c r="F14331" t="s">
        <v>14332</v>
      </c>
      <c r="G14331">
        <v>1</v>
      </c>
    </row>
    <row r="14332" spans="1:7" x14ac:dyDescent="0.25">
      <c r="A14332">
        <v>39</v>
      </c>
      <c r="B14332" t="s">
        <v>13774</v>
      </c>
      <c r="C14332">
        <v>17613</v>
      </c>
      <c r="D14332" t="str">
        <f>"1547-7037"</f>
        <v>1547-7037</v>
      </c>
      <c r="E14332" t="s">
        <v>8</v>
      </c>
      <c r="F14332" t="s">
        <v>14333</v>
      </c>
      <c r="G14332">
        <v>1</v>
      </c>
    </row>
    <row r="14333" spans="1:7" x14ac:dyDescent="0.25">
      <c r="A14333">
        <v>39</v>
      </c>
      <c r="B14333" t="s">
        <v>13774</v>
      </c>
      <c r="C14333">
        <v>53218</v>
      </c>
      <c r="D14333" t="str">
        <f>"1598-2092"</f>
        <v>1598-2092</v>
      </c>
      <c r="E14333" t="s">
        <v>8</v>
      </c>
      <c r="F14333" t="s">
        <v>14334</v>
      </c>
      <c r="G14333">
        <v>1</v>
      </c>
    </row>
    <row r="14334" spans="1:7" x14ac:dyDescent="0.25">
      <c r="A14334">
        <v>39</v>
      </c>
      <c r="B14334" t="s">
        <v>13774</v>
      </c>
      <c r="C14334">
        <v>11839</v>
      </c>
      <c r="D14334" t="str">
        <f>"1071-2836"</f>
        <v>1071-2836</v>
      </c>
      <c r="E14334" t="s">
        <v>8</v>
      </c>
      <c r="F14334" t="s">
        <v>14335</v>
      </c>
      <c r="G14334">
        <v>1</v>
      </c>
    </row>
    <row r="14335" spans="1:7" x14ac:dyDescent="0.25">
      <c r="A14335">
        <v>39</v>
      </c>
      <c r="B14335" t="s">
        <v>13774</v>
      </c>
      <c r="C14335">
        <v>21965</v>
      </c>
      <c r="D14335" t="str">
        <f>"1939-8018"</f>
        <v>1939-8018</v>
      </c>
      <c r="E14335" t="s">
        <v>8</v>
      </c>
      <c r="F14335" t="s">
        <v>14336</v>
      </c>
      <c r="G14335">
        <v>1</v>
      </c>
    </row>
    <row r="14336" spans="1:7" x14ac:dyDescent="0.25">
      <c r="A14336">
        <v>39</v>
      </c>
      <c r="B14336" t="s">
        <v>13774</v>
      </c>
      <c r="C14336">
        <v>14845</v>
      </c>
      <c r="D14336" t="str">
        <f>"0002-8711"</f>
        <v>0002-8711</v>
      </c>
      <c r="E14336" t="s">
        <v>8</v>
      </c>
      <c r="F14336" t="s">
        <v>14337</v>
      </c>
      <c r="G14336">
        <v>1</v>
      </c>
    </row>
    <row r="14337" spans="1:7" x14ac:dyDescent="0.25">
      <c r="A14337">
        <v>39</v>
      </c>
      <c r="B14337" t="s">
        <v>13774</v>
      </c>
      <c r="C14337">
        <v>38687</v>
      </c>
      <c r="D14337" t="str">
        <f>"1549-4950"</f>
        <v>1549-4950</v>
      </c>
      <c r="E14337" t="s">
        <v>8</v>
      </c>
      <c r="F14337" t="s">
        <v>14338</v>
      </c>
      <c r="G14337">
        <v>1</v>
      </c>
    </row>
    <row r="14338" spans="1:7" x14ac:dyDescent="0.25">
      <c r="A14338">
        <v>39</v>
      </c>
      <c r="B14338" t="s">
        <v>13774</v>
      </c>
      <c r="C14338">
        <v>137461</v>
      </c>
      <c r="D14338" t="str">
        <f>"1990-2573"</f>
        <v>1990-2573</v>
      </c>
      <c r="E14338" t="s">
        <v>8</v>
      </c>
      <c r="F14338" t="s">
        <v>14339</v>
      </c>
      <c r="G14338">
        <v>1</v>
      </c>
    </row>
    <row r="14339" spans="1:7" x14ac:dyDescent="0.25">
      <c r="A14339">
        <v>39</v>
      </c>
      <c r="B14339" t="s">
        <v>13774</v>
      </c>
      <c r="C14339">
        <v>152104</v>
      </c>
      <c r="D14339" t="str">
        <f>"1755-9278"</f>
        <v>1755-9278</v>
      </c>
      <c r="E14339" t="s">
        <v>8</v>
      </c>
      <c r="F14339" t="s">
        <v>14340</v>
      </c>
      <c r="G14339">
        <v>1</v>
      </c>
    </row>
    <row r="14340" spans="1:7" x14ac:dyDescent="0.25">
      <c r="A14340">
        <v>39</v>
      </c>
      <c r="B14340" t="s">
        <v>13774</v>
      </c>
      <c r="C14340">
        <v>8929</v>
      </c>
      <c r="D14340" t="str">
        <f>"0278-4297"</f>
        <v>0278-4297</v>
      </c>
      <c r="E14340" t="s">
        <v>8</v>
      </c>
      <c r="F14340" t="s">
        <v>14341</v>
      </c>
      <c r="G14340">
        <v>1</v>
      </c>
    </row>
    <row r="14341" spans="1:7" x14ac:dyDescent="0.25">
      <c r="A14341">
        <v>39</v>
      </c>
      <c r="B14341" t="s">
        <v>13774</v>
      </c>
      <c r="C14341">
        <v>10348</v>
      </c>
      <c r="D14341" t="str">
        <f>"0898-1507"</f>
        <v>0898-1507</v>
      </c>
      <c r="E14341" t="s">
        <v>8</v>
      </c>
      <c r="F14341" t="s">
        <v>14342</v>
      </c>
      <c r="G14341">
        <v>1</v>
      </c>
    </row>
    <row r="14342" spans="1:7" x14ac:dyDescent="0.25">
      <c r="A14342">
        <v>39</v>
      </c>
      <c r="B14342" t="s">
        <v>13774</v>
      </c>
      <c r="C14342">
        <v>8783184</v>
      </c>
      <c r="D14342" t="str">
        <f>"2330-989X"</f>
        <v>2330-989X</v>
      </c>
      <c r="E14342" t="s">
        <v>2100</v>
      </c>
      <c r="F14342" t="s">
        <v>14343</v>
      </c>
      <c r="G14342">
        <v>1</v>
      </c>
    </row>
    <row r="14343" spans="1:7" x14ac:dyDescent="0.25">
      <c r="A14343">
        <v>39</v>
      </c>
      <c r="B14343" t="s">
        <v>13774</v>
      </c>
      <c r="C14343">
        <v>9177</v>
      </c>
      <c r="D14343" t="str">
        <f>"0170-8643"</f>
        <v>0170-8643</v>
      </c>
      <c r="E14343" t="s">
        <v>15</v>
      </c>
      <c r="F14343" t="s">
        <v>14344</v>
      </c>
      <c r="G14343">
        <v>1</v>
      </c>
    </row>
    <row r="14344" spans="1:7" x14ac:dyDescent="0.25">
      <c r="A14344">
        <v>39</v>
      </c>
      <c r="B14344" t="s">
        <v>13774</v>
      </c>
      <c r="C14344">
        <v>5010933</v>
      </c>
      <c r="E14344" t="s">
        <v>2100</v>
      </c>
      <c r="F14344" t="s">
        <v>14345</v>
      </c>
      <c r="G14344">
        <v>1</v>
      </c>
    </row>
    <row r="14345" spans="1:7" x14ac:dyDescent="0.25">
      <c r="A14345">
        <v>39</v>
      </c>
      <c r="B14345" t="s">
        <v>13774</v>
      </c>
      <c r="C14345">
        <v>5407</v>
      </c>
      <c r="D14345" t="str">
        <f>"0730-725X"</f>
        <v>0730-725X</v>
      </c>
      <c r="E14345" t="s">
        <v>8</v>
      </c>
      <c r="F14345" t="s">
        <v>14346</v>
      </c>
      <c r="G14345">
        <v>1</v>
      </c>
    </row>
    <row r="14346" spans="1:7" x14ac:dyDescent="0.25">
      <c r="A14346">
        <v>39</v>
      </c>
      <c r="B14346" t="s">
        <v>13774</v>
      </c>
      <c r="C14346">
        <v>5644</v>
      </c>
      <c r="D14346" t="str">
        <f>"0020-2940"</f>
        <v>0020-2940</v>
      </c>
      <c r="E14346" t="s">
        <v>8</v>
      </c>
      <c r="F14346" t="s">
        <v>14347</v>
      </c>
      <c r="G14346">
        <v>1</v>
      </c>
    </row>
    <row r="14347" spans="1:7" x14ac:dyDescent="0.25">
      <c r="A14347">
        <v>39</v>
      </c>
      <c r="B14347" t="s">
        <v>13774</v>
      </c>
      <c r="C14347">
        <v>8783183</v>
      </c>
      <c r="E14347" t="s">
        <v>2100</v>
      </c>
      <c r="F14347" t="s">
        <v>14348</v>
      </c>
      <c r="G14347">
        <v>1</v>
      </c>
    </row>
    <row r="14348" spans="1:7" x14ac:dyDescent="0.25">
      <c r="A14348">
        <v>39</v>
      </c>
      <c r="B14348" t="s">
        <v>13774</v>
      </c>
      <c r="C14348">
        <v>7716831</v>
      </c>
      <c r="D14348" t="str">
        <f>"2211-0984"</f>
        <v>2211-0984</v>
      </c>
      <c r="E14348" t="s">
        <v>15</v>
      </c>
      <c r="F14348" t="s">
        <v>14349</v>
      </c>
      <c r="G14348">
        <v>1</v>
      </c>
    </row>
    <row r="14349" spans="1:7" x14ac:dyDescent="0.25">
      <c r="A14349">
        <v>39</v>
      </c>
      <c r="B14349" t="s">
        <v>13774</v>
      </c>
      <c r="C14349">
        <v>8783208</v>
      </c>
      <c r="D14349" t="str">
        <f>" 0141-9331"</f>
        <v xml:space="preserve"> 0141-9331</v>
      </c>
      <c r="E14349" t="s">
        <v>2100</v>
      </c>
      <c r="F14349" t="s">
        <v>14350</v>
      </c>
      <c r="G14349">
        <v>1</v>
      </c>
    </row>
    <row r="14350" spans="1:7" x14ac:dyDescent="0.25">
      <c r="A14350">
        <v>39</v>
      </c>
      <c r="B14350" t="s">
        <v>13774</v>
      </c>
      <c r="C14350">
        <v>8783182</v>
      </c>
      <c r="D14350" t="str">
        <f>"2158-8473"</f>
        <v>2158-8473</v>
      </c>
      <c r="E14350" t="s">
        <v>2100</v>
      </c>
      <c r="F14350" t="s">
        <v>14351</v>
      </c>
      <c r="G14350">
        <v>1</v>
      </c>
    </row>
    <row r="14351" spans="1:7" x14ac:dyDescent="0.25">
      <c r="A14351">
        <v>39</v>
      </c>
      <c r="B14351" t="s">
        <v>13774</v>
      </c>
      <c r="C14351">
        <v>23364</v>
      </c>
      <c r="D14351" t="str">
        <f>"1873-1988"</f>
        <v>1873-1988</v>
      </c>
      <c r="E14351" t="s">
        <v>8</v>
      </c>
      <c r="F14351" t="s">
        <v>14352</v>
      </c>
      <c r="G14351">
        <v>1</v>
      </c>
    </row>
    <row r="14352" spans="1:7" x14ac:dyDescent="0.25">
      <c r="A14352">
        <v>39</v>
      </c>
      <c r="B14352" t="s">
        <v>13774</v>
      </c>
      <c r="C14352">
        <v>16359</v>
      </c>
      <c r="D14352" t="str">
        <f>"0167-9317"</f>
        <v>0167-9317</v>
      </c>
      <c r="E14352" t="s">
        <v>8</v>
      </c>
      <c r="F14352" t="s">
        <v>14353</v>
      </c>
      <c r="G14352">
        <v>1</v>
      </c>
    </row>
    <row r="14353" spans="1:7" x14ac:dyDescent="0.25">
      <c r="A14353">
        <v>39</v>
      </c>
      <c r="B14353" t="s">
        <v>13774</v>
      </c>
      <c r="C14353">
        <v>1976</v>
      </c>
      <c r="D14353" t="str">
        <f>"0959-8324"</f>
        <v>0959-8324</v>
      </c>
      <c r="E14353" t="s">
        <v>8</v>
      </c>
      <c r="F14353" t="s">
        <v>14354</v>
      </c>
      <c r="G14353">
        <v>1</v>
      </c>
    </row>
    <row r="14354" spans="1:7" x14ac:dyDescent="0.25">
      <c r="A14354">
        <v>39</v>
      </c>
      <c r="B14354" t="s">
        <v>13774</v>
      </c>
      <c r="C14354">
        <v>7111</v>
      </c>
      <c r="D14354" t="str">
        <f>"0026-2714"</f>
        <v>0026-2714</v>
      </c>
      <c r="E14354" t="s">
        <v>8</v>
      </c>
      <c r="F14354" t="s">
        <v>14355</v>
      </c>
      <c r="G14354">
        <v>1</v>
      </c>
    </row>
    <row r="14355" spans="1:7" x14ac:dyDescent="0.25">
      <c r="A14355">
        <v>39</v>
      </c>
      <c r="B14355" t="s">
        <v>13774</v>
      </c>
      <c r="C14355">
        <v>2145</v>
      </c>
      <c r="D14355" t="str">
        <f>"0946-7076"</f>
        <v>0946-7076</v>
      </c>
      <c r="E14355" t="s">
        <v>8</v>
      </c>
      <c r="F14355" t="s">
        <v>14356</v>
      </c>
      <c r="G14355">
        <v>1</v>
      </c>
    </row>
    <row r="14356" spans="1:7" x14ac:dyDescent="0.25">
      <c r="A14356">
        <v>39</v>
      </c>
      <c r="B14356" t="s">
        <v>13774</v>
      </c>
      <c r="C14356">
        <v>2803</v>
      </c>
      <c r="D14356" t="str">
        <f>"0895-2477"</f>
        <v>0895-2477</v>
      </c>
      <c r="E14356" t="s">
        <v>8</v>
      </c>
      <c r="F14356" t="s">
        <v>14357</v>
      </c>
      <c r="G14356">
        <v>1</v>
      </c>
    </row>
    <row r="14357" spans="1:7" x14ac:dyDescent="0.25">
      <c r="A14357">
        <v>39</v>
      </c>
      <c r="B14357" t="s">
        <v>13774</v>
      </c>
      <c r="C14357">
        <v>483</v>
      </c>
      <c r="D14357" t="str">
        <f>"0192-6225"</f>
        <v>0192-6225</v>
      </c>
      <c r="E14357" t="s">
        <v>8</v>
      </c>
      <c r="F14357" t="s">
        <v>14358</v>
      </c>
      <c r="G14357">
        <v>1</v>
      </c>
    </row>
    <row r="14358" spans="1:7" x14ac:dyDescent="0.25">
      <c r="A14358">
        <v>39</v>
      </c>
      <c r="B14358" t="s">
        <v>13774</v>
      </c>
      <c r="C14358">
        <v>8360</v>
      </c>
      <c r="D14358" t="str">
        <f>"0745-2993"</f>
        <v>0745-2993</v>
      </c>
      <c r="E14358" t="s">
        <v>8</v>
      </c>
      <c r="F14358" t="s">
        <v>14359</v>
      </c>
      <c r="G14358">
        <v>1</v>
      </c>
    </row>
    <row r="14359" spans="1:7" x14ac:dyDescent="0.25">
      <c r="A14359">
        <v>39</v>
      </c>
      <c r="B14359" t="s">
        <v>13774</v>
      </c>
      <c r="C14359">
        <v>3313</v>
      </c>
      <c r="D14359" t="str">
        <f>"1548-3746"</f>
        <v>1548-3746</v>
      </c>
      <c r="E14359" t="s">
        <v>8</v>
      </c>
      <c r="F14359" t="s">
        <v>14360</v>
      </c>
      <c r="G14359">
        <v>1</v>
      </c>
    </row>
    <row r="14360" spans="1:7" x14ac:dyDescent="0.25">
      <c r="A14360">
        <v>39</v>
      </c>
      <c r="B14360" t="s">
        <v>13774</v>
      </c>
      <c r="C14360">
        <v>8783203</v>
      </c>
      <c r="E14360" t="s">
        <v>2100</v>
      </c>
      <c r="F14360" t="s">
        <v>14361</v>
      </c>
      <c r="G14360">
        <v>1</v>
      </c>
    </row>
    <row r="14361" spans="1:7" x14ac:dyDescent="0.25">
      <c r="A14361">
        <v>39</v>
      </c>
      <c r="B14361" t="s">
        <v>13774</v>
      </c>
      <c r="C14361">
        <v>15254</v>
      </c>
      <c r="D14361" t="str">
        <f>"0923-6082"</f>
        <v>0923-6082</v>
      </c>
      <c r="E14361" t="s">
        <v>8</v>
      </c>
      <c r="F14361" t="s">
        <v>14362</v>
      </c>
      <c r="G14361">
        <v>1</v>
      </c>
    </row>
    <row r="14362" spans="1:7" x14ac:dyDescent="0.25">
      <c r="A14362">
        <v>39</v>
      </c>
      <c r="B14362" t="s">
        <v>13774</v>
      </c>
      <c r="C14362">
        <v>15489</v>
      </c>
      <c r="D14362" t="str">
        <f>"0954-898X"</f>
        <v>0954-898X</v>
      </c>
      <c r="E14362" t="s">
        <v>8</v>
      </c>
      <c r="F14362" t="s">
        <v>14363</v>
      </c>
      <c r="G14362">
        <v>1</v>
      </c>
    </row>
    <row r="14363" spans="1:7" x14ac:dyDescent="0.25">
      <c r="A14363">
        <v>39</v>
      </c>
      <c r="B14363" t="s">
        <v>13774</v>
      </c>
      <c r="C14363">
        <v>1505</v>
      </c>
      <c r="D14363" t="str">
        <f>"1370-4621"</f>
        <v>1370-4621</v>
      </c>
      <c r="E14363" t="s">
        <v>8</v>
      </c>
      <c r="F14363" t="s">
        <v>14364</v>
      </c>
      <c r="G14363">
        <v>1</v>
      </c>
    </row>
    <row r="14364" spans="1:7" x14ac:dyDescent="0.25">
      <c r="A14364">
        <v>39</v>
      </c>
      <c r="B14364" t="s">
        <v>13774</v>
      </c>
      <c r="C14364">
        <v>68499</v>
      </c>
      <c r="D14364" t="str">
        <f>"1562-8353"</f>
        <v>1562-8353</v>
      </c>
      <c r="E14364" t="s">
        <v>8</v>
      </c>
      <c r="F14364" t="s">
        <v>14365</v>
      </c>
      <c r="G14364">
        <v>1</v>
      </c>
    </row>
    <row r="14365" spans="1:7" x14ac:dyDescent="0.25">
      <c r="A14365">
        <v>39</v>
      </c>
      <c r="B14365" t="s">
        <v>13774</v>
      </c>
      <c r="C14365">
        <v>8783202</v>
      </c>
      <c r="E14365" t="s">
        <v>2100</v>
      </c>
      <c r="F14365" t="s">
        <v>14366</v>
      </c>
      <c r="G14365">
        <v>1</v>
      </c>
    </row>
    <row r="14366" spans="1:7" x14ac:dyDescent="0.25">
      <c r="A14366">
        <v>39</v>
      </c>
      <c r="B14366" t="s">
        <v>13774</v>
      </c>
      <c r="C14366">
        <v>5010927</v>
      </c>
      <c r="E14366" t="s">
        <v>2100</v>
      </c>
      <c r="F14366" t="s">
        <v>14367</v>
      </c>
      <c r="G14366">
        <v>1</v>
      </c>
    </row>
    <row r="14367" spans="1:7" x14ac:dyDescent="0.25">
      <c r="A14367">
        <v>39</v>
      </c>
      <c r="B14367" t="s">
        <v>13774</v>
      </c>
      <c r="C14367">
        <v>8783181</v>
      </c>
      <c r="E14367" t="s">
        <v>2100</v>
      </c>
      <c r="F14367" t="s">
        <v>14368</v>
      </c>
      <c r="G14367">
        <v>1</v>
      </c>
    </row>
    <row r="14368" spans="1:7" x14ac:dyDescent="0.25">
      <c r="A14368">
        <v>39</v>
      </c>
      <c r="B14368" t="s">
        <v>13774</v>
      </c>
      <c r="C14368">
        <v>8782903</v>
      </c>
      <c r="E14368" t="s">
        <v>2100</v>
      </c>
      <c r="F14368" t="s">
        <v>14369</v>
      </c>
      <c r="G14368">
        <v>1</v>
      </c>
    </row>
    <row r="14369" spans="1:7" x14ac:dyDescent="0.25">
      <c r="A14369">
        <v>39</v>
      </c>
      <c r="B14369" t="s">
        <v>13774</v>
      </c>
      <c r="C14369">
        <v>28718</v>
      </c>
      <c r="D14369" t="str">
        <f>"1348-3447"</f>
        <v>1348-3447</v>
      </c>
      <c r="E14369" t="s">
        <v>8</v>
      </c>
      <c r="F14369" t="s">
        <v>14370</v>
      </c>
      <c r="G14369">
        <v>1</v>
      </c>
    </row>
    <row r="14370" spans="1:7" x14ac:dyDescent="0.25">
      <c r="A14370">
        <v>39</v>
      </c>
      <c r="B14370" t="s">
        <v>13774</v>
      </c>
      <c r="C14370">
        <v>8782938</v>
      </c>
      <c r="E14370" t="s">
        <v>2100</v>
      </c>
      <c r="F14370" t="s">
        <v>14371</v>
      </c>
      <c r="G14370">
        <v>1</v>
      </c>
    </row>
    <row r="14371" spans="1:7" x14ac:dyDescent="0.25">
      <c r="A14371">
        <v>39</v>
      </c>
      <c r="B14371" t="s">
        <v>13774</v>
      </c>
      <c r="C14371">
        <v>8783209</v>
      </c>
      <c r="E14371" t="s">
        <v>2100</v>
      </c>
      <c r="F14371" t="s">
        <v>14372</v>
      </c>
      <c r="G14371">
        <v>1</v>
      </c>
    </row>
    <row r="14372" spans="1:7" x14ac:dyDescent="0.25">
      <c r="A14372">
        <v>39</v>
      </c>
      <c r="B14372" t="s">
        <v>13774</v>
      </c>
      <c r="C14372">
        <v>8783180</v>
      </c>
      <c r="E14372" t="s">
        <v>2100</v>
      </c>
      <c r="F14372" t="s">
        <v>14373</v>
      </c>
      <c r="G14372">
        <v>1</v>
      </c>
    </row>
    <row r="14373" spans="1:7" x14ac:dyDescent="0.25">
      <c r="A14373">
        <v>39</v>
      </c>
      <c r="B14373" t="s">
        <v>13774</v>
      </c>
      <c r="C14373">
        <v>5485</v>
      </c>
      <c r="D14373" t="str">
        <f>"0078-5466"</f>
        <v>0078-5466</v>
      </c>
      <c r="E14373" t="s">
        <v>8</v>
      </c>
      <c r="F14373" t="s">
        <v>14374</v>
      </c>
      <c r="G14373">
        <v>1</v>
      </c>
    </row>
    <row r="14374" spans="1:7" x14ac:dyDescent="0.25">
      <c r="A14374">
        <v>39</v>
      </c>
      <c r="B14374" t="s">
        <v>13774</v>
      </c>
      <c r="C14374">
        <v>392</v>
      </c>
      <c r="D14374" t="str">
        <f>"0306-8919"</f>
        <v>0306-8919</v>
      </c>
      <c r="E14374" t="s">
        <v>8</v>
      </c>
      <c r="F14374" t="s">
        <v>14375</v>
      </c>
      <c r="G14374">
        <v>1</v>
      </c>
    </row>
    <row r="14375" spans="1:7" x14ac:dyDescent="0.25">
      <c r="A14375">
        <v>39</v>
      </c>
      <c r="B14375" t="s">
        <v>13774</v>
      </c>
      <c r="C14375">
        <v>8782940</v>
      </c>
      <c r="E14375" t="s">
        <v>2100</v>
      </c>
      <c r="F14375" t="s">
        <v>14376</v>
      </c>
      <c r="G14375">
        <v>1</v>
      </c>
    </row>
    <row r="14376" spans="1:7" x14ac:dyDescent="0.25">
      <c r="A14376">
        <v>39</v>
      </c>
      <c r="B14376" t="s">
        <v>13774</v>
      </c>
      <c r="C14376">
        <v>4998</v>
      </c>
      <c r="D14376" t="str">
        <f>"1068-5200"</f>
        <v>1068-5200</v>
      </c>
      <c r="E14376" t="s">
        <v>8</v>
      </c>
      <c r="F14376" t="s">
        <v>14377</v>
      </c>
      <c r="G14376">
        <v>1</v>
      </c>
    </row>
    <row r="14377" spans="1:7" x14ac:dyDescent="0.25">
      <c r="A14377">
        <v>39</v>
      </c>
      <c r="B14377" t="s">
        <v>13774</v>
      </c>
      <c r="C14377">
        <v>16700</v>
      </c>
      <c r="D14377" t="str">
        <f>"0030-3992"</f>
        <v>0030-3992</v>
      </c>
      <c r="E14377" t="s">
        <v>8</v>
      </c>
      <c r="F14377" t="s">
        <v>14378</v>
      </c>
      <c r="G14377">
        <v>1</v>
      </c>
    </row>
    <row r="14378" spans="1:7" x14ac:dyDescent="0.25">
      <c r="A14378">
        <v>39</v>
      </c>
      <c r="B14378" t="s">
        <v>13774</v>
      </c>
      <c r="C14378">
        <v>10993</v>
      </c>
      <c r="D14378" t="str">
        <f>"1047-6938"</f>
        <v>1047-6938</v>
      </c>
      <c r="E14378" t="s">
        <v>8</v>
      </c>
      <c r="F14378" t="s">
        <v>14379</v>
      </c>
      <c r="G14378">
        <v>1</v>
      </c>
    </row>
    <row r="14379" spans="1:7" x14ac:dyDescent="0.25">
      <c r="A14379">
        <v>39</v>
      </c>
      <c r="B14379" t="s">
        <v>13774</v>
      </c>
      <c r="C14379">
        <v>11963</v>
      </c>
      <c r="D14379" t="str">
        <f>"0143-8166"</f>
        <v>0143-8166</v>
      </c>
      <c r="E14379" t="s">
        <v>8</v>
      </c>
      <c r="F14379" t="s">
        <v>14380</v>
      </c>
      <c r="G14379">
        <v>1</v>
      </c>
    </row>
    <row r="14380" spans="1:7" x14ac:dyDescent="0.25">
      <c r="A14380">
        <v>39</v>
      </c>
      <c r="B14380" t="s">
        <v>13774</v>
      </c>
      <c r="C14380">
        <v>16398</v>
      </c>
      <c r="D14380" t="str">
        <f>"0143-2087"</f>
        <v>0143-2087</v>
      </c>
      <c r="E14380" t="s">
        <v>8</v>
      </c>
      <c r="F14380" t="s">
        <v>14381</v>
      </c>
      <c r="G14380">
        <v>1</v>
      </c>
    </row>
    <row r="14381" spans="1:7" x14ac:dyDescent="0.25">
      <c r="A14381">
        <v>39</v>
      </c>
      <c r="B14381" t="s">
        <v>13774</v>
      </c>
      <c r="C14381">
        <v>11614</v>
      </c>
      <c r="D14381" t="str">
        <f>"1389-4420"</f>
        <v>1389-4420</v>
      </c>
      <c r="E14381" t="s">
        <v>8</v>
      </c>
      <c r="F14381" t="s">
        <v>14382</v>
      </c>
      <c r="G14381">
        <v>1</v>
      </c>
    </row>
    <row r="14382" spans="1:7" x14ac:dyDescent="0.25">
      <c r="A14382">
        <v>39</v>
      </c>
      <c r="B14382" t="s">
        <v>13774</v>
      </c>
      <c r="C14382">
        <v>8782941</v>
      </c>
      <c r="E14382" t="s">
        <v>2100</v>
      </c>
      <c r="F14382" t="s">
        <v>14383</v>
      </c>
      <c r="G14382">
        <v>1</v>
      </c>
    </row>
    <row r="14383" spans="1:7" x14ac:dyDescent="0.25">
      <c r="A14383">
        <v>39</v>
      </c>
      <c r="B14383" t="s">
        <v>13774</v>
      </c>
      <c r="C14383">
        <v>172</v>
      </c>
      <c r="D14383" t="str">
        <f>"1230-3402"</f>
        <v>1230-3402</v>
      </c>
      <c r="E14383" t="s">
        <v>8</v>
      </c>
      <c r="F14383" t="s">
        <v>14384</v>
      </c>
      <c r="G14383">
        <v>1</v>
      </c>
    </row>
    <row r="14384" spans="1:7" x14ac:dyDescent="0.25">
      <c r="A14384">
        <v>39</v>
      </c>
      <c r="B14384" t="s">
        <v>13774</v>
      </c>
      <c r="C14384">
        <v>8783179</v>
      </c>
      <c r="E14384" t="s">
        <v>2100</v>
      </c>
      <c r="F14384" t="s">
        <v>14385</v>
      </c>
      <c r="G14384">
        <v>1</v>
      </c>
    </row>
    <row r="14385" spans="1:7" x14ac:dyDescent="0.25">
      <c r="A14385">
        <v>39</v>
      </c>
      <c r="B14385" t="s">
        <v>13774</v>
      </c>
      <c r="C14385">
        <v>21040</v>
      </c>
      <c r="D14385" t="str">
        <f>"1874-4907"</f>
        <v>1874-4907</v>
      </c>
      <c r="E14385" t="s">
        <v>8</v>
      </c>
      <c r="F14385" t="s">
        <v>14386</v>
      </c>
      <c r="G14385">
        <v>1</v>
      </c>
    </row>
    <row r="14386" spans="1:7" x14ac:dyDescent="0.25">
      <c r="A14386">
        <v>39</v>
      </c>
      <c r="B14386" t="s">
        <v>13774</v>
      </c>
      <c r="C14386">
        <v>8783200</v>
      </c>
      <c r="E14386" t="s">
        <v>2100</v>
      </c>
      <c r="F14386" t="s">
        <v>14387</v>
      </c>
      <c r="G14386">
        <v>1</v>
      </c>
    </row>
    <row r="14387" spans="1:7" x14ac:dyDescent="0.25">
      <c r="A14387">
        <v>39</v>
      </c>
      <c r="B14387" t="s">
        <v>13774</v>
      </c>
      <c r="C14387">
        <v>8783705</v>
      </c>
      <c r="E14387" t="s">
        <v>15</v>
      </c>
      <c r="F14387" t="s">
        <v>14388</v>
      </c>
      <c r="G14387">
        <v>1</v>
      </c>
    </row>
    <row r="14388" spans="1:7" x14ac:dyDescent="0.25">
      <c r="A14388">
        <v>39</v>
      </c>
      <c r="B14388" t="s">
        <v>13774</v>
      </c>
      <c r="C14388">
        <v>8783133</v>
      </c>
      <c r="E14388" t="s">
        <v>2100</v>
      </c>
      <c r="F14388" t="s">
        <v>14389</v>
      </c>
      <c r="G14388">
        <v>1</v>
      </c>
    </row>
    <row r="14389" spans="1:7" x14ac:dyDescent="0.25">
      <c r="A14389">
        <v>39</v>
      </c>
      <c r="B14389" t="s">
        <v>13774</v>
      </c>
      <c r="C14389">
        <v>8782936</v>
      </c>
      <c r="E14389" t="s">
        <v>2100</v>
      </c>
      <c r="F14389" t="s">
        <v>14390</v>
      </c>
      <c r="G14389">
        <v>1</v>
      </c>
    </row>
    <row r="14390" spans="1:7" x14ac:dyDescent="0.25">
      <c r="A14390">
        <v>39</v>
      </c>
      <c r="B14390" t="s">
        <v>13774</v>
      </c>
      <c r="C14390">
        <v>4348</v>
      </c>
      <c r="D14390" t="str">
        <f>"1570-145X"</f>
        <v>1570-145X</v>
      </c>
      <c r="E14390" t="s">
        <v>8</v>
      </c>
      <c r="F14390" t="s">
        <v>14391</v>
      </c>
      <c r="G14390">
        <v>1</v>
      </c>
    </row>
    <row r="14391" spans="1:7" x14ac:dyDescent="0.25">
      <c r="A14391">
        <v>39</v>
      </c>
      <c r="B14391" t="s">
        <v>13774</v>
      </c>
      <c r="C14391">
        <v>10588</v>
      </c>
      <c r="D14391" t="str">
        <f>"0032-9460"</f>
        <v>0032-9460</v>
      </c>
      <c r="E14391" t="s">
        <v>8</v>
      </c>
      <c r="F14391" t="s">
        <v>14392</v>
      </c>
      <c r="G14391">
        <v>1</v>
      </c>
    </row>
    <row r="14392" spans="1:7" x14ac:dyDescent="0.25">
      <c r="A14392">
        <v>39</v>
      </c>
      <c r="B14392" t="s">
        <v>13774</v>
      </c>
      <c r="C14392">
        <v>8783707</v>
      </c>
      <c r="E14392" t="s">
        <v>15</v>
      </c>
      <c r="F14392" t="s">
        <v>14393</v>
      </c>
      <c r="G14392">
        <v>1</v>
      </c>
    </row>
    <row r="14393" spans="1:7" x14ac:dyDescent="0.25">
      <c r="A14393">
        <v>39</v>
      </c>
      <c r="B14393" t="s">
        <v>13774</v>
      </c>
      <c r="C14393">
        <v>9182</v>
      </c>
      <c r="D14393" t="str">
        <f>"1930-8833"</f>
        <v>1930-8833</v>
      </c>
      <c r="E14393" t="s">
        <v>8</v>
      </c>
      <c r="F14393" t="s">
        <v>14394</v>
      </c>
      <c r="G14393">
        <v>1</v>
      </c>
    </row>
    <row r="14394" spans="1:7" x14ac:dyDescent="0.25">
      <c r="A14394">
        <v>39</v>
      </c>
      <c r="B14394" t="s">
        <v>13774</v>
      </c>
      <c r="C14394">
        <v>1136</v>
      </c>
      <c r="D14394" t="str">
        <f>"1930-0395"</f>
        <v>1930-0395</v>
      </c>
      <c r="E14394" t="s">
        <v>8</v>
      </c>
      <c r="F14394" t="s">
        <v>14395</v>
      </c>
      <c r="G14394">
        <v>1</v>
      </c>
    </row>
    <row r="14395" spans="1:7" x14ac:dyDescent="0.25">
      <c r="A14395">
        <v>39</v>
      </c>
      <c r="B14395" t="s">
        <v>13774</v>
      </c>
      <c r="C14395">
        <v>8783712</v>
      </c>
      <c r="E14395" t="s">
        <v>15</v>
      </c>
      <c r="F14395" t="s">
        <v>14396</v>
      </c>
      <c r="G14395">
        <v>1</v>
      </c>
    </row>
    <row r="14396" spans="1:7" x14ac:dyDescent="0.25">
      <c r="A14396">
        <v>39</v>
      </c>
      <c r="B14396" t="s">
        <v>13774</v>
      </c>
      <c r="C14396">
        <v>156451</v>
      </c>
      <c r="D14396" t="str">
        <f>"1063-6897"</f>
        <v>1063-6897</v>
      </c>
      <c r="E14396" t="s">
        <v>8</v>
      </c>
      <c r="F14396" t="s">
        <v>14397</v>
      </c>
      <c r="G14396">
        <v>1</v>
      </c>
    </row>
    <row r="14397" spans="1:7" x14ac:dyDescent="0.25">
      <c r="A14397">
        <v>39</v>
      </c>
      <c r="B14397" t="s">
        <v>13774</v>
      </c>
      <c r="C14397">
        <v>8783459</v>
      </c>
      <c r="D14397" t="str">
        <f>" 0743-1619"</f>
        <v xml:space="preserve"> 0743-1619</v>
      </c>
      <c r="E14397" t="s">
        <v>15</v>
      </c>
      <c r="F14397" t="s">
        <v>14398</v>
      </c>
      <c r="G14397">
        <v>1</v>
      </c>
    </row>
    <row r="14398" spans="1:7" x14ac:dyDescent="0.25">
      <c r="A14398">
        <v>39</v>
      </c>
      <c r="B14398" t="s">
        <v>13774</v>
      </c>
      <c r="C14398">
        <v>89140</v>
      </c>
      <c r="D14398" t="str">
        <f>"1553-572X"</f>
        <v>1553-572X</v>
      </c>
      <c r="E14398" t="s">
        <v>8</v>
      </c>
      <c r="F14398" t="s">
        <v>14399</v>
      </c>
      <c r="G14398">
        <v>1</v>
      </c>
    </row>
    <row r="14399" spans="1:7" x14ac:dyDescent="0.25">
      <c r="A14399">
        <v>39</v>
      </c>
      <c r="B14399" t="s">
        <v>13774</v>
      </c>
      <c r="C14399">
        <v>8783713</v>
      </c>
      <c r="E14399" t="s">
        <v>15</v>
      </c>
      <c r="F14399" t="s">
        <v>14400</v>
      </c>
      <c r="G14399">
        <v>1</v>
      </c>
    </row>
    <row r="14400" spans="1:7" x14ac:dyDescent="0.25">
      <c r="A14400">
        <v>39</v>
      </c>
      <c r="B14400" t="s">
        <v>13774</v>
      </c>
      <c r="C14400">
        <v>9583</v>
      </c>
      <c r="D14400" t="str">
        <f>"0886-5930"</f>
        <v>0886-5930</v>
      </c>
      <c r="E14400" t="s">
        <v>8</v>
      </c>
      <c r="F14400" t="s">
        <v>14401</v>
      </c>
      <c r="G14400">
        <v>1</v>
      </c>
    </row>
    <row r="14401" spans="1:7" x14ac:dyDescent="0.25">
      <c r="A14401">
        <v>39</v>
      </c>
      <c r="B14401" t="s">
        <v>13774</v>
      </c>
      <c r="C14401">
        <v>2902</v>
      </c>
      <c r="D14401" t="str">
        <f>"1530-1591"</f>
        <v>1530-1591</v>
      </c>
      <c r="E14401" t="s">
        <v>8</v>
      </c>
      <c r="F14401" t="s">
        <v>14402</v>
      </c>
      <c r="G14401">
        <v>1</v>
      </c>
    </row>
    <row r="14402" spans="1:7" x14ac:dyDescent="0.25">
      <c r="A14402">
        <v>39</v>
      </c>
      <c r="B14402" t="s">
        <v>13774</v>
      </c>
      <c r="C14402">
        <v>156462</v>
      </c>
      <c r="E14402" t="s">
        <v>8</v>
      </c>
      <c r="F14402" t="s">
        <v>14403</v>
      </c>
      <c r="G14402">
        <v>1</v>
      </c>
    </row>
    <row r="14403" spans="1:7" x14ac:dyDescent="0.25">
      <c r="A14403">
        <v>39</v>
      </c>
      <c r="B14403" t="s">
        <v>13774</v>
      </c>
      <c r="C14403">
        <v>156413</v>
      </c>
      <c r="D14403" t="str">
        <f>"2076-1465"</f>
        <v>2076-1465</v>
      </c>
      <c r="E14403" t="s">
        <v>8</v>
      </c>
      <c r="F14403" t="s">
        <v>14404</v>
      </c>
      <c r="G14403">
        <v>1</v>
      </c>
    </row>
    <row r="14404" spans="1:7" x14ac:dyDescent="0.25">
      <c r="A14404">
        <v>39</v>
      </c>
      <c r="B14404" t="s">
        <v>13774</v>
      </c>
      <c r="C14404">
        <v>3461</v>
      </c>
      <c r="D14404" t="str">
        <f>"1530-1877"</f>
        <v>1530-1877</v>
      </c>
      <c r="E14404" t="s">
        <v>8</v>
      </c>
      <c r="F14404" t="s">
        <v>14405</v>
      </c>
      <c r="G14404">
        <v>1</v>
      </c>
    </row>
    <row r="14405" spans="1:7" x14ac:dyDescent="0.25">
      <c r="A14405">
        <v>39</v>
      </c>
      <c r="B14405" t="s">
        <v>13774</v>
      </c>
      <c r="C14405">
        <v>8783714</v>
      </c>
      <c r="E14405" t="s">
        <v>15</v>
      </c>
      <c r="F14405" t="s">
        <v>14406</v>
      </c>
      <c r="G14405">
        <v>1</v>
      </c>
    </row>
    <row r="14406" spans="1:7" x14ac:dyDescent="0.25">
      <c r="A14406">
        <v>39</v>
      </c>
      <c r="B14406" t="s">
        <v>13774</v>
      </c>
      <c r="C14406">
        <v>8783715</v>
      </c>
      <c r="E14406" t="s">
        <v>15</v>
      </c>
      <c r="F14406" t="s">
        <v>14407</v>
      </c>
      <c r="G14406">
        <v>1</v>
      </c>
    </row>
    <row r="14407" spans="1:7" x14ac:dyDescent="0.25">
      <c r="A14407">
        <v>39</v>
      </c>
      <c r="B14407" t="s">
        <v>13774</v>
      </c>
      <c r="C14407">
        <v>8783716</v>
      </c>
      <c r="E14407" t="s">
        <v>15</v>
      </c>
      <c r="F14407" t="s">
        <v>14408</v>
      </c>
      <c r="G14407">
        <v>1</v>
      </c>
    </row>
    <row r="14408" spans="1:7" x14ac:dyDescent="0.25">
      <c r="A14408">
        <v>39</v>
      </c>
      <c r="B14408" t="s">
        <v>13774</v>
      </c>
      <c r="C14408">
        <v>155568</v>
      </c>
      <c r="D14408" t="str">
        <f>"2159-3469"</f>
        <v>2159-3469</v>
      </c>
      <c r="E14408" t="s">
        <v>8</v>
      </c>
      <c r="F14408" t="s">
        <v>14409</v>
      </c>
      <c r="G14408">
        <v>1</v>
      </c>
    </row>
    <row r="14409" spans="1:7" x14ac:dyDescent="0.25">
      <c r="A14409">
        <v>39</v>
      </c>
      <c r="B14409" t="s">
        <v>13774</v>
      </c>
      <c r="C14409">
        <v>8783717</v>
      </c>
      <c r="E14409" t="s">
        <v>15</v>
      </c>
      <c r="F14409" t="s">
        <v>14410</v>
      </c>
      <c r="G14409">
        <v>1</v>
      </c>
    </row>
    <row r="14410" spans="1:7" x14ac:dyDescent="0.25">
      <c r="A14410">
        <v>39</v>
      </c>
      <c r="B14410" t="s">
        <v>13774</v>
      </c>
      <c r="C14410">
        <v>47315</v>
      </c>
      <c r="D14410" t="str">
        <f>"0743-1546"</f>
        <v>0743-1546</v>
      </c>
      <c r="E14410" t="s">
        <v>8</v>
      </c>
      <c r="F14410" t="s">
        <v>14411</v>
      </c>
      <c r="G14410">
        <v>1</v>
      </c>
    </row>
    <row r="14411" spans="1:7" x14ac:dyDescent="0.25">
      <c r="A14411">
        <v>39</v>
      </c>
      <c r="B14411" t="s">
        <v>13774</v>
      </c>
      <c r="C14411">
        <v>8783718</v>
      </c>
      <c r="E14411" t="s">
        <v>15</v>
      </c>
      <c r="F14411" t="s">
        <v>14412</v>
      </c>
      <c r="G14411">
        <v>1</v>
      </c>
    </row>
    <row r="14412" spans="1:7" x14ac:dyDescent="0.25">
      <c r="A14412">
        <v>39</v>
      </c>
      <c r="B14412" t="s">
        <v>13774</v>
      </c>
      <c r="C14412">
        <v>8783706</v>
      </c>
      <c r="E14412" t="s">
        <v>15</v>
      </c>
      <c r="F14412" t="s">
        <v>14413</v>
      </c>
      <c r="G14412">
        <v>1</v>
      </c>
    </row>
    <row r="14413" spans="1:7" x14ac:dyDescent="0.25">
      <c r="A14413">
        <v>39</v>
      </c>
      <c r="B14413" t="s">
        <v>13774</v>
      </c>
      <c r="C14413">
        <v>8783708</v>
      </c>
      <c r="E14413" t="s">
        <v>15</v>
      </c>
      <c r="F14413" t="s">
        <v>14414</v>
      </c>
      <c r="G14413">
        <v>1</v>
      </c>
    </row>
    <row r="14414" spans="1:7" x14ac:dyDescent="0.25">
      <c r="A14414">
        <v>39</v>
      </c>
      <c r="B14414" t="s">
        <v>13774</v>
      </c>
      <c r="C14414">
        <v>8783719</v>
      </c>
      <c r="E14414" t="s">
        <v>15</v>
      </c>
      <c r="F14414" t="s">
        <v>14415</v>
      </c>
      <c r="G14414">
        <v>1</v>
      </c>
    </row>
    <row r="14415" spans="1:7" x14ac:dyDescent="0.25">
      <c r="A14415">
        <v>39</v>
      </c>
      <c r="B14415" t="s">
        <v>13774</v>
      </c>
      <c r="C14415">
        <v>8783720</v>
      </c>
      <c r="E14415" t="s">
        <v>15</v>
      </c>
      <c r="F14415" t="s">
        <v>14416</v>
      </c>
      <c r="G14415">
        <v>1</v>
      </c>
    </row>
    <row r="14416" spans="1:7" x14ac:dyDescent="0.25">
      <c r="A14416">
        <v>39</v>
      </c>
      <c r="B14416" t="s">
        <v>13774</v>
      </c>
      <c r="C14416">
        <v>8783721</v>
      </c>
      <c r="E14416" t="s">
        <v>15</v>
      </c>
      <c r="F14416" t="s">
        <v>14417</v>
      </c>
      <c r="G14416">
        <v>1</v>
      </c>
    </row>
    <row r="14417" spans="1:7" x14ac:dyDescent="0.25">
      <c r="A14417">
        <v>39</v>
      </c>
      <c r="B14417" t="s">
        <v>13774</v>
      </c>
      <c r="C14417">
        <v>8783722</v>
      </c>
      <c r="E14417" t="s">
        <v>15</v>
      </c>
      <c r="F14417" t="s">
        <v>14418</v>
      </c>
      <c r="G14417">
        <v>1</v>
      </c>
    </row>
    <row r="14418" spans="1:7" x14ac:dyDescent="0.25">
      <c r="A14418">
        <v>39</v>
      </c>
      <c r="B14418" t="s">
        <v>13774</v>
      </c>
      <c r="C14418">
        <v>8783723</v>
      </c>
      <c r="E14418" t="s">
        <v>15</v>
      </c>
      <c r="F14418" t="s">
        <v>14419</v>
      </c>
      <c r="G14418">
        <v>1</v>
      </c>
    </row>
    <row r="14419" spans="1:7" x14ac:dyDescent="0.25">
      <c r="A14419">
        <v>39</v>
      </c>
      <c r="B14419" t="s">
        <v>13774</v>
      </c>
      <c r="C14419">
        <v>8783455</v>
      </c>
      <c r="E14419" t="s">
        <v>15</v>
      </c>
      <c r="F14419" t="s">
        <v>14420</v>
      </c>
      <c r="G14419">
        <v>1</v>
      </c>
    </row>
    <row r="14420" spans="1:7" x14ac:dyDescent="0.25">
      <c r="A14420">
        <v>39</v>
      </c>
      <c r="B14420" t="s">
        <v>13774</v>
      </c>
      <c r="C14420">
        <v>7275374</v>
      </c>
      <c r="E14420" t="s">
        <v>15</v>
      </c>
      <c r="F14420" t="s">
        <v>14421</v>
      </c>
      <c r="G14420">
        <v>1</v>
      </c>
    </row>
    <row r="14421" spans="1:7" x14ac:dyDescent="0.25">
      <c r="A14421">
        <v>39</v>
      </c>
      <c r="B14421" t="s">
        <v>13774</v>
      </c>
      <c r="C14421">
        <v>15714</v>
      </c>
      <c r="D14421" t="str">
        <f>"1520-6149"</f>
        <v>1520-6149</v>
      </c>
      <c r="E14421" t="s">
        <v>8</v>
      </c>
      <c r="F14421" t="s">
        <v>14422</v>
      </c>
      <c r="G14421">
        <v>1</v>
      </c>
    </row>
    <row r="14422" spans="1:7" x14ac:dyDescent="0.25">
      <c r="A14422">
        <v>39</v>
      </c>
      <c r="B14422" t="s">
        <v>13774</v>
      </c>
      <c r="C14422">
        <v>8783724</v>
      </c>
      <c r="E14422" t="s">
        <v>15</v>
      </c>
      <c r="F14422" t="s">
        <v>14423</v>
      </c>
      <c r="G14422">
        <v>1</v>
      </c>
    </row>
    <row r="14423" spans="1:7" x14ac:dyDescent="0.25">
      <c r="A14423">
        <v>39</v>
      </c>
      <c r="B14423" t="s">
        <v>13774</v>
      </c>
      <c r="C14423">
        <v>12776</v>
      </c>
      <c r="D14423" t="str">
        <f>"1550-3607"</f>
        <v>1550-3607</v>
      </c>
      <c r="E14423" t="s">
        <v>15</v>
      </c>
      <c r="F14423" t="s">
        <v>14424</v>
      </c>
      <c r="G14423">
        <v>1</v>
      </c>
    </row>
    <row r="14424" spans="1:7" x14ac:dyDescent="0.25">
      <c r="A14424">
        <v>39</v>
      </c>
      <c r="B14424" t="s">
        <v>13774</v>
      </c>
      <c r="C14424">
        <v>8783725</v>
      </c>
      <c r="E14424" t="s">
        <v>15</v>
      </c>
      <c r="F14424" t="s">
        <v>14425</v>
      </c>
      <c r="G14424">
        <v>1</v>
      </c>
    </row>
    <row r="14425" spans="1:7" x14ac:dyDescent="0.25">
      <c r="A14425">
        <v>39</v>
      </c>
      <c r="B14425" t="s">
        <v>13774</v>
      </c>
      <c r="C14425">
        <v>8783726</v>
      </c>
      <c r="E14425" t="s">
        <v>15</v>
      </c>
      <c r="F14425" t="s">
        <v>14426</v>
      </c>
      <c r="G14425">
        <v>1</v>
      </c>
    </row>
    <row r="14426" spans="1:7" x14ac:dyDescent="0.25">
      <c r="A14426">
        <v>39</v>
      </c>
      <c r="B14426" t="s">
        <v>13774</v>
      </c>
      <c r="C14426">
        <v>8783727</v>
      </c>
      <c r="E14426" t="s">
        <v>15</v>
      </c>
      <c r="F14426" t="s">
        <v>14427</v>
      </c>
      <c r="G14426">
        <v>1</v>
      </c>
    </row>
    <row r="14427" spans="1:7" x14ac:dyDescent="0.25">
      <c r="A14427">
        <v>39</v>
      </c>
      <c r="B14427" t="s">
        <v>13774</v>
      </c>
      <c r="C14427">
        <v>8783728</v>
      </c>
      <c r="E14427" t="s">
        <v>15</v>
      </c>
      <c r="F14427" t="s">
        <v>14428</v>
      </c>
      <c r="G14427">
        <v>1</v>
      </c>
    </row>
    <row r="14428" spans="1:7" x14ac:dyDescent="0.25">
      <c r="A14428">
        <v>39</v>
      </c>
      <c r="B14428" t="s">
        <v>13774</v>
      </c>
      <c r="C14428">
        <v>8783729</v>
      </c>
      <c r="E14428" t="s">
        <v>15</v>
      </c>
      <c r="F14428" t="s">
        <v>14429</v>
      </c>
      <c r="G14428">
        <v>1</v>
      </c>
    </row>
    <row r="14429" spans="1:7" x14ac:dyDescent="0.25">
      <c r="A14429">
        <v>39</v>
      </c>
      <c r="B14429" t="s">
        <v>13774</v>
      </c>
      <c r="C14429">
        <v>8783731</v>
      </c>
      <c r="E14429" t="s">
        <v>15</v>
      </c>
      <c r="F14429" t="s">
        <v>14430</v>
      </c>
      <c r="G14429">
        <v>1</v>
      </c>
    </row>
    <row r="14430" spans="1:7" x14ac:dyDescent="0.25">
      <c r="A14430">
        <v>39</v>
      </c>
      <c r="B14430" t="s">
        <v>13774</v>
      </c>
      <c r="C14430">
        <v>7275219</v>
      </c>
      <c r="E14430" t="s">
        <v>8</v>
      </c>
      <c r="F14430" t="s">
        <v>14431</v>
      </c>
      <c r="G14430">
        <v>1</v>
      </c>
    </row>
    <row r="14431" spans="1:7" x14ac:dyDescent="0.25">
      <c r="A14431">
        <v>39</v>
      </c>
      <c r="B14431" t="s">
        <v>13774</v>
      </c>
      <c r="C14431">
        <v>8783709</v>
      </c>
      <c r="E14431" t="s">
        <v>15</v>
      </c>
      <c r="F14431" t="s">
        <v>14432</v>
      </c>
      <c r="G14431">
        <v>1</v>
      </c>
    </row>
    <row r="14432" spans="1:7" x14ac:dyDescent="0.25">
      <c r="A14432">
        <v>39</v>
      </c>
      <c r="B14432" t="s">
        <v>13774</v>
      </c>
      <c r="C14432">
        <v>8783732</v>
      </c>
      <c r="E14432" t="s">
        <v>15</v>
      </c>
      <c r="F14432" t="s">
        <v>14433</v>
      </c>
      <c r="G14432">
        <v>1</v>
      </c>
    </row>
    <row r="14433" spans="1:7" x14ac:dyDescent="0.25">
      <c r="A14433">
        <v>39</v>
      </c>
      <c r="B14433" t="s">
        <v>13774</v>
      </c>
      <c r="C14433">
        <v>8783733</v>
      </c>
      <c r="E14433" t="s">
        <v>15</v>
      </c>
      <c r="F14433" t="s">
        <v>14434</v>
      </c>
      <c r="G14433">
        <v>1</v>
      </c>
    </row>
    <row r="14434" spans="1:7" x14ac:dyDescent="0.25">
      <c r="A14434">
        <v>39</v>
      </c>
      <c r="B14434" t="s">
        <v>13774</v>
      </c>
      <c r="C14434">
        <v>8783734</v>
      </c>
      <c r="E14434" t="s">
        <v>15</v>
      </c>
      <c r="F14434" t="s">
        <v>14435</v>
      </c>
      <c r="G14434">
        <v>1</v>
      </c>
    </row>
    <row r="14435" spans="1:7" x14ac:dyDescent="0.25">
      <c r="A14435">
        <v>39</v>
      </c>
      <c r="B14435" t="s">
        <v>13774</v>
      </c>
      <c r="C14435">
        <v>8783735</v>
      </c>
      <c r="E14435" t="s">
        <v>15</v>
      </c>
      <c r="F14435" t="s">
        <v>14436</v>
      </c>
      <c r="G14435">
        <v>1</v>
      </c>
    </row>
    <row r="14436" spans="1:7" x14ac:dyDescent="0.25">
      <c r="A14436">
        <v>39</v>
      </c>
      <c r="B14436" t="s">
        <v>13774</v>
      </c>
      <c r="C14436">
        <v>8783736</v>
      </c>
      <c r="E14436" t="s">
        <v>15</v>
      </c>
      <c r="F14436" t="s">
        <v>14437</v>
      </c>
      <c r="G14436">
        <v>1</v>
      </c>
    </row>
    <row r="14437" spans="1:7" x14ac:dyDescent="0.25">
      <c r="A14437">
        <v>39</v>
      </c>
      <c r="B14437" t="s">
        <v>13774</v>
      </c>
      <c r="C14437">
        <v>8783737</v>
      </c>
      <c r="E14437" t="s">
        <v>15</v>
      </c>
      <c r="F14437" t="s">
        <v>14438</v>
      </c>
      <c r="G14437">
        <v>1</v>
      </c>
    </row>
    <row r="14438" spans="1:7" x14ac:dyDescent="0.25">
      <c r="A14438">
        <v>39</v>
      </c>
      <c r="B14438" t="s">
        <v>13774</v>
      </c>
      <c r="C14438">
        <v>8783710</v>
      </c>
      <c r="E14438" t="s">
        <v>15</v>
      </c>
      <c r="F14438" t="s">
        <v>14439</v>
      </c>
      <c r="G14438">
        <v>1</v>
      </c>
    </row>
    <row r="14439" spans="1:7" x14ac:dyDescent="0.25">
      <c r="A14439">
        <v>39</v>
      </c>
      <c r="B14439" t="s">
        <v>13774</v>
      </c>
      <c r="C14439">
        <v>8783738</v>
      </c>
      <c r="E14439" t="s">
        <v>15</v>
      </c>
      <c r="F14439" t="s">
        <v>14440</v>
      </c>
      <c r="G14439">
        <v>1</v>
      </c>
    </row>
    <row r="14440" spans="1:7" x14ac:dyDescent="0.25">
      <c r="A14440">
        <v>39</v>
      </c>
      <c r="B14440" t="s">
        <v>13774</v>
      </c>
      <c r="C14440">
        <v>155561</v>
      </c>
      <c r="E14440" t="s">
        <v>8</v>
      </c>
      <c r="F14440" t="s">
        <v>14441</v>
      </c>
      <c r="G14440">
        <v>1</v>
      </c>
    </row>
    <row r="14441" spans="1:7" x14ac:dyDescent="0.25">
      <c r="A14441">
        <v>39</v>
      </c>
      <c r="B14441" t="s">
        <v>13774</v>
      </c>
      <c r="C14441">
        <v>8783739</v>
      </c>
      <c r="E14441" t="s">
        <v>15</v>
      </c>
      <c r="F14441" t="s">
        <v>14442</v>
      </c>
      <c r="G14441">
        <v>1</v>
      </c>
    </row>
    <row r="14442" spans="1:7" x14ac:dyDescent="0.25">
      <c r="A14442">
        <v>39</v>
      </c>
      <c r="B14442" t="s">
        <v>13774</v>
      </c>
      <c r="C14442">
        <v>16914</v>
      </c>
      <c r="D14442" t="str">
        <f>"1550-5774"</f>
        <v>1550-5774</v>
      </c>
      <c r="E14442" t="s">
        <v>8</v>
      </c>
      <c r="F14442" t="s">
        <v>14443</v>
      </c>
      <c r="G14442">
        <v>1</v>
      </c>
    </row>
    <row r="14443" spans="1:7" x14ac:dyDescent="0.25">
      <c r="A14443">
        <v>39</v>
      </c>
      <c r="B14443" t="s">
        <v>13774</v>
      </c>
      <c r="C14443">
        <v>7111083</v>
      </c>
      <c r="D14443" t="str">
        <f>"2157-8095"</f>
        <v>2157-8095</v>
      </c>
      <c r="E14443" t="s">
        <v>8</v>
      </c>
      <c r="F14443" t="s">
        <v>14444</v>
      </c>
      <c r="G14443">
        <v>1</v>
      </c>
    </row>
    <row r="14444" spans="1:7" x14ac:dyDescent="0.25">
      <c r="A14444">
        <v>39</v>
      </c>
      <c r="B14444" t="s">
        <v>13774</v>
      </c>
      <c r="C14444">
        <v>8783740</v>
      </c>
      <c r="E14444" t="s">
        <v>15</v>
      </c>
      <c r="F14444" t="s">
        <v>14445</v>
      </c>
      <c r="G14444">
        <v>1</v>
      </c>
    </row>
    <row r="14445" spans="1:7" x14ac:dyDescent="0.25">
      <c r="A14445">
        <v>39</v>
      </c>
      <c r="B14445" t="s">
        <v>13774</v>
      </c>
      <c r="C14445">
        <v>8783711</v>
      </c>
      <c r="E14445" t="s">
        <v>15</v>
      </c>
      <c r="F14445" t="s">
        <v>14446</v>
      </c>
      <c r="G14445">
        <v>1</v>
      </c>
    </row>
    <row r="14446" spans="1:7" x14ac:dyDescent="0.25">
      <c r="A14446">
        <v>39</v>
      </c>
      <c r="B14446" t="s">
        <v>13774</v>
      </c>
      <c r="C14446">
        <v>8783741</v>
      </c>
      <c r="E14446" t="s">
        <v>15</v>
      </c>
      <c r="F14446" t="s">
        <v>14447</v>
      </c>
      <c r="G14446">
        <v>1</v>
      </c>
    </row>
    <row r="14447" spans="1:7" x14ac:dyDescent="0.25">
      <c r="A14447">
        <v>39</v>
      </c>
      <c r="B14447" t="s">
        <v>13774</v>
      </c>
      <c r="C14447">
        <v>156463</v>
      </c>
      <c r="E14447" t="s">
        <v>15</v>
      </c>
      <c r="F14447" t="s">
        <v>14448</v>
      </c>
      <c r="G14447">
        <v>1</v>
      </c>
    </row>
    <row r="14448" spans="1:7" x14ac:dyDescent="0.25">
      <c r="A14448">
        <v>39</v>
      </c>
      <c r="B14448" t="s">
        <v>13774</v>
      </c>
      <c r="C14448">
        <v>8783742</v>
      </c>
      <c r="E14448" t="s">
        <v>15</v>
      </c>
      <c r="F14448" t="s">
        <v>14449</v>
      </c>
      <c r="G14448">
        <v>1</v>
      </c>
    </row>
    <row r="14449" spans="1:7" x14ac:dyDescent="0.25">
      <c r="A14449">
        <v>39</v>
      </c>
      <c r="B14449" t="s">
        <v>13774</v>
      </c>
      <c r="C14449">
        <v>8783743</v>
      </c>
      <c r="E14449" t="s">
        <v>15</v>
      </c>
      <c r="F14449" t="s">
        <v>14450</v>
      </c>
      <c r="G14449">
        <v>1</v>
      </c>
    </row>
    <row r="14450" spans="1:7" x14ac:dyDescent="0.25">
      <c r="A14450">
        <v>39</v>
      </c>
      <c r="B14450" t="s">
        <v>13774</v>
      </c>
      <c r="C14450">
        <v>8783454</v>
      </c>
      <c r="D14450" t="str">
        <f>" 	0160-8371"</f>
        <v xml:space="preserve"> 	0160-8371</v>
      </c>
      <c r="E14450" t="s">
        <v>15</v>
      </c>
      <c r="F14450" t="s">
        <v>14451</v>
      </c>
      <c r="G14450">
        <v>1</v>
      </c>
    </row>
    <row r="14451" spans="1:7" x14ac:dyDescent="0.25">
      <c r="A14451">
        <v>39</v>
      </c>
      <c r="B14451" t="s">
        <v>13774</v>
      </c>
      <c r="C14451">
        <v>928</v>
      </c>
      <c r="D14451" t="str">
        <f>"1065-2221"</f>
        <v>1065-2221</v>
      </c>
      <c r="E14451" t="s">
        <v>8</v>
      </c>
      <c r="F14451" t="s">
        <v>14452</v>
      </c>
      <c r="G14451">
        <v>1</v>
      </c>
    </row>
    <row r="14452" spans="1:7" x14ac:dyDescent="0.25">
      <c r="A14452">
        <v>39</v>
      </c>
      <c r="B14452" t="s">
        <v>13774</v>
      </c>
      <c r="C14452">
        <v>58866</v>
      </c>
      <c r="D14452" t="str">
        <f>"1551-2282"</f>
        <v>1551-2282</v>
      </c>
      <c r="E14452" t="s">
        <v>15</v>
      </c>
      <c r="F14452" t="s">
        <v>14453</v>
      </c>
      <c r="G14452">
        <v>1</v>
      </c>
    </row>
    <row r="14453" spans="1:7" x14ac:dyDescent="0.25">
      <c r="A14453">
        <v>39</v>
      </c>
      <c r="B14453" t="s">
        <v>13774</v>
      </c>
      <c r="C14453">
        <v>8783744</v>
      </c>
      <c r="E14453" t="s">
        <v>15</v>
      </c>
      <c r="F14453" t="s">
        <v>14454</v>
      </c>
      <c r="G14453">
        <v>1</v>
      </c>
    </row>
    <row r="14454" spans="1:7" x14ac:dyDescent="0.25">
      <c r="A14454">
        <v>39</v>
      </c>
      <c r="B14454" t="s">
        <v>13774</v>
      </c>
      <c r="C14454">
        <v>8783745</v>
      </c>
      <c r="E14454" t="s">
        <v>15</v>
      </c>
      <c r="F14454" t="s">
        <v>14455</v>
      </c>
      <c r="G14454">
        <v>1</v>
      </c>
    </row>
    <row r="14455" spans="1:7" x14ac:dyDescent="0.25">
      <c r="A14455">
        <v>39</v>
      </c>
      <c r="B14455" t="s">
        <v>13774</v>
      </c>
      <c r="C14455">
        <v>90657</v>
      </c>
      <c r="D14455" t="str">
        <f>"1550-2252"</f>
        <v>1550-2252</v>
      </c>
      <c r="E14455" t="s">
        <v>8</v>
      </c>
      <c r="F14455" t="s">
        <v>14456</v>
      </c>
      <c r="G14455">
        <v>1</v>
      </c>
    </row>
    <row r="14456" spans="1:7" x14ac:dyDescent="0.25">
      <c r="A14456">
        <v>39</v>
      </c>
      <c r="B14456" t="s">
        <v>13774</v>
      </c>
      <c r="C14456">
        <v>8783746</v>
      </c>
      <c r="E14456" t="s">
        <v>15</v>
      </c>
      <c r="F14456" t="s">
        <v>14457</v>
      </c>
      <c r="G14456">
        <v>1</v>
      </c>
    </row>
    <row r="14457" spans="1:7" x14ac:dyDescent="0.25">
      <c r="A14457">
        <v>39</v>
      </c>
      <c r="B14457" t="s">
        <v>13774</v>
      </c>
      <c r="C14457">
        <v>4427</v>
      </c>
      <c r="D14457" t="str">
        <f>"1242-5125"</f>
        <v>1242-5125</v>
      </c>
      <c r="E14457" t="s">
        <v>8</v>
      </c>
      <c r="F14457" t="s">
        <v>14458</v>
      </c>
      <c r="G14457">
        <v>1</v>
      </c>
    </row>
    <row r="14458" spans="1:7" x14ac:dyDescent="0.25">
      <c r="A14458">
        <v>39</v>
      </c>
      <c r="B14458" t="s">
        <v>13774</v>
      </c>
      <c r="C14458">
        <v>132612</v>
      </c>
      <c r="E14458" t="s">
        <v>8</v>
      </c>
      <c r="F14458" t="s">
        <v>14459</v>
      </c>
      <c r="G14458">
        <v>1</v>
      </c>
    </row>
    <row r="14459" spans="1:7" x14ac:dyDescent="0.25">
      <c r="A14459">
        <v>39</v>
      </c>
      <c r="B14459" t="s">
        <v>13774</v>
      </c>
      <c r="C14459">
        <v>8783747</v>
      </c>
      <c r="E14459" t="s">
        <v>15</v>
      </c>
      <c r="F14459" t="s">
        <v>14460</v>
      </c>
      <c r="G14459">
        <v>1</v>
      </c>
    </row>
    <row r="14460" spans="1:7" x14ac:dyDescent="0.25">
      <c r="A14460">
        <v>39</v>
      </c>
      <c r="B14460" t="s">
        <v>13774</v>
      </c>
      <c r="C14460">
        <v>11747</v>
      </c>
      <c r="D14460" t="str">
        <f>"0957-6509"</f>
        <v>0957-6509</v>
      </c>
      <c r="E14460" t="s">
        <v>8</v>
      </c>
      <c r="F14460" t="s">
        <v>14461</v>
      </c>
      <c r="G14460">
        <v>1</v>
      </c>
    </row>
    <row r="14461" spans="1:7" x14ac:dyDescent="0.25">
      <c r="A14461">
        <v>39</v>
      </c>
      <c r="B14461" t="s">
        <v>13774</v>
      </c>
      <c r="C14461">
        <v>10919</v>
      </c>
      <c r="D14461" t="str">
        <f>"0959-6518"</f>
        <v>0959-6518</v>
      </c>
      <c r="E14461" t="s">
        <v>8</v>
      </c>
      <c r="F14461" t="s">
        <v>14462</v>
      </c>
      <c r="G14461">
        <v>1</v>
      </c>
    </row>
    <row r="14462" spans="1:7" x14ac:dyDescent="0.25">
      <c r="A14462">
        <v>39</v>
      </c>
      <c r="B14462" t="s">
        <v>13774</v>
      </c>
      <c r="C14462">
        <v>13505</v>
      </c>
      <c r="D14462" t="str">
        <f>"1063-6382"</f>
        <v>1063-6382</v>
      </c>
      <c r="E14462" t="s">
        <v>8</v>
      </c>
      <c r="F14462" t="s">
        <v>14463</v>
      </c>
      <c r="G14462">
        <v>1</v>
      </c>
    </row>
    <row r="14463" spans="1:7" x14ac:dyDescent="0.25">
      <c r="A14463">
        <v>39</v>
      </c>
      <c r="B14463" t="s">
        <v>13774</v>
      </c>
      <c r="C14463">
        <v>8783748</v>
      </c>
      <c r="E14463" t="s">
        <v>15</v>
      </c>
      <c r="F14463" t="s">
        <v>14464</v>
      </c>
      <c r="G14463">
        <v>1</v>
      </c>
    </row>
    <row r="14464" spans="1:7" x14ac:dyDescent="0.25">
      <c r="A14464">
        <v>39</v>
      </c>
      <c r="B14464" t="s">
        <v>13774</v>
      </c>
      <c r="C14464">
        <v>4727</v>
      </c>
      <c r="D14464" t="str">
        <f>"1990-9772"</f>
        <v>1990-9772</v>
      </c>
      <c r="E14464" t="s">
        <v>8</v>
      </c>
      <c r="F14464" t="s">
        <v>14465</v>
      </c>
      <c r="G14464">
        <v>1</v>
      </c>
    </row>
    <row r="14465" spans="1:7" x14ac:dyDescent="0.25">
      <c r="A14465">
        <v>39</v>
      </c>
      <c r="B14465" t="s">
        <v>13774</v>
      </c>
      <c r="C14465">
        <v>11953</v>
      </c>
      <c r="D14465" t="str">
        <f>"1063-9667"</f>
        <v>1063-9667</v>
      </c>
      <c r="E14465" t="s">
        <v>8</v>
      </c>
      <c r="F14465" t="s">
        <v>14466</v>
      </c>
      <c r="G14465">
        <v>1</v>
      </c>
    </row>
    <row r="14466" spans="1:7" x14ac:dyDescent="0.25">
      <c r="A14466">
        <v>39</v>
      </c>
      <c r="B14466" t="s">
        <v>13774</v>
      </c>
      <c r="C14466">
        <v>2018</v>
      </c>
      <c r="D14466" t="str">
        <f>"1530-0897"</f>
        <v>1530-0897</v>
      </c>
      <c r="E14466" t="s">
        <v>8</v>
      </c>
      <c r="F14466" t="s">
        <v>14467</v>
      </c>
      <c r="G14466">
        <v>1</v>
      </c>
    </row>
    <row r="14467" spans="1:7" x14ac:dyDescent="0.25">
      <c r="A14467">
        <v>39</v>
      </c>
      <c r="B14467" t="s">
        <v>13774</v>
      </c>
      <c r="C14467">
        <v>16883</v>
      </c>
      <c r="D14467" t="str">
        <f>"1550-5243"</f>
        <v>1550-5243</v>
      </c>
      <c r="E14467" t="s">
        <v>8</v>
      </c>
      <c r="F14467" t="s">
        <v>14468</v>
      </c>
      <c r="G14467">
        <v>1</v>
      </c>
    </row>
    <row r="14468" spans="1:7" x14ac:dyDescent="0.25">
      <c r="A14468">
        <v>39</v>
      </c>
      <c r="B14468" t="s">
        <v>13774</v>
      </c>
      <c r="C14468">
        <v>12214</v>
      </c>
      <c r="D14468" t="str">
        <f>"1533-4678"</f>
        <v>1533-4678</v>
      </c>
      <c r="E14468" t="s">
        <v>8</v>
      </c>
      <c r="F14468" t="s">
        <v>14469</v>
      </c>
      <c r="G14468">
        <v>1</v>
      </c>
    </row>
    <row r="14469" spans="1:7" x14ac:dyDescent="0.25">
      <c r="A14469">
        <v>39</v>
      </c>
      <c r="B14469" t="s">
        <v>13774</v>
      </c>
      <c r="C14469">
        <v>12030</v>
      </c>
      <c r="D14469" t="str">
        <f>"0195-623X"</f>
        <v>0195-623X</v>
      </c>
      <c r="E14469" t="s">
        <v>8</v>
      </c>
      <c r="F14469" t="s">
        <v>14470</v>
      </c>
      <c r="G14469">
        <v>1</v>
      </c>
    </row>
    <row r="14470" spans="1:7" x14ac:dyDescent="0.25">
      <c r="A14470">
        <v>39</v>
      </c>
      <c r="B14470" t="s">
        <v>13774</v>
      </c>
      <c r="C14470">
        <v>9099</v>
      </c>
      <c r="D14470" t="str">
        <f>"1550-6029"</f>
        <v>1550-6029</v>
      </c>
      <c r="E14470" t="s">
        <v>8</v>
      </c>
      <c r="F14470" t="s">
        <v>14471</v>
      </c>
      <c r="G14470">
        <v>1</v>
      </c>
    </row>
    <row r="14471" spans="1:7" x14ac:dyDescent="0.25">
      <c r="A14471">
        <v>39</v>
      </c>
      <c r="B14471" t="s">
        <v>13774</v>
      </c>
      <c r="C14471">
        <v>8783201</v>
      </c>
      <c r="E14471" t="s">
        <v>8</v>
      </c>
      <c r="F14471" t="s">
        <v>14472</v>
      </c>
      <c r="G14471">
        <v>1</v>
      </c>
    </row>
    <row r="14472" spans="1:7" x14ac:dyDescent="0.25">
      <c r="A14472">
        <v>39</v>
      </c>
      <c r="B14472" t="s">
        <v>13774</v>
      </c>
      <c r="C14472">
        <v>7358</v>
      </c>
      <c r="D14472" t="str">
        <f>"1063-6889"</f>
        <v>1063-6889</v>
      </c>
      <c r="E14472" t="s">
        <v>8</v>
      </c>
      <c r="F14472" t="s">
        <v>14473</v>
      </c>
      <c r="G14472">
        <v>1</v>
      </c>
    </row>
    <row r="14473" spans="1:7" x14ac:dyDescent="0.25">
      <c r="A14473">
        <v>39</v>
      </c>
      <c r="B14473" t="s">
        <v>13774</v>
      </c>
      <c r="C14473">
        <v>151985</v>
      </c>
      <c r="D14473" t="str">
        <f>"1347-6890"</f>
        <v>1347-6890</v>
      </c>
      <c r="E14473" t="s">
        <v>8</v>
      </c>
      <c r="F14473" t="s">
        <v>14474</v>
      </c>
      <c r="G14473">
        <v>1</v>
      </c>
    </row>
    <row r="14474" spans="1:7" x14ac:dyDescent="0.25">
      <c r="A14474">
        <v>39</v>
      </c>
      <c r="B14474" t="s">
        <v>13774</v>
      </c>
      <c r="C14474">
        <v>8783749</v>
      </c>
      <c r="E14474" t="s">
        <v>15</v>
      </c>
      <c r="F14474" t="s">
        <v>14475</v>
      </c>
      <c r="G14474">
        <v>1</v>
      </c>
    </row>
    <row r="14475" spans="1:7" x14ac:dyDescent="0.25">
      <c r="A14475">
        <v>39</v>
      </c>
      <c r="B14475" t="s">
        <v>13774</v>
      </c>
      <c r="C14475">
        <v>154380</v>
      </c>
      <c r="D14475" t="str">
        <f>"1937-6472"</f>
        <v>1937-6472</v>
      </c>
      <c r="E14475" t="s">
        <v>8</v>
      </c>
      <c r="F14475" t="s">
        <v>14476</v>
      </c>
      <c r="G14475">
        <v>1</v>
      </c>
    </row>
    <row r="14476" spans="1:7" x14ac:dyDescent="0.25">
      <c r="A14476">
        <v>39</v>
      </c>
      <c r="B14476" t="s">
        <v>13774</v>
      </c>
      <c r="C14476">
        <v>6250028</v>
      </c>
      <c r="D14476" t="str">
        <f>"1937-8718"</f>
        <v>1937-8718</v>
      </c>
      <c r="E14476" t="s">
        <v>8</v>
      </c>
      <c r="F14476" t="s">
        <v>14477</v>
      </c>
      <c r="G14476">
        <v>1</v>
      </c>
    </row>
    <row r="14477" spans="1:7" x14ac:dyDescent="0.25">
      <c r="A14477">
        <v>39</v>
      </c>
      <c r="B14477" t="s">
        <v>13774</v>
      </c>
      <c r="C14477">
        <v>151966</v>
      </c>
      <c r="D14477" t="str">
        <f>"1937-6480"</f>
        <v>1937-6480</v>
      </c>
      <c r="E14477" t="s">
        <v>8</v>
      </c>
      <c r="F14477" t="s">
        <v>14478</v>
      </c>
      <c r="G14477">
        <v>1</v>
      </c>
    </row>
    <row r="14478" spans="1:7" x14ac:dyDescent="0.25">
      <c r="A14478">
        <v>39</v>
      </c>
      <c r="B14478" t="s">
        <v>13774</v>
      </c>
      <c r="C14478">
        <v>154381</v>
      </c>
      <c r="D14478" t="str">
        <f>"1937-8726"</f>
        <v>1937-8726</v>
      </c>
      <c r="E14478" t="s">
        <v>8</v>
      </c>
      <c r="F14478" t="s">
        <v>14479</v>
      </c>
      <c r="G14478">
        <v>1</v>
      </c>
    </row>
    <row r="14479" spans="1:7" x14ac:dyDescent="0.25">
      <c r="A14479">
        <v>39</v>
      </c>
      <c r="B14479" t="s">
        <v>13774</v>
      </c>
      <c r="C14479">
        <v>156456</v>
      </c>
      <c r="D14479" t="str">
        <f>"1070-4698"</f>
        <v>1070-4698</v>
      </c>
      <c r="E14479" t="s">
        <v>8</v>
      </c>
      <c r="F14479" t="s">
        <v>14480</v>
      </c>
      <c r="G14479">
        <v>1</v>
      </c>
    </row>
    <row r="14480" spans="1:7" x14ac:dyDescent="0.25">
      <c r="A14480">
        <v>39</v>
      </c>
      <c r="B14480" t="s">
        <v>13774</v>
      </c>
      <c r="C14480">
        <v>13298</v>
      </c>
      <c r="D14480" t="str">
        <f>"1063-7818"</f>
        <v>1063-7818</v>
      </c>
      <c r="E14480" t="s">
        <v>8</v>
      </c>
      <c r="F14480" t="s">
        <v>14481</v>
      </c>
      <c r="G14480">
        <v>1</v>
      </c>
    </row>
    <row r="14481" spans="1:7" x14ac:dyDescent="0.25">
      <c r="A14481">
        <v>39</v>
      </c>
      <c r="B14481" t="s">
        <v>13774</v>
      </c>
      <c r="C14481">
        <v>8824</v>
      </c>
      <c r="D14481" t="str">
        <f>"0048-6604"</f>
        <v>0048-6604</v>
      </c>
      <c r="E14481" t="s">
        <v>8</v>
      </c>
      <c r="F14481" t="s">
        <v>14482</v>
      </c>
      <c r="G14481">
        <v>1</v>
      </c>
    </row>
    <row r="14482" spans="1:7" x14ac:dyDescent="0.25">
      <c r="A14482">
        <v>39</v>
      </c>
      <c r="B14482" t="s">
        <v>13774</v>
      </c>
      <c r="C14482">
        <v>114887</v>
      </c>
      <c r="D14482" t="str">
        <f>"1210-2512"</f>
        <v>1210-2512</v>
      </c>
      <c r="E14482" t="s">
        <v>8</v>
      </c>
      <c r="F14482" t="s">
        <v>14483</v>
      </c>
      <c r="G14482">
        <v>1</v>
      </c>
    </row>
    <row r="14483" spans="1:7" x14ac:dyDescent="0.25">
      <c r="A14483">
        <v>39</v>
      </c>
      <c r="B14483" t="s">
        <v>13774</v>
      </c>
      <c r="C14483">
        <v>8783149</v>
      </c>
      <c r="E14483" t="s">
        <v>2100</v>
      </c>
      <c r="F14483" t="s">
        <v>14484</v>
      </c>
      <c r="G14483">
        <v>1</v>
      </c>
    </row>
    <row r="14484" spans="1:7" x14ac:dyDescent="0.25">
      <c r="A14484">
        <v>39</v>
      </c>
      <c r="B14484" t="s">
        <v>13774</v>
      </c>
      <c r="C14484">
        <v>66595</v>
      </c>
      <c r="D14484" t="str">
        <f>"1687-6911"</f>
        <v>1687-6911</v>
      </c>
      <c r="E14484" t="s">
        <v>8</v>
      </c>
      <c r="F14484" t="s">
        <v>14485</v>
      </c>
      <c r="G14484">
        <v>1</v>
      </c>
    </row>
    <row r="14485" spans="1:7" x14ac:dyDescent="0.25">
      <c r="A14485">
        <v>39</v>
      </c>
      <c r="B14485" t="s">
        <v>13774</v>
      </c>
      <c r="C14485">
        <v>2820</v>
      </c>
      <c r="D14485" t="str">
        <f>"0736-5845"</f>
        <v>0736-5845</v>
      </c>
      <c r="E14485" t="s">
        <v>8</v>
      </c>
      <c r="F14485" t="s">
        <v>14486</v>
      </c>
      <c r="G14485">
        <v>1</v>
      </c>
    </row>
    <row r="14486" spans="1:7" x14ac:dyDescent="0.25">
      <c r="A14486">
        <v>39</v>
      </c>
      <c r="B14486" t="s">
        <v>13774</v>
      </c>
      <c r="C14486">
        <v>8782935</v>
      </c>
      <c r="E14486" t="s">
        <v>2100</v>
      </c>
      <c r="F14486" t="s">
        <v>14487</v>
      </c>
      <c r="G14486">
        <v>1</v>
      </c>
    </row>
    <row r="14487" spans="1:7" x14ac:dyDescent="0.25">
      <c r="A14487">
        <v>39</v>
      </c>
      <c r="B14487" t="s">
        <v>13774</v>
      </c>
      <c r="C14487">
        <v>9485</v>
      </c>
      <c r="D14487" t="str">
        <f>"0161-0457"</f>
        <v>0161-0457</v>
      </c>
      <c r="E14487" t="s">
        <v>8</v>
      </c>
      <c r="F14487" t="s">
        <v>14488</v>
      </c>
      <c r="G14487">
        <v>1</v>
      </c>
    </row>
    <row r="14488" spans="1:7" x14ac:dyDescent="0.25">
      <c r="A14488">
        <v>39</v>
      </c>
      <c r="B14488" t="s">
        <v>13774</v>
      </c>
      <c r="C14488">
        <v>12974</v>
      </c>
      <c r="D14488" t="str">
        <f>"0914-4935"</f>
        <v>0914-4935</v>
      </c>
      <c r="E14488" t="s">
        <v>8</v>
      </c>
      <c r="F14488" t="s">
        <v>14489</v>
      </c>
      <c r="G14488">
        <v>1</v>
      </c>
    </row>
    <row r="14489" spans="1:7" x14ac:dyDescent="0.25">
      <c r="A14489">
        <v>39</v>
      </c>
      <c r="B14489" t="s">
        <v>13774</v>
      </c>
      <c r="C14489">
        <v>6252</v>
      </c>
      <c r="D14489" t="str">
        <f>"0937-7255"</f>
        <v>0937-7255</v>
      </c>
      <c r="E14489" t="s">
        <v>8</v>
      </c>
      <c r="F14489" t="s">
        <v>14490</v>
      </c>
      <c r="G14489">
        <v>1</v>
      </c>
    </row>
    <row r="14490" spans="1:7" x14ac:dyDescent="0.25">
      <c r="A14490">
        <v>39</v>
      </c>
      <c r="B14490" t="s">
        <v>13774</v>
      </c>
      <c r="C14490">
        <v>8783178</v>
      </c>
      <c r="E14490" t="s">
        <v>2100</v>
      </c>
      <c r="F14490" t="s">
        <v>14491</v>
      </c>
      <c r="G14490">
        <v>1</v>
      </c>
    </row>
    <row r="14491" spans="1:7" x14ac:dyDescent="0.25">
      <c r="A14491">
        <v>39</v>
      </c>
      <c r="B14491" t="s">
        <v>13774</v>
      </c>
      <c r="C14491">
        <v>8783045</v>
      </c>
      <c r="E14491" t="s">
        <v>2100</v>
      </c>
      <c r="F14491" t="s">
        <v>14492</v>
      </c>
      <c r="G14491">
        <v>1</v>
      </c>
    </row>
    <row r="14492" spans="1:7" x14ac:dyDescent="0.25">
      <c r="A14492">
        <v>39</v>
      </c>
      <c r="B14492" t="s">
        <v>13774</v>
      </c>
      <c r="C14492">
        <v>8783132</v>
      </c>
      <c r="E14492" t="s">
        <v>2100</v>
      </c>
      <c r="F14492" t="s">
        <v>14493</v>
      </c>
      <c r="G14492">
        <v>1</v>
      </c>
    </row>
    <row r="14493" spans="1:7" x14ac:dyDescent="0.25">
      <c r="A14493">
        <v>39</v>
      </c>
      <c r="B14493" t="s">
        <v>13774</v>
      </c>
      <c r="C14493">
        <v>12236</v>
      </c>
      <c r="D14493" t="str">
        <f>"0037-5497"</f>
        <v>0037-5497</v>
      </c>
      <c r="E14493" t="s">
        <v>8</v>
      </c>
      <c r="F14493" t="s">
        <v>14494</v>
      </c>
      <c r="G14493">
        <v>1</v>
      </c>
    </row>
    <row r="14494" spans="1:7" x14ac:dyDescent="0.25">
      <c r="A14494">
        <v>39</v>
      </c>
      <c r="B14494" t="s">
        <v>13774</v>
      </c>
      <c r="C14494">
        <v>86640</v>
      </c>
      <c r="D14494" t="str">
        <f>"1545-0279"</f>
        <v>1545-0279</v>
      </c>
      <c r="E14494" t="s">
        <v>8</v>
      </c>
      <c r="F14494" t="s">
        <v>14495</v>
      </c>
      <c r="G14494">
        <v>1</v>
      </c>
    </row>
    <row r="14495" spans="1:7" x14ac:dyDescent="0.25">
      <c r="A14495">
        <v>39</v>
      </c>
      <c r="B14495" t="s">
        <v>13774</v>
      </c>
      <c r="C14495">
        <v>6654</v>
      </c>
      <c r="D14495" t="str">
        <f>"0038-111X"</f>
        <v>0038-111X</v>
      </c>
      <c r="E14495" t="s">
        <v>8</v>
      </c>
      <c r="F14495" t="s">
        <v>14496</v>
      </c>
      <c r="G14495">
        <v>1</v>
      </c>
    </row>
    <row r="14496" spans="1:7" x14ac:dyDescent="0.25">
      <c r="A14496">
        <v>39</v>
      </c>
      <c r="B14496" t="s">
        <v>13774</v>
      </c>
      <c r="C14496">
        <v>515</v>
      </c>
      <c r="D14496" t="str">
        <f>"0038-1101"</f>
        <v>0038-1101</v>
      </c>
      <c r="E14496" t="s">
        <v>8</v>
      </c>
      <c r="F14496" t="s">
        <v>14497</v>
      </c>
      <c r="G14496">
        <v>1</v>
      </c>
    </row>
    <row r="14497" spans="1:7" x14ac:dyDescent="0.25">
      <c r="A14497">
        <v>39</v>
      </c>
      <c r="B14497" t="s">
        <v>13774</v>
      </c>
      <c r="C14497">
        <v>5797</v>
      </c>
      <c r="D14497" t="str">
        <f>"1541-0161"</f>
        <v>1541-0161</v>
      </c>
      <c r="E14497" t="s">
        <v>8</v>
      </c>
      <c r="F14497" t="s">
        <v>14498</v>
      </c>
      <c r="G14497">
        <v>1</v>
      </c>
    </row>
    <row r="14498" spans="1:7" x14ac:dyDescent="0.25">
      <c r="A14498">
        <v>39</v>
      </c>
      <c r="B14498" t="s">
        <v>13774</v>
      </c>
      <c r="C14498">
        <v>7995</v>
      </c>
      <c r="D14498" t="str">
        <f>"0167-6393"</f>
        <v>0167-6393</v>
      </c>
      <c r="E14498" t="s">
        <v>8</v>
      </c>
      <c r="F14498" t="s">
        <v>14499</v>
      </c>
      <c r="G14498">
        <v>1</v>
      </c>
    </row>
    <row r="14499" spans="1:7" x14ac:dyDescent="0.25">
      <c r="A14499">
        <v>39</v>
      </c>
      <c r="B14499" t="s">
        <v>13774</v>
      </c>
      <c r="C14499">
        <v>8782910</v>
      </c>
      <c r="E14499" t="s">
        <v>2100</v>
      </c>
      <c r="F14499" t="s">
        <v>14500</v>
      </c>
      <c r="G14499">
        <v>1</v>
      </c>
    </row>
    <row r="14500" spans="1:7" x14ac:dyDescent="0.25">
      <c r="A14500">
        <v>39</v>
      </c>
      <c r="B14500" t="s">
        <v>13774</v>
      </c>
      <c r="C14500">
        <v>8783148</v>
      </c>
      <c r="E14500" t="s">
        <v>2100</v>
      </c>
      <c r="F14500" t="s">
        <v>14501</v>
      </c>
      <c r="G14500">
        <v>1</v>
      </c>
    </row>
    <row r="14501" spans="1:7" x14ac:dyDescent="0.25">
      <c r="A14501">
        <v>39</v>
      </c>
      <c r="B14501" t="s">
        <v>13774</v>
      </c>
      <c r="C14501">
        <v>8782897</v>
      </c>
      <c r="E14501" t="s">
        <v>2100</v>
      </c>
      <c r="F14501" t="s">
        <v>14502</v>
      </c>
      <c r="G14501">
        <v>1</v>
      </c>
    </row>
    <row r="14502" spans="1:7" x14ac:dyDescent="0.25">
      <c r="A14502">
        <v>39</v>
      </c>
      <c r="B14502" t="s">
        <v>13774</v>
      </c>
      <c r="C14502">
        <v>8782900</v>
      </c>
      <c r="E14502" t="s">
        <v>2100</v>
      </c>
      <c r="F14502" t="s">
        <v>14503</v>
      </c>
      <c r="G14502">
        <v>1</v>
      </c>
    </row>
    <row r="14503" spans="1:7" x14ac:dyDescent="0.25">
      <c r="A14503">
        <v>39</v>
      </c>
      <c r="B14503" t="s">
        <v>13774</v>
      </c>
      <c r="C14503">
        <v>15022</v>
      </c>
      <c r="D14503" t="str">
        <f>"1335-5694"</f>
        <v>1335-5694</v>
      </c>
      <c r="E14503" t="s">
        <v>8</v>
      </c>
      <c r="F14503" t="s">
        <v>14504</v>
      </c>
      <c r="G14503">
        <v>1</v>
      </c>
    </row>
    <row r="14504" spans="1:7" x14ac:dyDescent="0.25">
      <c r="A14504">
        <v>39</v>
      </c>
      <c r="B14504" t="s">
        <v>13774</v>
      </c>
      <c r="C14504">
        <v>8782909</v>
      </c>
      <c r="D14504" t="str">
        <f>"2365-4139"</f>
        <v>2365-4139</v>
      </c>
      <c r="E14504" t="s">
        <v>15</v>
      </c>
      <c r="F14504" t="s">
        <v>14505</v>
      </c>
      <c r="G14504">
        <v>1</v>
      </c>
    </row>
    <row r="14505" spans="1:7" x14ac:dyDescent="0.25">
      <c r="A14505">
        <v>39</v>
      </c>
      <c r="B14505" t="s">
        <v>13774</v>
      </c>
      <c r="C14505">
        <v>8782906</v>
      </c>
      <c r="D14505" t="str">
        <f>"1866-2609"</f>
        <v>1866-2609</v>
      </c>
      <c r="E14505" t="s">
        <v>15</v>
      </c>
      <c r="F14505" t="s">
        <v>14506</v>
      </c>
      <c r="G14505">
        <v>1</v>
      </c>
    </row>
    <row r="14506" spans="1:7" x14ac:dyDescent="0.25">
      <c r="A14506">
        <v>39</v>
      </c>
      <c r="B14506" t="s">
        <v>13774</v>
      </c>
      <c r="C14506">
        <v>12768</v>
      </c>
      <c r="D14506" t="str">
        <f>"1610-7438"</f>
        <v>1610-7438</v>
      </c>
      <c r="E14506" t="s">
        <v>15</v>
      </c>
      <c r="F14506" t="s">
        <v>14507</v>
      </c>
      <c r="G14506">
        <v>1</v>
      </c>
    </row>
    <row r="14507" spans="1:7" x14ac:dyDescent="0.25">
      <c r="A14507">
        <v>39</v>
      </c>
      <c r="B14507" t="s">
        <v>13774</v>
      </c>
      <c r="C14507">
        <v>8783750</v>
      </c>
      <c r="D14507" t="str">
        <f>"2191-530X"</f>
        <v>2191-530X</v>
      </c>
      <c r="E14507" t="s">
        <v>15</v>
      </c>
      <c r="F14507" t="s">
        <v>14508</v>
      </c>
      <c r="G14507">
        <v>1</v>
      </c>
    </row>
    <row r="14508" spans="1:7" x14ac:dyDescent="0.25">
      <c r="A14508">
        <v>39</v>
      </c>
      <c r="B14508" t="s">
        <v>13774</v>
      </c>
      <c r="C14508">
        <v>7733679</v>
      </c>
      <c r="D14508" t="str">
        <f>"2191-8112"</f>
        <v>2191-8112</v>
      </c>
      <c r="E14508" t="s">
        <v>15</v>
      </c>
      <c r="F14508" t="s">
        <v>14509</v>
      </c>
      <c r="G14508">
        <v>1</v>
      </c>
    </row>
    <row r="14509" spans="1:7" x14ac:dyDescent="0.25">
      <c r="A14509">
        <v>39</v>
      </c>
      <c r="B14509" t="s">
        <v>13774</v>
      </c>
      <c r="C14509">
        <v>15551</v>
      </c>
      <c r="D14509" t="str">
        <f>"0039-2480"</f>
        <v>0039-2480</v>
      </c>
      <c r="E14509" t="s">
        <v>8</v>
      </c>
      <c r="F14509" t="s">
        <v>14510</v>
      </c>
      <c r="G14509">
        <v>1</v>
      </c>
    </row>
    <row r="14510" spans="1:7" x14ac:dyDescent="0.25">
      <c r="A14510">
        <v>39</v>
      </c>
      <c r="B14510" t="s">
        <v>13774</v>
      </c>
      <c r="C14510">
        <v>5020065</v>
      </c>
      <c r="E14510" t="s">
        <v>2100</v>
      </c>
      <c r="F14510" t="s">
        <v>14511</v>
      </c>
      <c r="G14510">
        <v>1</v>
      </c>
    </row>
    <row r="14511" spans="1:7" x14ac:dyDescent="0.25">
      <c r="A14511">
        <v>39</v>
      </c>
      <c r="B14511" t="s">
        <v>13774</v>
      </c>
      <c r="C14511">
        <v>8782937</v>
      </c>
      <c r="E14511" t="s">
        <v>2100</v>
      </c>
      <c r="F14511" t="s">
        <v>14512</v>
      </c>
      <c r="G14511">
        <v>1</v>
      </c>
    </row>
    <row r="14512" spans="1:7" x14ac:dyDescent="0.25">
      <c r="A14512">
        <v>39</v>
      </c>
      <c r="B14512" t="s">
        <v>13774</v>
      </c>
      <c r="C14512">
        <v>3582</v>
      </c>
      <c r="D14512" t="str">
        <f>"0167-6911"</f>
        <v>0167-6911</v>
      </c>
      <c r="E14512" t="s">
        <v>8</v>
      </c>
      <c r="F14512" t="s">
        <v>14513</v>
      </c>
      <c r="G14512">
        <v>1</v>
      </c>
    </row>
    <row r="14513" spans="1:7" x14ac:dyDescent="0.25">
      <c r="A14513">
        <v>39</v>
      </c>
      <c r="B14513" t="s">
        <v>13774</v>
      </c>
      <c r="C14513">
        <v>1694</v>
      </c>
      <c r="D14513" t="str">
        <f>"1368-2199"</f>
        <v>1368-2199</v>
      </c>
      <c r="E14513" t="s">
        <v>8</v>
      </c>
      <c r="F14513" t="s">
        <v>14514</v>
      </c>
      <c r="G14513">
        <v>1</v>
      </c>
    </row>
    <row r="14514" spans="1:7" x14ac:dyDescent="0.25">
      <c r="A14514">
        <v>39</v>
      </c>
      <c r="B14514" t="s">
        <v>13774</v>
      </c>
      <c r="C14514">
        <v>8696</v>
      </c>
      <c r="D14514" t="str">
        <f>"1383-5416"</f>
        <v>1383-5416</v>
      </c>
      <c r="E14514" t="s">
        <v>8</v>
      </c>
      <c r="F14514" t="s">
        <v>14515</v>
      </c>
      <c r="G14514">
        <v>1</v>
      </c>
    </row>
    <row r="14515" spans="1:7" x14ac:dyDescent="0.25">
      <c r="A14515">
        <v>39</v>
      </c>
      <c r="B14515" t="s">
        <v>13774</v>
      </c>
      <c r="C14515">
        <v>8783177</v>
      </c>
      <c r="E14515" t="s">
        <v>2100</v>
      </c>
      <c r="F14515" t="s">
        <v>14516</v>
      </c>
      <c r="G14515">
        <v>1</v>
      </c>
    </row>
    <row r="14516" spans="1:7" x14ac:dyDescent="0.25">
      <c r="A14516">
        <v>39</v>
      </c>
      <c r="B14516" t="s">
        <v>13774</v>
      </c>
      <c r="C14516">
        <v>16494</v>
      </c>
      <c r="D14516" t="str">
        <f>"1062-3701"</f>
        <v>1062-3701</v>
      </c>
      <c r="E14516" t="s">
        <v>8</v>
      </c>
      <c r="F14516" t="s">
        <v>14517</v>
      </c>
      <c r="G14516">
        <v>1</v>
      </c>
    </row>
    <row r="14517" spans="1:7" x14ac:dyDescent="0.25">
      <c r="A14517">
        <v>39</v>
      </c>
      <c r="B14517" t="s">
        <v>13774</v>
      </c>
      <c r="C14517">
        <v>10975</v>
      </c>
      <c r="D14517" t="str">
        <f>"0001-4966"</f>
        <v>0001-4966</v>
      </c>
      <c r="E14517" t="s">
        <v>8</v>
      </c>
      <c r="F14517" t="s">
        <v>14518</v>
      </c>
      <c r="G14517">
        <v>1</v>
      </c>
    </row>
    <row r="14518" spans="1:7" x14ac:dyDescent="0.25">
      <c r="A14518">
        <v>39</v>
      </c>
      <c r="B14518" t="s">
        <v>13774</v>
      </c>
      <c r="C14518">
        <v>3845</v>
      </c>
      <c r="D14518" t="str">
        <f>"1024-4530"</f>
        <v>1024-4530</v>
      </c>
      <c r="E14518" t="s">
        <v>8</v>
      </c>
      <c r="F14518" t="s">
        <v>14519</v>
      </c>
      <c r="G14518">
        <v>1</v>
      </c>
    </row>
    <row r="14519" spans="1:7" x14ac:dyDescent="0.25">
      <c r="A14519">
        <v>39</v>
      </c>
      <c r="B14519" t="s">
        <v>13774</v>
      </c>
      <c r="C14519">
        <v>676</v>
      </c>
      <c r="D14519" t="str">
        <f>"0915-1168"</f>
        <v>0915-1168</v>
      </c>
      <c r="E14519" t="s">
        <v>8</v>
      </c>
      <c r="F14519" t="s">
        <v>14520</v>
      </c>
      <c r="G14519">
        <v>1</v>
      </c>
    </row>
    <row r="14520" spans="1:7" x14ac:dyDescent="0.25">
      <c r="A14520">
        <v>39</v>
      </c>
      <c r="B14520" t="s">
        <v>13774</v>
      </c>
      <c r="C14520">
        <v>15438</v>
      </c>
      <c r="D14520" t="str">
        <f>"0142-3312"</f>
        <v>0142-3312</v>
      </c>
      <c r="E14520" t="s">
        <v>8</v>
      </c>
      <c r="F14520" t="s">
        <v>14521</v>
      </c>
      <c r="G14520">
        <v>1</v>
      </c>
    </row>
    <row r="14521" spans="1:7" x14ac:dyDescent="0.25">
      <c r="A14521">
        <v>39</v>
      </c>
      <c r="B14521" t="s">
        <v>13774</v>
      </c>
      <c r="C14521">
        <v>7399088</v>
      </c>
      <c r="E14521" t="s">
        <v>8</v>
      </c>
      <c r="F14521" t="s">
        <v>14522</v>
      </c>
      <c r="G14521">
        <v>1</v>
      </c>
    </row>
    <row r="14522" spans="1:7" x14ac:dyDescent="0.25">
      <c r="A14522">
        <v>39</v>
      </c>
      <c r="B14522" t="s">
        <v>13774</v>
      </c>
      <c r="C14522">
        <v>10578</v>
      </c>
      <c r="D14522" t="str">
        <f>"0161-7346"</f>
        <v>0161-7346</v>
      </c>
      <c r="E14522" t="s">
        <v>8</v>
      </c>
      <c r="F14522" t="s">
        <v>14523</v>
      </c>
      <c r="G14522">
        <v>1</v>
      </c>
    </row>
    <row r="14523" spans="1:7" x14ac:dyDescent="0.25">
      <c r="A14523">
        <v>39</v>
      </c>
      <c r="B14523" t="s">
        <v>13774</v>
      </c>
      <c r="C14523">
        <v>2381</v>
      </c>
      <c r="D14523" t="str">
        <f>"0041-624X"</f>
        <v>0041-624X</v>
      </c>
      <c r="E14523" t="s">
        <v>8</v>
      </c>
      <c r="F14523" t="s">
        <v>14524</v>
      </c>
      <c r="G14523">
        <v>1</v>
      </c>
    </row>
    <row r="14524" spans="1:7" x14ac:dyDescent="0.25">
      <c r="A14524">
        <v>39</v>
      </c>
      <c r="B14524" t="s">
        <v>13774</v>
      </c>
      <c r="C14524">
        <v>8782939</v>
      </c>
      <c r="E14524" t="s">
        <v>2100</v>
      </c>
      <c r="F14524" t="s">
        <v>14525</v>
      </c>
      <c r="G14524">
        <v>1</v>
      </c>
    </row>
    <row r="14525" spans="1:7" x14ac:dyDescent="0.25">
      <c r="A14525">
        <v>39</v>
      </c>
      <c r="B14525" t="s">
        <v>13774</v>
      </c>
      <c r="C14525">
        <v>8783176</v>
      </c>
      <c r="E14525" t="s">
        <v>2100</v>
      </c>
      <c r="F14525" t="s">
        <v>14526</v>
      </c>
      <c r="G14525">
        <v>1</v>
      </c>
    </row>
    <row r="14526" spans="1:7" x14ac:dyDescent="0.25">
      <c r="A14526">
        <v>39</v>
      </c>
      <c r="B14526" t="s">
        <v>13774</v>
      </c>
      <c r="C14526">
        <v>287</v>
      </c>
      <c r="D14526" t="str">
        <f>"1065-514X"</f>
        <v>1065-514X</v>
      </c>
      <c r="E14526" t="s">
        <v>8</v>
      </c>
      <c r="F14526" t="s">
        <v>14527</v>
      </c>
      <c r="G14526">
        <v>1</v>
      </c>
    </row>
    <row r="14527" spans="1:7" x14ac:dyDescent="0.25">
      <c r="A14527">
        <v>39</v>
      </c>
      <c r="B14527" t="s">
        <v>13774</v>
      </c>
      <c r="C14527">
        <v>8782904</v>
      </c>
      <c r="E14527" t="s">
        <v>2100</v>
      </c>
      <c r="F14527" t="s">
        <v>14528</v>
      </c>
      <c r="G14527">
        <v>1</v>
      </c>
    </row>
    <row r="14528" spans="1:7" x14ac:dyDescent="0.25">
      <c r="A14528">
        <v>39</v>
      </c>
      <c r="B14528" t="s">
        <v>13774</v>
      </c>
      <c r="C14528">
        <v>8783140</v>
      </c>
      <c r="E14528" t="s">
        <v>2100</v>
      </c>
      <c r="F14528" t="s">
        <v>14529</v>
      </c>
      <c r="G14528">
        <v>1</v>
      </c>
    </row>
    <row r="14529" spans="1:7" x14ac:dyDescent="0.25">
      <c r="A14529">
        <v>39</v>
      </c>
      <c r="B14529" t="s">
        <v>13774</v>
      </c>
      <c r="C14529">
        <v>4569</v>
      </c>
      <c r="D14529" t="str">
        <f>"1022-0038"</f>
        <v>1022-0038</v>
      </c>
      <c r="E14529" t="s">
        <v>8</v>
      </c>
      <c r="F14529" t="s">
        <v>14530</v>
      </c>
      <c r="G14529">
        <v>1</v>
      </c>
    </row>
    <row r="14530" spans="1:7" x14ac:dyDescent="0.25">
      <c r="A14530">
        <v>39</v>
      </c>
      <c r="B14530" t="s">
        <v>13774</v>
      </c>
      <c r="C14530">
        <v>10399</v>
      </c>
      <c r="D14530" t="str">
        <f>"0929-6212"</f>
        <v>0929-6212</v>
      </c>
      <c r="E14530" t="s">
        <v>8</v>
      </c>
      <c r="F14530" t="s">
        <v>14531</v>
      </c>
      <c r="G14530">
        <v>1</v>
      </c>
    </row>
    <row r="14531" spans="1:7" x14ac:dyDescent="0.25">
      <c r="A14531">
        <v>39</v>
      </c>
      <c r="B14531" t="s">
        <v>13774</v>
      </c>
      <c r="C14531">
        <v>10208</v>
      </c>
      <c r="D14531" t="str">
        <f>"1746-4471"</f>
        <v>1746-4471</v>
      </c>
      <c r="E14531" t="s">
        <v>15</v>
      </c>
      <c r="F14531" t="s">
        <v>14532</v>
      </c>
      <c r="G14531">
        <v>1</v>
      </c>
    </row>
    <row r="14532" spans="1:7" x14ac:dyDescent="0.25">
      <c r="A14532">
        <v>39</v>
      </c>
      <c r="B14532" t="s">
        <v>13774</v>
      </c>
      <c r="C14532">
        <v>8783453</v>
      </c>
      <c r="E14532" t="s">
        <v>15</v>
      </c>
      <c r="F14532" t="s">
        <v>14533</v>
      </c>
      <c r="G14532">
        <v>1</v>
      </c>
    </row>
    <row r="14533" spans="1:7" x14ac:dyDescent="0.25">
      <c r="A14533">
        <v>39</v>
      </c>
      <c r="B14533" t="s">
        <v>13774</v>
      </c>
      <c r="C14533">
        <v>8783199</v>
      </c>
      <c r="E14533" t="s">
        <v>2100</v>
      </c>
      <c r="F14533" t="s">
        <v>14534</v>
      </c>
      <c r="G14533">
        <v>1</v>
      </c>
    </row>
    <row r="14534" spans="1:7" x14ac:dyDescent="0.25">
      <c r="A14534">
        <v>4</v>
      </c>
      <c r="B14534" t="s">
        <v>14535</v>
      </c>
      <c r="C14534">
        <v>27275</v>
      </c>
      <c r="D14534" t="str">
        <f>"2166-4072"</f>
        <v>2166-4072</v>
      </c>
      <c r="E14534" t="s">
        <v>8</v>
      </c>
      <c r="F14534" t="s">
        <v>14536</v>
      </c>
      <c r="G14534">
        <v>2</v>
      </c>
    </row>
    <row r="14535" spans="1:7" x14ac:dyDescent="0.25">
      <c r="A14535">
        <v>4</v>
      </c>
      <c r="B14535" t="s">
        <v>14535</v>
      </c>
      <c r="C14535">
        <v>124224</v>
      </c>
      <c r="D14535" t="str">
        <f>"0288-3503"</f>
        <v>0288-3503</v>
      </c>
      <c r="E14535" t="s">
        <v>8</v>
      </c>
      <c r="F14535" t="s">
        <v>14537</v>
      </c>
      <c r="G14535">
        <v>2</v>
      </c>
    </row>
    <row r="14536" spans="1:7" x14ac:dyDescent="0.25">
      <c r="A14536">
        <v>4</v>
      </c>
      <c r="B14536" t="s">
        <v>14535</v>
      </c>
      <c r="C14536">
        <v>6408</v>
      </c>
      <c r="D14536" t="str">
        <f>"0005-4313"</f>
        <v>0005-4313</v>
      </c>
      <c r="E14536" t="s">
        <v>8</v>
      </c>
      <c r="F14536" t="s">
        <v>14538</v>
      </c>
      <c r="G14536">
        <v>2</v>
      </c>
    </row>
    <row r="14537" spans="1:7" x14ac:dyDescent="0.25">
      <c r="A14537">
        <v>4</v>
      </c>
      <c r="B14537" t="s">
        <v>14535</v>
      </c>
      <c r="C14537">
        <v>24411</v>
      </c>
      <c r="D14537" t="str">
        <f>"0523-8587"</f>
        <v>0523-8587</v>
      </c>
      <c r="E14537" t="s">
        <v>8</v>
      </c>
      <c r="F14537" t="s">
        <v>14539</v>
      </c>
      <c r="G14537">
        <v>2</v>
      </c>
    </row>
    <row r="14538" spans="1:7" x14ac:dyDescent="0.25">
      <c r="A14538">
        <v>4</v>
      </c>
      <c r="B14538" t="s">
        <v>14535</v>
      </c>
      <c r="C14538">
        <v>7476</v>
      </c>
      <c r="D14538" t="str">
        <f>"0307-0131"</f>
        <v>0307-0131</v>
      </c>
      <c r="E14538" t="s">
        <v>8</v>
      </c>
      <c r="F14538" t="s">
        <v>14540</v>
      </c>
      <c r="G14538">
        <v>2</v>
      </c>
    </row>
    <row r="14539" spans="1:7" x14ac:dyDescent="0.25">
      <c r="A14539">
        <v>4</v>
      </c>
      <c r="B14539" t="s">
        <v>14535</v>
      </c>
      <c r="C14539">
        <v>17482</v>
      </c>
      <c r="D14539" t="str">
        <f>"0008-5006"</f>
        <v>0008-5006</v>
      </c>
      <c r="E14539" t="s">
        <v>8</v>
      </c>
      <c r="F14539" t="s">
        <v>14541</v>
      </c>
      <c r="G14539">
        <v>2</v>
      </c>
    </row>
    <row r="14540" spans="1:7" x14ac:dyDescent="0.25">
      <c r="A14540">
        <v>4</v>
      </c>
      <c r="B14540" t="s">
        <v>14535</v>
      </c>
      <c r="C14540">
        <v>23438</v>
      </c>
      <c r="D14540" t="str">
        <f>"1479-0963"</f>
        <v>1479-0963</v>
      </c>
      <c r="E14540" t="s">
        <v>8</v>
      </c>
      <c r="F14540" t="s">
        <v>14542</v>
      </c>
      <c r="G14540">
        <v>2</v>
      </c>
    </row>
    <row r="14541" spans="1:7" x14ac:dyDescent="0.25">
      <c r="A14541">
        <v>4</v>
      </c>
      <c r="B14541" t="s">
        <v>14535</v>
      </c>
      <c r="C14541">
        <v>7065</v>
      </c>
      <c r="D14541" t="str">
        <f>"0009-0468"</f>
        <v>0009-0468</v>
      </c>
      <c r="E14541" t="s">
        <v>8</v>
      </c>
      <c r="F14541" t="s">
        <v>14543</v>
      </c>
      <c r="G14541">
        <v>2</v>
      </c>
    </row>
    <row r="14542" spans="1:7" x14ac:dyDescent="0.25">
      <c r="A14542">
        <v>4</v>
      </c>
      <c r="B14542" t="s">
        <v>14535</v>
      </c>
      <c r="C14542">
        <v>8274</v>
      </c>
      <c r="D14542" t="str">
        <f>"0043-2520"</f>
        <v>0043-2520</v>
      </c>
      <c r="E14542" t="s">
        <v>8</v>
      </c>
      <c r="F14542" t="s">
        <v>14544</v>
      </c>
      <c r="G14542">
        <v>2</v>
      </c>
    </row>
    <row r="14543" spans="1:7" x14ac:dyDescent="0.25">
      <c r="A14543">
        <v>4</v>
      </c>
      <c r="B14543" t="s">
        <v>14535</v>
      </c>
      <c r="C14543">
        <v>7031</v>
      </c>
      <c r="D14543" t="str">
        <f>"0888-3254"</f>
        <v>0888-3254</v>
      </c>
      <c r="E14543" t="s">
        <v>8</v>
      </c>
      <c r="F14543" t="s">
        <v>14545</v>
      </c>
      <c r="G14543">
        <v>2</v>
      </c>
    </row>
    <row r="14544" spans="1:7" x14ac:dyDescent="0.25">
      <c r="A14544">
        <v>4</v>
      </c>
      <c r="B14544" t="s">
        <v>14535</v>
      </c>
      <c r="C14544">
        <v>3954</v>
      </c>
      <c r="D14544" t="str">
        <f>"0355-1253"</f>
        <v>0355-1253</v>
      </c>
      <c r="E14544" t="s">
        <v>8</v>
      </c>
      <c r="F14544" t="s">
        <v>14546</v>
      </c>
      <c r="G14544">
        <v>2</v>
      </c>
    </row>
    <row r="14545" spans="1:7" x14ac:dyDescent="0.25">
      <c r="A14545">
        <v>4</v>
      </c>
      <c r="B14545" t="s">
        <v>14535</v>
      </c>
      <c r="C14545">
        <v>12537</v>
      </c>
      <c r="D14545" t="str">
        <f>"0162-9778"</f>
        <v>0162-9778</v>
      </c>
      <c r="E14545" t="s">
        <v>8</v>
      </c>
      <c r="F14545" t="s">
        <v>14547</v>
      </c>
      <c r="G14545">
        <v>2</v>
      </c>
    </row>
    <row r="14546" spans="1:7" x14ac:dyDescent="0.25">
      <c r="A14546">
        <v>4</v>
      </c>
      <c r="B14546" t="s">
        <v>14535</v>
      </c>
      <c r="C14546">
        <v>3889</v>
      </c>
      <c r="D14546" t="str">
        <f>"2573-9638"</f>
        <v>2573-9638</v>
      </c>
      <c r="E14546" t="s">
        <v>8</v>
      </c>
      <c r="F14546" t="s">
        <v>14548</v>
      </c>
      <c r="G14546">
        <v>2</v>
      </c>
    </row>
    <row r="14547" spans="1:7" x14ac:dyDescent="0.25">
      <c r="A14547">
        <v>4</v>
      </c>
      <c r="B14547" t="s">
        <v>14535</v>
      </c>
      <c r="C14547">
        <v>14352</v>
      </c>
      <c r="D14547" t="str">
        <f>"0738-1727"</f>
        <v>0738-1727</v>
      </c>
      <c r="E14547" t="s">
        <v>8</v>
      </c>
      <c r="F14547" t="s">
        <v>14549</v>
      </c>
      <c r="G14547">
        <v>2</v>
      </c>
    </row>
    <row r="14548" spans="1:7" x14ac:dyDescent="0.25">
      <c r="A14548">
        <v>4</v>
      </c>
      <c r="B14548" t="s">
        <v>14535</v>
      </c>
      <c r="C14548">
        <v>2123</v>
      </c>
      <c r="D14548" t="str">
        <f>"1468-3857"</f>
        <v>1468-3857</v>
      </c>
      <c r="E14548" t="s">
        <v>8</v>
      </c>
      <c r="F14548" t="s">
        <v>14550</v>
      </c>
      <c r="G14548">
        <v>2</v>
      </c>
    </row>
    <row r="14549" spans="1:7" x14ac:dyDescent="0.25">
      <c r="A14549">
        <v>4</v>
      </c>
      <c r="B14549" t="s">
        <v>14535</v>
      </c>
      <c r="C14549">
        <v>4339</v>
      </c>
      <c r="D14549" t="str">
        <f>"1531-023X"</f>
        <v>1531-023X</v>
      </c>
      <c r="E14549" t="s">
        <v>8</v>
      </c>
      <c r="F14549" t="s">
        <v>14551</v>
      </c>
      <c r="G14549">
        <v>2</v>
      </c>
    </row>
    <row r="14550" spans="1:7" x14ac:dyDescent="0.25">
      <c r="A14550">
        <v>4</v>
      </c>
      <c r="B14550" t="s">
        <v>14535</v>
      </c>
      <c r="C14550">
        <v>7640</v>
      </c>
      <c r="D14550" t="str">
        <f>"1075-8216"</f>
        <v>1075-8216</v>
      </c>
      <c r="E14550" t="s">
        <v>8</v>
      </c>
      <c r="F14550" t="s">
        <v>14552</v>
      </c>
      <c r="G14550">
        <v>2</v>
      </c>
    </row>
    <row r="14551" spans="1:7" x14ac:dyDescent="0.25">
      <c r="A14551">
        <v>4</v>
      </c>
      <c r="B14551" t="s">
        <v>14535</v>
      </c>
      <c r="C14551">
        <v>15665</v>
      </c>
      <c r="D14551" t="str">
        <f>"0094-288X"</f>
        <v>0094-288X</v>
      </c>
      <c r="E14551" t="s">
        <v>8</v>
      </c>
      <c r="F14551" t="s">
        <v>14553</v>
      </c>
      <c r="G14551">
        <v>2</v>
      </c>
    </row>
    <row r="14552" spans="1:7" x14ac:dyDescent="0.25">
      <c r="A14552">
        <v>4</v>
      </c>
      <c r="B14552" t="s">
        <v>14535</v>
      </c>
      <c r="C14552">
        <v>11336</v>
      </c>
      <c r="D14552" t="str">
        <f>"0304-3487"</f>
        <v>0304-3487</v>
      </c>
      <c r="E14552" t="s">
        <v>8</v>
      </c>
      <c r="F14552" t="s">
        <v>14554</v>
      </c>
      <c r="G14552">
        <v>2</v>
      </c>
    </row>
    <row r="14553" spans="1:7" x14ac:dyDescent="0.25">
      <c r="A14553">
        <v>4</v>
      </c>
      <c r="B14553" t="s">
        <v>14535</v>
      </c>
      <c r="C14553">
        <v>503</v>
      </c>
      <c r="D14553" t="str">
        <f>"0304-3479"</f>
        <v>0304-3479</v>
      </c>
      <c r="E14553" t="s">
        <v>8</v>
      </c>
      <c r="F14553" t="s">
        <v>14555</v>
      </c>
      <c r="G14553">
        <v>2</v>
      </c>
    </row>
    <row r="14554" spans="1:7" x14ac:dyDescent="0.25">
      <c r="A14554">
        <v>4</v>
      </c>
      <c r="B14554" t="s">
        <v>14535</v>
      </c>
      <c r="C14554">
        <v>156003</v>
      </c>
      <c r="D14554" t="str">
        <f>"1681-1062"</f>
        <v>1681-1062</v>
      </c>
      <c r="E14554" t="s">
        <v>8</v>
      </c>
      <c r="F14554" t="s">
        <v>14556</v>
      </c>
      <c r="G14554">
        <v>2</v>
      </c>
    </row>
    <row r="14555" spans="1:7" x14ac:dyDescent="0.25">
      <c r="A14555">
        <v>4</v>
      </c>
      <c r="B14555" t="s">
        <v>14535</v>
      </c>
      <c r="C14555">
        <v>14579</v>
      </c>
      <c r="D14555" t="str">
        <f>"0558-4639"</f>
        <v>0558-4639</v>
      </c>
      <c r="E14555" t="s">
        <v>8</v>
      </c>
      <c r="F14555" t="s">
        <v>14557</v>
      </c>
      <c r="G14555">
        <v>2</v>
      </c>
    </row>
    <row r="14556" spans="1:7" x14ac:dyDescent="0.25">
      <c r="A14556">
        <v>4</v>
      </c>
      <c r="B14556" t="s">
        <v>14535</v>
      </c>
      <c r="C14556">
        <v>11412</v>
      </c>
      <c r="D14556" t="str">
        <f>"0080-6765"</f>
        <v>0080-6765</v>
      </c>
      <c r="E14556" t="s">
        <v>8</v>
      </c>
      <c r="F14556" t="s">
        <v>14558</v>
      </c>
      <c r="G14556">
        <v>2</v>
      </c>
    </row>
    <row r="14557" spans="1:7" x14ac:dyDescent="0.25">
      <c r="A14557">
        <v>4</v>
      </c>
      <c r="B14557" t="s">
        <v>14535</v>
      </c>
      <c r="C14557">
        <v>5049</v>
      </c>
      <c r="D14557" t="str">
        <f>"0037-6752"</f>
        <v>0037-6752</v>
      </c>
      <c r="E14557" t="s">
        <v>8</v>
      </c>
      <c r="F14557" t="s">
        <v>14559</v>
      </c>
      <c r="G14557">
        <v>2</v>
      </c>
    </row>
    <row r="14558" spans="1:7" x14ac:dyDescent="0.25">
      <c r="A14558">
        <v>4</v>
      </c>
      <c r="B14558" t="s">
        <v>14535</v>
      </c>
      <c r="C14558">
        <v>9882</v>
      </c>
      <c r="D14558" t="str">
        <f>"0037-6779"</f>
        <v>0037-6779</v>
      </c>
      <c r="E14558" t="s">
        <v>8</v>
      </c>
      <c r="F14558" t="s">
        <v>14560</v>
      </c>
      <c r="G14558">
        <v>2</v>
      </c>
    </row>
    <row r="14559" spans="1:7" x14ac:dyDescent="0.25">
      <c r="A14559">
        <v>4</v>
      </c>
      <c r="B14559" t="s">
        <v>14535</v>
      </c>
      <c r="C14559">
        <v>14398</v>
      </c>
      <c r="D14559" t="str">
        <f>"0037-6795"</f>
        <v>0037-6795</v>
      </c>
      <c r="E14559" t="s">
        <v>8</v>
      </c>
      <c r="F14559" t="s">
        <v>14561</v>
      </c>
      <c r="G14559">
        <v>2</v>
      </c>
    </row>
    <row r="14560" spans="1:7" x14ac:dyDescent="0.25">
      <c r="A14560">
        <v>4</v>
      </c>
      <c r="B14560" t="s">
        <v>14535</v>
      </c>
      <c r="C14560">
        <v>4489</v>
      </c>
      <c r="D14560" t="str">
        <f>"0722-480X"</f>
        <v>0722-480X</v>
      </c>
      <c r="E14560" t="s">
        <v>8</v>
      </c>
      <c r="F14560" t="s">
        <v>14562</v>
      </c>
      <c r="G14560">
        <v>2</v>
      </c>
    </row>
    <row r="14561" spans="1:7" x14ac:dyDescent="0.25">
      <c r="A14561">
        <v>4</v>
      </c>
      <c r="B14561" t="s">
        <v>14535</v>
      </c>
      <c r="C14561">
        <v>5060</v>
      </c>
      <c r="D14561" t="str">
        <f>"0867-0633"</f>
        <v>0867-0633</v>
      </c>
      <c r="E14561" t="s">
        <v>8</v>
      </c>
      <c r="F14561" t="s">
        <v>14563</v>
      </c>
      <c r="G14561">
        <v>2</v>
      </c>
    </row>
    <row r="14562" spans="1:7" x14ac:dyDescent="0.25">
      <c r="A14562">
        <v>4</v>
      </c>
      <c r="B14562" t="s">
        <v>14535</v>
      </c>
      <c r="C14562">
        <v>4747</v>
      </c>
      <c r="D14562" t="str">
        <f>"0036-0341"</f>
        <v>0036-0341</v>
      </c>
      <c r="E14562" t="s">
        <v>8</v>
      </c>
      <c r="F14562" t="s">
        <v>14564</v>
      </c>
      <c r="G14562">
        <v>2</v>
      </c>
    </row>
    <row r="14563" spans="1:7" x14ac:dyDescent="0.25">
      <c r="A14563">
        <v>4</v>
      </c>
      <c r="B14563" t="s">
        <v>14535</v>
      </c>
      <c r="C14563">
        <v>20897</v>
      </c>
      <c r="D14563" t="str">
        <f>"1075-1262"</f>
        <v>1075-1262</v>
      </c>
      <c r="E14563" t="s">
        <v>8</v>
      </c>
      <c r="F14563" t="s">
        <v>14565</v>
      </c>
      <c r="G14563">
        <v>2</v>
      </c>
    </row>
    <row r="14564" spans="1:7" x14ac:dyDescent="0.25">
      <c r="A14564">
        <v>4</v>
      </c>
      <c r="B14564" t="s">
        <v>14535</v>
      </c>
      <c r="C14564">
        <v>66102</v>
      </c>
      <c r="D14564" t="str">
        <f>"0354-6497"</f>
        <v>0354-6497</v>
      </c>
      <c r="E14564" t="s">
        <v>8</v>
      </c>
      <c r="F14564" t="s">
        <v>14566</v>
      </c>
      <c r="G14564">
        <v>2</v>
      </c>
    </row>
    <row r="14565" spans="1:7" x14ac:dyDescent="0.25">
      <c r="A14565">
        <v>4</v>
      </c>
      <c r="B14565" t="s">
        <v>14535</v>
      </c>
      <c r="C14565">
        <v>15748</v>
      </c>
      <c r="D14565" t="str">
        <f>"0042-6806"</f>
        <v>0042-6806</v>
      </c>
      <c r="E14565" t="s">
        <v>8</v>
      </c>
      <c r="F14565" t="s">
        <v>14567</v>
      </c>
      <c r="G14565">
        <v>2</v>
      </c>
    </row>
    <row r="14566" spans="1:7" x14ac:dyDescent="0.25">
      <c r="A14566">
        <v>4</v>
      </c>
      <c r="B14566" t="s">
        <v>14535</v>
      </c>
      <c r="C14566">
        <v>510</v>
      </c>
      <c r="D14566" t="str">
        <f>"0042-8779"</f>
        <v>0042-8779</v>
      </c>
      <c r="E14566" t="s">
        <v>8</v>
      </c>
      <c r="F14566" t="s">
        <v>14568</v>
      </c>
      <c r="G14566">
        <v>2</v>
      </c>
    </row>
    <row r="14567" spans="1:7" x14ac:dyDescent="0.25">
      <c r="A14567">
        <v>4</v>
      </c>
      <c r="B14567" t="s">
        <v>14535</v>
      </c>
      <c r="C14567">
        <v>11276</v>
      </c>
      <c r="D14567" t="str">
        <f>"0373-658X"</f>
        <v>0373-658X</v>
      </c>
      <c r="E14567" t="s">
        <v>8</v>
      </c>
      <c r="F14567" t="s">
        <v>14569</v>
      </c>
      <c r="G14567">
        <v>2</v>
      </c>
    </row>
    <row r="14568" spans="1:7" x14ac:dyDescent="0.25">
      <c r="A14568">
        <v>4</v>
      </c>
      <c r="B14568" t="s">
        <v>14535</v>
      </c>
      <c r="C14568">
        <v>11092</v>
      </c>
      <c r="D14568" t="str">
        <f>"0948-8294"</f>
        <v>0948-8294</v>
      </c>
      <c r="E14568" t="s">
        <v>8</v>
      </c>
      <c r="F14568" t="s">
        <v>14570</v>
      </c>
      <c r="G14568">
        <v>2</v>
      </c>
    </row>
    <row r="14569" spans="1:7" x14ac:dyDescent="0.25">
      <c r="A14569">
        <v>4</v>
      </c>
      <c r="B14569" t="s">
        <v>14535</v>
      </c>
      <c r="C14569">
        <v>16463</v>
      </c>
      <c r="D14569" t="str">
        <f>"0044-3492"</f>
        <v>0044-3492</v>
      </c>
      <c r="E14569" t="s">
        <v>8</v>
      </c>
      <c r="F14569" t="s">
        <v>14571</v>
      </c>
      <c r="G14569">
        <v>2</v>
      </c>
    </row>
    <row r="14570" spans="1:7" x14ac:dyDescent="0.25">
      <c r="A14570">
        <v>4</v>
      </c>
      <c r="B14570" t="s">
        <v>14535</v>
      </c>
      <c r="C14570">
        <v>11990</v>
      </c>
      <c r="D14570" t="str">
        <f>"0044-3506"</f>
        <v>0044-3506</v>
      </c>
      <c r="E14570" t="s">
        <v>8</v>
      </c>
      <c r="F14570" t="s">
        <v>14572</v>
      </c>
      <c r="G14570">
        <v>2</v>
      </c>
    </row>
    <row r="14571" spans="1:7" x14ac:dyDescent="0.25">
      <c r="A14571">
        <v>4</v>
      </c>
      <c r="B14571" t="s">
        <v>14535</v>
      </c>
      <c r="C14571">
        <v>63999</v>
      </c>
      <c r="D14571" t="str">
        <f>"0065-1044"</f>
        <v>0065-1044</v>
      </c>
      <c r="E14571" t="s">
        <v>15</v>
      </c>
      <c r="F14571" t="s">
        <v>14573</v>
      </c>
      <c r="G14571">
        <v>1</v>
      </c>
    </row>
    <row r="14572" spans="1:7" x14ac:dyDescent="0.25">
      <c r="A14572">
        <v>4</v>
      </c>
      <c r="B14572" t="s">
        <v>14535</v>
      </c>
      <c r="C14572">
        <v>71639</v>
      </c>
      <c r="D14572" t="str">
        <f>"1648-4444"</f>
        <v>1648-4444</v>
      </c>
      <c r="E14572" t="s">
        <v>8</v>
      </c>
      <c r="F14572" t="s">
        <v>14574</v>
      </c>
      <c r="G14572">
        <v>1</v>
      </c>
    </row>
    <row r="14573" spans="1:7" x14ac:dyDescent="0.25">
      <c r="A14573">
        <v>4</v>
      </c>
      <c r="B14573" t="s">
        <v>14535</v>
      </c>
      <c r="C14573">
        <v>14895</v>
      </c>
      <c r="D14573" t="str">
        <f>"0001-6829"</f>
        <v>0001-6829</v>
      </c>
      <c r="E14573" t="s">
        <v>8</v>
      </c>
      <c r="F14573" t="s">
        <v>14575</v>
      </c>
      <c r="G14573">
        <v>1</v>
      </c>
    </row>
    <row r="14574" spans="1:7" x14ac:dyDescent="0.25">
      <c r="A14574">
        <v>4</v>
      </c>
      <c r="B14574" t="s">
        <v>14535</v>
      </c>
      <c r="C14574">
        <v>6363</v>
      </c>
      <c r="D14574" t="str">
        <f>"0355-3205"</f>
        <v>0355-3205</v>
      </c>
      <c r="E14574" t="s">
        <v>15</v>
      </c>
      <c r="F14574" t="s">
        <v>14576</v>
      </c>
      <c r="G14574">
        <v>1</v>
      </c>
    </row>
    <row r="14575" spans="1:7" x14ac:dyDescent="0.25">
      <c r="A14575">
        <v>4</v>
      </c>
      <c r="B14575" t="s">
        <v>14535</v>
      </c>
      <c r="C14575">
        <v>27325</v>
      </c>
      <c r="D14575" t="str">
        <f>"1455-1616"</f>
        <v>1455-1616</v>
      </c>
      <c r="E14575" t="s">
        <v>15</v>
      </c>
      <c r="F14575" t="s">
        <v>14577</v>
      </c>
      <c r="G14575">
        <v>1</v>
      </c>
    </row>
    <row r="14576" spans="1:7" x14ac:dyDescent="0.25">
      <c r="A14576">
        <v>4</v>
      </c>
      <c r="B14576" t="s">
        <v>14535</v>
      </c>
      <c r="C14576">
        <v>55778</v>
      </c>
      <c r="D14576" t="str">
        <f>"2343-2608"</f>
        <v>2343-2608</v>
      </c>
      <c r="E14576" t="s">
        <v>15</v>
      </c>
      <c r="F14576" t="s">
        <v>14578</v>
      </c>
      <c r="G14576">
        <v>1</v>
      </c>
    </row>
    <row r="14577" spans="1:7" x14ac:dyDescent="0.25">
      <c r="A14577">
        <v>4</v>
      </c>
      <c r="B14577" t="s">
        <v>14535</v>
      </c>
      <c r="C14577">
        <v>9950</v>
      </c>
      <c r="D14577" t="str">
        <f>"1239-6982"</f>
        <v>1239-6982</v>
      </c>
      <c r="E14577" t="s">
        <v>15</v>
      </c>
      <c r="F14577" t="s">
        <v>14579</v>
      </c>
      <c r="G14577">
        <v>1</v>
      </c>
    </row>
    <row r="14578" spans="1:7" x14ac:dyDescent="0.25">
      <c r="A14578">
        <v>4</v>
      </c>
      <c r="B14578" t="s">
        <v>14535</v>
      </c>
      <c r="C14578">
        <v>8783509</v>
      </c>
      <c r="E14578" t="s">
        <v>15</v>
      </c>
      <c r="F14578" t="s">
        <v>14580</v>
      </c>
      <c r="G14578">
        <v>1</v>
      </c>
    </row>
    <row r="14579" spans="1:7" x14ac:dyDescent="0.25">
      <c r="A14579">
        <v>4</v>
      </c>
      <c r="B14579" t="s">
        <v>14535</v>
      </c>
      <c r="C14579">
        <v>9035</v>
      </c>
      <c r="D14579" t="str">
        <f>"0066-5282"</f>
        <v>0066-5282</v>
      </c>
      <c r="E14579" t="s">
        <v>15</v>
      </c>
      <c r="F14579" t="s">
        <v>14581</v>
      </c>
      <c r="G14579">
        <v>1</v>
      </c>
    </row>
    <row r="14580" spans="1:7" x14ac:dyDescent="0.25">
      <c r="A14580">
        <v>4</v>
      </c>
      <c r="B14580" t="s">
        <v>14535</v>
      </c>
      <c r="C14580">
        <v>35314</v>
      </c>
      <c r="D14580" t="str">
        <f>"0350-7653"</f>
        <v>0350-7653</v>
      </c>
      <c r="E14580" t="s">
        <v>8</v>
      </c>
      <c r="F14580" t="s">
        <v>14582</v>
      </c>
      <c r="G14580">
        <v>1</v>
      </c>
    </row>
    <row r="14581" spans="1:7" x14ac:dyDescent="0.25">
      <c r="A14581">
        <v>4</v>
      </c>
      <c r="B14581" t="s">
        <v>14535</v>
      </c>
      <c r="C14581">
        <v>26991</v>
      </c>
      <c r="D14581" t="str">
        <f>"0132-6503"</f>
        <v>0132-6503</v>
      </c>
      <c r="E14581" t="s">
        <v>8</v>
      </c>
      <c r="F14581" t="s">
        <v>14583</v>
      </c>
      <c r="G14581">
        <v>1</v>
      </c>
    </row>
    <row r="14582" spans="1:7" x14ac:dyDescent="0.25">
      <c r="A14582">
        <v>4</v>
      </c>
      <c r="B14582" t="s">
        <v>14535</v>
      </c>
      <c r="C14582">
        <v>904</v>
      </c>
      <c r="D14582" t="str">
        <f>"0324-0207"</f>
        <v>0324-0207</v>
      </c>
      <c r="E14582" t="s">
        <v>8</v>
      </c>
      <c r="F14582" t="s">
        <v>14584</v>
      </c>
      <c r="G14582">
        <v>1</v>
      </c>
    </row>
    <row r="14583" spans="1:7" x14ac:dyDescent="0.25">
      <c r="A14583">
        <v>4</v>
      </c>
      <c r="B14583" t="s">
        <v>14535</v>
      </c>
      <c r="C14583">
        <v>9349</v>
      </c>
      <c r="D14583" t="str">
        <f>"1252-6576"</f>
        <v>1252-6576</v>
      </c>
      <c r="E14583" t="s">
        <v>8</v>
      </c>
      <c r="F14583" t="s">
        <v>14585</v>
      </c>
      <c r="G14583">
        <v>1</v>
      </c>
    </row>
    <row r="14584" spans="1:7" x14ac:dyDescent="0.25">
      <c r="A14584">
        <v>4</v>
      </c>
      <c r="B14584" t="s">
        <v>14535</v>
      </c>
      <c r="C14584">
        <v>17559</v>
      </c>
      <c r="D14584" t="str">
        <f>"0090-8290"</f>
        <v>0090-8290</v>
      </c>
      <c r="E14584" t="s">
        <v>8</v>
      </c>
      <c r="F14584" t="s">
        <v>14586</v>
      </c>
      <c r="G14584">
        <v>1</v>
      </c>
    </row>
    <row r="14585" spans="1:7" x14ac:dyDescent="0.25">
      <c r="A14585">
        <v>4</v>
      </c>
      <c r="B14585" t="s">
        <v>14535</v>
      </c>
      <c r="C14585">
        <v>324</v>
      </c>
      <c r="D14585" t="str">
        <f>"0862-8459"</f>
        <v>0862-8459</v>
      </c>
      <c r="E14585" t="s">
        <v>8</v>
      </c>
      <c r="F14585" t="s">
        <v>14587</v>
      </c>
      <c r="G14585">
        <v>1</v>
      </c>
    </row>
    <row r="14586" spans="1:7" x14ac:dyDescent="0.25">
      <c r="A14586">
        <v>4</v>
      </c>
      <c r="B14586" t="s">
        <v>14535</v>
      </c>
      <c r="C14586">
        <v>27592</v>
      </c>
      <c r="D14586" t="str">
        <f>"0590-9597"</f>
        <v>0590-9597</v>
      </c>
      <c r="E14586" t="s">
        <v>8</v>
      </c>
      <c r="F14586" t="s">
        <v>14588</v>
      </c>
      <c r="G14586">
        <v>1</v>
      </c>
    </row>
    <row r="14587" spans="1:7" x14ac:dyDescent="0.25">
      <c r="A14587">
        <v>4</v>
      </c>
      <c r="B14587" t="s">
        <v>14535</v>
      </c>
      <c r="C14587">
        <v>16299</v>
      </c>
      <c r="D14587" t="str">
        <f>"0862-6111"</f>
        <v>0862-6111</v>
      </c>
      <c r="E14587" t="s">
        <v>8</v>
      </c>
      <c r="F14587" t="s">
        <v>14589</v>
      </c>
      <c r="G14587">
        <v>1</v>
      </c>
    </row>
    <row r="14588" spans="1:7" x14ac:dyDescent="0.25">
      <c r="A14588">
        <v>4</v>
      </c>
      <c r="B14588" t="s">
        <v>14535</v>
      </c>
      <c r="C14588">
        <v>27355</v>
      </c>
      <c r="D14588" t="str">
        <f>"0009-0794"</f>
        <v>0009-0794</v>
      </c>
      <c r="E14588" t="s">
        <v>8</v>
      </c>
      <c r="F14588" t="s">
        <v>14590</v>
      </c>
      <c r="G14588">
        <v>1</v>
      </c>
    </row>
    <row r="14589" spans="1:7" x14ac:dyDescent="0.25">
      <c r="A14589">
        <v>4</v>
      </c>
      <c r="B14589" t="s">
        <v>14535</v>
      </c>
      <c r="C14589">
        <v>8780477</v>
      </c>
      <c r="E14589" t="s">
        <v>8</v>
      </c>
      <c r="F14589" t="s">
        <v>14591</v>
      </c>
      <c r="G14589">
        <v>1</v>
      </c>
    </row>
    <row r="14590" spans="1:7" x14ac:dyDescent="0.25">
      <c r="A14590">
        <v>4</v>
      </c>
      <c r="B14590" t="s">
        <v>14535</v>
      </c>
      <c r="C14590">
        <v>6223</v>
      </c>
      <c r="D14590" t="str">
        <f>"1331-1182"</f>
        <v>1331-1182</v>
      </c>
      <c r="E14590" t="s">
        <v>8</v>
      </c>
      <c r="F14590" t="s">
        <v>14592</v>
      </c>
      <c r="G14590">
        <v>1</v>
      </c>
    </row>
    <row r="14591" spans="1:7" x14ac:dyDescent="0.25">
      <c r="A14591">
        <v>4</v>
      </c>
      <c r="B14591" t="s">
        <v>14535</v>
      </c>
      <c r="C14591">
        <v>8782706</v>
      </c>
      <c r="D14591" t="str">
        <f>"2304-5817"</f>
        <v>2304-5817</v>
      </c>
      <c r="E14591" t="s">
        <v>8</v>
      </c>
      <c r="F14591" t="s">
        <v>14593</v>
      </c>
      <c r="G14591">
        <v>1</v>
      </c>
    </row>
    <row r="14592" spans="1:7" x14ac:dyDescent="0.25">
      <c r="A14592">
        <v>4</v>
      </c>
      <c r="B14592" t="s">
        <v>14535</v>
      </c>
      <c r="C14592">
        <v>7691785</v>
      </c>
      <c r="E14592" t="s">
        <v>8</v>
      </c>
      <c r="F14592" t="s">
        <v>14594</v>
      </c>
      <c r="G14592">
        <v>1</v>
      </c>
    </row>
    <row r="14593" spans="1:7" x14ac:dyDescent="0.25">
      <c r="A14593">
        <v>4</v>
      </c>
      <c r="B14593" t="s">
        <v>14535</v>
      </c>
      <c r="C14593">
        <v>4843</v>
      </c>
      <c r="D14593" t="str">
        <f>"1013-2309"</f>
        <v>1013-2309</v>
      </c>
      <c r="E14593" t="s">
        <v>8</v>
      </c>
      <c r="F14593" t="s">
        <v>14595</v>
      </c>
      <c r="G14593">
        <v>1</v>
      </c>
    </row>
    <row r="14594" spans="1:7" x14ac:dyDescent="0.25">
      <c r="A14594">
        <v>4</v>
      </c>
      <c r="B14594" t="s">
        <v>14535</v>
      </c>
      <c r="C14594">
        <v>52734</v>
      </c>
      <c r="D14594" t="str">
        <f>"0860-8032"</f>
        <v>0860-8032</v>
      </c>
      <c r="E14594" t="s">
        <v>8</v>
      </c>
      <c r="F14594" t="s">
        <v>14596</v>
      </c>
      <c r="G14594">
        <v>1</v>
      </c>
    </row>
    <row r="14595" spans="1:7" x14ac:dyDescent="0.25">
      <c r="A14595">
        <v>4</v>
      </c>
      <c r="B14595" t="s">
        <v>14535</v>
      </c>
      <c r="C14595">
        <v>40652</v>
      </c>
      <c r="E14595" t="s">
        <v>8</v>
      </c>
      <c r="F14595" t="s">
        <v>14597</v>
      </c>
      <c r="G14595">
        <v>1</v>
      </c>
    </row>
    <row r="14596" spans="1:7" x14ac:dyDescent="0.25">
      <c r="A14596">
        <v>4</v>
      </c>
      <c r="B14596" t="s">
        <v>14535</v>
      </c>
      <c r="C14596">
        <v>156011</v>
      </c>
      <c r="D14596" t="str">
        <f>"0358-1985"</f>
        <v>0358-1985</v>
      </c>
      <c r="E14596" t="s">
        <v>8</v>
      </c>
      <c r="F14596" t="s">
        <v>14598</v>
      </c>
      <c r="G14596">
        <v>1</v>
      </c>
    </row>
    <row r="14597" spans="1:7" x14ac:dyDescent="0.25">
      <c r="A14597">
        <v>4</v>
      </c>
      <c r="B14597" t="s">
        <v>14535</v>
      </c>
      <c r="C14597">
        <v>42858</v>
      </c>
      <c r="D14597" t="str">
        <f>"1406-0825"</f>
        <v>1406-0825</v>
      </c>
      <c r="E14597" t="s">
        <v>8</v>
      </c>
      <c r="F14597" t="s">
        <v>14599</v>
      </c>
      <c r="G14597">
        <v>1</v>
      </c>
    </row>
    <row r="14598" spans="1:7" x14ac:dyDescent="0.25">
      <c r="A14598">
        <v>4</v>
      </c>
      <c r="B14598" t="s">
        <v>14535</v>
      </c>
      <c r="C14598">
        <v>5011</v>
      </c>
      <c r="D14598" t="str">
        <f>"0449-363X"</f>
        <v>0449-363X</v>
      </c>
      <c r="E14598" t="s">
        <v>8</v>
      </c>
      <c r="F14598" t="s">
        <v>14600</v>
      </c>
      <c r="G14598">
        <v>1</v>
      </c>
    </row>
    <row r="14599" spans="1:7" x14ac:dyDescent="0.25">
      <c r="A14599">
        <v>4</v>
      </c>
      <c r="B14599" t="s">
        <v>14535</v>
      </c>
      <c r="C14599">
        <v>146716</v>
      </c>
      <c r="D14599" t="str">
        <f>"0353-5738"</f>
        <v>0353-5738</v>
      </c>
      <c r="E14599" t="s">
        <v>8</v>
      </c>
      <c r="F14599" t="s">
        <v>14601</v>
      </c>
      <c r="G14599">
        <v>1</v>
      </c>
    </row>
    <row r="14600" spans="1:7" x14ac:dyDescent="0.25">
      <c r="A14600">
        <v>4</v>
      </c>
      <c r="B14600" t="s">
        <v>14535</v>
      </c>
      <c r="C14600">
        <v>141998</v>
      </c>
      <c r="D14600" t="str">
        <f>"0341-7816"</f>
        <v>0341-7816</v>
      </c>
      <c r="E14600" t="s">
        <v>15</v>
      </c>
      <c r="F14600" t="s">
        <v>14602</v>
      </c>
      <c r="G14600">
        <v>1</v>
      </c>
    </row>
    <row r="14601" spans="1:7" x14ac:dyDescent="0.25">
      <c r="A14601">
        <v>4</v>
      </c>
      <c r="B14601" t="s">
        <v>14535</v>
      </c>
      <c r="C14601">
        <v>10782</v>
      </c>
      <c r="D14601" t="str">
        <f>"0353-4642"</f>
        <v>0353-4642</v>
      </c>
      <c r="E14601" t="s">
        <v>8</v>
      </c>
      <c r="F14601" t="s">
        <v>14603</v>
      </c>
      <c r="G14601">
        <v>1</v>
      </c>
    </row>
    <row r="14602" spans="1:7" x14ac:dyDescent="0.25">
      <c r="A14602">
        <v>4</v>
      </c>
      <c r="B14602" t="s">
        <v>14535</v>
      </c>
      <c r="C14602">
        <v>125543</v>
      </c>
      <c r="D14602" t="str">
        <f>"0239-1953"</f>
        <v>0239-1953</v>
      </c>
      <c r="E14602" t="s">
        <v>8</v>
      </c>
      <c r="F14602" t="s">
        <v>14604</v>
      </c>
      <c r="G14602">
        <v>1</v>
      </c>
    </row>
    <row r="14603" spans="1:7" x14ac:dyDescent="0.25">
      <c r="A14603">
        <v>4</v>
      </c>
      <c r="B14603" t="s">
        <v>14535</v>
      </c>
      <c r="C14603">
        <v>53895</v>
      </c>
      <c r="D14603" t="str">
        <f>"0351-2908"</f>
        <v>0351-2908</v>
      </c>
      <c r="E14603" t="s">
        <v>8</v>
      </c>
      <c r="F14603" t="s">
        <v>14605</v>
      </c>
      <c r="G14603">
        <v>1</v>
      </c>
    </row>
    <row r="14604" spans="1:7" x14ac:dyDescent="0.25">
      <c r="A14604">
        <v>4</v>
      </c>
      <c r="B14604" t="s">
        <v>14535</v>
      </c>
      <c r="C14604">
        <v>78251</v>
      </c>
      <c r="D14604" t="str">
        <f>"0352-5678"</f>
        <v>0352-5678</v>
      </c>
      <c r="E14604" t="s">
        <v>8</v>
      </c>
      <c r="F14604" t="s">
        <v>14606</v>
      </c>
      <c r="G14604">
        <v>1</v>
      </c>
    </row>
    <row r="14605" spans="1:7" x14ac:dyDescent="0.25">
      <c r="A14605">
        <v>4</v>
      </c>
      <c r="B14605" t="s">
        <v>14535</v>
      </c>
      <c r="C14605">
        <v>5867</v>
      </c>
      <c r="E14605" t="s">
        <v>8</v>
      </c>
      <c r="F14605" t="s">
        <v>14607</v>
      </c>
      <c r="G14605">
        <v>1</v>
      </c>
    </row>
    <row r="14606" spans="1:7" x14ac:dyDescent="0.25">
      <c r="A14606">
        <v>4</v>
      </c>
      <c r="B14606" t="s">
        <v>14535</v>
      </c>
      <c r="C14606">
        <v>8416</v>
      </c>
      <c r="D14606" t="str">
        <f>"0363-5570"</f>
        <v>0363-5570</v>
      </c>
      <c r="E14606" t="s">
        <v>8</v>
      </c>
      <c r="F14606" t="s">
        <v>14608</v>
      </c>
      <c r="G14606">
        <v>1</v>
      </c>
    </row>
    <row r="14607" spans="1:7" x14ac:dyDescent="0.25">
      <c r="A14607">
        <v>4</v>
      </c>
      <c r="B14607" t="s">
        <v>14535</v>
      </c>
      <c r="C14607">
        <v>80506</v>
      </c>
      <c r="D14607" t="str">
        <f>"0784-3410"</f>
        <v>0784-3410</v>
      </c>
      <c r="E14607" t="s">
        <v>8</v>
      </c>
      <c r="F14607" t="s">
        <v>14609</v>
      </c>
      <c r="G14607">
        <v>1</v>
      </c>
    </row>
    <row r="14608" spans="1:7" x14ac:dyDescent="0.25">
      <c r="A14608">
        <v>4</v>
      </c>
      <c r="B14608" t="s">
        <v>14535</v>
      </c>
      <c r="C14608">
        <v>7745975</v>
      </c>
      <c r="D14608" t="str">
        <f>"1108-3441"</f>
        <v>1108-3441</v>
      </c>
      <c r="E14608" t="s">
        <v>8</v>
      </c>
      <c r="F14608" t="s">
        <v>14610</v>
      </c>
      <c r="G14608">
        <v>1</v>
      </c>
    </row>
    <row r="14609" spans="1:7" x14ac:dyDescent="0.25">
      <c r="A14609">
        <v>4</v>
      </c>
      <c r="B14609" t="s">
        <v>14535</v>
      </c>
      <c r="C14609">
        <v>8330</v>
      </c>
      <c r="D14609" t="str">
        <f>"0018-2362"</f>
        <v>0018-2362</v>
      </c>
      <c r="E14609" t="s">
        <v>8</v>
      </c>
      <c r="F14609" t="s">
        <v>14611</v>
      </c>
      <c r="G14609">
        <v>1</v>
      </c>
    </row>
    <row r="14610" spans="1:7" x14ac:dyDescent="0.25">
      <c r="A14610">
        <v>4</v>
      </c>
      <c r="B14610" t="s">
        <v>14535</v>
      </c>
      <c r="C14610">
        <v>12033</v>
      </c>
      <c r="D14610" t="str">
        <f>"0018-2575"</f>
        <v>0018-2575</v>
      </c>
      <c r="E14610" t="s">
        <v>8</v>
      </c>
      <c r="F14610" t="s">
        <v>14612</v>
      </c>
      <c r="G14610">
        <v>1</v>
      </c>
    </row>
    <row r="14611" spans="1:7" x14ac:dyDescent="0.25">
      <c r="A14611">
        <v>4</v>
      </c>
      <c r="B14611" t="s">
        <v>14535</v>
      </c>
      <c r="C14611">
        <v>16733</v>
      </c>
      <c r="D14611" t="str">
        <f>"0236-6568"</f>
        <v>0236-6568</v>
      </c>
      <c r="E14611" t="s">
        <v>8</v>
      </c>
      <c r="F14611" t="s">
        <v>14613</v>
      </c>
      <c r="G14611">
        <v>1</v>
      </c>
    </row>
    <row r="14612" spans="1:7" x14ac:dyDescent="0.25">
      <c r="A14612">
        <v>4</v>
      </c>
      <c r="B14612" t="s">
        <v>14535</v>
      </c>
      <c r="C14612">
        <v>2397</v>
      </c>
      <c r="D14612" t="str">
        <f>"0021-6941"</f>
        <v>0021-6941</v>
      </c>
      <c r="E14612" t="s">
        <v>8</v>
      </c>
      <c r="F14612" t="s">
        <v>14614</v>
      </c>
      <c r="G14612">
        <v>1</v>
      </c>
    </row>
    <row r="14613" spans="1:7" x14ac:dyDescent="0.25">
      <c r="A14613">
        <v>4</v>
      </c>
      <c r="B14613" t="s">
        <v>14535</v>
      </c>
      <c r="C14613">
        <v>27160</v>
      </c>
      <c r="D14613" t="str">
        <f>"0781-0369"</f>
        <v>0781-0369</v>
      </c>
      <c r="E14613" t="s">
        <v>8</v>
      </c>
      <c r="F14613" t="s">
        <v>14615</v>
      </c>
      <c r="G14613">
        <v>1</v>
      </c>
    </row>
    <row r="14614" spans="1:7" x14ac:dyDescent="0.25">
      <c r="A14614">
        <v>4</v>
      </c>
      <c r="B14614" t="s">
        <v>14535</v>
      </c>
      <c r="C14614">
        <v>11542</v>
      </c>
      <c r="D14614" t="str">
        <f>"0949-6181"</f>
        <v>0949-6181</v>
      </c>
      <c r="E14614" t="s">
        <v>8</v>
      </c>
      <c r="F14614" t="s">
        <v>14616</v>
      </c>
      <c r="G14614">
        <v>1</v>
      </c>
    </row>
    <row r="14615" spans="1:7" x14ac:dyDescent="0.25">
      <c r="A14615">
        <v>4</v>
      </c>
      <c r="B14615" t="s">
        <v>14535</v>
      </c>
      <c r="C14615">
        <v>10940</v>
      </c>
      <c r="D14615" t="str">
        <f>"1944-8953"</f>
        <v>1944-8953</v>
      </c>
      <c r="E14615" t="s">
        <v>8</v>
      </c>
      <c r="F14615" t="s">
        <v>14617</v>
      </c>
      <c r="G14615">
        <v>1</v>
      </c>
    </row>
    <row r="14616" spans="1:7" x14ac:dyDescent="0.25">
      <c r="A14616">
        <v>4</v>
      </c>
      <c r="B14616" t="s">
        <v>14535</v>
      </c>
      <c r="C14616">
        <v>6073730</v>
      </c>
      <c r="D14616" t="str">
        <f>"2041-6938"</f>
        <v>2041-6938</v>
      </c>
      <c r="E14616" t="s">
        <v>8</v>
      </c>
      <c r="F14616" t="s">
        <v>14618</v>
      </c>
      <c r="G14616">
        <v>1</v>
      </c>
    </row>
    <row r="14617" spans="1:7" x14ac:dyDescent="0.25">
      <c r="A14617">
        <v>4</v>
      </c>
      <c r="B14617" t="s">
        <v>14535</v>
      </c>
      <c r="C14617">
        <v>27553</v>
      </c>
      <c r="D14617" t="str">
        <f>"1206-6516"</f>
        <v>1206-6516</v>
      </c>
      <c r="E14617" t="s">
        <v>8</v>
      </c>
      <c r="F14617" t="s">
        <v>14619</v>
      </c>
      <c r="G14617">
        <v>1</v>
      </c>
    </row>
    <row r="14618" spans="1:7" x14ac:dyDescent="0.25">
      <c r="A14618">
        <v>4</v>
      </c>
      <c r="B14618" t="s">
        <v>14535</v>
      </c>
      <c r="C14618">
        <v>982</v>
      </c>
      <c r="D14618" t="str">
        <f>"1068-2090"</f>
        <v>1068-2090</v>
      </c>
      <c r="E14618" t="s">
        <v>8</v>
      </c>
      <c r="F14618" t="s">
        <v>14620</v>
      </c>
      <c r="G14618">
        <v>1</v>
      </c>
    </row>
    <row r="14619" spans="1:7" x14ac:dyDescent="0.25">
      <c r="A14619">
        <v>4</v>
      </c>
      <c r="B14619" t="s">
        <v>14535</v>
      </c>
      <c r="C14619">
        <v>48493</v>
      </c>
      <c r="D14619" t="str">
        <f>"1459-4323"</f>
        <v>1459-4323</v>
      </c>
      <c r="E14619" t="s">
        <v>8</v>
      </c>
      <c r="F14619" t="s">
        <v>14621</v>
      </c>
      <c r="G14619">
        <v>1</v>
      </c>
    </row>
    <row r="14620" spans="1:7" x14ac:dyDescent="0.25">
      <c r="A14620">
        <v>4</v>
      </c>
      <c r="B14620" t="s">
        <v>14535</v>
      </c>
      <c r="C14620">
        <v>117892</v>
      </c>
      <c r="D14620" t="str">
        <f>"1238-9471"</f>
        <v>1238-9471</v>
      </c>
      <c r="E14620" t="s">
        <v>8</v>
      </c>
      <c r="F14620" t="s">
        <v>14622</v>
      </c>
      <c r="G14620">
        <v>1</v>
      </c>
    </row>
    <row r="14621" spans="1:7" x14ac:dyDescent="0.25">
      <c r="A14621">
        <v>4</v>
      </c>
      <c r="B14621" t="s">
        <v>14535</v>
      </c>
      <c r="C14621">
        <v>127616</v>
      </c>
      <c r="D14621" t="str">
        <f>"0355-0311"</f>
        <v>0355-0311</v>
      </c>
      <c r="E14621" t="s">
        <v>15</v>
      </c>
      <c r="F14621" t="s">
        <v>14623</v>
      </c>
      <c r="G14621">
        <v>1</v>
      </c>
    </row>
    <row r="14622" spans="1:7" x14ac:dyDescent="0.25">
      <c r="A14622">
        <v>4</v>
      </c>
      <c r="B14622" t="s">
        <v>14535</v>
      </c>
      <c r="C14622">
        <v>116796</v>
      </c>
      <c r="D14622" t="str">
        <f>"0355-0303"</f>
        <v>0355-0303</v>
      </c>
      <c r="E14622" t="s">
        <v>8</v>
      </c>
      <c r="F14622" t="s">
        <v>14624</v>
      </c>
      <c r="G14622">
        <v>1</v>
      </c>
    </row>
    <row r="14623" spans="1:7" x14ac:dyDescent="0.25">
      <c r="A14623">
        <v>4</v>
      </c>
      <c r="B14623" t="s">
        <v>14535</v>
      </c>
      <c r="C14623">
        <v>72989</v>
      </c>
      <c r="D14623" t="str">
        <f>"0131-1441"</f>
        <v>0131-1441</v>
      </c>
      <c r="E14623" t="s">
        <v>8</v>
      </c>
      <c r="F14623" t="s">
        <v>14625</v>
      </c>
      <c r="G14623">
        <v>1</v>
      </c>
    </row>
    <row r="14624" spans="1:7" x14ac:dyDescent="0.25">
      <c r="A14624">
        <v>4</v>
      </c>
      <c r="B14624" t="s">
        <v>14535</v>
      </c>
      <c r="C14624">
        <v>4043</v>
      </c>
      <c r="D14624" t="str">
        <f>"0782-8519"</f>
        <v>0782-8519</v>
      </c>
      <c r="E14624" t="s">
        <v>8</v>
      </c>
      <c r="F14624" t="s">
        <v>14626</v>
      </c>
      <c r="G14624">
        <v>1</v>
      </c>
    </row>
    <row r="14625" spans="1:7" x14ac:dyDescent="0.25">
      <c r="A14625">
        <v>4</v>
      </c>
      <c r="B14625" t="s">
        <v>14535</v>
      </c>
      <c r="C14625">
        <v>78199</v>
      </c>
      <c r="D14625" t="str">
        <f>"0355-2675"</f>
        <v>0355-2675</v>
      </c>
      <c r="E14625" t="s">
        <v>8</v>
      </c>
      <c r="F14625" t="s">
        <v>14627</v>
      </c>
      <c r="G14625">
        <v>1</v>
      </c>
    </row>
    <row r="14626" spans="1:7" x14ac:dyDescent="0.25">
      <c r="A14626">
        <v>4</v>
      </c>
      <c r="B14626" t="s">
        <v>14535</v>
      </c>
      <c r="C14626">
        <v>65592</v>
      </c>
      <c r="D14626" t="str">
        <f>"1458-6231"</f>
        <v>1458-6231</v>
      </c>
      <c r="E14626" t="s">
        <v>8</v>
      </c>
      <c r="F14626" t="s">
        <v>14628</v>
      </c>
      <c r="G14626">
        <v>1</v>
      </c>
    </row>
    <row r="14627" spans="1:7" x14ac:dyDescent="0.25">
      <c r="A14627">
        <v>4</v>
      </c>
      <c r="B14627" t="s">
        <v>14535</v>
      </c>
      <c r="C14627">
        <v>141639</v>
      </c>
      <c r="D14627" t="str">
        <f>"0280-350X"</f>
        <v>0280-350X</v>
      </c>
      <c r="E14627" t="s">
        <v>8</v>
      </c>
      <c r="F14627" t="s">
        <v>14629</v>
      </c>
      <c r="G14627">
        <v>1</v>
      </c>
    </row>
    <row r="14628" spans="1:7" x14ac:dyDescent="0.25">
      <c r="A14628">
        <v>4</v>
      </c>
      <c r="B14628" t="s">
        <v>14535</v>
      </c>
      <c r="C14628">
        <v>4952</v>
      </c>
      <c r="D14628" t="str">
        <f>"0455-0463"</f>
        <v>0455-0463</v>
      </c>
      <c r="E14628" t="s">
        <v>8</v>
      </c>
      <c r="F14628" t="s">
        <v>14630</v>
      </c>
      <c r="G14628">
        <v>1</v>
      </c>
    </row>
    <row r="14629" spans="1:7" x14ac:dyDescent="0.25">
      <c r="A14629">
        <v>4</v>
      </c>
      <c r="B14629" t="s">
        <v>14535</v>
      </c>
      <c r="C14629">
        <v>86345</v>
      </c>
      <c r="D14629" t="str">
        <f>"0023-5911"</f>
        <v>0023-5911</v>
      </c>
      <c r="E14629" t="s">
        <v>8</v>
      </c>
      <c r="F14629" t="s">
        <v>14631</v>
      </c>
      <c r="G14629">
        <v>1</v>
      </c>
    </row>
    <row r="14630" spans="1:7" x14ac:dyDescent="0.25">
      <c r="A14630">
        <v>4</v>
      </c>
      <c r="B14630" t="s">
        <v>14535</v>
      </c>
      <c r="C14630">
        <v>9911</v>
      </c>
      <c r="D14630" t="str">
        <f>"1230-3984"</f>
        <v>1230-3984</v>
      </c>
      <c r="E14630" t="s">
        <v>8</v>
      </c>
      <c r="F14630" t="s">
        <v>14632</v>
      </c>
      <c r="G14630">
        <v>1</v>
      </c>
    </row>
    <row r="14631" spans="1:7" x14ac:dyDescent="0.25">
      <c r="A14631">
        <v>4</v>
      </c>
      <c r="B14631" t="s">
        <v>14535</v>
      </c>
      <c r="C14631">
        <v>27016</v>
      </c>
      <c r="D14631" t="str">
        <f>"0868-4731"</f>
        <v>0868-4731</v>
      </c>
      <c r="E14631" t="s">
        <v>8</v>
      </c>
      <c r="F14631" t="s">
        <v>14633</v>
      </c>
      <c r="G14631">
        <v>1</v>
      </c>
    </row>
    <row r="14632" spans="1:7" x14ac:dyDescent="0.25">
      <c r="A14632">
        <v>4</v>
      </c>
      <c r="B14632" t="s">
        <v>14535</v>
      </c>
      <c r="C14632">
        <v>55417</v>
      </c>
      <c r="D14632" t="str">
        <f>"0025-0228"</f>
        <v>0025-0228</v>
      </c>
      <c r="E14632" t="s">
        <v>8</v>
      </c>
      <c r="F14632" t="s">
        <v>14634</v>
      </c>
      <c r="G14632">
        <v>1</v>
      </c>
    </row>
    <row r="14633" spans="1:7" x14ac:dyDescent="0.25">
      <c r="A14633">
        <v>4</v>
      </c>
      <c r="B14633" t="s">
        <v>14535</v>
      </c>
      <c r="C14633">
        <v>68009</v>
      </c>
      <c r="D14633" t="str">
        <f>"0025-0236"</f>
        <v>0025-0236</v>
      </c>
      <c r="E14633" t="s">
        <v>8</v>
      </c>
      <c r="F14633" t="s">
        <v>14635</v>
      </c>
      <c r="G14633">
        <v>1</v>
      </c>
    </row>
    <row r="14634" spans="1:7" x14ac:dyDescent="0.25">
      <c r="A14634">
        <v>4</v>
      </c>
      <c r="B14634" t="s">
        <v>14535</v>
      </c>
      <c r="C14634">
        <v>13988</v>
      </c>
      <c r="D14634" t="str">
        <f>"0547-2504"</f>
        <v>0547-2504</v>
      </c>
      <c r="E14634" t="s">
        <v>8</v>
      </c>
      <c r="F14634" t="s">
        <v>14636</v>
      </c>
      <c r="G14634">
        <v>1</v>
      </c>
    </row>
    <row r="14635" spans="1:7" x14ac:dyDescent="0.25">
      <c r="A14635">
        <v>4</v>
      </c>
      <c r="B14635" t="s">
        <v>14535</v>
      </c>
      <c r="C14635">
        <v>5271</v>
      </c>
      <c r="D14635" t="str">
        <f>"0801-7220"</f>
        <v>0801-7220</v>
      </c>
      <c r="E14635" t="s">
        <v>8</v>
      </c>
      <c r="F14635" t="s">
        <v>14637</v>
      </c>
      <c r="G14635">
        <v>1</v>
      </c>
    </row>
    <row r="14636" spans="1:7" x14ac:dyDescent="0.25">
      <c r="A14636">
        <v>4</v>
      </c>
      <c r="B14636" t="s">
        <v>14535</v>
      </c>
      <c r="C14636">
        <v>84190</v>
      </c>
      <c r="D14636" t="str">
        <f>"1450-7382"</f>
        <v>1450-7382</v>
      </c>
      <c r="E14636" t="s">
        <v>8</v>
      </c>
      <c r="F14636" t="s">
        <v>14638</v>
      </c>
      <c r="G14636">
        <v>1</v>
      </c>
    </row>
    <row r="14637" spans="1:7" x14ac:dyDescent="0.25">
      <c r="A14637">
        <v>4</v>
      </c>
      <c r="B14637" t="s">
        <v>14535</v>
      </c>
      <c r="C14637">
        <v>1247</v>
      </c>
      <c r="D14637" t="str">
        <f>"0869-6365"</f>
        <v>0869-6365</v>
      </c>
      <c r="E14637" t="s">
        <v>8</v>
      </c>
      <c r="F14637" t="s">
        <v>14639</v>
      </c>
      <c r="G14637">
        <v>1</v>
      </c>
    </row>
    <row r="14638" spans="1:7" x14ac:dyDescent="0.25">
      <c r="A14638">
        <v>4</v>
      </c>
      <c r="B14638" t="s">
        <v>14535</v>
      </c>
      <c r="C14638">
        <v>13702</v>
      </c>
      <c r="D14638" t="str">
        <f>"0130-7673"</f>
        <v>0130-7673</v>
      </c>
      <c r="E14638" t="s">
        <v>8</v>
      </c>
      <c r="F14638" t="s">
        <v>14640</v>
      </c>
      <c r="G14638">
        <v>1</v>
      </c>
    </row>
    <row r="14639" spans="1:7" x14ac:dyDescent="0.25">
      <c r="A14639">
        <v>4</v>
      </c>
      <c r="B14639" t="s">
        <v>14535</v>
      </c>
      <c r="C14639">
        <v>140790</v>
      </c>
      <c r="D14639" t="str">
        <f>"0785-6776"</f>
        <v>0785-6776</v>
      </c>
      <c r="E14639" t="s">
        <v>8</v>
      </c>
      <c r="F14639" t="s">
        <v>14641</v>
      </c>
      <c r="G14639">
        <v>1</v>
      </c>
    </row>
    <row r="14640" spans="1:7" x14ac:dyDescent="0.25">
      <c r="A14640">
        <v>4</v>
      </c>
      <c r="B14640" t="s">
        <v>14535</v>
      </c>
      <c r="C14640">
        <v>27219</v>
      </c>
      <c r="D14640" t="str">
        <f>"1586-3719"</f>
        <v>1586-3719</v>
      </c>
      <c r="E14640" t="s">
        <v>8</v>
      </c>
      <c r="F14640" t="s">
        <v>14642</v>
      </c>
      <c r="G14640">
        <v>1</v>
      </c>
    </row>
    <row r="14641" spans="1:7" x14ac:dyDescent="0.25">
      <c r="A14641">
        <v>4</v>
      </c>
      <c r="B14641" t="s">
        <v>14535</v>
      </c>
      <c r="C14641">
        <v>55908</v>
      </c>
      <c r="D14641" t="str">
        <f>"0783-4128"</f>
        <v>0783-4128</v>
      </c>
      <c r="E14641" t="s">
        <v>8</v>
      </c>
      <c r="F14641" t="s">
        <v>14643</v>
      </c>
      <c r="G14641">
        <v>1</v>
      </c>
    </row>
    <row r="14642" spans="1:7" x14ac:dyDescent="0.25">
      <c r="A14642">
        <v>4</v>
      </c>
      <c r="B14642" t="s">
        <v>14535</v>
      </c>
      <c r="C14642">
        <v>14030</v>
      </c>
      <c r="D14642" t="str">
        <f>"0030-6428"</f>
        <v>0030-6428</v>
      </c>
      <c r="E14642" t="s">
        <v>8</v>
      </c>
      <c r="F14642" t="s">
        <v>14644</v>
      </c>
      <c r="G14642">
        <v>1</v>
      </c>
    </row>
    <row r="14643" spans="1:7" x14ac:dyDescent="0.25">
      <c r="A14643">
        <v>4</v>
      </c>
      <c r="B14643" t="s">
        <v>14535</v>
      </c>
      <c r="C14643">
        <v>4581</v>
      </c>
      <c r="D14643" t="str">
        <f>"0031-0514"</f>
        <v>0031-0514</v>
      </c>
      <c r="E14643" t="s">
        <v>8</v>
      </c>
      <c r="F14643" t="s">
        <v>14645</v>
      </c>
      <c r="G14643">
        <v>1</v>
      </c>
    </row>
    <row r="14644" spans="1:7" x14ac:dyDescent="0.25">
      <c r="A14644">
        <v>4</v>
      </c>
      <c r="B14644" t="s">
        <v>14535</v>
      </c>
      <c r="C14644">
        <v>14698</v>
      </c>
      <c r="D14644" t="str">
        <f>"0031-0522"</f>
        <v>0031-0522</v>
      </c>
      <c r="E14644" t="s">
        <v>8</v>
      </c>
      <c r="F14644" t="s">
        <v>14646</v>
      </c>
      <c r="G14644">
        <v>1</v>
      </c>
    </row>
    <row r="14645" spans="1:7" x14ac:dyDescent="0.25">
      <c r="A14645">
        <v>4</v>
      </c>
      <c r="B14645" t="s">
        <v>14535</v>
      </c>
      <c r="C14645">
        <v>144145</v>
      </c>
      <c r="D14645" t="str">
        <f>"0031-2320"</f>
        <v>0031-2320</v>
      </c>
      <c r="E14645" t="s">
        <v>8</v>
      </c>
      <c r="F14645" t="s">
        <v>14647</v>
      </c>
      <c r="G14645">
        <v>1</v>
      </c>
    </row>
    <row r="14646" spans="1:7" x14ac:dyDescent="0.25">
      <c r="A14646">
        <v>4</v>
      </c>
      <c r="B14646" t="s">
        <v>14535</v>
      </c>
      <c r="C14646">
        <v>42377</v>
      </c>
      <c r="D14646" t="str">
        <f>"0943-9471"</f>
        <v>0943-9471</v>
      </c>
      <c r="E14646" t="s">
        <v>8</v>
      </c>
      <c r="F14646" t="s">
        <v>14648</v>
      </c>
      <c r="G14646">
        <v>1</v>
      </c>
    </row>
    <row r="14647" spans="1:7" x14ac:dyDescent="0.25">
      <c r="A14647">
        <v>4</v>
      </c>
      <c r="B14647" t="s">
        <v>14535</v>
      </c>
      <c r="C14647">
        <v>27429</v>
      </c>
      <c r="D14647" t="str">
        <f>"0032-3241"</f>
        <v>0032-3241</v>
      </c>
      <c r="E14647" t="s">
        <v>8</v>
      </c>
      <c r="F14647" t="s">
        <v>14649</v>
      </c>
      <c r="G14647">
        <v>1</v>
      </c>
    </row>
    <row r="14648" spans="1:7" x14ac:dyDescent="0.25">
      <c r="A14648">
        <v>4</v>
      </c>
      <c r="B14648" t="s">
        <v>14535</v>
      </c>
      <c r="C14648">
        <v>2749</v>
      </c>
      <c r="D14648" t="str">
        <f>"1500-7502"</f>
        <v>1500-7502</v>
      </c>
      <c r="E14648" t="s">
        <v>8</v>
      </c>
      <c r="F14648" t="s">
        <v>14650</v>
      </c>
      <c r="G14648">
        <v>1</v>
      </c>
    </row>
    <row r="14649" spans="1:7" x14ac:dyDescent="0.25">
      <c r="A14649">
        <v>4</v>
      </c>
      <c r="B14649" t="s">
        <v>14535</v>
      </c>
      <c r="C14649">
        <v>7905</v>
      </c>
      <c r="D14649" t="str">
        <f>"0350-1159"</f>
        <v>0350-1159</v>
      </c>
      <c r="E14649" t="s">
        <v>8</v>
      </c>
      <c r="F14649" t="s">
        <v>14651</v>
      </c>
      <c r="G14649">
        <v>1</v>
      </c>
    </row>
    <row r="14650" spans="1:7" x14ac:dyDescent="0.25">
      <c r="A14650">
        <v>4</v>
      </c>
      <c r="B14650" t="s">
        <v>14535</v>
      </c>
      <c r="C14650">
        <v>4932</v>
      </c>
      <c r="D14650" t="str">
        <f>"1310-1331"</f>
        <v>1310-1331</v>
      </c>
      <c r="E14650" t="s">
        <v>8</v>
      </c>
      <c r="F14650" t="s">
        <v>14652</v>
      </c>
      <c r="G14650">
        <v>1</v>
      </c>
    </row>
    <row r="14651" spans="1:7" x14ac:dyDescent="0.25">
      <c r="A14651">
        <v>4</v>
      </c>
      <c r="B14651" t="s">
        <v>14535</v>
      </c>
      <c r="C14651">
        <v>5371</v>
      </c>
      <c r="D14651" t="str">
        <f>"0033-2194"</f>
        <v>0033-2194</v>
      </c>
      <c r="E14651" t="s">
        <v>8</v>
      </c>
      <c r="F14651" t="s">
        <v>14653</v>
      </c>
      <c r="G14651">
        <v>1</v>
      </c>
    </row>
    <row r="14652" spans="1:7" x14ac:dyDescent="0.25">
      <c r="A14652">
        <v>4</v>
      </c>
      <c r="B14652" t="s">
        <v>14535</v>
      </c>
      <c r="C14652">
        <v>5554</v>
      </c>
      <c r="D14652" t="str">
        <f>"1331-6745"</f>
        <v>1331-6745</v>
      </c>
      <c r="E14652" t="s">
        <v>8</v>
      </c>
      <c r="F14652" t="s">
        <v>14654</v>
      </c>
      <c r="G14652">
        <v>1</v>
      </c>
    </row>
    <row r="14653" spans="1:7" x14ac:dyDescent="0.25">
      <c r="A14653">
        <v>4</v>
      </c>
      <c r="B14653" t="s">
        <v>14535</v>
      </c>
      <c r="C14653">
        <v>1030</v>
      </c>
      <c r="D14653" t="str">
        <f>"0080-2557"</f>
        <v>0080-2557</v>
      </c>
      <c r="E14653" t="s">
        <v>8</v>
      </c>
      <c r="F14653" t="s">
        <v>14655</v>
      </c>
      <c r="G14653">
        <v>1</v>
      </c>
    </row>
    <row r="14654" spans="1:7" x14ac:dyDescent="0.25">
      <c r="A14654">
        <v>4</v>
      </c>
      <c r="B14654" t="s">
        <v>14535</v>
      </c>
      <c r="C14654">
        <v>8783513</v>
      </c>
      <c r="E14654" t="s">
        <v>15</v>
      </c>
      <c r="F14654" t="s">
        <v>14656</v>
      </c>
      <c r="G14654">
        <v>1</v>
      </c>
    </row>
    <row r="14655" spans="1:7" x14ac:dyDescent="0.25">
      <c r="A14655">
        <v>4</v>
      </c>
      <c r="B14655" t="s">
        <v>14535</v>
      </c>
      <c r="C14655">
        <v>11419</v>
      </c>
      <c r="D14655" t="str">
        <f>"1061-1940"</f>
        <v>1061-1940</v>
      </c>
      <c r="E14655" t="s">
        <v>8</v>
      </c>
      <c r="F14655" t="s">
        <v>14657</v>
      </c>
      <c r="G14655">
        <v>1</v>
      </c>
    </row>
    <row r="14656" spans="1:7" x14ac:dyDescent="0.25">
      <c r="A14656">
        <v>4</v>
      </c>
      <c r="B14656" t="s">
        <v>14535</v>
      </c>
      <c r="C14656">
        <v>51845</v>
      </c>
      <c r="D14656" t="str">
        <f>"1061-1983"</f>
        <v>1061-1983</v>
      </c>
      <c r="E14656" t="s">
        <v>8</v>
      </c>
      <c r="F14656" t="s">
        <v>14658</v>
      </c>
      <c r="G14656">
        <v>1</v>
      </c>
    </row>
    <row r="14657" spans="1:7" x14ac:dyDescent="0.25">
      <c r="A14657">
        <v>4</v>
      </c>
      <c r="B14657" t="s">
        <v>14535</v>
      </c>
      <c r="C14657">
        <v>5278</v>
      </c>
      <c r="D14657" t="str">
        <f>"1061-1975"</f>
        <v>1061-1975</v>
      </c>
      <c r="E14657" t="s">
        <v>8</v>
      </c>
      <c r="F14657" t="s">
        <v>14659</v>
      </c>
      <c r="G14657">
        <v>1</v>
      </c>
    </row>
    <row r="14658" spans="1:7" x14ac:dyDescent="0.25">
      <c r="A14658">
        <v>4</v>
      </c>
      <c r="B14658" t="s">
        <v>14535</v>
      </c>
      <c r="C14658">
        <v>7965</v>
      </c>
      <c r="D14658" t="str">
        <f>"0131-6095"</f>
        <v>0131-6095</v>
      </c>
      <c r="E14658" t="s">
        <v>8</v>
      </c>
      <c r="F14658" t="s">
        <v>14660</v>
      </c>
      <c r="G14658">
        <v>1</v>
      </c>
    </row>
    <row r="14659" spans="1:7" x14ac:dyDescent="0.25">
      <c r="A14659">
        <v>4</v>
      </c>
      <c r="B14659" t="s">
        <v>14535</v>
      </c>
      <c r="C14659">
        <v>58452</v>
      </c>
      <c r="D14659" t="str">
        <f>"1238-6340"</f>
        <v>1238-6340</v>
      </c>
      <c r="E14659" t="s">
        <v>8</v>
      </c>
      <c r="F14659" t="s">
        <v>14661</v>
      </c>
      <c r="G14659">
        <v>1</v>
      </c>
    </row>
    <row r="14660" spans="1:7" x14ac:dyDescent="0.25">
      <c r="A14660">
        <v>4</v>
      </c>
      <c r="B14660" t="s">
        <v>14535</v>
      </c>
      <c r="C14660">
        <v>129351</v>
      </c>
      <c r="D14660" t="str">
        <f>"0355-3779"</f>
        <v>0355-3779</v>
      </c>
      <c r="E14660" t="s">
        <v>8</v>
      </c>
      <c r="F14660" t="s">
        <v>14662</v>
      </c>
      <c r="G14660">
        <v>1</v>
      </c>
    </row>
    <row r="14661" spans="1:7" x14ac:dyDescent="0.25">
      <c r="A14661">
        <v>4</v>
      </c>
      <c r="B14661" t="s">
        <v>14535</v>
      </c>
      <c r="C14661">
        <v>120196</v>
      </c>
      <c r="D14661" t="str">
        <f>"0037-6736"</f>
        <v>0037-6736</v>
      </c>
      <c r="E14661" t="s">
        <v>8</v>
      </c>
      <c r="F14661" t="s">
        <v>14663</v>
      </c>
      <c r="G14661">
        <v>1</v>
      </c>
    </row>
    <row r="14662" spans="1:7" x14ac:dyDescent="0.25">
      <c r="A14662">
        <v>4</v>
      </c>
      <c r="B14662" t="s">
        <v>14535</v>
      </c>
      <c r="C14662">
        <v>24213</v>
      </c>
      <c r="D14662" t="str">
        <f>"0037-6744"</f>
        <v>0037-6744</v>
      </c>
      <c r="E14662" t="s">
        <v>8</v>
      </c>
      <c r="F14662" t="s">
        <v>14664</v>
      </c>
      <c r="G14662">
        <v>1</v>
      </c>
    </row>
    <row r="14663" spans="1:7" x14ac:dyDescent="0.25">
      <c r="A14663">
        <v>4</v>
      </c>
      <c r="B14663" t="s">
        <v>14535</v>
      </c>
      <c r="C14663">
        <v>3928</v>
      </c>
      <c r="D14663" t="str">
        <f>"1501-8954"</f>
        <v>1501-8954</v>
      </c>
      <c r="E14663" t="s">
        <v>15</v>
      </c>
      <c r="F14663" t="s">
        <v>14665</v>
      </c>
      <c r="G14663">
        <v>1</v>
      </c>
    </row>
    <row r="14664" spans="1:7" x14ac:dyDescent="0.25">
      <c r="A14664">
        <v>4</v>
      </c>
      <c r="B14664" t="s">
        <v>14535</v>
      </c>
      <c r="C14664">
        <v>1213</v>
      </c>
      <c r="D14664" t="str">
        <f>"0780-3281"</f>
        <v>0780-3281</v>
      </c>
      <c r="E14664" t="s">
        <v>8</v>
      </c>
      <c r="F14664" t="s">
        <v>14666</v>
      </c>
      <c r="G14664">
        <v>1</v>
      </c>
    </row>
    <row r="14665" spans="1:7" x14ac:dyDescent="0.25">
      <c r="A14665">
        <v>4</v>
      </c>
      <c r="B14665" t="s">
        <v>14535</v>
      </c>
      <c r="C14665">
        <v>699</v>
      </c>
      <c r="D14665" t="str">
        <f>"1245-2491"</f>
        <v>1245-2491</v>
      </c>
      <c r="E14665" t="s">
        <v>8</v>
      </c>
      <c r="F14665" t="s">
        <v>14667</v>
      </c>
      <c r="G14665">
        <v>1</v>
      </c>
    </row>
    <row r="14666" spans="1:7" x14ac:dyDescent="0.25">
      <c r="A14666">
        <v>4</v>
      </c>
      <c r="B14666" t="s">
        <v>14535</v>
      </c>
      <c r="C14666">
        <v>122424</v>
      </c>
      <c r="D14666" t="str">
        <f>"0037-6787"</f>
        <v>0037-6787</v>
      </c>
      <c r="E14666" t="s">
        <v>8</v>
      </c>
      <c r="F14666" t="s">
        <v>14668</v>
      </c>
      <c r="G14666">
        <v>1</v>
      </c>
    </row>
    <row r="14667" spans="1:7" x14ac:dyDescent="0.25">
      <c r="A14667">
        <v>4</v>
      </c>
      <c r="B14667" t="s">
        <v>14535</v>
      </c>
      <c r="C14667">
        <v>15649</v>
      </c>
      <c r="D14667" t="str">
        <f>"0350-6894"</f>
        <v>0350-6894</v>
      </c>
      <c r="E14667" t="s">
        <v>8</v>
      </c>
      <c r="F14667" t="s">
        <v>14669</v>
      </c>
      <c r="G14667">
        <v>1</v>
      </c>
    </row>
    <row r="14668" spans="1:7" x14ac:dyDescent="0.25">
      <c r="A14668">
        <v>4</v>
      </c>
      <c r="B14668" t="s">
        <v>14535</v>
      </c>
      <c r="C14668">
        <v>10979</v>
      </c>
      <c r="D14668" t="str">
        <f>"1361-7427"</f>
        <v>1361-7427</v>
      </c>
      <c r="E14668" t="s">
        <v>8</v>
      </c>
      <c r="F14668" t="s">
        <v>14670</v>
      </c>
      <c r="G14668">
        <v>1</v>
      </c>
    </row>
    <row r="14669" spans="1:7" x14ac:dyDescent="0.25">
      <c r="A14669">
        <v>4</v>
      </c>
      <c r="B14669" t="s">
        <v>14535</v>
      </c>
      <c r="C14669">
        <v>180143</v>
      </c>
      <c r="D14669" t="str">
        <f>"2304-0785"</f>
        <v>2304-0785</v>
      </c>
      <c r="E14669" t="s">
        <v>8</v>
      </c>
      <c r="F14669" t="s">
        <v>14671</v>
      </c>
      <c r="G14669">
        <v>1</v>
      </c>
    </row>
    <row r="14670" spans="1:7" x14ac:dyDescent="0.25">
      <c r="A14670">
        <v>4</v>
      </c>
      <c r="B14670" t="s">
        <v>14535</v>
      </c>
      <c r="C14670">
        <v>127084</v>
      </c>
      <c r="D14670" t="str">
        <f>"0037-6981"</f>
        <v>0037-6981</v>
      </c>
      <c r="E14670" t="s">
        <v>8</v>
      </c>
      <c r="F14670" t="s">
        <v>14672</v>
      </c>
      <c r="G14670">
        <v>1</v>
      </c>
    </row>
    <row r="14671" spans="1:7" x14ac:dyDescent="0.25">
      <c r="A14671">
        <v>4</v>
      </c>
      <c r="B14671" t="s">
        <v>14535</v>
      </c>
      <c r="C14671">
        <v>7867</v>
      </c>
      <c r="D14671" t="str">
        <f>"1408-2616"</f>
        <v>1408-2616</v>
      </c>
      <c r="E14671" t="s">
        <v>8</v>
      </c>
      <c r="F14671" t="s">
        <v>14673</v>
      </c>
      <c r="G14671">
        <v>1</v>
      </c>
    </row>
    <row r="14672" spans="1:7" x14ac:dyDescent="0.25">
      <c r="A14672">
        <v>4</v>
      </c>
      <c r="B14672" t="s">
        <v>14535</v>
      </c>
      <c r="C14672">
        <v>1769</v>
      </c>
      <c r="D14672" t="str">
        <f>"0037-7031"</f>
        <v>0037-7031</v>
      </c>
      <c r="E14672" t="s">
        <v>8</v>
      </c>
      <c r="F14672" t="s">
        <v>14674</v>
      </c>
      <c r="G14672">
        <v>1</v>
      </c>
    </row>
    <row r="14673" spans="1:7" x14ac:dyDescent="0.25">
      <c r="A14673">
        <v>4</v>
      </c>
      <c r="B14673" t="s">
        <v>14535</v>
      </c>
      <c r="C14673">
        <v>102364</v>
      </c>
      <c r="D14673" t="str">
        <f>"1210-7050"</f>
        <v>1210-7050</v>
      </c>
      <c r="E14673" t="s">
        <v>8</v>
      </c>
      <c r="F14673" t="s">
        <v>14675</v>
      </c>
      <c r="G14673">
        <v>1</v>
      </c>
    </row>
    <row r="14674" spans="1:7" x14ac:dyDescent="0.25">
      <c r="A14674">
        <v>4</v>
      </c>
      <c r="B14674" t="s">
        <v>14535</v>
      </c>
      <c r="C14674">
        <v>45885</v>
      </c>
      <c r="D14674" t="str">
        <f>"0358-9293"</f>
        <v>0358-9293</v>
      </c>
      <c r="E14674" t="s">
        <v>8</v>
      </c>
      <c r="F14674" t="s">
        <v>14676</v>
      </c>
      <c r="G14674">
        <v>1</v>
      </c>
    </row>
    <row r="14675" spans="1:7" x14ac:dyDescent="0.25">
      <c r="A14675">
        <v>4</v>
      </c>
      <c r="B14675" t="s">
        <v>14535</v>
      </c>
      <c r="C14675">
        <v>13114</v>
      </c>
      <c r="D14675" t="str">
        <f>"0585-3575"</f>
        <v>0585-3575</v>
      </c>
      <c r="E14675" t="s">
        <v>15</v>
      </c>
      <c r="F14675" t="s">
        <v>14677</v>
      </c>
      <c r="G14675">
        <v>1</v>
      </c>
    </row>
    <row r="14676" spans="1:7" x14ac:dyDescent="0.25">
      <c r="A14676">
        <v>4</v>
      </c>
      <c r="B14676" t="s">
        <v>14535</v>
      </c>
      <c r="C14676">
        <v>147408</v>
      </c>
      <c r="D14676" t="str">
        <f>"0346-7392"</f>
        <v>0346-7392</v>
      </c>
      <c r="E14676" t="s">
        <v>15</v>
      </c>
      <c r="F14676" t="s">
        <v>14678</v>
      </c>
      <c r="G14676">
        <v>1</v>
      </c>
    </row>
    <row r="14677" spans="1:7" x14ac:dyDescent="0.25">
      <c r="A14677">
        <v>4</v>
      </c>
      <c r="B14677" t="s">
        <v>14535</v>
      </c>
      <c r="C14677">
        <v>7960</v>
      </c>
      <c r="D14677" t="str">
        <f>"1235-1938"</f>
        <v>1235-1938</v>
      </c>
      <c r="E14677" t="s">
        <v>15</v>
      </c>
      <c r="F14677" t="s">
        <v>14679</v>
      </c>
      <c r="G14677">
        <v>1</v>
      </c>
    </row>
    <row r="14678" spans="1:7" x14ac:dyDescent="0.25">
      <c r="A14678">
        <v>4</v>
      </c>
      <c r="B14678" t="s">
        <v>14535</v>
      </c>
      <c r="C14678">
        <v>9754</v>
      </c>
      <c r="D14678" t="str">
        <f>"0039-3363"</f>
        <v>0039-3363</v>
      </c>
      <c r="E14678" t="s">
        <v>8</v>
      </c>
      <c r="F14678" t="s">
        <v>14680</v>
      </c>
      <c r="G14678">
        <v>1</v>
      </c>
    </row>
    <row r="14679" spans="1:7" x14ac:dyDescent="0.25">
      <c r="A14679">
        <v>4</v>
      </c>
      <c r="B14679" t="s">
        <v>14535</v>
      </c>
      <c r="C14679">
        <v>8304</v>
      </c>
      <c r="D14679" t="str">
        <f>"0781-3333"</f>
        <v>0781-3333</v>
      </c>
      <c r="E14679" t="s">
        <v>8</v>
      </c>
      <c r="F14679" t="s">
        <v>14681</v>
      </c>
      <c r="G14679">
        <v>1</v>
      </c>
    </row>
    <row r="14680" spans="1:7" x14ac:dyDescent="0.25">
      <c r="A14680">
        <v>4</v>
      </c>
      <c r="B14680" t="s">
        <v>14535</v>
      </c>
      <c r="C14680">
        <v>27775</v>
      </c>
      <c r="D14680" t="str">
        <f>"1101-7430"</f>
        <v>1101-7430</v>
      </c>
      <c r="E14680" t="s">
        <v>15</v>
      </c>
      <c r="F14680" t="s">
        <v>14682</v>
      </c>
      <c r="G14680">
        <v>1</v>
      </c>
    </row>
    <row r="14681" spans="1:7" x14ac:dyDescent="0.25">
      <c r="A14681">
        <v>4</v>
      </c>
      <c r="B14681" t="s">
        <v>14535</v>
      </c>
      <c r="C14681">
        <v>66867</v>
      </c>
      <c r="D14681" t="str">
        <f>"0169-0124"</f>
        <v>0169-0124</v>
      </c>
      <c r="E14681" t="s">
        <v>15</v>
      </c>
      <c r="F14681" t="s">
        <v>14683</v>
      </c>
      <c r="G14681">
        <v>1</v>
      </c>
    </row>
    <row r="14682" spans="1:7" x14ac:dyDescent="0.25">
      <c r="A14682">
        <v>4</v>
      </c>
      <c r="B14682" t="s">
        <v>14535</v>
      </c>
      <c r="C14682">
        <v>13862</v>
      </c>
      <c r="D14682" t="str">
        <f>"0355-0214"</f>
        <v>0355-0214</v>
      </c>
      <c r="E14682" t="s">
        <v>15</v>
      </c>
      <c r="F14682" t="s">
        <v>14684</v>
      </c>
      <c r="G14682">
        <v>1</v>
      </c>
    </row>
    <row r="14683" spans="1:7" x14ac:dyDescent="0.25">
      <c r="A14683">
        <v>4</v>
      </c>
      <c r="B14683" t="s">
        <v>14535</v>
      </c>
      <c r="C14683">
        <v>41581</v>
      </c>
      <c r="D14683" t="str">
        <f>"0355-0257"</f>
        <v>0355-0257</v>
      </c>
      <c r="E14683" t="s">
        <v>8</v>
      </c>
      <c r="F14683" t="s">
        <v>14685</v>
      </c>
      <c r="G14683">
        <v>1</v>
      </c>
    </row>
    <row r="14684" spans="1:7" x14ac:dyDescent="0.25">
      <c r="A14684">
        <v>4</v>
      </c>
      <c r="B14684" t="s">
        <v>14535</v>
      </c>
      <c r="C14684">
        <v>9634</v>
      </c>
      <c r="D14684" t="str">
        <f>"0586-0296"</f>
        <v>0586-0296</v>
      </c>
      <c r="E14684" t="s">
        <v>8</v>
      </c>
      <c r="F14684" t="s">
        <v>14686</v>
      </c>
      <c r="G14684">
        <v>1</v>
      </c>
    </row>
    <row r="14685" spans="1:7" x14ac:dyDescent="0.25">
      <c r="A14685">
        <v>4</v>
      </c>
      <c r="B14685" t="s">
        <v>14535</v>
      </c>
      <c r="C14685">
        <v>8782696</v>
      </c>
      <c r="E14685" t="s">
        <v>8</v>
      </c>
      <c r="F14685" t="s">
        <v>14687</v>
      </c>
      <c r="G14685">
        <v>1</v>
      </c>
    </row>
    <row r="14686" spans="1:7" x14ac:dyDescent="0.25">
      <c r="A14686">
        <v>4</v>
      </c>
      <c r="B14686" t="s">
        <v>14535</v>
      </c>
      <c r="C14686">
        <v>80319</v>
      </c>
      <c r="D14686" t="str">
        <f>"0359-5242"</f>
        <v>0359-5242</v>
      </c>
      <c r="E14686" t="s">
        <v>8</v>
      </c>
      <c r="F14686" t="s">
        <v>14688</v>
      </c>
      <c r="G14686">
        <v>1</v>
      </c>
    </row>
    <row r="14687" spans="1:7" x14ac:dyDescent="0.25">
      <c r="A14687">
        <v>4</v>
      </c>
      <c r="B14687" t="s">
        <v>14535</v>
      </c>
      <c r="C14687">
        <v>27837</v>
      </c>
      <c r="E14687" t="s">
        <v>8</v>
      </c>
      <c r="F14687" t="s">
        <v>14689</v>
      </c>
      <c r="G14687">
        <v>1</v>
      </c>
    </row>
    <row r="14688" spans="1:7" x14ac:dyDescent="0.25">
      <c r="A14688">
        <v>4</v>
      </c>
      <c r="B14688" t="s">
        <v>14535</v>
      </c>
      <c r="C14688">
        <v>981</v>
      </c>
      <c r="D14688" t="str">
        <f>"0032-2970"</f>
        <v>0032-2970</v>
      </c>
      <c r="E14688" t="s">
        <v>8</v>
      </c>
      <c r="F14688" t="s">
        <v>14690</v>
      </c>
      <c r="G14688">
        <v>1</v>
      </c>
    </row>
    <row r="14689" spans="1:7" x14ac:dyDescent="0.25">
      <c r="A14689">
        <v>4</v>
      </c>
      <c r="B14689" t="s">
        <v>14535</v>
      </c>
      <c r="C14689">
        <v>107593</v>
      </c>
      <c r="D14689" t="str">
        <f>"0562-6129"</f>
        <v>0562-6129</v>
      </c>
      <c r="E14689" t="s">
        <v>8</v>
      </c>
      <c r="F14689" t="s">
        <v>14691</v>
      </c>
      <c r="G14689">
        <v>1</v>
      </c>
    </row>
    <row r="14690" spans="1:7" x14ac:dyDescent="0.25">
      <c r="A14690">
        <v>4</v>
      </c>
      <c r="B14690" t="s">
        <v>14535</v>
      </c>
      <c r="C14690">
        <v>884</v>
      </c>
      <c r="D14690" t="str">
        <f>"1501-6684"</f>
        <v>1501-6684</v>
      </c>
      <c r="E14690" t="s">
        <v>8</v>
      </c>
      <c r="F14690" t="s">
        <v>14692</v>
      </c>
      <c r="G14690">
        <v>1</v>
      </c>
    </row>
    <row r="14691" spans="1:7" x14ac:dyDescent="0.25">
      <c r="A14691">
        <v>4</v>
      </c>
      <c r="B14691" t="s">
        <v>14535</v>
      </c>
      <c r="C14691">
        <v>156008</v>
      </c>
      <c r="D14691" t="str">
        <f>"0356-8490"</f>
        <v>0356-8490</v>
      </c>
      <c r="E14691" t="s">
        <v>8</v>
      </c>
      <c r="F14691" t="s">
        <v>14693</v>
      </c>
      <c r="G14691">
        <v>1</v>
      </c>
    </row>
    <row r="14692" spans="1:7" x14ac:dyDescent="0.25">
      <c r="A14692">
        <v>4</v>
      </c>
      <c r="B14692" t="s">
        <v>14535</v>
      </c>
      <c r="C14692">
        <v>25891</v>
      </c>
      <c r="D14692" t="str">
        <f>"0174-0652"</f>
        <v>0174-0652</v>
      </c>
      <c r="E14692" t="s">
        <v>8</v>
      </c>
      <c r="F14692" t="s">
        <v>14694</v>
      </c>
      <c r="G14692">
        <v>1</v>
      </c>
    </row>
    <row r="14693" spans="1:7" x14ac:dyDescent="0.25">
      <c r="A14693">
        <v>4</v>
      </c>
      <c r="B14693" t="s">
        <v>14535</v>
      </c>
      <c r="C14693">
        <v>126668</v>
      </c>
      <c r="D14693" t="str">
        <f>"0893-2913"</f>
        <v>0893-2913</v>
      </c>
      <c r="E14693" t="s">
        <v>15</v>
      </c>
      <c r="F14693" t="s">
        <v>14695</v>
      </c>
      <c r="G14693">
        <v>1</v>
      </c>
    </row>
    <row r="14694" spans="1:7" x14ac:dyDescent="0.25">
      <c r="A14694">
        <v>4</v>
      </c>
      <c r="B14694" t="s">
        <v>14535</v>
      </c>
      <c r="C14694">
        <v>9273</v>
      </c>
      <c r="D14694" t="str">
        <f>"1797-3945"</f>
        <v>1797-3945</v>
      </c>
      <c r="E14694" t="s">
        <v>15</v>
      </c>
      <c r="F14694" t="s">
        <v>14696</v>
      </c>
      <c r="G14694">
        <v>1</v>
      </c>
    </row>
    <row r="14695" spans="1:7" x14ac:dyDescent="0.25">
      <c r="A14695">
        <v>4</v>
      </c>
      <c r="B14695" t="s">
        <v>14535</v>
      </c>
      <c r="C14695">
        <v>13501</v>
      </c>
      <c r="D14695" t="str">
        <f>"1537-6176"</f>
        <v>1537-6176</v>
      </c>
      <c r="E14695" t="s">
        <v>8</v>
      </c>
      <c r="F14695" t="s">
        <v>14697</v>
      </c>
      <c r="G14695">
        <v>1</v>
      </c>
    </row>
    <row r="14696" spans="1:7" x14ac:dyDescent="0.25">
      <c r="A14696">
        <v>4</v>
      </c>
      <c r="B14696" t="s">
        <v>14535</v>
      </c>
      <c r="C14696">
        <v>61951</v>
      </c>
      <c r="D14696" t="str">
        <f>"1235-5992"</f>
        <v>1235-5992</v>
      </c>
      <c r="E14696" t="s">
        <v>8</v>
      </c>
      <c r="F14696" t="s">
        <v>14698</v>
      </c>
      <c r="G14696">
        <v>1</v>
      </c>
    </row>
    <row r="14697" spans="1:7" x14ac:dyDescent="0.25">
      <c r="A14697">
        <v>4</v>
      </c>
      <c r="B14697" t="s">
        <v>14535</v>
      </c>
      <c r="C14697">
        <v>156017</v>
      </c>
      <c r="D14697" t="str">
        <f>"0355-0265"</f>
        <v>0355-0265</v>
      </c>
      <c r="E14697" t="s">
        <v>8</v>
      </c>
      <c r="F14697" t="s">
        <v>14699</v>
      </c>
      <c r="G14697">
        <v>1</v>
      </c>
    </row>
    <row r="14698" spans="1:7" x14ac:dyDescent="0.25">
      <c r="A14698">
        <v>4</v>
      </c>
      <c r="B14698" t="s">
        <v>14535</v>
      </c>
      <c r="C14698">
        <v>9622</v>
      </c>
      <c r="D14698" t="str">
        <f>"0042-8744"</f>
        <v>0042-8744</v>
      </c>
      <c r="E14698" t="s">
        <v>8</v>
      </c>
      <c r="F14698" t="s">
        <v>14700</v>
      </c>
      <c r="G14698">
        <v>1</v>
      </c>
    </row>
    <row r="14699" spans="1:7" x14ac:dyDescent="0.25">
      <c r="A14699">
        <v>4</v>
      </c>
      <c r="B14699" t="s">
        <v>14535</v>
      </c>
      <c r="C14699">
        <v>656</v>
      </c>
      <c r="D14699" t="str">
        <f>"0042-8795"</f>
        <v>0042-8795</v>
      </c>
      <c r="E14699" t="s">
        <v>8</v>
      </c>
      <c r="F14699" t="s">
        <v>14701</v>
      </c>
      <c r="G14699">
        <v>1</v>
      </c>
    </row>
    <row r="14700" spans="1:7" x14ac:dyDescent="0.25">
      <c r="A14700">
        <v>4</v>
      </c>
      <c r="B14700" t="s">
        <v>14535</v>
      </c>
      <c r="C14700">
        <v>56165</v>
      </c>
      <c r="D14700" t="str">
        <f>"0352-5724"</f>
        <v>0352-5724</v>
      </c>
      <c r="E14700" t="s">
        <v>8</v>
      </c>
      <c r="F14700" t="s">
        <v>14702</v>
      </c>
      <c r="G14700">
        <v>1</v>
      </c>
    </row>
    <row r="14701" spans="1:7" x14ac:dyDescent="0.25">
      <c r="A14701">
        <v>4</v>
      </c>
      <c r="B14701" t="s">
        <v>14535</v>
      </c>
      <c r="C14701">
        <v>51581</v>
      </c>
      <c r="D14701" t="str">
        <f>"0352-5716"</f>
        <v>0352-5716</v>
      </c>
      <c r="E14701" t="s">
        <v>8</v>
      </c>
      <c r="F14701" t="s">
        <v>14703</v>
      </c>
      <c r="G14701">
        <v>1</v>
      </c>
    </row>
    <row r="14702" spans="1:7" x14ac:dyDescent="0.25">
      <c r="A14702">
        <v>4</v>
      </c>
      <c r="B14702" t="s">
        <v>14535</v>
      </c>
      <c r="C14702">
        <v>12368</v>
      </c>
      <c r="D14702" t="str">
        <f>"0044-2356"</f>
        <v>0044-2356</v>
      </c>
      <c r="E14702" t="s">
        <v>8</v>
      </c>
      <c r="F14702" t="s">
        <v>14704</v>
      </c>
      <c r="G14702">
        <v>1</v>
      </c>
    </row>
    <row r="14703" spans="1:7" x14ac:dyDescent="0.25">
      <c r="A14703">
        <v>4</v>
      </c>
      <c r="B14703" t="s">
        <v>14535</v>
      </c>
      <c r="C14703">
        <v>62184</v>
      </c>
      <c r="D14703" t="str">
        <f>"0350-5774"</f>
        <v>0350-5774</v>
      </c>
      <c r="E14703" t="s">
        <v>8</v>
      </c>
      <c r="F14703" t="s">
        <v>14705</v>
      </c>
      <c r="G14703">
        <v>1</v>
      </c>
    </row>
    <row r="14704" spans="1:7" x14ac:dyDescent="0.25">
      <c r="A14704">
        <v>4</v>
      </c>
      <c r="B14704" t="s">
        <v>14535</v>
      </c>
      <c r="C14704">
        <v>147885</v>
      </c>
      <c r="D14704" t="str">
        <f>"0515-7870"</f>
        <v>0515-7870</v>
      </c>
      <c r="E14704" t="s">
        <v>8</v>
      </c>
      <c r="F14704" t="s">
        <v>14706</v>
      </c>
      <c r="G14704">
        <v>1</v>
      </c>
    </row>
    <row r="14705" spans="1:7" x14ac:dyDescent="0.25">
      <c r="A14705">
        <v>40</v>
      </c>
      <c r="B14705" t="s">
        <v>14707</v>
      </c>
      <c r="C14705">
        <v>14599</v>
      </c>
      <c r="D14705" t="str">
        <f>"1543-5938"</f>
        <v>1543-5938</v>
      </c>
      <c r="E14705" t="s">
        <v>8</v>
      </c>
      <c r="F14705" t="s">
        <v>14708</v>
      </c>
      <c r="G14705">
        <v>2</v>
      </c>
    </row>
    <row r="14706" spans="1:7" x14ac:dyDescent="0.25">
      <c r="A14706">
        <v>40</v>
      </c>
      <c r="B14706" t="s">
        <v>14707</v>
      </c>
      <c r="C14706">
        <v>2999</v>
      </c>
      <c r="D14706" t="str">
        <f>"0306-2619"</f>
        <v>0306-2619</v>
      </c>
      <c r="E14706" t="s">
        <v>8</v>
      </c>
      <c r="F14706" t="s">
        <v>14709</v>
      </c>
      <c r="G14706">
        <v>2</v>
      </c>
    </row>
    <row r="14707" spans="1:7" x14ac:dyDescent="0.25">
      <c r="A14707">
        <v>40</v>
      </c>
      <c r="B14707" t="s">
        <v>14707</v>
      </c>
      <c r="C14707">
        <v>23565</v>
      </c>
      <c r="D14707" t="str">
        <f>"1932-104X"</f>
        <v>1932-104X</v>
      </c>
      <c r="E14707" t="s">
        <v>8</v>
      </c>
      <c r="F14707" t="s">
        <v>14710</v>
      </c>
      <c r="G14707">
        <v>2</v>
      </c>
    </row>
    <row r="14708" spans="1:7" x14ac:dyDescent="0.25">
      <c r="A14708">
        <v>40</v>
      </c>
      <c r="B14708" t="s">
        <v>14707</v>
      </c>
      <c r="C14708">
        <v>10311</v>
      </c>
      <c r="D14708" t="str">
        <f>"0961-9534"</f>
        <v>0961-9534</v>
      </c>
      <c r="E14708" t="s">
        <v>8</v>
      </c>
      <c r="F14708" t="s">
        <v>14711</v>
      </c>
      <c r="G14708">
        <v>2</v>
      </c>
    </row>
    <row r="14709" spans="1:7" x14ac:dyDescent="0.25">
      <c r="A14709">
        <v>40</v>
      </c>
      <c r="B14709" t="s">
        <v>14707</v>
      </c>
      <c r="C14709">
        <v>9980</v>
      </c>
      <c r="D14709" t="str">
        <f>"0360-5442"</f>
        <v>0360-5442</v>
      </c>
      <c r="E14709" t="s">
        <v>8</v>
      </c>
      <c r="F14709" t="s">
        <v>14712</v>
      </c>
      <c r="G14709">
        <v>2</v>
      </c>
    </row>
    <row r="14710" spans="1:7" x14ac:dyDescent="0.25">
      <c r="A14710">
        <v>40</v>
      </c>
      <c r="B14710" t="s">
        <v>14707</v>
      </c>
      <c r="C14710">
        <v>10268</v>
      </c>
      <c r="D14710" t="str">
        <f>"0196-8904"</f>
        <v>0196-8904</v>
      </c>
      <c r="E14710" t="s">
        <v>8</v>
      </c>
      <c r="F14710" t="s">
        <v>14713</v>
      </c>
      <c r="G14710">
        <v>2</v>
      </c>
    </row>
    <row r="14711" spans="1:7" x14ac:dyDescent="0.25">
      <c r="A14711">
        <v>40</v>
      </c>
      <c r="B14711" t="s">
        <v>14707</v>
      </c>
      <c r="C14711">
        <v>4279</v>
      </c>
      <c r="D14711" t="str">
        <f>"1364-8152"</f>
        <v>1364-8152</v>
      </c>
      <c r="E14711" t="s">
        <v>8</v>
      </c>
      <c r="F14711" t="s">
        <v>14714</v>
      </c>
      <c r="G14711">
        <v>2</v>
      </c>
    </row>
    <row r="14712" spans="1:7" x14ac:dyDescent="0.25">
      <c r="A14712">
        <v>40</v>
      </c>
      <c r="B14712" t="s">
        <v>14707</v>
      </c>
      <c r="C14712">
        <v>7340264</v>
      </c>
      <c r="D14712" t="str">
        <f>"1181-8700"</f>
        <v>1181-8700</v>
      </c>
      <c r="E14712" t="s">
        <v>8</v>
      </c>
      <c r="F14712" t="s">
        <v>14715</v>
      </c>
      <c r="G14712">
        <v>2</v>
      </c>
    </row>
    <row r="14713" spans="1:7" x14ac:dyDescent="0.25">
      <c r="A14713">
        <v>40</v>
      </c>
      <c r="B14713" t="s">
        <v>14707</v>
      </c>
      <c r="C14713">
        <v>12458</v>
      </c>
      <c r="D14713" t="str">
        <f>"0013-936X"</f>
        <v>0013-936X</v>
      </c>
      <c r="E14713" t="s">
        <v>8</v>
      </c>
      <c r="F14713" t="s">
        <v>14716</v>
      </c>
      <c r="G14713">
        <v>2</v>
      </c>
    </row>
    <row r="14714" spans="1:7" x14ac:dyDescent="0.25">
      <c r="A14714">
        <v>40</v>
      </c>
      <c r="B14714" t="s">
        <v>14707</v>
      </c>
      <c r="C14714">
        <v>3658</v>
      </c>
      <c r="D14714" t="str">
        <f>"0016-2361"</f>
        <v>0016-2361</v>
      </c>
      <c r="E14714" t="s">
        <v>8</v>
      </c>
      <c r="F14714" t="s">
        <v>14717</v>
      </c>
      <c r="G14714">
        <v>2</v>
      </c>
    </row>
    <row r="14715" spans="1:7" x14ac:dyDescent="0.25">
      <c r="A14715">
        <v>40</v>
      </c>
      <c r="B14715" t="s">
        <v>14707</v>
      </c>
      <c r="C14715">
        <v>7716925</v>
      </c>
      <c r="D14715" t="str">
        <f>"1757-1693"</f>
        <v>1757-1693</v>
      </c>
      <c r="E14715" t="s">
        <v>8</v>
      </c>
      <c r="F14715" t="s">
        <v>14718</v>
      </c>
      <c r="G14715">
        <v>2</v>
      </c>
    </row>
    <row r="14716" spans="1:7" x14ac:dyDescent="0.25">
      <c r="A14716">
        <v>40</v>
      </c>
      <c r="B14716" t="s">
        <v>14707</v>
      </c>
      <c r="C14716">
        <v>6144393</v>
      </c>
      <c r="D14716" t="str">
        <f>"1949-3053"</f>
        <v>1949-3053</v>
      </c>
      <c r="E14716" t="s">
        <v>8</v>
      </c>
      <c r="F14716" t="s">
        <v>14719</v>
      </c>
      <c r="G14716">
        <v>2</v>
      </c>
    </row>
    <row r="14717" spans="1:7" x14ac:dyDescent="0.25">
      <c r="A14717">
        <v>40</v>
      </c>
      <c r="B14717" t="s">
        <v>14707</v>
      </c>
      <c r="C14717">
        <v>5207</v>
      </c>
      <c r="D14717" t="str">
        <f>"0926-6690"</f>
        <v>0926-6690</v>
      </c>
      <c r="E14717" t="s">
        <v>8</v>
      </c>
      <c r="F14717" t="s">
        <v>14720</v>
      </c>
      <c r="G14717">
        <v>2</v>
      </c>
    </row>
    <row r="14718" spans="1:7" x14ac:dyDescent="0.25">
      <c r="A14718">
        <v>40</v>
      </c>
      <c r="B14718" t="s">
        <v>14707</v>
      </c>
      <c r="C14718">
        <v>14354</v>
      </c>
      <c r="D14718" t="str">
        <f>"1750-5836"</f>
        <v>1750-5836</v>
      </c>
      <c r="E14718" t="s">
        <v>8</v>
      </c>
      <c r="F14718" t="s">
        <v>14721</v>
      </c>
      <c r="G14718">
        <v>2</v>
      </c>
    </row>
    <row r="14719" spans="1:7" x14ac:dyDescent="0.25">
      <c r="A14719">
        <v>40</v>
      </c>
      <c r="B14719" t="s">
        <v>14707</v>
      </c>
      <c r="C14719">
        <v>7512</v>
      </c>
      <c r="D14719" t="str">
        <f>"0948-3349"</f>
        <v>0948-3349</v>
      </c>
      <c r="E14719" t="s">
        <v>8</v>
      </c>
      <c r="F14719" t="s">
        <v>14722</v>
      </c>
      <c r="G14719">
        <v>2</v>
      </c>
    </row>
    <row r="14720" spans="1:7" x14ac:dyDescent="0.25">
      <c r="A14720">
        <v>40</v>
      </c>
      <c r="B14720" t="s">
        <v>14707</v>
      </c>
      <c r="C14720">
        <v>6559</v>
      </c>
      <c r="D14720" t="str">
        <f>"1088-1980"</f>
        <v>1088-1980</v>
      </c>
      <c r="E14720" t="s">
        <v>8</v>
      </c>
      <c r="F14720" t="s">
        <v>14723</v>
      </c>
      <c r="G14720">
        <v>2</v>
      </c>
    </row>
    <row r="14721" spans="1:7" x14ac:dyDescent="0.25">
      <c r="A14721">
        <v>40</v>
      </c>
      <c r="B14721" t="s">
        <v>14707</v>
      </c>
      <c r="C14721">
        <v>3703</v>
      </c>
      <c r="D14721" t="str">
        <f>"1086-0266"</f>
        <v>1086-0266</v>
      </c>
      <c r="E14721" t="s">
        <v>8</v>
      </c>
      <c r="F14721" t="s">
        <v>14724</v>
      </c>
      <c r="G14721">
        <v>2</v>
      </c>
    </row>
    <row r="14722" spans="1:7" x14ac:dyDescent="0.25">
      <c r="A14722">
        <v>40</v>
      </c>
      <c r="B14722" t="s">
        <v>14707</v>
      </c>
      <c r="C14722">
        <v>6782</v>
      </c>
      <c r="D14722" t="str">
        <f>"1364-0321"</f>
        <v>1364-0321</v>
      </c>
      <c r="E14722" t="s">
        <v>8</v>
      </c>
      <c r="F14722" t="s">
        <v>14725</v>
      </c>
      <c r="G14722">
        <v>2</v>
      </c>
    </row>
    <row r="14723" spans="1:7" x14ac:dyDescent="0.25">
      <c r="A14723">
        <v>40</v>
      </c>
      <c r="B14723" t="s">
        <v>14707</v>
      </c>
      <c r="C14723">
        <v>7704198</v>
      </c>
      <c r="D14723" t="str">
        <f>"2210-6707"</f>
        <v>2210-6707</v>
      </c>
      <c r="E14723" t="s">
        <v>8</v>
      </c>
      <c r="F14723" t="s">
        <v>14726</v>
      </c>
      <c r="G14723">
        <v>2</v>
      </c>
    </row>
    <row r="14724" spans="1:7" x14ac:dyDescent="0.25">
      <c r="A14724">
        <v>40</v>
      </c>
      <c r="B14724" t="s">
        <v>14707</v>
      </c>
      <c r="C14724">
        <v>9647</v>
      </c>
      <c r="D14724" t="str">
        <f>"0043-1354"</f>
        <v>0043-1354</v>
      </c>
      <c r="E14724" t="s">
        <v>8</v>
      </c>
      <c r="F14724" t="s">
        <v>14727</v>
      </c>
      <c r="G14724">
        <v>2</v>
      </c>
    </row>
    <row r="14725" spans="1:7" x14ac:dyDescent="0.25">
      <c r="A14725">
        <v>40</v>
      </c>
      <c r="B14725" t="s">
        <v>14707</v>
      </c>
      <c r="C14725">
        <v>7695522</v>
      </c>
      <c r="E14725" t="s">
        <v>8</v>
      </c>
      <c r="F14725" t="s">
        <v>14728</v>
      </c>
      <c r="G14725">
        <v>1</v>
      </c>
    </row>
    <row r="14726" spans="1:7" x14ac:dyDescent="0.25">
      <c r="A14726">
        <v>40</v>
      </c>
      <c r="B14726" t="s">
        <v>14707</v>
      </c>
      <c r="C14726">
        <v>5661</v>
      </c>
      <c r="D14726" t="str">
        <f>"0567-7718"</f>
        <v>0567-7718</v>
      </c>
      <c r="E14726" t="s">
        <v>8</v>
      </c>
      <c r="F14726" t="s">
        <v>14729</v>
      </c>
      <c r="G14726">
        <v>1</v>
      </c>
    </row>
    <row r="14727" spans="1:7" x14ac:dyDescent="0.25">
      <c r="A14727">
        <v>40</v>
      </c>
      <c r="B14727" t="s">
        <v>14707</v>
      </c>
      <c r="C14727">
        <v>12060</v>
      </c>
      <c r="D14727" t="str">
        <f>"0273-2289"</f>
        <v>0273-2289</v>
      </c>
      <c r="E14727" t="s">
        <v>8</v>
      </c>
      <c r="F14727" t="s">
        <v>14730</v>
      </c>
      <c r="G14727">
        <v>1</v>
      </c>
    </row>
    <row r="14728" spans="1:7" x14ac:dyDescent="0.25">
      <c r="A14728">
        <v>40</v>
      </c>
      <c r="B14728" t="s">
        <v>14707</v>
      </c>
      <c r="C14728">
        <v>7714436</v>
      </c>
      <c r="E14728" t="s">
        <v>8</v>
      </c>
      <c r="F14728" t="s">
        <v>9053</v>
      </c>
      <c r="G14728">
        <v>1</v>
      </c>
    </row>
    <row r="14729" spans="1:7" x14ac:dyDescent="0.25">
      <c r="A14729">
        <v>40</v>
      </c>
      <c r="B14729" t="s">
        <v>14707</v>
      </c>
      <c r="C14729">
        <v>22563</v>
      </c>
      <c r="D14729" t="str">
        <f>"0003-701X"</f>
        <v>0003-701X</v>
      </c>
      <c r="E14729" t="s">
        <v>8</v>
      </c>
      <c r="F14729" t="s">
        <v>14731</v>
      </c>
      <c r="G14729">
        <v>1</v>
      </c>
    </row>
    <row r="14730" spans="1:7" x14ac:dyDescent="0.25">
      <c r="A14730">
        <v>40</v>
      </c>
      <c r="B14730" t="s">
        <v>14707</v>
      </c>
      <c r="C14730">
        <v>7352</v>
      </c>
      <c r="D14730" t="str">
        <f>"1231-0956"</f>
        <v>1231-0956</v>
      </c>
      <c r="E14730" t="s">
        <v>8</v>
      </c>
      <c r="F14730" t="s">
        <v>14732</v>
      </c>
      <c r="G14730">
        <v>1</v>
      </c>
    </row>
    <row r="14731" spans="1:7" x14ac:dyDescent="0.25">
      <c r="A14731">
        <v>40</v>
      </c>
      <c r="B14731" t="s">
        <v>14707</v>
      </c>
      <c r="C14731">
        <v>11270</v>
      </c>
      <c r="D14731" t="str">
        <f>"0001-2491"</f>
        <v>0001-2491</v>
      </c>
      <c r="E14731" t="s">
        <v>8</v>
      </c>
      <c r="F14731" t="s">
        <v>14733</v>
      </c>
      <c r="G14731">
        <v>1</v>
      </c>
    </row>
    <row r="14732" spans="1:7" x14ac:dyDescent="0.25">
      <c r="A14732">
        <v>40</v>
      </c>
      <c r="B14732" t="s">
        <v>14707</v>
      </c>
      <c r="C14732">
        <v>4433</v>
      </c>
      <c r="D14732" t="str">
        <f>"0001-2505"</f>
        <v>0001-2505</v>
      </c>
      <c r="E14732" t="s">
        <v>8</v>
      </c>
      <c r="F14732" t="s">
        <v>14734</v>
      </c>
      <c r="G14732">
        <v>1</v>
      </c>
    </row>
    <row r="14733" spans="1:7" x14ac:dyDescent="0.25">
      <c r="A14733">
        <v>40</v>
      </c>
      <c r="B14733" t="s">
        <v>14707</v>
      </c>
      <c r="C14733">
        <v>3010</v>
      </c>
      <c r="D14733" t="str">
        <f>"1431-5254"</f>
        <v>1431-5254</v>
      </c>
      <c r="E14733" t="s">
        <v>8</v>
      </c>
      <c r="F14733" t="s">
        <v>14735</v>
      </c>
      <c r="G14733">
        <v>1</v>
      </c>
    </row>
    <row r="14734" spans="1:7" x14ac:dyDescent="0.25">
      <c r="A14734">
        <v>40</v>
      </c>
      <c r="B14734" t="s">
        <v>14707</v>
      </c>
      <c r="C14734">
        <v>8782795</v>
      </c>
      <c r="E14734" t="s">
        <v>8</v>
      </c>
      <c r="F14734" t="s">
        <v>14736</v>
      </c>
      <c r="G14734">
        <v>1</v>
      </c>
    </row>
    <row r="14735" spans="1:7" x14ac:dyDescent="0.25">
      <c r="A14735">
        <v>40</v>
      </c>
      <c r="B14735" t="s">
        <v>14707</v>
      </c>
      <c r="C14735">
        <v>9546</v>
      </c>
      <c r="D14735" t="str">
        <f>"1618-193X"</f>
        <v>1618-193X</v>
      </c>
      <c r="E14735" t="s">
        <v>8</v>
      </c>
      <c r="F14735" t="s">
        <v>14737</v>
      </c>
      <c r="G14735">
        <v>1</v>
      </c>
    </row>
    <row r="14736" spans="1:7" x14ac:dyDescent="0.25">
      <c r="A14736">
        <v>40</v>
      </c>
      <c r="B14736" t="s">
        <v>14707</v>
      </c>
      <c r="C14736">
        <v>8048</v>
      </c>
      <c r="D14736" t="str">
        <f>"0364-5916"</f>
        <v>0364-5916</v>
      </c>
      <c r="E14736" t="s">
        <v>8</v>
      </c>
      <c r="F14736" t="s">
        <v>14738</v>
      </c>
      <c r="G14736">
        <v>1</v>
      </c>
    </row>
    <row r="14737" spans="1:7" x14ac:dyDescent="0.25">
      <c r="A14737">
        <v>40</v>
      </c>
      <c r="B14737" t="s">
        <v>14707</v>
      </c>
      <c r="C14737">
        <v>7688236</v>
      </c>
      <c r="D14737" t="str">
        <f>"1758-3004"</f>
        <v>1758-3004</v>
      </c>
      <c r="E14737" t="s">
        <v>8</v>
      </c>
      <c r="F14737" t="s">
        <v>14739</v>
      </c>
      <c r="G14737">
        <v>1</v>
      </c>
    </row>
    <row r="14738" spans="1:7" x14ac:dyDescent="0.25">
      <c r="A14738">
        <v>40</v>
      </c>
      <c r="B14738" t="s">
        <v>14707</v>
      </c>
      <c r="C14738">
        <v>8758288</v>
      </c>
      <c r="E14738" t="s">
        <v>8</v>
      </c>
      <c r="F14738" t="s">
        <v>14740</v>
      </c>
      <c r="G14738">
        <v>1</v>
      </c>
    </row>
    <row r="14739" spans="1:7" x14ac:dyDescent="0.25">
      <c r="A14739">
        <v>40</v>
      </c>
      <c r="B14739" t="s">
        <v>14707</v>
      </c>
      <c r="C14739">
        <v>18082</v>
      </c>
      <c r="D14739" t="str">
        <f>"1863-0650"</f>
        <v>1863-0650</v>
      </c>
      <c r="E14739" t="s">
        <v>8</v>
      </c>
      <c r="F14739" t="s">
        <v>14741</v>
      </c>
      <c r="G14739">
        <v>1</v>
      </c>
    </row>
    <row r="14740" spans="1:7" x14ac:dyDescent="0.25">
      <c r="A14740">
        <v>40</v>
      </c>
      <c r="B14740" t="s">
        <v>14707</v>
      </c>
      <c r="C14740">
        <v>6364</v>
      </c>
      <c r="D14740" t="str">
        <f>"1618-954X"</f>
        <v>1618-954X</v>
      </c>
      <c r="E14740" t="s">
        <v>8</v>
      </c>
      <c r="F14740" t="s">
        <v>14742</v>
      </c>
      <c r="G14740">
        <v>1</v>
      </c>
    </row>
    <row r="14741" spans="1:7" x14ac:dyDescent="0.25">
      <c r="A14741">
        <v>40</v>
      </c>
      <c r="B14741" t="s">
        <v>14707</v>
      </c>
      <c r="C14741">
        <v>4982</v>
      </c>
      <c r="D14741" t="str">
        <f>"0010-2202"</f>
        <v>0010-2202</v>
      </c>
      <c r="E14741" t="s">
        <v>8</v>
      </c>
      <c r="F14741" t="s">
        <v>14743</v>
      </c>
      <c r="G14741">
        <v>1</v>
      </c>
    </row>
    <row r="14742" spans="1:7" x14ac:dyDescent="0.25">
      <c r="A14742">
        <v>40</v>
      </c>
      <c r="B14742" t="s">
        <v>14707</v>
      </c>
      <c r="C14742">
        <v>6112</v>
      </c>
      <c r="D14742" t="str">
        <f>"1364-7830"</f>
        <v>1364-7830</v>
      </c>
      <c r="E14742" t="s">
        <v>8</v>
      </c>
      <c r="F14742" t="s">
        <v>14744</v>
      </c>
      <c r="G14742">
        <v>1</v>
      </c>
    </row>
    <row r="14743" spans="1:7" x14ac:dyDescent="0.25">
      <c r="A14743">
        <v>40</v>
      </c>
      <c r="B14743" t="s">
        <v>14707</v>
      </c>
      <c r="C14743">
        <v>16366</v>
      </c>
      <c r="D14743" t="str">
        <f>"0935-1175"</f>
        <v>0935-1175</v>
      </c>
      <c r="E14743" t="s">
        <v>8</v>
      </c>
      <c r="F14743" t="s">
        <v>14745</v>
      </c>
      <c r="G14743">
        <v>1</v>
      </c>
    </row>
    <row r="14744" spans="1:7" x14ac:dyDescent="0.25">
      <c r="A14744">
        <v>40</v>
      </c>
      <c r="B14744" t="s">
        <v>14707</v>
      </c>
      <c r="C14744">
        <v>8074</v>
      </c>
      <c r="D14744" t="str">
        <f>"0011-2275"</f>
        <v>0011-2275</v>
      </c>
      <c r="E14744" t="s">
        <v>8</v>
      </c>
      <c r="F14744" t="s">
        <v>14746</v>
      </c>
      <c r="G14744">
        <v>1</v>
      </c>
    </row>
    <row r="14745" spans="1:7" x14ac:dyDescent="0.25">
      <c r="A14745">
        <v>40</v>
      </c>
      <c r="B14745" t="s">
        <v>14707</v>
      </c>
      <c r="C14745">
        <v>8149</v>
      </c>
      <c r="D14745" t="str">
        <f>"0011-9164"</f>
        <v>0011-9164</v>
      </c>
      <c r="E14745" t="s">
        <v>8</v>
      </c>
      <c r="F14745" t="s">
        <v>14747</v>
      </c>
      <c r="G14745">
        <v>1</v>
      </c>
    </row>
    <row r="14746" spans="1:7" x14ac:dyDescent="0.25">
      <c r="A14746">
        <v>40</v>
      </c>
      <c r="B14746" t="s">
        <v>14707</v>
      </c>
      <c r="C14746">
        <v>5071</v>
      </c>
      <c r="D14746" t="str">
        <f>"0925-8574"</f>
        <v>0925-8574</v>
      </c>
      <c r="E14746" t="s">
        <v>8</v>
      </c>
      <c r="F14746" t="s">
        <v>14748</v>
      </c>
      <c r="G14746">
        <v>1</v>
      </c>
    </row>
    <row r="14747" spans="1:7" x14ac:dyDescent="0.25">
      <c r="A14747">
        <v>40</v>
      </c>
      <c r="B14747" t="s">
        <v>14707</v>
      </c>
      <c r="C14747">
        <v>8484</v>
      </c>
      <c r="E14747" t="s">
        <v>8</v>
      </c>
      <c r="F14747" t="s">
        <v>14749</v>
      </c>
      <c r="G14747">
        <v>1</v>
      </c>
    </row>
    <row r="14748" spans="1:7" x14ac:dyDescent="0.25">
      <c r="A14748">
        <v>40</v>
      </c>
      <c r="B14748" t="s">
        <v>14707</v>
      </c>
      <c r="C14748">
        <v>1514</v>
      </c>
      <c r="D14748" t="str">
        <f>"0046-1121"</f>
        <v>0046-1121</v>
      </c>
      <c r="E14748" t="s">
        <v>8</v>
      </c>
      <c r="F14748" t="s">
        <v>14750</v>
      </c>
      <c r="G14748">
        <v>1</v>
      </c>
    </row>
    <row r="14749" spans="1:7" x14ac:dyDescent="0.25">
      <c r="A14749">
        <v>40</v>
      </c>
      <c r="B14749" t="s">
        <v>14707</v>
      </c>
      <c r="C14749">
        <v>16817</v>
      </c>
      <c r="D14749" t="str">
        <f>"1088-9981"</f>
        <v>1088-9981</v>
      </c>
      <c r="E14749" t="s">
        <v>8</v>
      </c>
      <c r="F14749" t="s">
        <v>14751</v>
      </c>
      <c r="G14749">
        <v>1</v>
      </c>
    </row>
    <row r="14750" spans="1:7" x14ac:dyDescent="0.25">
      <c r="A14750">
        <v>40</v>
      </c>
      <c r="B14750" t="s">
        <v>14707</v>
      </c>
      <c r="C14750">
        <v>50457</v>
      </c>
      <c r="D14750" t="str">
        <f>"0235-7208"</f>
        <v>0235-7208</v>
      </c>
      <c r="E14750" t="s">
        <v>8</v>
      </c>
      <c r="F14750" t="s">
        <v>14752</v>
      </c>
      <c r="G14750">
        <v>1</v>
      </c>
    </row>
    <row r="14751" spans="1:7" x14ac:dyDescent="0.25">
      <c r="A14751">
        <v>40</v>
      </c>
      <c r="B14751" t="s">
        <v>14707</v>
      </c>
      <c r="C14751">
        <v>11891</v>
      </c>
      <c r="D14751" t="str">
        <f>"0958-305X"</f>
        <v>0958-305X</v>
      </c>
      <c r="E14751" t="s">
        <v>8</v>
      </c>
      <c r="F14751" t="s">
        <v>14753</v>
      </c>
      <c r="G14751">
        <v>1</v>
      </c>
    </row>
    <row r="14752" spans="1:7" x14ac:dyDescent="0.25">
      <c r="A14752">
        <v>40</v>
      </c>
      <c r="B14752" t="s">
        <v>14707</v>
      </c>
      <c r="C14752">
        <v>22130</v>
      </c>
      <c r="D14752" t="str">
        <f>"1570-646X"</f>
        <v>1570-646X</v>
      </c>
      <c r="E14752" t="s">
        <v>8</v>
      </c>
      <c r="F14752" t="s">
        <v>14754</v>
      </c>
      <c r="G14752">
        <v>1</v>
      </c>
    </row>
    <row r="14753" spans="1:7" x14ac:dyDescent="0.25">
      <c r="A14753">
        <v>40</v>
      </c>
      <c r="B14753" t="s">
        <v>14707</v>
      </c>
      <c r="C14753">
        <v>26755</v>
      </c>
      <c r="D14753" t="str">
        <f>"0199-8595"</f>
        <v>0199-8595</v>
      </c>
      <c r="E14753" t="s">
        <v>8</v>
      </c>
      <c r="F14753" t="s">
        <v>14755</v>
      </c>
      <c r="G14753">
        <v>1</v>
      </c>
    </row>
    <row r="14754" spans="1:7" x14ac:dyDescent="0.25">
      <c r="A14754">
        <v>40</v>
      </c>
      <c r="B14754" t="s">
        <v>14707</v>
      </c>
      <c r="C14754">
        <v>13028</v>
      </c>
      <c r="D14754" t="str">
        <f>"0144-5987"</f>
        <v>0144-5987</v>
      </c>
      <c r="E14754" t="s">
        <v>8</v>
      </c>
      <c r="F14754" t="s">
        <v>14756</v>
      </c>
      <c r="G14754">
        <v>1</v>
      </c>
    </row>
    <row r="14755" spans="1:7" x14ac:dyDescent="0.25">
      <c r="A14755">
        <v>40</v>
      </c>
      <c r="B14755" t="s">
        <v>14707</v>
      </c>
      <c r="C14755">
        <v>8938</v>
      </c>
      <c r="D14755" t="str">
        <f>"0301-4215"</f>
        <v>0301-4215</v>
      </c>
      <c r="E14755" t="s">
        <v>8</v>
      </c>
      <c r="F14755" t="s">
        <v>14757</v>
      </c>
      <c r="G14755">
        <v>1</v>
      </c>
    </row>
    <row r="14756" spans="1:7" x14ac:dyDescent="0.25">
      <c r="A14756">
        <v>40</v>
      </c>
      <c r="B14756" t="s">
        <v>14707</v>
      </c>
      <c r="C14756">
        <v>8769224</v>
      </c>
      <c r="E14756" t="s">
        <v>8</v>
      </c>
      <c r="F14756" t="s">
        <v>14758</v>
      </c>
      <c r="G14756">
        <v>1</v>
      </c>
    </row>
    <row r="14757" spans="1:7" x14ac:dyDescent="0.25">
      <c r="A14757">
        <v>40</v>
      </c>
      <c r="B14757" t="s">
        <v>14707</v>
      </c>
      <c r="C14757">
        <v>180107</v>
      </c>
      <c r="D14757" t="str">
        <f>"2214-6296"</f>
        <v>2214-6296</v>
      </c>
      <c r="E14757" t="s">
        <v>8</v>
      </c>
      <c r="F14757" t="s">
        <v>14759</v>
      </c>
      <c r="G14757">
        <v>1</v>
      </c>
    </row>
    <row r="14758" spans="1:7" x14ac:dyDescent="0.25">
      <c r="A14758">
        <v>40</v>
      </c>
      <c r="B14758" t="s">
        <v>14707</v>
      </c>
      <c r="C14758">
        <v>17397</v>
      </c>
      <c r="D14758" t="str">
        <f>"1556-7036"</f>
        <v>1556-7036</v>
      </c>
      <c r="E14758" t="s">
        <v>8</v>
      </c>
      <c r="F14758" t="s">
        <v>14760</v>
      </c>
      <c r="G14758">
        <v>1</v>
      </c>
    </row>
    <row r="14759" spans="1:7" x14ac:dyDescent="0.25">
      <c r="A14759">
        <v>40</v>
      </c>
      <c r="B14759" t="s">
        <v>14707</v>
      </c>
      <c r="C14759">
        <v>7728735</v>
      </c>
      <c r="D14759" t="str">
        <f>"2211-467X"</f>
        <v>2211-467X</v>
      </c>
      <c r="E14759" t="s">
        <v>8</v>
      </c>
      <c r="F14759" t="s">
        <v>14761</v>
      </c>
      <c r="G14759">
        <v>1</v>
      </c>
    </row>
    <row r="14760" spans="1:7" x14ac:dyDescent="0.25">
      <c r="A14760">
        <v>40</v>
      </c>
      <c r="B14760" t="s">
        <v>14707</v>
      </c>
      <c r="C14760">
        <v>8759152</v>
      </c>
      <c r="D14760" t="str">
        <f>"2194-4288"</f>
        <v>2194-4288</v>
      </c>
      <c r="E14760" t="s">
        <v>8</v>
      </c>
      <c r="F14760" t="s">
        <v>14762</v>
      </c>
      <c r="G14760">
        <v>1</v>
      </c>
    </row>
    <row r="14761" spans="1:7" x14ac:dyDescent="0.25">
      <c r="A14761">
        <v>40</v>
      </c>
      <c r="B14761" t="s">
        <v>14707</v>
      </c>
      <c r="C14761">
        <v>7757023</v>
      </c>
      <c r="E14761" t="s">
        <v>8</v>
      </c>
      <c r="F14761" t="s">
        <v>14763</v>
      </c>
      <c r="G14761">
        <v>1</v>
      </c>
    </row>
    <row r="14762" spans="1:7" x14ac:dyDescent="0.25">
      <c r="A14762">
        <v>40</v>
      </c>
      <c r="B14762" t="s">
        <v>14707</v>
      </c>
      <c r="C14762">
        <v>11279</v>
      </c>
      <c r="D14762" t="str">
        <f>"1078-7275"</f>
        <v>1078-7275</v>
      </c>
      <c r="E14762" t="s">
        <v>8</v>
      </c>
      <c r="F14762" t="s">
        <v>14764</v>
      </c>
      <c r="G14762">
        <v>1</v>
      </c>
    </row>
    <row r="14763" spans="1:7" x14ac:dyDescent="0.25">
      <c r="A14763">
        <v>40</v>
      </c>
      <c r="B14763" t="s">
        <v>14707</v>
      </c>
      <c r="C14763">
        <v>13808</v>
      </c>
      <c r="D14763" t="str">
        <f>"1092-8758"</f>
        <v>1092-8758</v>
      </c>
      <c r="E14763" t="s">
        <v>8</v>
      </c>
      <c r="F14763" t="s">
        <v>14765</v>
      </c>
      <c r="G14763">
        <v>1</v>
      </c>
    </row>
    <row r="14764" spans="1:7" x14ac:dyDescent="0.25">
      <c r="A14764">
        <v>40</v>
      </c>
      <c r="B14764" t="s">
        <v>14707</v>
      </c>
      <c r="C14764">
        <v>15787</v>
      </c>
      <c r="D14764" t="str">
        <f>"1756-932X"</f>
        <v>1756-932X</v>
      </c>
      <c r="E14764" t="s">
        <v>8</v>
      </c>
      <c r="F14764" t="s">
        <v>14766</v>
      </c>
      <c r="G14764">
        <v>1</v>
      </c>
    </row>
    <row r="14765" spans="1:7" x14ac:dyDescent="0.25">
      <c r="A14765">
        <v>40</v>
      </c>
      <c r="B14765" t="s">
        <v>14707</v>
      </c>
      <c r="C14765">
        <v>18409</v>
      </c>
      <c r="D14765" t="str">
        <f>"1088-1913"</f>
        <v>1088-1913</v>
      </c>
      <c r="E14765" t="s">
        <v>8</v>
      </c>
      <c r="F14765" t="s">
        <v>14767</v>
      </c>
      <c r="G14765">
        <v>1</v>
      </c>
    </row>
    <row r="14766" spans="1:7" x14ac:dyDescent="0.25">
      <c r="A14766">
        <v>40</v>
      </c>
      <c r="B14766" t="s">
        <v>14707</v>
      </c>
      <c r="C14766">
        <v>7757829</v>
      </c>
      <c r="E14766" t="s">
        <v>8</v>
      </c>
      <c r="F14766" t="s">
        <v>14768</v>
      </c>
      <c r="G14766">
        <v>1</v>
      </c>
    </row>
    <row r="14767" spans="1:7" x14ac:dyDescent="0.25">
      <c r="A14767">
        <v>40</v>
      </c>
      <c r="B14767" t="s">
        <v>14707</v>
      </c>
      <c r="C14767">
        <v>15298</v>
      </c>
      <c r="D14767" t="str">
        <f>"0959-3330"</f>
        <v>0959-3330</v>
      </c>
      <c r="E14767" t="s">
        <v>8</v>
      </c>
      <c r="F14767" t="s">
        <v>14769</v>
      </c>
      <c r="G14767">
        <v>1</v>
      </c>
    </row>
    <row r="14768" spans="1:7" x14ac:dyDescent="0.25">
      <c r="A14768">
        <v>40</v>
      </c>
      <c r="B14768" t="s">
        <v>14707</v>
      </c>
      <c r="C14768">
        <v>10512</v>
      </c>
      <c r="D14768" t="str">
        <f>"0018-3768"</f>
        <v>0018-3768</v>
      </c>
      <c r="E14768" t="s">
        <v>8</v>
      </c>
      <c r="F14768" t="s">
        <v>14770</v>
      </c>
      <c r="G14768">
        <v>1</v>
      </c>
    </row>
    <row r="14769" spans="1:7" x14ac:dyDescent="0.25">
      <c r="A14769">
        <v>40</v>
      </c>
      <c r="B14769" t="s">
        <v>14707</v>
      </c>
      <c r="C14769">
        <v>8635</v>
      </c>
      <c r="D14769" t="str">
        <f>"0732-8818"</f>
        <v>0732-8818</v>
      </c>
      <c r="E14769" t="s">
        <v>8</v>
      </c>
      <c r="F14769" t="s">
        <v>14771</v>
      </c>
      <c r="G14769">
        <v>1</v>
      </c>
    </row>
    <row r="14770" spans="1:7" x14ac:dyDescent="0.25">
      <c r="A14770">
        <v>40</v>
      </c>
      <c r="B14770" t="s">
        <v>14707</v>
      </c>
      <c r="C14770">
        <v>509</v>
      </c>
      <c r="D14770" t="str">
        <f>"1464-2859"</f>
        <v>1464-2859</v>
      </c>
      <c r="E14770" t="s">
        <v>8</v>
      </c>
      <c r="F14770" t="s">
        <v>14772</v>
      </c>
      <c r="G14770">
        <v>1</v>
      </c>
    </row>
    <row r="14771" spans="1:7" x14ac:dyDescent="0.25">
      <c r="A14771">
        <v>40</v>
      </c>
      <c r="B14771" t="s">
        <v>14707</v>
      </c>
      <c r="C14771">
        <v>12831</v>
      </c>
      <c r="D14771" t="str">
        <f>"0378-3820"</f>
        <v>0378-3820</v>
      </c>
      <c r="E14771" t="s">
        <v>8</v>
      </c>
      <c r="F14771" t="s">
        <v>14773</v>
      </c>
      <c r="G14771">
        <v>1</v>
      </c>
    </row>
    <row r="14772" spans="1:7" x14ac:dyDescent="0.25">
      <c r="A14772">
        <v>40</v>
      </c>
      <c r="B14772" t="s">
        <v>14707</v>
      </c>
      <c r="C14772">
        <v>14671</v>
      </c>
      <c r="D14772" t="str">
        <f>"0949-8036"</f>
        <v>0949-8036</v>
      </c>
      <c r="E14772" t="s">
        <v>8</v>
      </c>
      <c r="F14772" t="s">
        <v>14774</v>
      </c>
      <c r="G14772">
        <v>1</v>
      </c>
    </row>
    <row r="14773" spans="1:7" x14ac:dyDescent="0.25">
      <c r="A14773">
        <v>40</v>
      </c>
      <c r="B14773" t="s">
        <v>14707</v>
      </c>
      <c r="C14773">
        <v>10090</v>
      </c>
      <c r="D14773" t="str">
        <f>"1526-3800"</f>
        <v>1526-3800</v>
      </c>
      <c r="E14773" t="s">
        <v>8</v>
      </c>
      <c r="F14773" t="s">
        <v>14775</v>
      </c>
      <c r="G14773">
        <v>1</v>
      </c>
    </row>
    <row r="14774" spans="1:7" x14ac:dyDescent="0.25">
      <c r="A14774">
        <v>40</v>
      </c>
      <c r="B14774" t="s">
        <v>14707</v>
      </c>
      <c r="C14774">
        <v>10804</v>
      </c>
      <c r="D14774" t="str">
        <f>"1099-2871"</f>
        <v>1099-2871</v>
      </c>
      <c r="E14774" t="s">
        <v>8</v>
      </c>
      <c r="F14774" t="s">
        <v>14776</v>
      </c>
      <c r="G14774">
        <v>1</v>
      </c>
    </row>
    <row r="14775" spans="1:7" x14ac:dyDescent="0.25">
      <c r="A14775">
        <v>40</v>
      </c>
      <c r="B14775" t="s">
        <v>14707</v>
      </c>
      <c r="C14775">
        <v>1913</v>
      </c>
      <c r="D14775" t="str">
        <f>"0018-1544"</f>
        <v>0018-1544</v>
      </c>
      <c r="E14775" t="s">
        <v>8</v>
      </c>
      <c r="F14775" t="s">
        <v>14777</v>
      </c>
      <c r="G14775">
        <v>1</v>
      </c>
    </row>
    <row r="14776" spans="1:7" x14ac:dyDescent="0.25">
      <c r="A14776">
        <v>40</v>
      </c>
      <c r="B14776" t="s">
        <v>14707</v>
      </c>
      <c r="C14776">
        <v>1753</v>
      </c>
      <c r="D14776" t="str">
        <f>"0018-3830"</f>
        <v>0018-3830</v>
      </c>
      <c r="E14776" t="s">
        <v>8</v>
      </c>
      <c r="F14776" t="s">
        <v>14778</v>
      </c>
      <c r="G14776">
        <v>1</v>
      </c>
    </row>
    <row r="14777" spans="1:7" x14ac:dyDescent="0.25">
      <c r="A14777">
        <v>40</v>
      </c>
      <c r="B14777" t="s">
        <v>14707</v>
      </c>
      <c r="C14777">
        <v>7700419</v>
      </c>
      <c r="D14777" t="str">
        <f>"2156-3381"</f>
        <v>2156-3381</v>
      </c>
      <c r="E14777" t="s">
        <v>8</v>
      </c>
      <c r="F14777" t="s">
        <v>14779</v>
      </c>
      <c r="G14777">
        <v>1</v>
      </c>
    </row>
    <row r="14778" spans="1:7" x14ac:dyDescent="0.25">
      <c r="A14778">
        <v>40</v>
      </c>
      <c r="B14778" t="s">
        <v>14707</v>
      </c>
      <c r="C14778">
        <v>3650</v>
      </c>
      <c r="D14778" t="str">
        <f>"0885-8969"</f>
        <v>0885-8969</v>
      </c>
      <c r="E14778" t="s">
        <v>8</v>
      </c>
      <c r="F14778" t="s">
        <v>14780</v>
      </c>
      <c r="G14778">
        <v>1</v>
      </c>
    </row>
    <row r="14779" spans="1:7" x14ac:dyDescent="0.25">
      <c r="A14779">
        <v>40</v>
      </c>
      <c r="B14779" t="s">
        <v>14707</v>
      </c>
      <c r="C14779">
        <v>13140</v>
      </c>
      <c r="D14779" t="str">
        <f>"0018-9499"</f>
        <v>0018-9499</v>
      </c>
      <c r="E14779" t="s">
        <v>8</v>
      </c>
      <c r="F14779" t="s">
        <v>14781</v>
      </c>
      <c r="G14779">
        <v>1</v>
      </c>
    </row>
    <row r="14780" spans="1:7" x14ac:dyDescent="0.25">
      <c r="A14780">
        <v>40</v>
      </c>
      <c r="B14780" t="s">
        <v>14707</v>
      </c>
      <c r="C14780">
        <v>2987</v>
      </c>
      <c r="D14780" t="str">
        <f>"0885-8977"</f>
        <v>0885-8977</v>
      </c>
      <c r="E14780" t="s">
        <v>8</v>
      </c>
      <c r="F14780" t="s">
        <v>14782</v>
      </c>
      <c r="G14780">
        <v>1</v>
      </c>
    </row>
    <row r="14781" spans="1:7" x14ac:dyDescent="0.25">
      <c r="A14781">
        <v>40</v>
      </c>
      <c r="B14781" t="s">
        <v>14707</v>
      </c>
      <c r="C14781">
        <v>6144395</v>
      </c>
      <c r="D14781" t="str">
        <f>"1949-3029"</f>
        <v>1949-3029</v>
      </c>
      <c r="E14781" t="s">
        <v>8</v>
      </c>
      <c r="F14781" t="s">
        <v>14783</v>
      </c>
      <c r="G14781">
        <v>1</v>
      </c>
    </row>
    <row r="14782" spans="1:7" x14ac:dyDescent="0.25">
      <c r="A14782">
        <v>40</v>
      </c>
      <c r="B14782" t="s">
        <v>14707</v>
      </c>
      <c r="C14782">
        <v>7006</v>
      </c>
      <c r="D14782" t="str">
        <f>"1751-8687"</f>
        <v>1751-8687</v>
      </c>
      <c r="E14782" t="s">
        <v>8</v>
      </c>
      <c r="F14782" t="s">
        <v>14784</v>
      </c>
      <c r="G14782">
        <v>1</v>
      </c>
    </row>
    <row r="14783" spans="1:7" x14ac:dyDescent="0.25">
      <c r="A14783">
        <v>40</v>
      </c>
      <c r="B14783" t="s">
        <v>14707</v>
      </c>
      <c r="C14783">
        <v>12495</v>
      </c>
      <c r="D14783" t="str">
        <f>"1551-3777"</f>
        <v>1551-3777</v>
      </c>
      <c r="E14783" t="s">
        <v>8</v>
      </c>
      <c r="F14783" t="s">
        <v>14785</v>
      </c>
      <c r="G14783">
        <v>1</v>
      </c>
    </row>
    <row r="14784" spans="1:7" x14ac:dyDescent="0.25">
      <c r="A14784">
        <v>40</v>
      </c>
      <c r="B14784" t="s">
        <v>14707</v>
      </c>
      <c r="C14784">
        <v>7748372</v>
      </c>
      <c r="D14784" t="str">
        <f>"2327-7246"</f>
        <v>2327-7246</v>
      </c>
      <c r="E14784" t="s">
        <v>8</v>
      </c>
      <c r="F14784" t="s">
        <v>14786</v>
      </c>
      <c r="G14784">
        <v>1</v>
      </c>
    </row>
    <row r="14785" spans="1:7" x14ac:dyDescent="0.25">
      <c r="A14785">
        <v>40</v>
      </c>
      <c r="B14785" t="s">
        <v>14707</v>
      </c>
      <c r="C14785">
        <v>11702</v>
      </c>
      <c r="D14785" t="str">
        <f>"1932-9997"</f>
        <v>1932-9997</v>
      </c>
      <c r="E14785" t="s">
        <v>8</v>
      </c>
      <c r="F14785" t="s">
        <v>14787</v>
      </c>
      <c r="G14785">
        <v>1</v>
      </c>
    </row>
    <row r="14786" spans="1:7" x14ac:dyDescent="0.25">
      <c r="A14786">
        <v>40</v>
      </c>
      <c r="B14786" t="s">
        <v>14707</v>
      </c>
      <c r="C14786">
        <v>16674</v>
      </c>
      <c r="D14786" t="str">
        <f>"1939-2699"</f>
        <v>1939-2699</v>
      </c>
      <c r="E14786" t="s">
        <v>8</v>
      </c>
      <c r="F14786" t="s">
        <v>14788</v>
      </c>
      <c r="G14786">
        <v>1</v>
      </c>
    </row>
    <row r="14787" spans="1:7" x14ac:dyDescent="0.25">
      <c r="A14787">
        <v>40</v>
      </c>
      <c r="B14787" t="s">
        <v>14707</v>
      </c>
      <c r="C14787">
        <v>5094</v>
      </c>
      <c r="D14787" t="str">
        <f>"0363-907X"</f>
        <v>0363-907X</v>
      </c>
      <c r="E14787" t="s">
        <v>8</v>
      </c>
      <c r="F14787" t="s">
        <v>14789</v>
      </c>
      <c r="G14787">
        <v>1</v>
      </c>
    </row>
    <row r="14788" spans="1:7" x14ac:dyDescent="0.25">
      <c r="A14788">
        <v>40</v>
      </c>
      <c r="B14788" t="s">
        <v>14707</v>
      </c>
      <c r="C14788">
        <v>10701</v>
      </c>
      <c r="D14788" t="str">
        <f>"1750-6220"</f>
        <v>1750-6220</v>
      </c>
      <c r="E14788" t="s">
        <v>8</v>
      </c>
      <c r="F14788" t="s">
        <v>14790</v>
      </c>
      <c r="G14788">
        <v>1</v>
      </c>
    </row>
    <row r="14789" spans="1:7" x14ac:dyDescent="0.25">
      <c r="A14789">
        <v>40</v>
      </c>
      <c r="B14789" t="s">
        <v>14707</v>
      </c>
      <c r="C14789">
        <v>22969</v>
      </c>
      <c r="D14789" t="str">
        <f>"1472-8923"</f>
        <v>1472-8923</v>
      </c>
      <c r="E14789" t="s">
        <v>8</v>
      </c>
      <c r="F14789" t="s">
        <v>14791</v>
      </c>
      <c r="G14789">
        <v>1</v>
      </c>
    </row>
    <row r="14790" spans="1:7" x14ac:dyDescent="0.25">
      <c r="A14790">
        <v>40</v>
      </c>
      <c r="B14790" t="s">
        <v>14707</v>
      </c>
      <c r="C14790">
        <v>7241</v>
      </c>
      <c r="D14790" t="str">
        <f>"1466-2132"</f>
        <v>1466-2132</v>
      </c>
      <c r="E14790" t="s">
        <v>8</v>
      </c>
      <c r="F14790" t="s">
        <v>14792</v>
      </c>
      <c r="G14790">
        <v>1</v>
      </c>
    </row>
    <row r="14791" spans="1:7" x14ac:dyDescent="0.25">
      <c r="A14791">
        <v>40</v>
      </c>
      <c r="B14791" t="s">
        <v>14707</v>
      </c>
      <c r="C14791">
        <v>13930</v>
      </c>
      <c r="D14791" t="str">
        <f>"1439-9776"</f>
        <v>1439-9776</v>
      </c>
      <c r="E14791" t="s">
        <v>8</v>
      </c>
      <c r="F14791" t="s">
        <v>14793</v>
      </c>
      <c r="G14791">
        <v>1</v>
      </c>
    </row>
    <row r="14792" spans="1:7" x14ac:dyDescent="0.25">
      <c r="A14792">
        <v>40</v>
      </c>
      <c r="B14792" t="s">
        <v>14707</v>
      </c>
      <c r="C14792">
        <v>14768</v>
      </c>
      <c r="D14792" t="str">
        <f>"0954-7118"</f>
        <v>0954-7118</v>
      </c>
      <c r="E14792" t="s">
        <v>8</v>
      </c>
      <c r="F14792" t="s">
        <v>14794</v>
      </c>
      <c r="G14792">
        <v>1</v>
      </c>
    </row>
    <row r="14793" spans="1:7" x14ac:dyDescent="0.25">
      <c r="A14793">
        <v>40</v>
      </c>
      <c r="B14793" t="s">
        <v>14707</v>
      </c>
      <c r="C14793">
        <v>528</v>
      </c>
      <c r="D14793" t="str">
        <f>"1543-5075"</f>
        <v>1543-5075</v>
      </c>
      <c r="E14793" t="s">
        <v>8</v>
      </c>
      <c r="F14793" t="s">
        <v>14795</v>
      </c>
      <c r="G14793">
        <v>1</v>
      </c>
    </row>
    <row r="14794" spans="1:7" x14ac:dyDescent="0.25">
      <c r="A14794">
        <v>40</v>
      </c>
      <c r="B14794" t="s">
        <v>14707</v>
      </c>
      <c r="C14794">
        <v>8482</v>
      </c>
      <c r="D14794" t="str">
        <f>"0360-3199"</f>
        <v>0360-3199</v>
      </c>
      <c r="E14794" t="s">
        <v>8</v>
      </c>
      <c r="F14794" t="s">
        <v>14796</v>
      </c>
      <c r="G14794">
        <v>1</v>
      </c>
    </row>
    <row r="14795" spans="1:7" x14ac:dyDescent="0.25">
      <c r="A14795">
        <v>40</v>
      </c>
      <c r="B14795" t="s">
        <v>14707</v>
      </c>
      <c r="C14795">
        <v>343</v>
      </c>
      <c r="D14795" t="str">
        <f>"1477-6545"</f>
        <v>1477-6545</v>
      </c>
      <c r="E14795" t="s">
        <v>8</v>
      </c>
      <c r="F14795" t="s">
        <v>14797</v>
      </c>
      <c r="G14795">
        <v>1</v>
      </c>
    </row>
    <row r="14796" spans="1:7" x14ac:dyDescent="0.25">
      <c r="A14796">
        <v>40</v>
      </c>
      <c r="B14796" t="s">
        <v>14707</v>
      </c>
      <c r="C14796">
        <v>19174</v>
      </c>
      <c r="D14796" t="str">
        <f>"1748-1317"</f>
        <v>1748-1317</v>
      </c>
      <c r="E14796" t="s">
        <v>8</v>
      </c>
      <c r="F14796" t="s">
        <v>14798</v>
      </c>
      <c r="G14796">
        <v>1</v>
      </c>
    </row>
    <row r="14797" spans="1:7" x14ac:dyDescent="0.25">
      <c r="A14797">
        <v>40</v>
      </c>
      <c r="B14797" t="s">
        <v>14707</v>
      </c>
      <c r="C14797">
        <v>16493</v>
      </c>
      <c r="D14797" t="str">
        <f>"1110-662X"</f>
        <v>1110-662X</v>
      </c>
      <c r="E14797" t="s">
        <v>8</v>
      </c>
      <c r="F14797" t="s">
        <v>14799</v>
      </c>
      <c r="G14797">
        <v>1</v>
      </c>
    </row>
    <row r="14798" spans="1:7" x14ac:dyDescent="0.25">
      <c r="A14798">
        <v>40</v>
      </c>
      <c r="B14798" t="s">
        <v>14707</v>
      </c>
      <c r="C14798">
        <v>27610</v>
      </c>
      <c r="D14798" t="str">
        <f>"1757-1154"</f>
        <v>1757-1154</v>
      </c>
      <c r="E14798" t="s">
        <v>8</v>
      </c>
      <c r="F14798" t="s">
        <v>14800</v>
      </c>
      <c r="G14798">
        <v>1</v>
      </c>
    </row>
    <row r="14799" spans="1:7" x14ac:dyDescent="0.25">
      <c r="A14799">
        <v>40</v>
      </c>
      <c r="B14799" t="s">
        <v>14707</v>
      </c>
      <c r="C14799">
        <v>7611</v>
      </c>
      <c r="D14799" t="str">
        <f>"0140-7007"</f>
        <v>0140-7007</v>
      </c>
      <c r="E14799" t="s">
        <v>8</v>
      </c>
      <c r="F14799" t="s">
        <v>14801</v>
      </c>
      <c r="G14799">
        <v>1</v>
      </c>
    </row>
    <row r="14800" spans="1:7" x14ac:dyDescent="0.25">
      <c r="A14800">
        <v>40</v>
      </c>
      <c r="B14800" t="s">
        <v>14707</v>
      </c>
      <c r="C14800">
        <v>4422</v>
      </c>
      <c r="D14800" t="str">
        <f>"1478-6451"</f>
        <v>1478-6451</v>
      </c>
      <c r="E14800" t="s">
        <v>8</v>
      </c>
      <c r="F14800" t="s">
        <v>14802</v>
      </c>
      <c r="G14800">
        <v>1</v>
      </c>
    </row>
    <row r="14801" spans="1:7" x14ac:dyDescent="0.25">
      <c r="A14801">
        <v>40</v>
      </c>
      <c r="B14801" t="s">
        <v>14707</v>
      </c>
      <c r="C14801">
        <v>7758198</v>
      </c>
      <c r="E14801" t="s">
        <v>8</v>
      </c>
      <c r="F14801" t="s">
        <v>14803</v>
      </c>
      <c r="G14801">
        <v>1</v>
      </c>
    </row>
    <row r="14802" spans="1:7" x14ac:dyDescent="0.25">
      <c r="A14802">
        <v>40</v>
      </c>
      <c r="B14802" t="s">
        <v>14707</v>
      </c>
      <c r="C14802">
        <v>26160</v>
      </c>
      <c r="D14802" t="str">
        <f>"1753-3600"</f>
        <v>1753-3600</v>
      </c>
      <c r="E14802" t="s">
        <v>8</v>
      </c>
      <c r="F14802" t="s">
        <v>14804</v>
      </c>
      <c r="G14802">
        <v>1</v>
      </c>
    </row>
    <row r="14803" spans="1:7" x14ac:dyDescent="0.25">
      <c r="A14803">
        <v>40</v>
      </c>
      <c r="B14803" t="s">
        <v>14707</v>
      </c>
      <c r="C14803">
        <v>16667</v>
      </c>
      <c r="D14803" t="str">
        <f>"1301-9724"</f>
        <v>1301-9724</v>
      </c>
      <c r="E14803" t="s">
        <v>8</v>
      </c>
      <c r="F14803" t="s">
        <v>14805</v>
      </c>
      <c r="G14803">
        <v>1</v>
      </c>
    </row>
    <row r="14804" spans="1:7" x14ac:dyDescent="0.25">
      <c r="A14804">
        <v>40</v>
      </c>
      <c r="B14804" t="s">
        <v>14707</v>
      </c>
      <c r="C14804">
        <v>10093</v>
      </c>
      <c r="D14804" t="str">
        <f>"0195-928X"</f>
        <v>0195-928X</v>
      </c>
      <c r="E14804" t="s">
        <v>8</v>
      </c>
      <c r="F14804" t="s">
        <v>14806</v>
      </c>
      <c r="G14804">
        <v>1</v>
      </c>
    </row>
    <row r="14805" spans="1:7" x14ac:dyDescent="0.25">
      <c r="A14805">
        <v>40</v>
      </c>
      <c r="B14805" t="s">
        <v>14707</v>
      </c>
      <c r="C14805">
        <v>5349</v>
      </c>
      <c r="D14805" t="str">
        <f>"0790-0627"</f>
        <v>0790-0627</v>
      </c>
      <c r="E14805" t="s">
        <v>8</v>
      </c>
      <c r="F14805" t="s">
        <v>14807</v>
      </c>
      <c r="G14805">
        <v>1</v>
      </c>
    </row>
    <row r="14806" spans="1:7" x14ac:dyDescent="0.25">
      <c r="A14806">
        <v>40</v>
      </c>
      <c r="B14806" t="s">
        <v>14707</v>
      </c>
      <c r="C14806">
        <v>8782778</v>
      </c>
      <c r="D14806" t="str">
        <f>"2542-4785"</f>
        <v>2542-4785</v>
      </c>
      <c r="E14806" t="s">
        <v>8</v>
      </c>
      <c r="F14806" t="s">
        <v>14808</v>
      </c>
      <c r="G14806">
        <v>1</v>
      </c>
    </row>
    <row r="14807" spans="1:7" x14ac:dyDescent="0.25">
      <c r="A14807">
        <v>40</v>
      </c>
      <c r="B14807" t="s">
        <v>14707</v>
      </c>
      <c r="C14807">
        <v>8633</v>
      </c>
      <c r="D14807" t="str">
        <f>"0003-150X"</f>
        <v>0003-150X</v>
      </c>
      <c r="E14807" t="s">
        <v>8</v>
      </c>
      <c r="F14807" t="s">
        <v>14809</v>
      </c>
      <c r="G14807">
        <v>1</v>
      </c>
    </row>
    <row r="14808" spans="1:7" x14ac:dyDescent="0.25">
      <c r="A14808">
        <v>40</v>
      </c>
      <c r="B14808" t="s">
        <v>14707</v>
      </c>
      <c r="C14808">
        <v>16353</v>
      </c>
      <c r="D14808" t="str">
        <f>"0021-9037"</f>
        <v>0021-9037</v>
      </c>
      <c r="E14808" t="s">
        <v>8</v>
      </c>
      <c r="F14808" t="s">
        <v>14810</v>
      </c>
      <c r="G14808">
        <v>1</v>
      </c>
    </row>
    <row r="14809" spans="1:7" x14ac:dyDescent="0.25">
      <c r="A14809">
        <v>40</v>
      </c>
      <c r="B14809" t="s">
        <v>14707</v>
      </c>
      <c r="C14809">
        <v>108188</v>
      </c>
      <c r="D14809" t="str">
        <f>"1556-6560"</f>
        <v>1556-6560</v>
      </c>
      <c r="E14809" t="s">
        <v>8</v>
      </c>
      <c r="F14809" t="s">
        <v>14811</v>
      </c>
      <c r="G14809">
        <v>1</v>
      </c>
    </row>
    <row r="14810" spans="1:7" x14ac:dyDescent="0.25">
      <c r="A14810">
        <v>40</v>
      </c>
      <c r="B14810" t="s">
        <v>14707</v>
      </c>
      <c r="C14810">
        <v>8257</v>
      </c>
      <c r="D14810" t="str">
        <f>"1389-1723"</f>
        <v>1389-1723</v>
      </c>
      <c r="E14810" t="s">
        <v>8</v>
      </c>
      <c r="F14810" t="s">
        <v>14812</v>
      </c>
      <c r="G14810">
        <v>1</v>
      </c>
    </row>
    <row r="14811" spans="1:7" x14ac:dyDescent="0.25">
      <c r="A14811">
        <v>40</v>
      </c>
      <c r="B14811" t="s">
        <v>14707</v>
      </c>
      <c r="C14811">
        <v>10605</v>
      </c>
      <c r="D14811" t="str">
        <f>"0733-9402"</f>
        <v>0733-9402</v>
      </c>
      <c r="E14811" t="s">
        <v>8</v>
      </c>
      <c r="F14811" t="s">
        <v>14813</v>
      </c>
      <c r="G14811">
        <v>1</v>
      </c>
    </row>
    <row r="14812" spans="1:7" x14ac:dyDescent="0.25">
      <c r="A14812">
        <v>40</v>
      </c>
      <c r="B14812" t="s">
        <v>14707</v>
      </c>
      <c r="C14812">
        <v>1143</v>
      </c>
      <c r="D14812" t="str">
        <f>"0195-0738"</f>
        <v>0195-0738</v>
      </c>
      <c r="E14812" t="s">
        <v>8</v>
      </c>
      <c r="F14812" t="s">
        <v>14814</v>
      </c>
      <c r="G14812">
        <v>1</v>
      </c>
    </row>
    <row r="14813" spans="1:7" x14ac:dyDescent="0.25">
      <c r="A14813">
        <v>40</v>
      </c>
      <c r="B14813" t="s">
        <v>14707</v>
      </c>
      <c r="C14813">
        <v>8758287</v>
      </c>
      <c r="D14813" t="str">
        <f>"2352-152X"</f>
        <v>2352-152X</v>
      </c>
      <c r="E14813" t="s">
        <v>8</v>
      </c>
      <c r="F14813" t="s">
        <v>14815</v>
      </c>
      <c r="G14813">
        <v>1</v>
      </c>
    </row>
    <row r="14814" spans="1:7" x14ac:dyDescent="0.25">
      <c r="A14814">
        <v>40</v>
      </c>
      <c r="B14814" t="s">
        <v>14707</v>
      </c>
      <c r="C14814">
        <v>13109</v>
      </c>
      <c r="D14814" t="str">
        <f>"1062-0125"</f>
        <v>1062-0125</v>
      </c>
      <c r="E14814" t="s">
        <v>8</v>
      </c>
      <c r="F14814" t="s">
        <v>14816</v>
      </c>
      <c r="G14814">
        <v>1</v>
      </c>
    </row>
    <row r="14815" spans="1:7" x14ac:dyDescent="0.25">
      <c r="A14815">
        <v>40</v>
      </c>
      <c r="B14815" t="s">
        <v>14707</v>
      </c>
      <c r="C14815">
        <v>25453</v>
      </c>
      <c r="D14815" t="str">
        <f>"1810-2328"</f>
        <v>1810-2328</v>
      </c>
      <c r="E14815" t="s">
        <v>8</v>
      </c>
      <c r="F14815" t="s">
        <v>14817</v>
      </c>
      <c r="G14815">
        <v>1</v>
      </c>
    </row>
    <row r="14816" spans="1:7" x14ac:dyDescent="0.25">
      <c r="A14816">
        <v>40</v>
      </c>
      <c r="B14816" t="s">
        <v>14707</v>
      </c>
      <c r="C14816">
        <v>15379</v>
      </c>
      <c r="D14816" t="str">
        <f>"1065-5131"</f>
        <v>1065-5131</v>
      </c>
      <c r="E14816" t="s">
        <v>8</v>
      </c>
      <c r="F14816" t="s">
        <v>14818</v>
      </c>
      <c r="G14816">
        <v>1</v>
      </c>
    </row>
    <row r="14817" spans="1:7" x14ac:dyDescent="0.25">
      <c r="A14817">
        <v>40</v>
      </c>
      <c r="B14817" t="s">
        <v>14707</v>
      </c>
      <c r="C14817">
        <v>16768</v>
      </c>
      <c r="D14817" t="str">
        <f>"1464-3332"</f>
        <v>1464-3332</v>
      </c>
      <c r="E14817" t="s">
        <v>8</v>
      </c>
      <c r="F14817" t="s">
        <v>14819</v>
      </c>
      <c r="G14817">
        <v>1</v>
      </c>
    </row>
    <row r="14818" spans="1:7" x14ac:dyDescent="0.25">
      <c r="A14818">
        <v>40</v>
      </c>
      <c r="B14818" t="s">
        <v>14707</v>
      </c>
      <c r="C14818">
        <v>4384</v>
      </c>
      <c r="D14818" t="str">
        <f>"1496-2551"</f>
        <v>1496-2551</v>
      </c>
      <c r="E14818" t="s">
        <v>8</v>
      </c>
      <c r="F14818" t="s">
        <v>14820</v>
      </c>
      <c r="G14818">
        <v>1</v>
      </c>
    </row>
    <row r="14819" spans="1:7" x14ac:dyDescent="0.25">
      <c r="A14819">
        <v>40</v>
      </c>
      <c r="B14819" t="s">
        <v>14707</v>
      </c>
      <c r="C14819">
        <v>17551</v>
      </c>
      <c r="D14819" t="str">
        <f>"1550-624X"</f>
        <v>1550-624X</v>
      </c>
      <c r="E14819" t="s">
        <v>8</v>
      </c>
      <c r="F14819" t="s">
        <v>14821</v>
      </c>
      <c r="G14819">
        <v>1</v>
      </c>
    </row>
    <row r="14820" spans="1:7" x14ac:dyDescent="0.25">
      <c r="A14820">
        <v>40</v>
      </c>
      <c r="B14820" t="s">
        <v>14707</v>
      </c>
      <c r="C14820">
        <v>6105</v>
      </c>
      <c r="D14820" t="str">
        <f>"1084-0699"</f>
        <v>1084-0699</v>
      </c>
      <c r="E14820" t="s">
        <v>8</v>
      </c>
      <c r="F14820" t="s">
        <v>14822</v>
      </c>
      <c r="G14820">
        <v>1</v>
      </c>
    </row>
    <row r="14821" spans="1:7" x14ac:dyDescent="0.25">
      <c r="A14821">
        <v>40</v>
      </c>
      <c r="B14821" t="s">
        <v>14707</v>
      </c>
      <c r="C14821">
        <v>7749767</v>
      </c>
      <c r="D14821" t="str">
        <f>"0719-2452"</f>
        <v>0719-2452</v>
      </c>
      <c r="E14821" t="s">
        <v>8</v>
      </c>
      <c r="F14821" t="s">
        <v>14823</v>
      </c>
      <c r="G14821">
        <v>1</v>
      </c>
    </row>
    <row r="14822" spans="1:7" x14ac:dyDescent="0.25">
      <c r="A14822">
        <v>40</v>
      </c>
      <c r="B14822" t="s">
        <v>14707</v>
      </c>
      <c r="C14822">
        <v>7883</v>
      </c>
      <c r="D14822" t="str">
        <f>"1023-8166"</f>
        <v>1023-8166</v>
      </c>
      <c r="E14822" t="s">
        <v>8</v>
      </c>
      <c r="F14822" t="s">
        <v>14824</v>
      </c>
      <c r="G14822">
        <v>1</v>
      </c>
    </row>
    <row r="14823" spans="1:7" x14ac:dyDescent="0.25">
      <c r="A14823">
        <v>40</v>
      </c>
      <c r="B14823" t="s">
        <v>14707</v>
      </c>
      <c r="C14823">
        <v>16380</v>
      </c>
      <c r="D14823" t="str">
        <f>"0340-0204"</f>
        <v>0340-0204</v>
      </c>
      <c r="E14823" t="s">
        <v>8</v>
      </c>
      <c r="F14823" t="s">
        <v>14825</v>
      </c>
      <c r="G14823">
        <v>1</v>
      </c>
    </row>
    <row r="14824" spans="1:7" x14ac:dyDescent="0.25">
      <c r="A14824">
        <v>40</v>
      </c>
      <c r="B14824" t="s">
        <v>14707</v>
      </c>
      <c r="C14824">
        <v>8161</v>
      </c>
      <c r="D14824" t="str">
        <f>"0920-4105"</f>
        <v>0920-4105</v>
      </c>
      <c r="E14824" t="s">
        <v>8</v>
      </c>
      <c r="F14824" t="s">
        <v>14826</v>
      </c>
      <c r="G14824">
        <v>1</v>
      </c>
    </row>
    <row r="14825" spans="1:7" x14ac:dyDescent="0.25">
      <c r="A14825">
        <v>40</v>
      </c>
      <c r="B14825" t="s">
        <v>14707</v>
      </c>
      <c r="C14825">
        <v>7704190</v>
      </c>
      <c r="D14825" t="str">
        <f>"1947-7988"</f>
        <v>1947-7988</v>
      </c>
      <c r="E14825" t="s">
        <v>8</v>
      </c>
      <c r="F14825" t="s">
        <v>14827</v>
      </c>
      <c r="G14825">
        <v>1</v>
      </c>
    </row>
    <row r="14826" spans="1:7" x14ac:dyDescent="0.25">
      <c r="A14826">
        <v>40</v>
      </c>
      <c r="B14826" t="s">
        <v>14707</v>
      </c>
      <c r="C14826">
        <v>119309</v>
      </c>
      <c r="D14826" t="str">
        <f>"1816-4951"</f>
        <v>1816-4951</v>
      </c>
      <c r="E14826" t="s">
        <v>8</v>
      </c>
      <c r="F14826" t="s">
        <v>14828</v>
      </c>
      <c r="G14826">
        <v>1</v>
      </c>
    </row>
    <row r="14827" spans="1:7" x14ac:dyDescent="0.25">
      <c r="A14827">
        <v>40</v>
      </c>
      <c r="B14827" t="s">
        <v>14707</v>
      </c>
      <c r="C14827">
        <v>16425</v>
      </c>
      <c r="D14827" t="str">
        <f>"1091-028X"</f>
        <v>1091-028X</v>
      </c>
      <c r="E14827" t="s">
        <v>8</v>
      </c>
      <c r="F14827" t="s">
        <v>14829</v>
      </c>
      <c r="G14827">
        <v>1</v>
      </c>
    </row>
    <row r="14828" spans="1:7" x14ac:dyDescent="0.25">
      <c r="A14828">
        <v>40</v>
      </c>
      <c r="B14828" t="s">
        <v>14707</v>
      </c>
      <c r="C14828">
        <v>13811</v>
      </c>
      <c r="D14828" t="str">
        <f>"0378-7753"</f>
        <v>0378-7753</v>
      </c>
      <c r="E14828" t="s">
        <v>8</v>
      </c>
      <c r="F14828" t="s">
        <v>14830</v>
      </c>
      <c r="G14828">
        <v>1</v>
      </c>
    </row>
    <row r="14829" spans="1:7" x14ac:dyDescent="0.25">
      <c r="A14829">
        <v>40</v>
      </c>
      <c r="B14829" t="s">
        <v>14707</v>
      </c>
      <c r="C14829">
        <v>6171943</v>
      </c>
      <c r="D14829" t="str">
        <f>"1941-7012"</f>
        <v>1941-7012</v>
      </c>
      <c r="E14829" t="s">
        <v>8</v>
      </c>
      <c r="F14829" t="s">
        <v>14831</v>
      </c>
      <c r="G14829">
        <v>1</v>
      </c>
    </row>
    <row r="14830" spans="1:7" x14ac:dyDescent="0.25">
      <c r="A14830">
        <v>40</v>
      </c>
      <c r="B14830" t="s">
        <v>14707</v>
      </c>
      <c r="C14830">
        <v>11013</v>
      </c>
      <c r="D14830" t="str">
        <f>"0199-6231"</f>
        <v>0199-6231</v>
      </c>
      <c r="E14830" t="s">
        <v>8</v>
      </c>
      <c r="F14830" t="s">
        <v>14832</v>
      </c>
      <c r="G14830">
        <v>1</v>
      </c>
    </row>
    <row r="14831" spans="1:7" x14ac:dyDescent="0.25">
      <c r="A14831">
        <v>40</v>
      </c>
      <c r="B14831" t="s">
        <v>14707</v>
      </c>
      <c r="C14831">
        <v>7754543</v>
      </c>
      <c r="D14831" t="str">
        <f>"1848-9257"</f>
        <v>1848-9257</v>
      </c>
      <c r="E14831" t="s">
        <v>8</v>
      </c>
      <c r="F14831" t="s">
        <v>14833</v>
      </c>
      <c r="G14831">
        <v>1</v>
      </c>
    </row>
    <row r="14832" spans="1:7" x14ac:dyDescent="0.25">
      <c r="A14832">
        <v>40</v>
      </c>
      <c r="B14832" t="s">
        <v>14707</v>
      </c>
      <c r="C14832">
        <v>1110</v>
      </c>
      <c r="D14832" t="str">
        <f>"0022-4898"</f>
        <v>0022-4898</v>
      </c>
      <c r="E14832" t="s">
        <v>8</v>
      </c>
      <c r="F14832" t="s">
        <v>14834</v>
      </c>
      <c r="G14832">
        <v>1</v>
      </c>
    </row>
    <row r="14833" spans="1:7" x14ac:dyDescent="0.25">
      <c r="A14833">
        <v>40</v>
      </c>
      <c r="B14833" t="s">
        <v>14707</v>
      </c>
      <c r="C14833">
        <v>7327</v>
      </c>
      <c r="D14833" t="str">
        <f>"1093-474X"</f>
        <v>1093-474X</v>
      </c>
      <c r="E14833" t="s">
        <v>8</v>
      </c>
      <c r="F14833" t="s">
        <v>14835</v>
      </c>
      <c r="G14833">
        <v>1</v>
      </c>
    </row>
    <row r="14834" spans="1:7" x14ac:dyDescent="0.25">
      <c r="A14834">
        <v>40</v>
      </c>
      <c r="B14834" t="s">
        <v>14707</v>
      </c>
      <c r="C14834">
        <v>17681</v>
      </c>
      <c r="D14834" t="str">
        <f>"1743-9671"</f>
        <v>1743-9671</v>
      </c>
      <c r="E14834" t="s">
        <v>8</v>
      </c>
      <c r="F14834" t="s">
        <v>14836</v>
      </c>
      <c r="G14834">
        <v>1</v>
      </c>
    </row>
    <row r="14835" spans="1:7" x14ac:dyDescent="0.25">
      <c r="A14835">
        <v>40</v>
      </c>
      <c r="B14835" t="s">
        <v>14707</v>
      </c>
      <c r="C14835">
        <v>15395</v>
      </c>
      <c r="D14835" t="str">
        <f>"0887-8722"</f>
        <v>0887-8722</v>
      </c>
      <c r="E14835" t="s">
        <v>8</v>
      </c>
      <c r="F14835" t="s">
        <v>14837</v>
      </c>
      <c r="G14835">
        <v>1</v>
      </c>
    </row>
    <row r="14836" spans="1:7" x14ac:dyDescent="0.25">
      <c r="A14836">
        <v>40</v>
      </c>
      <c r="B14836" t="s">
        <v>14707</v>
      </c>
      <c r="C14836">
        <v>8766932</v>
      </c>
      <c r="E14836" t="s">
        <v>8</v>
      </c>
      <c r="F14836" t="s">
        <v>14838</v>
      </c>
      <c r="G14836">
        <v>1</v>
      </c>
    </row>
    <row r="14837" spans="1:7" x14ac:dyDescent="0.25">
      <c r="A14837">
        <v>40</v>
      </c>
      <c r="B14837" t="s">
        <v>14707</v>
      </c>
      <c r="C14837">
        <v>874</v>
      </c>
      <c r="D14837" t="str">
        <f>"0733-9496"</f>
        <v>0733-9496</v>
      </c>
      <c r="E14837" t="s">
        <v>8</v>
      </c>
      <c r="F14837" t="s">
        <v>14839</v>
      </c>
      <c r="G14837">
        <v>1</v>
      </c>
    </row>
    <row r="14838" spans="1:7" x14ac:dyDescent="0.25">
      <c r="A14838">
        <v>40</v>
      </c>
      <c r="B14838" t="s">
        <v>14707</v>
      </c>
      <c r="C14838">
        <v>4487</v>
      </c>
      <c r="D14838" t="str">
        <f>"1606-9935"</f>
        <v>1606-9935</v>
      </c>
      <c r="E14838" t="s">
        <v>8</v>
      </c>
      <c r="F14838" t="s">
        <v>14840</v>
      </c>
      <c r="G14838">
        <v>1</v>
      </c>
    </row>
    <row r="14839" spans="1:7" x14ac:dyDescent="0.25">
      <c r="A14839">
        <v>40</v>
      </c>
      <c r="B14839" t="s">
        <v>14707</v>
      </c>
      <c r="C14839">
        <v>5280</v>
      </c>
      <c r="D14839" t="str">
        <f>"0018-6368"</f>
        <v>0018-6368</v>
      </c>
      <c r="E14839" t="s">
        <v>8</v>
      </c>
      <c r="F14839" t="s">
        <v>14841</v>
      </c>
      <c r="G14839">
        <v>1</v>
      </c>
    </row>
    <row r="14840" spans="1:7" x14ac:dyDescent="0.25">
      <c r="A14840">
        <v>40</v>
      </c>
      <c r="B14840" t="s">
        <v>14707</v>
      </c>
      <c r="C14840">
        <v>12167</v>
      </c>
      <c r="D14840" t="str">
        <f>"1025-9112"</f>
        <v>1025-9112</v>
      </c>
      <c r="E14840" t="s">
        <v>8</v>
      </c>
      <c r="F14840" t="s">
        <v>14842</v>
      </c>
      <c r="G14840">
        <v>1</v>
      </c>
    </row>
    <row r="14841" spans="1:7" x14ac:dyDescent="0.25">
      <c r="A14841">
        <v>40</v>
      </c>
      <c r="B14841" t="s">
        <v>14707</v>
      </c>
      <c r="C14841">
        <v>8083</v>
      </c>
      <c r="D14841" t="str">
        <f>"2191-2203"</f>
        <v>2191-2203</v>
      </c>
      <c r="E14841" t="s">
        <v>8</v>
      </c>
      <c r="F14841" t="s">
        <v>14843</v>
      </c>
      <c r="G14841">
        <v>1</v>
      </c>
    </row>
    <row r="14842" spans="1:7" x14ac:dyDescent="0.25">
      <c r="A14842">
        <v>40</v>
      </c>
      <c r="B14842" t="s">
        <v>14707</v>
      </c>
      <c r="C14842">
        <v>10405</v>
      </c>
      <c r="D14842" t="str">
        <f>"1874-6519"</f>
        <v>1874-6519</v>
      </c>
      <c r="E14842" t="s">
        <v>8</v>
      </c>
      <c r="F14842" t="s">
        <v>14844</v>
      </c>
      <c r="G14842">
        <v>1</v>
      </c>
    </row>
    <row r="14843" spans="1:7" x14ac:dyDescent="0.25">
      <c r="A14843">
        <v>40</v>
      </c>
      <c r="B14843" t="s">
        <v>14707</v>
      </c>
      <c r="C14843">
        <v>8758286</v>
      </c>
      <c r="E14843" t="s">
        <v>8</v>
      </c>
      <c r="F14843" t="s">
        <v>14845</v>
      </c>
      <c r="G14843">
        <v>1</v>
      </c>
    </row>
    <row r="14844" spans="1:7" x14ac:dyDescent="0.25">
      <c r="A14844">
        <v>40</v>
      </c>
      <c r="B14844" t="s">
        <v>14707</v>
      </c>
      <c r="C14844">
        <v>89812</v>
      </c>
      <c r="D14844" t="str">
        <f>"1061-8651"</f>
        <v>1061-8651</v>
      </c>
      <c r="E14844" t="s">
        <v>8</v>
      </c>
      <c r="F14844" t="s">
        <v>14846</v>
      </c>
      <c r="G14844">
        <v>1</v>
      </c>
    </row>
    <row r="14845" spans="1:7" x14ac:dyDescent="0.25">
      <c r="A14845">
        <v>40</v>
      </c>
      <c r="B14845" t="s">
        <v>14707</v>
      </c>
      <c r="C14845">
        <v>5479</v>
      </c>
      <c r="D14845" t="str">
        <f>"0892-2055"</f>
        <v>0892-2055</v>
      </c>
      <c r="E14845" t="s">
        <v>8</v>
      </c>
      <c r="F14845" t="s">
        <v>14847</v>
      </c>
      <c r="G14845">
        <v>1</v>
      </c>
    </row>
    <row r="14846" spans="1:7" x14ac:dyDescent="0.25">
      <c r="A14846">
        <v>40</v>
      </c>
      <c r="B14846" t="s">
        <v>14707</v>
      </c>
      <c r="C14846">
        <v>446</v>
      </c>
      <c r="D14846" t="str">
        <f>"0208-189X"</f>
        <v>0208-189X</v>
      </c>
      <c r="E14846" t="s">
        <v>8</v>
      </c>
      <c r="F14846" t="s">
        <v>14848</v>
      </c>
      <c r="G14846">
        <v>1</v>
      </c>
    </row>
    <row r="14847" spans="1:7" x14ac:dyDescent="0.25">
      <c r="A14847">
        <v>40</v>
      </c>
      <c r="B14847" t="s">
        <v>14707</v>
      </c>
      <c r="C14847">
        <v>16277</v>
      </c>
      <c r="D14847" t="str">
        <f>"0191-9512"</f>
        <v>0191-9512</v>
      </c>
      <c r="E14847" t="s">
        <v>8</v>
      </c>
      <c r="F14847" t="s">
        <v>14849</v>
      </c>
      <c r="G14847">
        <v>1</v>
      </c>
    </row>
    <row r="14848" spans="1:7" x14ac:dyDescent="0.25">
      <c r="A14848">
        <v>40</v>
      </c>
      <c r="B14848" t="s">
        <v>14707</v>
      </c>
      <c r="C14848">
        <v>18473</v>
      </c>
      <c r="D14848" t="str">
        <f>"0738-6206"</f>
        <v>0738-6206</v>
      </c>
      <c r="E14848" t="s">
        <v>8</v>
      </c>
      <c r="F14848" t="s">
        <v>14850</v>
      </c>
      <c r="G14848">
        <v>1</v>
      </c>
    </row>
    <row r="14849" spans="1:7" x14ac:dyDescent="0.25">
      <c r="A14849">
        <v>40</v>
      </c>
      <c r="B14849" t="s">
        <v>14707</v>
      </c>
      <c r="C14849">
        <v>13308</v>
      </c>
      <c r="D14849" t="str">
        <f>"0032-5929"</f>
        <v>0032-5929</v>
      </c>
      <c r="E14849" t="s">
        <v>8</v>
      </c>
      <c r="F14849" t="s">
        <v>14851</v>
      </c>
      <c r="G14849">
        <v>1</v>
      </c>
    </row>
    <row r="14850" spans="1:7" x14ac:dyDescent="0.25">
      <c r="A14850">
        <v>40</v>
      </c>
      <c r="B14850" t="s">
        <v>14707</v>
      </c>
      <c r="C14850">
        <v>16504</v>
      </c>
      <c r="D14850" t="str">
        <f>"0032-5961"</f>
        <v>0032-5961</v>
      </c>
      <c r="E14850" t="s">
        <v>8</v>
      </c>
      <c r="F14850" t="s">
        <v>14852</v>
      </c>
      <c r="G14850">
        <v>1</v>
      </c>
    </row>
    <row r="14851" spans="1:7" x14ac:dyDescent="0.25">
      <c r="A14851">
        <v>40</v>
      </c>
      <c r="B14851" t="s">
        <v>14707</v>
      </c>
      <c r="C14851">
        <v>8080</v>
      </c>
      <c r="D14851" t="str">
        <f>"1540-7489"</f>
        <v>1540-7489</v>
      </c>
      <c r="E14851" t="s">
        <v>8</v>
      </c>
      <c r="F14851" t="s">
        <v>14853</v>
      </c>
      <c r="G14851">
        <v>1</v>
      </c>
    </row>
    <row r="14852" spans="1:7" x14ac:dyDescent="0.25">
      <c r="A14852">
        <v>40</v>
      </c>
      <c r="B14852" t="s">
        <v>14707</v>
      </c>
      <c r="C14852">
        <v>14641</v>
      </c>
      <c r="D14852" t="str">
        <f>"1747-6526"</f>
        <v>1747-6526</v>
      </c>
      <c r="E14852" t="s">
        <v>8</v>
      </c>
      <c r="F14852" t="s">
        <v>14854</v>
      </c>
      <c r="G14852">
        <v>1</v>
      </c>
    </row>
    <row r="14853" spans="1:7" x14ac:dyDescent="0.25">
      <c r="A14853">
        <v>40</v>
      </c>
      <c r="B14853" t="s">
        <v>14707</v>
      </c>
      <c r="C14853">
        <v>12766</v>
      </c>
      <c r="D14853" t="str">
        <f>"1741-7589"</f>
        <v>1741-7589</v>
      </c>
      <c r="E14853" t="s">
        <v>8</v>
      </c>
      <c r="F14853" t="s">
        <v>14855</v>
      </c>
      <c r="G14853">
        <v>1</v>
      </c>
    </row>
    <row r="14854" spans="1:7" x14ac:dyDescent="0.25">
      <c r="A14854">
        <v>40</v>
      </c>
      <c r="B14854" t="s">
        <v>14707</v>
      </c>
      <c r="C14854">
        <v>5229</v>
      </c>
      <c r="D14854" t="str">
        <f>"1470-9236"</f>
        <v>1470-9236</v>
      </c>
      <c r="E14854" t="s">
        <v>8</v>
      </c>
      <c r="F14854" t="s">
        <v>14856</v>
      </c>
      <c r="G14854">
        <v>1</v>
      </c>
    </row>
    <row r="14855" spans="1:7" x14ac:dyDescent="0.25">
      <c r="A14855">
        <v>40</v>
      </c>
      <c r="B14855" t="s">
        <v>14707</v>
      </c>
      <c r="C14855">
        <v>5411</v>
      </c>
      <c r="D14855" t="str">
        <f>"0960-1481"</f>
        <v>0960-1481</v>
      </c>
      <c r="E14855" t="s">
        <v>8</v>
      </c>
      <c r="F14855" t="s">
        <v>14857</v>
      </c>
      <c r="G14855">
        <v>1</v>
      </c>
    </row>
    <row r="14856" spans="1:7" x14ac:dyDescent="0.25">
      <c r="A14856">
        <v>40</v>
      </c>
      <c r="B14856" t="s">
        <v>14707</v>
      </c>
      <c r="C14856">
        <v>13469</v>
      </c>
      <c r="E14856" t="s">
        <v>8</v>
      </c>
      <c r="F14856" t="s">
        <v>14858</v>
      </c>
      <c r="G14856">
        <v>1</v>
      </c>
    </row>
    <row r="14857" spans="1:7" x14ac:dyDescent="0.25">
      <c r="A14857">
        <v>40</v>
      </c>
      <c r="B14857" t="s">
        <v>14707</v>
      </c>
      <c r="C14857">
        <v>5123</v>
      </c>
      <c r="D14857" t="str">
        <f>"2374-4731"</f>
        <v>2374-4731</v>
      </c>
      <c r="E14857" t="s">
        <v>8</v>
      </c>
      <c r="F14857" t="s">
        <v>14859</v>
      </c>
      <c r="G14857">
        <v>1</v>
      </c>
    </row>
    <row r="14858" spans="1:7" x14ac:dyDescent="0.25">
      <c r="A14858">
        <v>40</v>
      </c>
      <c r="B14858" t="s">
        <v>14707</v>
      </c>
      <c r="C14858">
        <v>4795</v>
      </c>
      <c r="D14858" t="str">
        <f>"0938-1287"</f>
        <v>0938-1287</v>
      </c>
      <c r="E14858" t="s">
        <v>8</v>
      </c>
      <c r="F14858" t="s">
        <v>14860</v>
      </c>
      <c r="G14858">
        <v>1</v>
      </c>
    </row>
    <row r="14859" spans="1:7" x14ac:dyDescent="0.25">
      <c r="A14859">
        <v>40</v>
      </c>
      <c r="B14859" t="s">
        <v>14707</v>
      </c>
      <c r="C14859">
        <v>16149</v>
      </c>
      <c r="D14859" t="str">
        <f>"0038-092X"</f>
        <v>0038-092X</v>
      </c>
      <c r="E14859" t="s">
        <v>8</v>
      </c>
      <c r="F14859" t="s">
        <v>14861</v>
      </c>
      <c r="G14859">
        <v>1</v>
      </c>
    </row>
    <row r="14860" spans="1:7" x14ac:dyDescent="0.25">
      <c r="A14860">
        <v>40</v>
      </c>
      <c r="B14860" t="s">
        <v>14707</v>
      </c>
      <c r="C14860">
        <v>25583</v>
      </c>
      <c r="D14860" t="str">
        <f>"1048-5236"</f>
        <v>1048-5236</v>
      </c>
      <c r="E14860" t="s">
        <v>8</v>
      </c>
      <c r="F14860" t="s">
        <v>14862</v>
      </c>
      <c r="G14860">
        <v>1</v>
      </c>
    </row>
    <row r="14861" spans="1:7" x14ac:dyDescent="0.25">
      <c r="A14861">
        <v>40</v>
      </c>
      <c r="B14861" t="s">
        <v>14707</v>
      </c>
      <c r="C14861">
        <v>6295485</v>
      </c>
      <c r="E14861" t="s">
        <v>8</v>
      </c>
      <c r="F14861" t="s">
        <v>14863</v>
      </c>
      <c r="G14861">
        <v>1</v>
      </c>
    </row>
    <row r="14862" spans="1:7" x14ac:dyDescent="0.25">
      <c r="A14862">
        <v>40</v>
      </c>
      <c r="B14862" t="s">
        <v>14707</v>
      </c>
      <c r="C14862">
        <v>6295486</v>
      </c>
      <c r="D14862" t="str">
        <f>"2040-8021"</f>
        <v>2040-8021</v>
      </c>
      <c r="E14862" t="s">
        <v>8</v>
      </c>
      <c r="F14862" t="s">
        <v>14864</v>
      </c>
      <c r="G14862">
        <v>1</v>
      </c>
    </row>
    <row r="14863" spans="1:7" x14ac:dyDescent="0.25">
      <c r="A14863">
        <v>40</v>
      </c>
      <c r="B14863" t="s">
        <v>14707</v>
      </c>
      <c r="C14863">
        <v>8782562</v>
      </c>
      <c r="D14863" t="str">
        <f>"2398-4902"</f>
        <v>2398-4902</v>
      </c>
      <c r="E14863" t="s">
        <v>8</v>
      </c>
      <c r="F14863" t="s">
        <v>14865</v>
      </c>
      <c r="G14863">
        <v>1</v>
      </c>
    </row>
    <row r="14864" spans="1:7" x14ac:dyDescent="0.25">
      <c r="A14864">
        <v>40</v>
      </c>
      <c r="B14864" t="s">
        <v>14707</v>
      </c>
      <c r="C14864">
        <v>7738722</v>
      </c>
      <c r="D14864" t="str">
        <f>"2213-1388"</f>
        <v>2213-1388</v>
      </c>
      <c r="E14864" t="s">
        <v>8</v>
      </c>
      <c r="F14864" t="s">
        <v>14866</v>
      </c>
      <c r="G14864">
        <v>1</v>
      </c>
    </row>
    <row r="14865" spans="1:7" x14ac:dyDescent="0.25">
      <c r="A14865">
        <v>40</v>
      </c>
      <c r="B14865" t="s">
        <v>14707</v>
      </c>
      <c r="C14865">
        <v>19736</v>
      </c>
      <c r="D14865" t="str">
        <f>"1040-6190"</f>
        <v>1040-6190</v>
      </c>
      <c r="E14865" t="s">
        <v>8</v>
      </c>
      <c r="F14865" t="s">
        <v>14867</v>
      </c>
      <c r="G14865">
        <v>1</v>
      </c>
    </row>
    <row r="14866" spans="1:7" x14ac:dyDescent="0.25">
      <c r="A14866">
        <v>40</v>
      </c>
      <c r="B14866" t="s">
        <v>14707</v>
      </c>
      <c r="C14866">
        <v>9578</v>
      </c>
      <c r="D14866" t="str">
        <f>"0195-6574"</f>
        <v>0195-6574</v>
      </c>
      <c r="E14866" t="s">
        <v>8</v>
      </c>
      <c r="F14866" t="s">
        <v>14868</v>
      </c>
      <c r="G14866">
        <v>1</v>
      </c>
    </row>
    <row r="14867" spans="1:7" x14ac:dyDescent="0.25">
      <c r="A14867">
        <v>40</v>
      </c>
      <c r="B14867" t="s">
        <v>14707</v>
      </c>
      <c r="C14867">
        <v>180108</v>
      </c>
      <c r="D14867" t="str">
        <f>"2214-790X"</f>
        <v>2214-790X</v>
      </c>
      <c r="E14867" t="s">
        <v>8</v>
      </c>
      <c r="F14867" t="s">
        <v>14869</v>
      </c>
      <c r="G14867">
        <v>1</v>
      </c>
    </row>
    <row r="14868" spans="1:7" x14ac:dyDescent="0.25">
      <c r="A14868">
        <v>40</v>
      </c>
      <c r="B14868" t="s">
        <v>14707</v>
      </c>
      <c r="C14868">
        <v>27528</v>
      </c>
      <c r="D14868" t="str">
        <f>"0354-9836"</f>
        <v>0354-9836</v>
      </c>
      <c r="E14868" t="s">
        <v>8</v>
      </c>
      <c r="F14868" t="s">
        <v>14870</v>
      </c>
      <c r="G14868">
        <v>1</v>
      </c>
    </row>
    <row r="14869" spans="1:7" x14ac:dyDescent="0.25">
      <c r="A14869">
        <v>40</v>
      </c>
      <c r="B14869" t="s">
        <v>14707</v>
      </c>
      <c r="C14869">
        <v>14170</v>
      </c>
      <c r="D14869" t="str">
        <f>"0169-3913"</f>
        <v>0169-3913</v>
      </c>
      <c r="E14869" t="s">
        <v>8</v>
      </c>
      <c r="F14869" t="s">
        <v>14871</v>
      </c>
      <c r="G14869">
        <v>1</v>
      </c>
    </row>
    <row r="14870" spans="1:7" x14ac:dyDescent="0.25">
      <c r="A14870">
        <v>40</v>
      </c>
      <c r="B14870" t="s">
        <v>14707</v>
      </c>
      <c r="C14870">
        <v>108387</v>
      </c>
      <c r="D14870" t="str">
        <f>"0771-3312"</f>
        <v>0771-3312</v>
      </c>
      <c r="E14870" t="s">
        <v>8</v>
      </c>
      <c r="F14870" t="s">
        <v>14872</v>
      </c>
      <c r="G14870">
        <v>1</v>
      </c>
    </row>
    <row r="14871" spans="1:7" x14ac:dyDescent="0.25">
      <c r="A14871">
        <v>40</v>
      </c>
      <c r="B14871" t="s">
        <v>14707</v>
      </c>
      <c r="C14871">
        <v>9172</v>
      </c>
      <c r="D14871" t="str">
        <f>"0957-1787"</f>
        <v>0957-1787</v>
      </c>
      <c r="E14871" t="s">
        <v>8</v>
      </c>
      <c r="F14871" t="s">
        <v>14873</v>
      </c>
      <c r="G14871">
        <v>1</v>
      </c>
    </row>
    <row r="14872" spans="1:7" x14ac:dyDescent="0.25">
      <c r="A14872">
        <v>40</v>
      </c>
      <c r="B14872" t="s">
        <v>14707</v>
      </c>
      <c r="C14872">
        <v>6325244</v>
      </c>
      <c r="D14872" t="str">
        <f>"1877-2641"</f>
        <v>1877-2641</v>
      </c>
      <c r="E14872" t="s">
        <v>8</v>
      </c>
      <c r="F14872" t="s">
        <v>14874</v>
      </c>
      <c r="G14872">
        <v>1</v>
      </c>
    </row>
    <row r="14873" spans="1:7" x14ac:dyDescent="0.25">
      <c r="A14873">
        <v>40</v>
      </c>
      <c r="B14873" t="s">
        <v>14707</v>
      </c>
      <c r="C14873">
        <v>2384</v>
      </c>
      <c r="D14873" t="str">
        <f>"0734-242X"</f>
        <v>0734-242X</v>
      </c>
      <c r="E14873" t="s">
        <v>8</v>
      </c>
      <c r="F14873" t="s">
        <v>14875</v>
      </c>
      <c r="G14873">
        <v>1</v>
      </c>
    </row>
    <row r="14874" spans="1:7" x14ac:dyDescent="0.25">
      <c r="A14874">
        <v>40</v>
      </c>
      <c r="B14874" t="s">
        <v>14707</v>
      </c>
      <c r="C14874">
        <v>16246</v>
      </c>
      <c r="D14874" t="str">
        <f>"0250-8060"</f>
        <v>0250-8060</v>
      </c>
      <c r="E14874" t="s">
        <v>8</v>
      </c>
      <c r="F14874" t="s">
        <v>14876</v>
      </c>
      <c r="G14874">
        <v>1</v>
      </c>
    </row>
    <row r="14875" spans="1:7" x14ac:dyDescent="0.25">
      <c r="A14875">
        <v>40</v>
      </c>
      <c r="B14875" t="s">
        <v>14707</v>
      </c>
      <c r="C14875">
        <v>16861</v>
      </c>
      <c r="D14875" t="str">
        <f>"1366-7017"</f>
        <v>1366-7017</v>
      </c>
      <c r="E14875" t="s">
        <v>8</v>
      </c>
      <c r="F14875" t="s">
        <v>14877</v>
      </c>
      <c r="G14875">
        <v>1</v>
      </c>
    </row>
    <row r="14876" spans="1:7" x14ac:dyDescent="0.25">
      <c r="A14876">
        <v>40</v>
      </c>
      <c r="B14876" t="s">
        <v>14707</v>
      </c>
      <c r="C14876">
        <v>13182</v>
      </c>
      <c r="D14876" t="str">
        <f>"0097-8078"</f>
        <v>0097-8078</v>
      </c>
      <c r="E14876" t="s">
        <v>8</v>
      </c>
      <c r="F14876" t="s">
        <v>14878</v>
      </c>
      <c r="G14876">
        <v>1</v>
      </c>
    </row>
    <row r="14877" spans="1:7" x14ac:dyDescent="0.25">
      <c r="A14877">
        <v>40</v>
      </c>
      <c r="B14877" t="s">
        <v>14707</v>
      </c>
      <c r="C14877">
        <v>150944</v>
      </c>
      <c r="D14877" t="str">
        <f>"0378-4738"</f>
        <v>0378-4738</v>
      </c>
      <c r="E14877" t="s">
        <v>8</v>
      </c>
      <c r="F14877" t="s">
        <v>14879</v>
      </c>
      <c r="G14877">
        <v>1</v>
      </c>
    </row>
    <row r="14878" spans="1:7" x14ac:dyDescent="0.25">
      <c r="A14878">
        <v>40</v>
      </c>
      <c r="B14878" t="s">
        <v>14707</v>
      </c>
      <c r="C14878">
        <v>125</v>
      </c>
      <c r="D14878" t="str">
        <f>"0273-1223"</f>
        <v>0273-1223</v>
      </c>
      <c r="E14878" t="s">
        <v>8</v>
      </c>
      <c r="F14878" t="s">
        <v>14880</v>
      </c>
      <c r="G14878">
        <v>1</v>
      </c>
    </row>
    <row r="14879" spans="1:7" x14ac:dyDescent="0.25">
      <c r="A14879">
        <v>40</v>
      </c>
      <c r="B14879" t="s">
        <v>14707</v>
      </c>
      <c r="C14879">
        <v>13217</v>
      </c>
      <c r="D14879" t="str">
        <f>"1606-9749"</f>
        <v>1606-9749</v>
      </c>
      <c r="E14879" t="s">
        <v>8</v>
      </c>
      <c r="F14879" t="s">
        <v>14881</v>
      </c>
      <c r="G14879">
        <v>1</v>
      </c>
    </row>
    <row r="14880" spans="1:7" x14ac:dyDescent="0.25">
      <c r="A14880">
        <v>40</v>
      </c>
      <c r="B14880" t="s">
        <v>14707</v>
      </c>
      <c r="C14880">
        <v>7737307</v>
      </c>
      <c r="D14880" t="str">
        <f>"2041-8396"</f>
        <v>2041-8396</v>
      </c>
      <c r="E14880" t="s">
        <v>8</v>
      </c>
      <c r="F14880" t="s">
        <v>14882</v>
      </c>
      <c r="G14880">
        <v>1</v>
      </c>
    </row>
    <row r="14881" spans="1:7" x14ac:dyDescent="0.25">
      <c r="A14881">
        <v>40</v>
      </c>
      <c r="B14881" t="s">
        <v>14707</v>
      </c>
      <c r="C14881">
        <v>8781142</v>
      </c>
      <c r="D14881" t="str">
        <f>" 2366-7443"</f>
        <v xml:space="preserve"> 2366-7443</v>
      </c>
      <c r="E14881" t="s">
        <v>8</v>
      </c>
      <c r="F14881" t="s">
        <v>14883</v>
      </c>
      <c r="G14881">
        <v>1</v>
      </c>
    </row>
    <row r="14882" spans="1:7" x14ac:dyDescent="0.25">
      <c r="A14882">
        <v>40</v>
      </c>
      <c r="B14882" t="s">
        <v>14707</v>
      </c>
      <c r="C14882">
        <v>6184</v>
      </c>
      <c r="D14882" t="str">
        <f>"0735-6161"</f>
        <v>0735-6161</v>
      </c>
      <c r="E14882" t="s">
        <v>8</v>
      </c>
      <c r="F14882" t="s">
        <v>14884</v>
      </c>
      <c r="G14882">
        <v>1</v>
      </c>
    </row>
    <row r="14883" spans="1:7" x14ac:dyDescent="0.25">
      <c r="A14883">
        <v>40</v>
      </c>
      <c r="B14883" t="s">
        <v>14707</v>
      </c>
      <c r="C14883">
        <v>1011</v>
      </c>
      <c r="D14883" t="str">
        <f>"1748-0272"</f>
        <v>1748-0272</v>
      </c>
      <c r="E14883" t="s">
        <v>8</v>
      </c>
      <c r="F14883" t="s">
        <v>14885</v>
      </c>
      <c r="G14883">
        <v>1</v>
      </c>
    </row>
    <row r="14884" spans="1:7" x14ac:dyDescent="0.25">
      <c r="A14884">
        <v>40</v>
      </c>
      <c r="B14884" t="s">
        <v>14707</v>
      </c>
      <c r="C14884">
        <v>11458</v>
      </c>
      <c r="D14884" t="str">
        <f>"0043-7719"</f>
        <v>0043-7719</v>
      </c>
      <c r="E14884" t="s">
        <v>8</v>
      </c>
      <c r="F14884" t="s">
        <v>14886</v>
      </c>
      <c r="G14884">
        <v>1</v>
      </c>
    </row>
    <row r="14885" spans="1:7" x14ac:dyDescent="0.25">
      <c r="A14885">
        <v>40</v>
      </c>
      <c r="B14885" t="s">
        <v>14707</v>
      </c>
      <c r="C14885">
        <v>18700</v>
      </c>
      <c r="D14885" t="str">
        <f>"1741-2242"</f>
        <v>1741-2242</v>
      </c>
      <c r="E14885" t="s">
        <v>8</v>
      </c>
      <c r="F14885" t="s">
        <v>14887</v>
      </c>
      <c r="G14885">
        <v>1</v>
      </c>
    </row>
    <row r="14886" spans="1:7" x14ac:dyDescent="0.25">
      <c r="A14886">
        <v>40</v>
      </c>
      <c r="B14886" t="s">
        <v>14707</v>
      </c>
      <c r="C14886">
        <v>8783794</v>
      </c>
      <c r="D14886" t="str">
        <f>"2199-7373"</f>
        <v>2199-7373</v>
      </c>
      <c r="E14886" t="s">
        <v>15</v>
      </c>
      <c r="F14886" t="s">
        <v>14888</v>
      </c>
      <c r="G14886">
        <v>1</v>
      </c>
    </row>
    <row r="14887" spans="1:7" x14ac:dyDescent="0.25">
      <c r="A14887">
        <v>41</v>
      </c>
      <c r="B14887" t="s">
        <v>14889</v>
      </c>
      <c r="C14887">
        <v>11175</v>
      </c>
      <c r="D14887" t="str">
        <f>"0001-1541"</f>
        <v>0001-1541</v>
      </c>
      <c r="E14887" t="s">
        <v>8</v>
      </c>
      <c r="F14887" t="s">
        <v>14890</v>
      </c>
      <c r="G14887">
        <v>2</v>
      </c>
    </row>
    <row r="14888" spans="1:7" x14ac:dyDescent="0.25">
      <c r="A14888">
        <v>41</v>
      </c>
      <c r="B14888" t="s">
        <v>14889</v>
      </c>
      <c r="C14888">
        <v>12338</v>
      </c>
      <c r="D14888" t="str">
        <f>"0926-3373"</f>
        <v>0926-3373</v>
      </c>
      <c r="E14888" t="s">
        <v>8</v>
      </c>
      <c r="F14888" t="s">
        <v>14891</v>
      </c>
      <c r="G14888">
        <v>2</v>
      </c>
    </row>
    <row r="14889" spans="1:7" x14ac:dyDescent="0.25">
      <c r="A14889">
        <v>41</v>
      </c>
      <c r="B14889" t="s">
        <v>14889</v>
      </c>
      <c r="C14889">
        <v>9719</v>
      </c>
      <c r="D14889" t="str">
        <f>"0161-4940"</f>
        <v>0161-4940</v>
      </c>
      <c r="E14889" t="s">
        <v>8</v>
      </c>
      <c r="F14889" t="s">
        <v>14892</v>
      </c>
      <c r="G14889">
        <v>2</v>
      </c>
    </row>
    <row r="14890" spans="1:7" x14ac:dyDescent="0.25">
      <c r="A14890">
        <v>41</v>
      </c>
      <c r="B14890" t="s">
        <v>14889</v>
      </c>
      <c r="C14890">
        <v>7714406</v>
      </c>
      <c r="D14890" t="str">
        <f>"2073-4344"</f>
        <v>2073-4344</v>
      </c>
      <c r="E14890" t="s">
        <v>8</v>
      </c>
      <c r="F14890" t="s">
        <v>14893</v>
      </c>
      <c r="G14890">
        <v>2</v>
      </c>
    </row>
    <row r="14891" spans="1:7" x14ac:dyDescent="0.25">
      <c r="A14891">
        <v>41</v>
      </c>
      <c r="B14891" t="s">
        <v>14889</v>
      </c>
      <c r="C14891">
        <v>8041</v>
      </c>
      <c r="D14891" t="str">
        <f>"0255-2701"</f>
        <v>0255-2701</v>
      </c>
      <c r="E14891" t="s">
        <v>8</v>
      </c>
      <c r="F14891" t="s">
        <v>14894</v>
      </c>
      <c r="G14891">
        <v>2</v>
      </c>
    </row>
    <row r="14892" spans="1:7" x14ac:dyDescent="0.25">
      <c r="A14892">
        <v>41</v>
      </c>
      <c r="B14892" t="s">
        <v>14889</v>
      </c>
      <c r="C14892">
        <v>9114</v>
      </c>
      <c r="D14892" t="str">
        <f>"1385-8947"</f>
        <v>1385-8947</v>
      </c>
      <c r="E14892" t="s">
        <v>8</v>
      </c>
      <c r="F14892" t="s">
        <v>14895</v>
      </c>
      <c r="G14892">
        <v>2</v>
      </c>
    </row>
    <row r="14893" spans="1:7" x14ac:dyDescent="0.25">
      <c r="A14893">
        <v>41</v>
      </c>
      <c r="B14893" t="s">
        <v>14889</v>
      </c>
      <c r="C14893">
        <v>4613</v>
      </c>
      <c r="D14893" t="str">
        <f>"0263-8762"</f>
        <v>0263-8762</v>
      </c>
      <c r="E14893" t="s">
        <v>8</v>
      </c>
      <c r="F14893" t="s">
        <v>14896</v>
      </c>
      <c r="G14893">
        <v>2</v>
      </c>
    </row>
    <row r="14894" spans="1:7" x14ac:dyDescent="0.25">
      <c r="A14894">
        <v>41</v>
      </c>
      <c r="B14894" t="s">
        <v>14889</v>
      </c>
      <c r="C14894">
        <v>5667</v>
      </c>
      <c r="D14894" t="str">
        <f>"0009-2509"</f>
        <v>0009-2509</v>
      </c>
      <c r="E14894" t="s">
        <v>8</v>
      </c>
      <c r="F14894" t="s">
        <v>14897</v>
      </c>
      <c r="G14894">
        <v>2</v>
      </c>
    </row>
    <row r="14895" spans="1:7" x14ac:dyDescent="0.25">
      <c r="A14895">
        <v>41</v>
      </c>
      <c r="B14895" t="s">
        <v>14889</v>
      </c>
      <c r="C14895">
        <v>1603</v>
      </c>
      <c r="D14895" t="str">
        <f>"0010-2180"</f>
        <v>0010-2180</v>
      </c>
      <c r="E14895" t="s">
        <v>8</v>
      </c>
      <c r="F14895" t="s">
        <v>14898</v>
      </c>
      <c r="G14895">
        <v>2</v>
      </c>
    </row>
    <row r="14896" spans="1:7" x14ac:dyDescent="0.25">
      <c r="A14896">
        <v>41</v>
      </c>
      <c r="B14896" t="s">
        <v>14889</v>
      </c>
      <c r="C14896">
        <v>6229</v>
      </c>
      <c r="D14896" t="str">
        <f>"0098-1354"</f>
        <v>0098-1354</v>
      </c>
      <c r="E14896" t="s">
        <v>8</v>
      </c>
      <c r="F14896" t="s">
        <v>14899</v>
      </c>
      <c r="G14896">
        <v>2</v>
      </c>
    </row>
    <row r="14897" spans="1:7" x14ac:dyDescent="0.25">
      <c r="A14897">
        <v>41</v>
      </c>
      <c r="B14897" t="s">
        <v>14889</v>
      </c>
      <c r="C14897">
        <v>4718</v>
      </c>
      <c r="D14897" t="str">
        <f>"0378-3812"</f>
        <v>0378-3812</v>
      </c>
      <c r="E14897" t="s">
        <v>8</v>
      </c>
      <c r="F14897" t="s">
        <v>14900</v>
      </c>
      <c r="G14897">
        <v>2</v>
      </c>
    </row>
    <row r="14898" spans="1:7" x14ac:dyDescent="0.25">
      <c r="A14898">
        <v>41</v>
      </c>
      <c r="B14898" t="s">
        <v>14889</v>
      </c>
      <c r="C14898">
        <v>5418</v>
      </c>
      <c r="D14898" t="str">
        <f>"0888-5885"</f>
        <v>0888-5885</v>
      </c>
      <c r="E14898" t="s">
        <v>8</v>
      </c>
      <c r="F14898" t="s">
        <v>14901</v>
      </c>
      <c r="G14898">
        <v>2</v>
      </c>
    </row>
    <row r="14899" spans="1:7" x14ac:dyDescent="0.25">
      <c r="A14899">
        <v>41</v>
      </c>
      <c r="B14899" t="s">
        <v>14889</v>
      </c>
      <c r="C14899">
        <v>10363</v>
      </c>
      <c r="D14899" t="str">
        <f>"0021-9517"</f>
        <v>0021-9517</v>
      </c>
      <c r="E14899" t="s">
        <v>8</v>
      </c>
      <c r="F14899" t="s">
        <v>14902</v>
      </c>
      <c r="G14899">
        <v>2</v>
      </c>
    </row>
    <row r="14900" spans="1:7" x14ac:dyDescent="0.25">
      <c r="A14900">
        <v>41</v>
      </c>
      <c r="B14900" t="s">
        <v>14889</v>
      </c>
      <c r="C14900">
        <v>1595</v>
      </c>
      <c r="D14900" t="str">
        <f>"0021-9568"</f>
        <v>0021-9568</v>
      </c>
      <c r="E14900" t="s">
        <v>8</v>
      </c>
      <c r="F14900" t="s">
        <v>14903</v>
      </c>
      <c r="G14900">
        <v>2</v>
      </c>
    </row>
    <row r="14901" spans="1:7" x14ac:dyDescent="0.25">
      <c r="A14901">
        <v>41</v>
      </c>
      <c r="B14901" t="s">
        <v>14889</v>
      </c>
      <c r="C14901">
        <v>15868</v>
      </c>
      <c r="D14901" t="str">
        <f>"0376-7388"</f>
        <v>0376-7388</v>
      </c>
      <c r="E14901" t="s">
        <v>8</v>
      </c>
      <c r="F14901" t="s">
        <v>14904</v>
      </c>
      <c r="G14901">
        <v>2</v>
      </c>
    </row>
    <row r="14902" spans="1:7" x14ac:dyDescent="0.25">
      <c r="A14902">
        <v>41</v>
      </c>
      <c r="B14902" t="s">
        <v>14889</v>
      </c>
      <c r="C14902">
        <v>1058</v>
      </c>
      <c r="D14902" t="str">
        <f>"0959-1524"</f>
        <v>0959-1524</v>
      </c>
      <c r="E14902" t="s">
        <v>8</v>
      </c>
      <c r="F14902" t="s">
        <v>14905</v>
      </c>
      <c r="G14902">
        <v>2</v>
      </c>
    </row>
    <row r="14903" spans="1:7" x14ac:dyDescent="0.25">
      <c r="A14903">
        <v>41</v>
      </c>
      <c r="B14903" t="s">
        <v>14889</v>
      </c>
      <c r="C14903">
        <v>12040</v>
      </c>
      <c r="D14903" t="str">
        <f>"0360-1285"</f>
        <v>0360-1285</v>
      </c>
      <c r="E14903" t="s">
        <v>8</v>
      </c>
      <c r="F14903" t="s">
        <v>14906</v>
      </c>
      <c r="G14903">
        <v>2</v>
      </c>
    </row>
    <row r="14904" spans="1:7" x14ac:dyDescent="0.25">
      <c r="A14904">
        <v>41</v>
      </c>
      <c r="B14904" t="s">
        <v>14889</v>
      </c>
      <c r="C14904">
        <v>14161</v>
      </c>
      <c r="D14904" t="str">
        <f>"0167-8299"</f>
        <v>0167-8299</v>
      </c>
      <c r="E14904" t="s">
        <v>8</v>
      </c>
      <c r="F14904" t="s">
        <v>14907</v>
      </c>
      <c r="G14904">
        <v>2</v>
      </c>
    </row>
    <row r="14905" spans="1:7" x14ac:dyDescent="0.25">
      <c r="A14905">
        <v>41</v>
      </c>
      <c r="B14905" t="s">
        <v>14889</v>
      </c>
      <c r="C14905">
        <v>17052</v>
      </c>
      <c r="D14905" t="str">
        <f>"1542-2119"</f>
        <v>1542-2119</v>
      </c>
      <c r="E14905" t="s">
        <v>8</v>
      </c>
      <c r="F14905" t="s">
        <v>14908</v>
      </c>
      <c r="G14905">
        <v>2</v>
      </c>
    </row>
    <row r="14906" spans="1:7" x14ac:dyDescent="0.25">
      <c r="A14906">
        <v>41</v>
      </c>
      <c r="B14906" t="s">
        <v>14889</v>
      </c>
      <c r="C14906">
        <v>5981</v>
      </c>
      <c r="D14906" t="str">
        <f>"1383-5866"</f>
        <v>1383-5866</v>
      </c>
      <c r="E14906" t="s">
        <v>8</v>
      </c>
      <c r="F14906" t="s">
        <v>14909</v>
      </c>
      <c r="G14906">
        <v>2</v>
      </c>
    </row>
    <row r="14907" spans="1:7" x14ac:dyDescent="0.25">
      <c r="A14907">
        <v>41</v>
      </c>
      <c r="B14907" t="s">
        <v>14889</v>
      </c>
      <c r="C14907">
        <v>13723</v>
      </c>
      <c r="D14907" t="str">
        <f>"0896-8446"</f>
        <v>0896-8446</v>
      </c>
      <c r="E14907" t="s">
        <v>8</v>
      </c>
      <c r="F14907" t="s">
        <v>14910</v>
      </c>
      <c r="G14907">
        <v>2</v>
      </c>
    </row>
    <row r="14908" spans="1:7" x14ac:dyDescent="0.25">
      <c r="A14908">
        <v>41</v>
      </c>
      <c r="B14908" t="s">
        <v>14889</v>
      </c>
      <c r="C14908">
        <v>8783386</v>
      </c>
      <c r="E14908" t="s">
        <v>8</v>
      </c>
      <c r="F14908" t="s">
        <v>14911</v>
      </c>
      <c r="G14908">
        <v>1</v>
      </c>
    </row>
    <row r="14909" spans="1:7" x14ac:dyDescent="0.25">
      <c r="A14909">
        <v>41</v>
      </c>
      <c r="B14909" t="s">
        <v>14889</v>
      </c>
      <c r="C14909">
        <v>1039</v>
      </c>
      <c r="D14909" t="str">
        <f>"0353-4707"</f>
        <v>0353-4707</v>
      </c>
      <c r="E14909" t="s">
        <v>8</v>
      </c>
      <c r="F14909" t="s">
        <v>14912</v>
      </c>
      <c r="G14909">
        <v>1</v>
      </c>
    </row>
    <row r="14910" spans="1:7" x14ac:dyDescent="0.25">
      <c r="A14910">
        <v>41</v>
      </c>
      <c r="B14910" t="s">
        <v>14889</v>
      </c>
      <c r="C14910">
        <v>8699</v>
      </c>
      <c r="D14910" t="str">
        <f>"0929-5607"</f>
        <v>0929-5607</v>
      </c>
      <c r="E14910" t="s">
        <v>8</v>
      </c>
      <c r="F14910" t="s">
        <v>14913</v>
      </c>
      <c r="G14910">
        <v>1</v>
      </c>
    </row>
    <row r="14911" spans="1:7" x14ac:dyDescent="0.25">
      <c r="A14911">
        <v>41</v>
      </c>
      <c r="B14911" t="s">
        <v>14889</v>
      </c>
      <c r="C14911">
        <v>6903</v>
      </c>
      <c r="D14911" t="str">
        <f>"0263-6174"</f>
        <v>0263-6174</v>
      </c>
      <c r="E14911" t="s">
        <v>8</v>
      </c>
      <c r="F14911" t="s">
        <v>14914</v>
      </c>
      <c r="G14911">
        <v>1</v>
      </c>
    </row>
    <row r="14912" spans="1:7" x14ac:dyDescent="0.25">
      <c r="A14912">
        <v>41</v>
      </c>
      <c r="B14912" t="s">
        <v>14889</v>
      </c>
      <c r="C14912">
        <v>3746</v>
      </c>
      <c r="D14912" t="str">
        <f>"0921-8831"</f>
        <v>0921-8831</v>
      </c>
      <c r="E14912" t="s">
        <v>8</v>
      </c>
      <c r="F14912" t="s">
        <v>14915</v>
      </c>
      <c r="G14912">
        <v>1</v>
      </c>
    </row>
    <row r="14913" spans="1:7" x14ac:dyDescent="0.25">
      <c r="A14913">
        <v>41</v>
      </c>
      <c r="B14913" t="s">
        <v>14889</v>
      </c>
      <c r="C14913">
        <v>10632</v>
      </c>
      <c r="D14913" t="str">
        <f>"1615-4150"</f>
        <v>1615-4150</v>
      </c>
      <c r="E14913" t="s">
        <v>8</v>
      </c>
      <c r="F14913" t="s">
        <v>14916</v>
      </c>
      <c r="G14913">
        <v>1</v>
      </c>
    </row>
    <row r="14914" spans="1:7" x14ac:dyDescent="0.25">
      <c r="A14914">
        <v>41</v>
      </c>
      <c r="B14914" t="s">
        <v>14889</v>
      </c>
      <c r="C14914">
        <v>4447</v>
      </c>
      <c r="D14914" t="str">
        <f>"0730-6679"</f>
        <v>0730-6679</v>
      </c>
      <c r="E14914" t="s">
        <v>8</v>
      </c>
      <c r="F14914" t="s">
        <v>14917</v>
      </c>
      <c r="G14914">
        <v>1</v>
      </c>
    </row>
    <row r="14915" spans="1:7" x14ac:dyDescent="0.25">
      <c r="A14915">
        <v>41</v>
      </c>
      <c r="B14915" t="s">
        <v>14889</v>
      </c>
      <c r="C14915">
        <v>7068</v>
      </c>
      <c r="D14915" t="str">
        <f>"0278-6826"</f>
        <v>0278-6826</v>
      </c>
      <c r="E14915" t="s">
        <v>8</v>
      </c>
      <c r="F14915" t="s">
        <v>14918</v>
      </c>
      <c r="G14915">
        <v>1</v>
      </c>
    </row>
    <row r="14916" spans="1:7" x14ac:dyDescent="0.25">
      <c r="A14916">
        <v>41</v>
      </c>
      <c r="B14916" t="s">
        <v>14889</v>
      </c>
      <c r="C14916">
        <v>7347</v>
      </c>
      <c r="D14916" t="str">
        <f>"0926-860X"</f>
        <v>0926-860X</v>
      </c>
      <c r="E14916" t="s">
        <v>8</v>
      </c>
      <c r="F14916" t="s">
        <v>14919</v>
      </c>
      <c r="G14916">
        <v>1</v>
      </c>
    </row>
    <row r="14917" spans="1:7" x14ac:dyDescent="0.25">
      <c r="A14917">
        <v>41</v>
      </c>
      <c r="B14917" t="s">
        <v>14889</v>
      </c>
      <c r="C14917">
        <v>18441</v>
      </c>
      <c r="D14917" t="str">
        <f>"1932-2135"</f>
        <v>1932-2135</v>
      </c>
      <c r="E14917" t="s">
        <v>8</v>
      </c>
      <c r="F14917" t="s">
        <v>14920</v>
      </c>
      <c r="G14917">
        <v>1</v>
      </c>
    </row>
    <row r="14918" spans="1:7" x14ac:dyDescent="0.25">
      <c r="A14918">
        <v>41</v>
      </c>
      <c r="B14918" t="s">
        <v>14889</v>
      </c>
      <c r="C14918">
        <v>12735</v>
      </c>
      <c r="D14918" t="str">
        <f>"1044-5110"</f>
        <v>1044-5110</v>
      </c>
      <c r="E14918" t="s">
        <v>8</v>
      </c>
      <c r="F14918" t="s">
        <v>14921</v>
      </c>
      <c r="G14918">
        <v>1</v>
      </c>
    </row>
    <row r="14919" spans="1:7" x14ac:dyDescent="0.25">
      <c r="A14919">
        <v>41</v>
      </c>
      <c r="B14919" t="s">
        <v>14889</v>
      </c>
      <c r="C14919">
        <v>7720079</v>
      </c>
      <c r="D14919" t="str">
        <f>"2190-6815"</f>
        <v>2190-6815</v>
      </c>
      <c r="E14919" t="s">
        <v>8</v>
      </c>
      <c r="F14919" t="s">
        <v>14922</v>
      </c>
      <c r="G14919">
        <v>1</v>
      </c>
    </row>
    <row r="14920" spans="1:7" x14ac:dyDescent="0.25">
      <c r="A14920">
        <v>41</v>
      </c>
      <c r="B14920" t="s">
        <v>14889</v>
      </c>
      <c r="C14920">
        <v>4300</v>
      </c>
      <c r="D14920" t="str">
        <f>"0104-6632"</f>
        <v>0104-6632</v>
      </c>
      <c r="E14920" t="s">
        <v>8</v>
      </c>
      <c r="F14920" t="s">
        <v>14923</v>
      </c>
      <c r="G14920">
        <v>1</v>
      </c>
    </row>
    <row r="14921" spans="1:7" x14ac:dyDescent="0.25">
      <c r="A14921">
        <v>41</v>
      </c>
      <c r="B14921" t="s">
        <v>14889</v>
      </c>
      <c r="C14921">
        <v>12984</v>
      </c>
      <c r="D14921" t="str">
        <f>"0008-4034"</f>
        <v>0008-4034</v>
      </c>
      <c r="E14921" t="s">
        <v>8</v>
      </c>
      <c r="F14921" t="s">
        <v>14924</v>
      </c>
      <c r="G14921">
        <v>1</v>
      </c>
    </row>
    <row r="14922" spans="1:7" x14ac:dyDescent="0.25">
      <c r="A14922">
        <v>41</v>
      </c>
      <c r="B14922" t="s">
        <v>14889</v>
      </c>
      <c r="C14922">
        <v>14924</v>
      </c>
      <c r="D14922" t="str">
        <f>"1566-7367"</f>
        <v>1566-7367</v>
      </c>
      <c r="E14922" t="s">
        <v>8</v>
      </c>
      <c r="F14922" t="s">
        <v>14925</v>
      </c>
      <c r="G14922">
        <v>1</v>
      </c>
    </row>
    <row r="14923" spans="1:7" x14ac:dyDescent="0.25">
      <c r="A14923">
        <v>41</v>
      </c>
      <c r="B14923" t="s">
        <v>14889</v>
      </c>
      <c r="C14923">
        <v>16337</v>
      </c>
      <c r="D14923" t="str">
        <f>"1011-372X"</f>
        <v>1011-372X</v>
      </c>
      <c r="E14923" t="s">
        <v>8</v>
      </c>
      <c r="F14923" t="s">
        <v>14926</v>
      </c>
      <c r="G14923">
        <v>1</v>
      </c>
    </row>
    <row r="14924" spans="1:7" x14ac:dyDescent="0.25">
      <c r="A14924">
        <v>41</v>
      </c>
      <c r="B14924" t="s">
        <v>14889</v>
      </c>
      <c r="C14924">
        <v>10301</v>
      </c>
      <c r="D14924" t="str">
        <f>"1571-1013"</f>
        <v>1571-1013</v>
      </c>
      <c r="E14924" t="s">
        <v>8</v>
      </c>
      <c r="F14924" t="s">
        <v>14927</v>
      </c>
      <c r="G14924">
        <v>1</v>
      </c>
    </row>
    <row r="14925" spans="1:7" x14ac:dyDescent="0.25">
      <c r="A14925">
        <v>41</v>
      </c>
      <c r="B14925" t="s">
        <v>14889</v>
      </c>
      <c r="C14925">
        <v>6656</v>
      </c>
      <c r="D14925" t="str">
        <f>"0920-5861"</f>
        <v>0920-5861</v>
      </c>
      <c r="E14925" t="s">
        <v>8</v>
      </c>
      <c r="F14925" t="s">
        <v>14928</v>
      </c>
      <c r="G14925">
        <v>1</v>
      </c>
    </row>
    <row r="14926" spans="1:7" x14ac:dyDescent="0.25">
      <c r="A14926">
        <v>41</v>
      </c>
      <c r="B14926" t="s">
        <v>14889</v>
      </c>
      <c r="C14926">
        <v>8782827</v>
      </c>
      <c r="E14926" t="s">
        <v>8</v>
      </c>
      <c r="F14926" t="s">
        <v>14929</v>
      </c>
      <c r="G14926">
        <v>1</v>
      </c>
    </row>
    <row r="14927" spans="1:7" x14ac:dyDescent="0.25">
      <c r="A14927">
        <v>41</v>
      </c>
      <c r="B14927" t="s">
        <v>14889</v>
      </c>
      <c r="C14927">
        <v>7173</v>
      </c>
      <c r="D14927" t="str">
        <f>"0009-2347"</f>
        <v>0009-2347</v>
      </c>
      <c r="E14927" t="s">
        <v>8</v>
      </c>
      <c r="F14927" t="s">
        <v>14930</v>
      </c>
      <c r="G14927">
        <v>1</v>
      </c>
    </row>
    <row r="14928" spans="1:7" x14ac:dyDescent="0.25">
      <c r="A14928">
        <v>41</v>
      </c>
      <c r="B14928" t="s">
        <v>14889</v>
      </c>
      <c r="C14928">
        <v>2665</v>
      </c>
      <c r="D14928" t="str">
        <f>"0352-9568"</f>
        <v>0352-9568</v>
      </c>
      <c r="E14928" t="s">
        <v>8</v>
      </c>
      <c r="F14928" t="s">
        <v>14931</v>
      </c>
      <c r="G14928">
        <v>1</v>
      </c>
    </row>
    <row r="14929" spans="1:7" x14ac:dyDescent="0.25">
      <c r="A14929">
        <v>41</v>
      </c>
      <c r="B14929" t="s">
        <v>14889</v>
      </c>
      <c r="C14929">
        <v>5424</v>
      </c>
      <c r="D14929" t="str">
        <f>"0009-2355"</f>
        <v>0009-2355</v>
      </c>
      <c r="E14929" t="s">
        <v>8</v>
      </c>
      <c r="F14929" t="s">
        <v>14932</v>
      </c>
      <c r="G14929">
        <v>1</v>
      </c>
    </row>
    <row r="14930" spans="1:7" x14ac:dyDescent="0.25">
      <c r="A14930">
        <v>41</v>
      </c>
      <c r="B14930" t="s">
        <v>14889</v>
      </c>
      <c r="C14930">
        <v>14497</v>
      </c>
      <c r="D14930" t="str">
        <f>"0009-2460"</f>
        <v>0009-2460</v>
      </c>
      <c r="E14930" t="s">
        <v>8</v>
      </c>
      <c r="F14930" t="s">
        <v>14933</v>
      </c>
      <c r="G14930">
        <v>1</v>
      </c>
    </row>
    <row r="14931" spans="1:7" x14ac:dyDescent="0.25">
      <c r="A14931">
        <v>41</v>
      </c>
      <c r="B14931" t="s">
        <v>14889</v>
      </c>
      <c r="C14931">
        <v>879</v>
      </c>
      <c r="D14931" t="str">
        <f>"0930-7516"</f>
        <v>0930-7516</v>
      </c>
      <c r="E14931" t="s">
        <v>8</v>
      </c>
      <c r="F14931" t="s">
        <v>14934</v>
      </c>
      <c r="G14931">
        <v>1</v>
      </c>
    </row>
    <row r="14932" spans="1:7" x14ac:dyDescent="0.25">
      <c r="A14932">
        <v>41</v>
      </c>
      <c r="B14932" t="s">
        <v>14889</v>
      </c>
      <c r="C14932">
        <v>12447</v>
      </c>
      <c r="D14932" t="str">
        <f>"0098-6445"</f>
        <v>0098-6445</v>
      </c>
      <c r="E14932" t="s">
        <v>8</v>
      </c>
      <c r="F14932" t="s">
        <v>14935</v>
      </c>
      <c r="G14932">
        <v>1</v>
      </c>
    </row>
    <row r="14933" spans="1:7" x14ac:dyDescent="0.25">
      <c r="A14933">
        <v>41</v>
      </c>
      <c r="B14933" t="s">
        <v>14889</v>
      </c>
      <c r="C14933">
        <v>13677</v>
      </c>
      <c r="D14933" t="str">
        <f>"0360-7275"</f>
        <v>0360-7275</v>
      </c>
      <c r="E14933" t="s">
        <v>8</v>
      </c>
      <c r="F14933" t="s">
        <v>14936</v>
      </c>
      <c r="G14933">
        <v>1</v>
      </c>
    </row>
    <row r="14934" spans="1:7" x14ac:dyDescent="0.25">
      <c r="A14934">
        <v>41</v>
      </c>
      <c r="B14934" t="s">
        <v>14889</v>
      </c>
      <c r="C14934">
        <v>8782515</v>
      </c>
      <c r="D14934" t="str">
        <f>"1974-9791"</f>
        <v>1974-9791</v>
      </c>
      <c r="E14934" t="s">
        <v>15</v>
      </c>
      <c r="F14934" t="s">
        <v>14937</v>
      </c>
      <c r="G14934">
        <v>1</v>
      </c>
    </row>
    <row r="14935" spans="1:7" x14ac:dyDescent="0.25">
      <c r="A14935">
        <v>41</v>
      </c>
      <c r="B14935" t="s">
        <v>14889</v>
      </c>
      <c r="C14935">
        <v>16338</v>
      </c>
      <c r="D14935" t="str">
        <f>"0009-2630"</f>
        <v>0009-2630</v>
      </c>
      <c r="E14935" t="s">
        <v>8</v>
      </c>
      <c r="F14935" t="s">
        <v>14938</v>
      </c>
      <c r="G14935">
        <v>1</v>
      </c>
    </row>
    <row r="14936" spans="1:7" x14ac:dyDescent="0.25">
      <c r="A14936">
        <v>41</v>
      </c>
      <c r="B14936" t="s">
        <v>14889</v>
      </c>
      <c r="C14936">
        <v>26967</v>
      </c>
      <c r="D14936" t="str">
        <f>"1934-2659"</f>
        <v>1934-2659</v>
      </c>
      <c r="E14936" t="s">
        <v>8</v>
      </c>
      <c r="F14936" t="s">
        <v>14939</v>
      </c>
      <c r="G14936">
        <v>1</v>
      </c>
    </row>
    <row r="14937" spans="1:7" x14ac:dyDescent="0.25">
      <c r="A14937">
        <v>41</v>
      </c>
      <c r="B14937" t="s">
        <v>14889</v>
      </c>
      <c r="C14937">
        <v>1389</v>
      </c>
      <c r="D14937" t="str">
        <f>"0009-286X"</f>
        <v>0009-286X</v>
      </c>
      <c r="E14937" t="s">
        <v>8</v>
      </c>
      <c r="F14937" t="s">
        <v>14940</v>
      </c>
      <c r="G14937">
        <v>1</v>
      </c>
    </row>
    <row r="14938" spans="1:7" x14ac:dyDescent="0.25">
      <c r="A14938">
        <v>41</v>
      </c>
      <c r="B14938" t="s">
        <v>14889</v>
      </c>
      <c r="C14938">
        <v>12977</v>
      </c>
      <c r="D14938" t="str">
        <f>"0009-3068"</f>
        <v>0009-3068</v>
      </c>
      <c r="E14938" t="s">
        <v>8</v>
      </c>
      <c r="F14938" t="s">
        <v>14941</v>
      </c>
      <c r="G14938">
        <v>1</v>
      </c>
    </row>
    <row r="14939" spans="1:7" x14ac:dyDescent="0.25">
      <c r="A14939">
        <v>41</v>
      </c>
      <c r="B14939" t="s">
        <v>14889</v>
      </c>
      <c r="C14939">
        <v>14307</v>
      </c>
      <c r="D14939" t="str">
        <f>"0009-3092"</f>
        <v>0009-3092</v>
      </c>
      <c r="E14939" t="s">
        <v>8</v>
      </c>
      <c r="F14939" t="s">
        <v>14942</v>
      </c>
      <c r="G14939">
        <v>1</v>
      </c>
    </row>
    <row r="14940" spans="1:7" x14ac:dyDescent="0.25">
      <c r="A14940">
        <v>41</v>
      </c>
      <c r="B14940" t="s">
        <v>14889</v>
      </c>
      <c r="C14940">
        <v>5791</v>
      </c>
      <c r="D14940" t="str">
        <f>"0253-9837"</f>
        <v>0253-9837</v>
      </c>
      <c r="E14940" t="s">
        <v>8</v>
      </c>
      <c r="F14940" t="s">
        <v>14943</v>
      </c>
      <c r="G14940">
        <v>1</v>
      </c>
    </row>
    <row r="14941" spans="1:7" x14ac:dyDescent="0.25">
      <c r="A14941">
        <v>41</v>
      </c>
      <c r="B14941" t="s">
        <v>14889</v>
      </c>
      <c r="C14941">
        <v>4313</v>
      </c>
      <c r="D14941" t="str">
        <f>"1004-9541"</f>
        <v>1004-9541</v>
      </c>
      <c r="E14941" t="s">
        <v>8</v>
      </c>
      <c r="F14941" t="s">
        <v>14944</v>
      </c>
      <c r="G14941">
        <v>1</v>
      </c>
    </row>
    <row r="14942" spans="1:7" x14ac:dyDescent="0.25">
      <c r="A14942">
        <v>41</v>
      </c>
      <c r="B14942" t="s">
        <v>14889</v>
      </c>
      <c r="C14942">
        <v>8372</v>
      </c>
      <c r="D14942" t="str">
        <f>"0927-7757"</f>
        <v>0927-7757</v>
      </c>
      <c r="E14942" t="s">
        <v>8</v>
      </c>
      <c r="F14942" t="s">
        <v>14945</v>
      </c>
      <c r="G14942">
        <v>1</v>
      </c>
    </row>
    <row r="14943" spans="1:7" x14ac:dyDescent="0.25">
      <c r="A14943">
        <v>41</v>
      </c>
      <c r="B14943" t="s">
        <v>14889</v>
      </c>
      <c r="C14943">
        <v>11808</v>
      </c>
      <c r="D14943" t="str">
        <f>"0361-2317"</f>
        <v>0361-2317</v>
      </c>
      <c r="E14943" t="s">
        <v>8</v>
      </c>
      <c r="F14943" t="s">
        <v>14946</v>
      </c>
      <c r="G14943">
        <v>1</v>
      </c>
    </row>
    <row r="14944" spans="1:7" x14ac:dyDescent="0.25">
      <c r="A14944">
        <v>41</v>
      </c>
      <c r="B14944" t="s">
        <v>14889</v>
      </c>
      <c r="C14944">
        <v>4908</v>
      </c>
      <c r="D14944" t="str">
        <f>"1472-3581"</f>
        <v>1472-3581</v>
      </c>
      <c r="E14944" t="s">
        <v>8</v>
      </c>
      <c r="F14944" t="s">
        <v>14947</v>
      </c>
      <c r="G14944">
        <v>1</v>
      </c>
    </row>
    <row r="14945" spans="1:7" x14ac:dyDescent="0.25">
      <c r="A14945">
        <v>41</v>
      </c>
      <c r="B14945" t="s">
        <v>14889</v>
      </c>
      <c r="C14945">
        <v>14825</v>
      </c>
      <c r="D14945" t="str">
        <f>"0010-5082"</f>
        <v>0010-5082</v>
      </c>
      <c r="E14945" t="s">
        <v>8</v>
      </c>
      <c r="F14945" t="s">
        <v>14948</v>
      </c>
      <c r="G14945">
        <v>1</v>
      </c>
    </row>
    <row r="14946" spans="1:7" x14ac:dyDescent="0.25">
      <c r="A14946">
        <v>41</v>
      </c>
      <c r="B14946" t="s">
        <v>14889</v>
      </c>
      <c r="C14946">
        <v>40852</v>
      </c>
      <c r="D14946" t="str">
        <f>"1570-7946"</f>
        <v>1570-7946</v>
      </c>
      <c r="E14946" t="s">
        <v>15</v>
      </c>
      <c r="F14946" t="s">
        <v>14949</v>
      </c>
      <c r="G14946">
        <v>1</v>
      </c>
    </row>
    <row r="14947" spans="1:7" x14ac:dyDescent="0.25">
      <c r="A14947">
        <v>41</v>
      </c>
      <c r="B14947" t="s">
        <v>14889</v>
      </c>
      <c r="C14947">
        <v>6989</v>
      </c>
      <c r="D14947" t="str">
        <f>"0737-3937"</f>
        <v>0737-3937</v>
      </c>
      <c r="E14947" t="s">
        <v>8</v>
      </c>
      <c r="F14947" t="s">
        <v>14950</v>
      </c>
      <c r="G14947">
        <v>1</v>
      </c>
    </row>
    <row r="14948" spans="1:7" x14ac:dyDescent="0.25">
      <c r="A14948">
        <v>41</v>
      </c>
      <c r="B14948" t="s">
        <v>14889</v>
      </c>
      <c r="C14948">
        <v>2210</v>
      </c>
      <c r="D14948" t="str">
        <f>"0143-7208"</f>
        <v>0143-7208</v>
      </c>
      <c r="E14948" t="s">
        <v>8</v>
      </c>
      <c r="F14948" t="s">
        <v>14951</v>
      </c>
      <c r="G14948">
        <v>1</v>
      </c>
    </row>
    <row r="14949" spans="1:7" x14ac:dyDescent="0.25">
      <c r="A14949">
        <v>41</v>
      </c>
      <c r="B14949" t="s">
        <v>14889</v>
      </c>
      <c r="C14949">
        <v>12332</v>
      </c>
      <c r="D14949" t="str">
        <f>"0887-0624"</f>
        <v>0887-0624</v>
      </c>
      <c r="E14949" t="s">
        <v>8</v>
      </c>
      <c r="F14949" t="s">
        <v>14952</v>
      </c>
      <c r="G14949">
        <v>1</v>
      </c>
    </row>
    <row r="14950" spans="1:7" x14ac:dyDescent="0.25">
      <c r="A14950">
        <v>41</v>
      </c>
      <c r="B14950" t="s">
        <v>14889</v>
      </c>
      <c r="C14950">
        <v>3365</v>
      </c>
      <c r="D14950" t="str">
        <f>"0095-8948"</f>
        <v>0095-8948</v>
      </c>
      <c r="E14950" t="s">
        <v>8</v>
      </c>
      <c r="F14950" t="s">
        <v>14953</v>
      </c>
      <c r="G14950">
        <v>1</v>
      </c>
    </row>
    <row r="14951" spans="1:7" x14ac:dyDescent="0.25">
      <c r="A14951">
        <v>41</v>
      </c>
      <c r="B14951" t="s">
        <v>14889</v>
      </c>
      <c r="C14951">
        <v>8710</v>
      </c>
      <c r="D14951" t="str">
        <f>"0891-6152"</f>
        <v>0891-6152</v>
      </c>
      <c r="E14951" t="s">
        <v>8</v>
      </c>
      <c r="F14951" t="s">
        <v>14954</v>
      </c>
      <c r="G14951">
        <v>1</v>
      </c>
    </row>
    <row r="14952" spans="1:7" x14ac:dyDescent="0.25">
      <c r="A14952">
        <v>41</v>
      </c>
      <c r="B14952" t="s">
        <v>14889</v>
      </c>
      <c r="C14952">
        <v>10741</v>
      </c>
      <c r="D14952" t="str">
        <f>"0894-1777"</f>
        <v>0894-1777</v>
      </c>
      <c r="E14952" t="s">
        <v>8</v>
      </c>
      <c r="F14952" t="s">
        <v>14955</v>
      </c>
      <c r="G14952">
        <v>1</v>
      </c>
    </row>
    <row r="14953" spans="1:7" x14ac:dyDescent="0.25">
      <c r="A14953">
        <v>41</v>
      </c>
      <c r="B14953" t="s">
        <v>14889</v>
      </c>
      <c r="C14953">
        <v>3996</v>
      </c>
      <c r="D14953" t="str">
        <f>"0015-1882"</f>
        <v>0015-1882</v>
      </c>
      <c r="E14953" t="s">
        <v>8</v>
      </c>
      <c r="F14953" t="s">
        <v>14956</v>
      </c>
      <c r="G14953">
        <v>1</v>
      </c>
    </row>
    <row r="14954" spans="1:7" x14ac:dyDescent="0.25">
      <c r="A14954">
        <v>41</v>
      </c>
      <c r="B14954" t="s">
        <v>14889</v>
      </c>
      <c r="C14954">
        <v>11070</v>
      </c>
      <c r="D14954" t="str">
        <f>"0379-7112"</f>
        <v>0379-7112</v>
      </c>
      <c r="E14954" t="s">
        <v>8</v>
      </c>
      <c r="F14954" t="s">
        <v>14957</v>
      </c>
      <c r="G14954">
        <v>1</v>
      </c>
    </row>
    <row r="14955" spans="1:7" x14ac:dyDescent="0.25">
      <c r="A14955">
        <v>41</v>
      </c>
      <c r="B14955" t="s">
        <v>14889</v>
      </c>
      <c r="C14955">
        <v>16067</v>
      </c>
      <c r="D14955" t="str">
        <f>"0926-5112"</f>
        <v>0926-5112</v>
      </c>
      <c r="E14955" t="s">
        <v>15</v>
      </c>
      <c r="F14955" t="s">
        <v>14958</v>
      </c>
      <c r="G14955">
        <v>1</v>
      </c>
    </row>
    <row r="14956" spans="1:7" x14ac:dyDescent="0.25">
      <c r="A14956">
        <v>41</v>
      </c>
      <c r="B14956" t="s">
        <v>14889</v>
      </c>
      <c r="C14956">
        <v>20497</v>
      </c>
      <c r="D14956" t="str">
        <f>"2095-0179"</f>
        <v>2095-0179</v>
      </c>
      <c r="E14956" t="s">
        <v>8</v>
      </c>
      <c r="F14956" t="s">
        <v>14959</v>
      </c>
      <c r="G14956">
        <v>1</v>
      </c>
    </row>
    <row r="14957" spans="1:7" x14ac:dyDescent="0.25">
      <c r="A14957">
        <v>41</v>
      </c>
      <c r="B14957" t="s">
        <v>14889</v>
      </c>
      <c r="C14957">
        <v>52</v>
      </c>
      <c r="D14957" t="str">
        <f>"1615-6846"</f>
        <v>1615-6846</v>
      </c>
      <c r="E14957" t="s">
        <v>8</v>
      </c>
      <c r="F14957" t="s">
        <v>14960</v>
      </c>
      <c r="G14957">
        <v>1</v>
      </c>
    </row>
    <row r="14958" spans="1:7" x14ac:dyDescent="0.25">
      <c r="A14958">
        <v>41</v>
      </c>
      <c r="B14958" t="s">
        <v>14889</v>
      </c>
      <c r="C14958">
        <v>2903</v>
      </c>
      <c r="D14958" t="str">
        <f>"0145-7632"</f>
        <v>0145-7632</v>
      </c>
      <c r="E14958" t="s">
        <v>8</v>
      </c>
      <c r="F14958" t="s">
        <v>14961</v>
      </c>
      <c r="G14958">
        <v>1</v>
      </c>
    </row>
    <row r="14959" spans="1:7" x14ac:dyDescent="0.25">
      <c r="A14959">
        <v>41</v>
      </c>
      <c r="B14959" t="s">
        <v>14889</v>
      </c>
      <c r="C14959">
        <v>4849</v>
      </c>
      <c r="E14959" t="s">
        <v>8</v>
      </c>
      <c r="F14959" t="s">
        <v>14962</v>
      </c>
      <c r="G14959">
        <v>1</v>
      </c>
    </row>
    <row r="14960" spans="1:7" x14ac:dyDescent="0.25">
      <c r="A14960">
        <v>41</v>
      </c>
      <c r="B14960" t="s">
        <v>14889</v>
      </c>
      <c r="C14960">
        <v>16225</v>
      </c>
      <c r="D14960" t="str">
        <f>"0971-457X"</f>
        <v>0971-457X</v>
      </c>
      <c r="E14960" t="s">
        <v>8</v>
      </c>
      <c r="F14960" t="s">
        <v>14963</v>
      </c>
      <c r="G14960">
        <v>1</v>
      </c>
    </row>
    <row r="14961" spans="1:7" x14ac:dyDescent="0.25">
      <c r="A14961">
        <v>41</v>
      </c>
      <c r="B14961" t="s">
        <v>14889</v>
      </c>
      <c r="C14961">
        <v>4464</v>
      </c>
      <c r="D14961" t="str">
        <f>"0019-901X"</f>
        <v>0019-901X</v>
      </c>
      <c r="E14961" t="s">
        <v>8</v>
      </c>
      <c r="F14961" t="s">
        <v>14964</v>
      </c>
      <c r="G14961">
        <v>1</v>
      </c>
    </row>
    <row r="14962" spans="1:7" x14ac:dyDescent="0.25">
      <c r="A14962">
        <v>41</v>
      </c>
      <c r="B14962" t="s">
        <v>14889</v>
      </c>
      <c r="C14962">
        <v>8076</v>
      </c>
      <c r="D14962" t="str">
        <f>"0735-1933"</f>
        <v>0735-1933</v>
      </c>
      <c r="E14962" t="s">
        <v>8</v>
      </c>
      <c r="F14962" t="s">
        <v>14965</v>
      </c>
      <c r="G14962">
        <v>1</v>
      </c>
    </row>
    <row r="14963" spans="1:7" x14ac:dyDescent="0.25">
      <c r="A14963">
        <v>41</v>
      </c>
      <c r="B14963" t="s">
        <v>14889</v>
      </c>
      <c r="C14963">
        <v>11777</v>
      </c>
      <c r="E14963" t="s">
        <v>8</v>
      </c>
      <c r="F14963" t="s">
        <v>14966</v>
      </c>
      <c r="G14963">
        <v>1</v>
      </c>
    </row>
    <row r="14964" spans="1:7" x14ac:dyDescent="0.25">
      <c r="A14964">
        <v>41</v>
      </c>
      <c r="B14964" t="s">
        <v>14889</v>
      </c>
      <c r="C14964">
        <v>4869</v>
      </c>
      <c r="D14964" t="str">
        <f>"0142-5463"</f>
        <v>0142-5463</v>
      </c>
      <c r="E14964" t="s">
        <v>8</v>
      </c>
      <c r="F14964" t="s">
        <v>14967</v>
      </c>
      <c r="G14964">
        <v>1</v>
      </c>
    </row>
    <row r="14965" spans="1:7" x14ac:dyDescent="0.25">
      <c r="A14965">
        <v>41</v>
      </c>
      <c r="B14965" t="s">
        <v>14889</v>
      </c>
      <c r="C14965">
        <v>15723</v>
      </c>
      <c r="D14965" t="str">
        <f>"0142-727X"</f>
        <v>0142-727X</v>
      </c>
      <c r="E14965" t="s">
        <v>8</v>
      </c>
      <c r="F14965" t="s">
        <v>14968</v>
      </c>
      <c r="G14965">
        <v>1</v>
      </c>
    </row>
    <row r="14966" spans="1:7" x14ac:dyDescent="0.25">
      <c r="A14966">
        <v>41</v>
      </c>
      <c r="B14966" t="s">
        <v>14889</v>
      </c>
      <c r="C14966">
        <v>10836</v>
      </c>
      <c r="D14966" t="str">
        <f>"1748-0930"</f>
        <v>1748-0930</v>
      </c>
      <c r="E14966" t="s">
        <v>8</v>
      </c>
      <c r="F14966" t="s">
        <v>14969</v>
      </c>
      <c r="G14966">
        <v>1</v>
      </c>
    </row>
    <row r="14967" spans="1:7" x14ac:dyDescent="0.25">
      <c r="A14967">
        <v>41</v>
      </c>
      <c r="B14967" t="s">
        <v>14889</v>
      </c>
      <c r="C14967">
        <v>12003</v>
      </c>
      <c r="D14967" t="str">
        <f>"0301-9322"</f>
        <v>0301-9322</v>
      </c>
      <c r="E14967" t="s">
        <v>8</v>
      </c>
      <c r="F14967" t="s">
        <v>14970</v>
      </c>
      <c r="G14967">
        <v>1</v>
      </c>
    </row>
    <row r="14968" spans="1:7" x14ac:dyDescent="0.25">
      <c r="A14968">
        <v>41</v>
      </c>
      <c r="B14968" t="s">
        <v>14889</v>
      </c>
      <c r="C14968">
        <v>12263</v>
      </c>
      <c r="D14968" t="str">
        <f>"0961-5539"</f>
        <v>0961-5539</v>
      </c>
      <c r="E14968" t="s">
        <v>8</v>
      </c>
      <c r="F14968" t="s">
        <v>14971</v>
      </c>
      <c r="G14968">
        <v>1</v>
      </c>
    </row>
    <row r="14969" spans="1:7" x14ac:dyDescent="0.25">
      <c r="A14969">
        <v>41</v>
      </c>
      <c r="B14969" t="s">
        <v>14889</v>
      </c>
      <c r="C14969">
        <v>26064</v>
      </c>
      <c r="D14969" t="str">
        <f>"1753-3309"</f>
        <v>1753-3309</v>
      </c>
      <c r="E14969" t="s">
        <v>8</v>
      </c>
      <c r="F14969" t="s">
        <v>14972</v>
      </c>
      <c r="G14969">
        <v>1</v>
      </c>
    </row>
    <row r="14970" spans="1:7" x14ac:dyDescent="0.25">
      <c r="A14970">
        <v>41</v>
      </c>
      <c r="B14970" t="s">
        <v>14889</v>
      </c>
      <c r="C14970">
        <v>1431</v>
      </c>
      <c r="D14970" t="str">
        <f>"0208-6425"</f>
        <v>0208-6425</v>
      </c>
      <c r="E14970" t="s">
        <v>8</v>
      </c>
      <c r="F14970" t="s">
        <v>14973</v>
      </c>
      <c r="G14970">
        <v>1</v>
      </c>
    </row>
    <row r="14971" spans="1:7" x14ac:dyDescent="0.25">
      <c r="A14971">
        <v>41</v>
      </c>
      <c r="B14971" t="s">
        <v>14889</v>
      </c>
      <c r="C14971">
        <v>11766</v>
      </c>
      <c r="D14971" t="str">
        <f>"1021-9986"</f>
        <v>1021-9986</v>
      </c>
      <c r="E14971" t="s">
        <v>8</v>
      </c>
      <c r="F14971" t="s">
        <v>14974</v>
      </c>
      <c r="G14971">
        <v>1</v>
      </c>
    </row>
    <row r="14972" spans="1:7" x14ac:dyDescent="0.25">
      <c r="A14972">
        <v>41</v>
      </c>
      <c r="B14972" t="s">
        <v>14889</v>
      </c>
      <c r="C14972">
        <v>15213</v>
      </c>
      <c r="D14972" t="str">
        <f>"1547-0083"</f>
        <v>1547-0083</v>
      </c>
      <c r="E14972" t="s">
        <v>8</v>
      </c>
      <c r="F14972" t="s">
        <v>14975</v>
      </c>
      <c r="G14972">
        <v>1</v>
      </c>
    </row>
    <row r="14973" spans="1:7" x14ac:dyDescent="0.25">
      <c r="A14973">
        <v>41</v>
      </c>
      <c r="B14973" t="s">
        <v>14889</v>
      </c>
      <c r="C14973">
        <v>6014</v>
      </c>
      <c r="D14973" t="str">
        <f>"0021-8995"</f>
        <v>0021-8995</v>
      </c>
      <c r="E14973" t="s">
        <v>8</v>
      </c>
      <c r="F14973" t="s">
        <v>14976</v>
      </c>
      <c r="G14973">
        <v>1</v>
      </c>
    </row>
    <row r="14974" spans="1:7" x14ac:dyDescent="0.25">
      <c r="A14974">
        <v>41</v>
      </c>
      <c r="B14974" t="s">
        <v>14889</v>
      </c>
      <c r="C14974">
        <v>7150</v>
      </c>
      <c r="D14974" t="str">
        <f>"0021-955X"</f>
        <v>0021-955X</v>
      </c>
      <c r="E14974" t="s">
        <v>8</v>
      </c>
      <c r="F14974" t="s">
        <v>14977</v>
      </c>
      <c r="G14974">
        <v>1</v>
      </c>
    </row>
    <row r="14975" spans="1:7" x14ac:dyDescent="0.25">
      <c r="A14975">
        <v>41</v>
      </c>
      <c r="B14975" t="s">
        <v>14889</v>
      </c>
      <c r="C14975">
        <v>15495</v>
      </c>
      <c r="D14975" t="str">
        <f>"0021-9592"</f>
        <v>0021-9592</v>
      </c>
      <c r="E14975" t="s">
        <v>8</v>
      </c>
      <c r="F14975" t="s">
        <v>14978</v>
      </c>
      <c r="G14975">
        <v>1</v>
      </c>
    </row>
    <row r="14976" spans="1:7" x14ac:dyDescent="0.25">
      <c r="A14976">
        <v>41</v>
      </c>
      <c r="B14976" t="s">
        <v>14889</v>
      </c>
      <c r="C14976">
        <v>7753255</v>
      </c>
      <c r="D14976" t="str">
        <f>"2212-9820"</f>
        <v>2212-9820</v>
      </c>
      <c r="E14976" t="s">
        <v>8</v>
      </c>
      <c r="F14976" t="s">
        <v>14979</v>
      </c>
      <c r="G14976">
        <v>1</v>
      </c>
    </row>
    <row r="14977" spans="1:7" x14ac:dyDescent="0.25">
      <c r="A14977">
        <v>41</v>
      </c>
      <c r="B14977" t="s">
        <v>14889</v>
      </c>
      <c r="C14977">
        <v>153832</v>
      </c>
      <c r="D14977" t="str">
        <f>"1945-9645"</f>
        <v>1945-9645</v>
      </c>
      <c r="E14977" t="s">
        <v>8</v>
      </c>
      <c r="F14977" t="s">
        <v>14980</v>
      </c>
      <c r="G14977">
        <v>1</v>
      </c>
    </row>
    <row r="14978" spans="1:7" x14ac:dyDescent="0.25">
      <c r="A14978">
        <v>41</v>
      </c>
      <c r="B14978" t="s">
        <v>14889</v>
      </c>
      <c r="C14978">
        <v>1351</v>
      </c>
      <c r="D14978" t="str">
        <f>"1525-7886"</f>
        <v>1525-7886</v>
      </c>
      <c r="E14978" t="s">
        <v>8</v>
      </c>
      <c r="F14978" t="s">
        <v>14981</v>
      </c>
      <c r="G14978">
        <v>1</v>
      </c>
    </row>
    <row r="14979" spans="1:7" x14ac:dyDescent="0.25">
      <c r="A14979">
        <v>41</v>
      </c>
      <c r="B14979" t="s">
        <v>14889</v>
      </c>
      <c r="C14979">
        <v>10856</v>
      </c>
      <c r="D14979" t="str">
        <f>"0193-2691"</f>
        <v>0193-2691</v>
      </c>
      <c r="E14979" t="s">
        <v>8</v>
      </c>
      <c r="F14979" t="s">
        <v>14982</v>
      </c>
      <c r="G14979">
        <v>1</v>
      </c>
    </row>
    <row r="14980" spans="1:7" x14ac:dyDescent="0.25">
      <c r="A14980">
        <v>41</v>
      </c>
      <c r="B14980" t="s">
        <v>14889</v>
      </c>
      <c r="C14980">
        <v>7753257</v>
      </c>
      <c r="D14980" t="str">
        <f>"2213-3437"</f>
        <v>2213-3437</v>
      </c>
      <c r="E14980" t="s">
        <v>8</v>
      </c>
      <c r="F14980" t="s">
        <v>14983</v>
      </c>
      <c r="G14980">
        <v>1</v>
      </c>
    </row>
    <row r="14981" spans="1:7" x14ac:dyDescent="0.25">
      <c r="A14981">
        <v>41</v>
      </c>
      <c r="B14981" t="s">
        <v>14889</v>
      </c>
      <c r="C14981">
        <v>10558</v>
      </c>
      <c r="D14981" t="str">
        <f>"0734-9041"</f>
        <v>0734-9041</v>
      </c>
      <c r="E14981" t="s">
        <v>8</v>
      </c>
      <c r="F14981" t="s">
        <v>14984</v>
      </c>
      <c r="G14981">
        <v>1</v>
      </c>
    </row>
    <row r="14982" spans="1:7" x14ac:dyDescent="0.25">
      <c r="A14982">
        <v>41</v>
      </c>
      <c r="B14982" t="s">
        <v>14889</v>
      </c>
      <c r="C14982">
        <v>11286</v>
      </c>
      <c r="D14982" t="str">
        <f>"0304-3894"</f>
        <v>0304-3894</v>
      </c>
      <c r="E14982" t="s">
        <v>8</v>
      </c>
      <c r="F14982" t="s">
        <v>14985</v>
      </c>
      <c r="G14982">
        <v>1</v>
      </c>
    </row>
    <row r="14983" spans="1:7" x14ac:dyDescent="0.25">
      <c r="A14983">
        <v>41</v>
      </c>
      <c r="B14983" t="s">
        <v>14889</v>
      </c>
      <c r="C14983">
        <v>10118</v>
      </c>
      <c r="D14983" t="str">
        <f>"1226-086X"</f>
        <v>1226-086X</v>
      </c>
      <c r="E14983" t="s">
        <v>8</v>
      </c>
      <c r="F14983" t="s">
        <v>14986</v>
      </c>
      <c r="G14983">
        <v>1</v>
      </c>
    </row>
    <row r="14984" spans="1:7" x14ac:dyDescent="0.25">
      <c r="A14984">
        <v>41</v>
      </c>
      <c r="B14984" t="s">
        <v>14889</v>
      </c>
      <c r="C14984">
        <v>7937</v>
      </c>
      <c r="D14984" t="str">
        <f>"1062-7391"</f>
        <v>1062-7391</v>
      </c>
      <c r="E14984" t="s">
        <v>8</v>
      </c>
      <c r="F14984" t="s">
        <v>14987</v>
      </c>
      <c r="G14984">
        <v>1</v>
      </c>
    </row>
    <row r="14985" spans="1:7" x14ac:dyDescent="0.25">
      <c r="A14985">
        <v>41</v>
      </c>
      <c r="B14985" t="s">
        <v>14889</v>
      </c>
      <c r="C14985">
        <v>6171054</v>
      </c>
      <c r="D14985" t="str">
        <f>"1875-5100"</f>
        <v>1875-5100</v>
      </c>
      <c r="E14985" t="s">
        <v>8</v>
      </c>
      <c r="F14985" t="s">
        <v>14988</v>
      </c>
      <c r="G14985">
        <v>1</v>
      </c>
    </row>
    <row r="14986" spans="1:7" x14ac:dyDescent="0.25">
      <c r="A14986">
        <v>41</v>
      </c>
      <c r="B14986" t="s">
        <v>14889</v>
      </c>
      <c r="C14986">
        <v>14160</v>
      </c>
      <c r="D14986" t="str">
        <f>"0967-0335"</f>
        <v>0967-0335</v>
      </c>
      <c r="E14986" t="s">
        <v>8</v>
      </c>
      <c r="F14986" t="s">
        <v>14989</v>
      </c>
      <c r="G14986">
        <v>1</v>
      </c>
    </row>
    <row r="14987" spans="1:7" x14ac:dyDescent="0.25">
      <c r="A14987">
        <v>41</v>
      </c>
      <c r="B14987" t="s">
        <v>14889</v>
      </c>
      <c r="C14987">
        <v>7916</v>
      </c>
      <c r="D14987" t="str">
        <f>"1345-8957"</f>
        <v>1345-8957</v>
      </c>
      <c r="E14987" t="s">
        <v>8</v>
      </c>
      <c r="F14987" t="s">
        <v>14990</v>
      </c>
      <c r="G14987">
        <v>1</v>
      </c>
    </row>
    <row r="14988" spans="1:7" x14ac:dyDescent="0.25">
      <c r="A14988">
        <v>41</v>
      </c>
      <c r="B14988" t="s">
        <v>14889</v>
      </c>
      <c r="C14988">
        <v>1585</v>
      </c>
      <c r="D14988" t="str">
        <f>"1002-0721"</f>
        <v>1002-0721</v>
      </c>
      <c r="E14988" t="s">
        <v>8</v>
      </c>
      <c r="F14988" t="s">
        <v>14991</v>
      </c>
      <c r="G14988">
        <v>1</v>
      </c>
    </row>
    <row r="14989" spans="1:7" x14ac:dyDescent="0.25">
      <c r="A14989">
        <v>41</v>
      </c>
      <c r="B14989" t="s">
        <v>14889</v>
      </c>
      <c r="C14989">
        <v>1993</v>
      </c>
      <c r="D14989" t="str">
        <f>"1615-9306"</f>
        <v>1615-9306</v>
      </c>
      <c r="E14989" t="s">
        <v>8</v>
      </c>
      <c r="F14989" t="s">
        <v>14992</v>
      </c>
      <c r="G14989">
        <v>1</v>
      </c>
    </row>
    <row r="14990" spans="1:7" x14ac:dyDescent="0.25">
      <c r="A14990">
        <v>41</v>
      </c>
      <c r="B14990" t="s">
        <v>14889</v>
      </c>
      <c r="C14990">
        <v>6996</v>
      </c>
      <c r="D14990" t="str">
        <f>"1097-3958"</f>
        <v>1097-3958</v>
      </c>
      <c r="E14990" t="s">
        <v>8</v>
      </c>
      <c r="F14990" t="s">
        <v>14993</v>
      </c>
      <c r="G14990">
        <v>1</v>
      </c>
    </row>
    <row r="14991" spans="1:7" x14ac:dyDescent="0.25">
      <c r="A14991">
        <v>41</v>
      </c>
      <c r="B14991" t="s">
        <v>14889</v>
      </c>
      <c r="C14991">
        <v>1780</v>
      </c>
      <c r="D14991" t="str">
        <f>"0003-021X"</f>
        <v>0003-021X</v>
      </c>
      <c r="E14991" t="s">
        <v>8</v>
      </c>
      <c r="F14991" t="s">
        <v>14994</v>
      </c>
      <c r="G14991">
        <v>1</v>
      </c>
    </row>
    <row r="14992" spans="1:7" x14ac:dyDescent="0.25">
      <c r="A14992">
        <v>41</v>
      </c>
      <c r="B14992" t="s">
        <v>14889</v>
      </c>
      <c r="C14992">
        <v>6083</v>
      </c>
      <c r="D14992" t="str">
        <f>"1346-8804"</f>
        <v>1346-8804</v>
      </c>
      <c r="E14992" t="s">
        <v>8</v>
      </c>
      <c r="F14992" t="s">
        <v>14995</v>
      </c>
      <c r="G14992">
        <v>1</v>
      </c>
    </row>
    <row r="14993" spans="1:7" x14ac:dyDescent="0.25">
      <c r="A14993">
        <v>41</v>
      </c>
      <c r="B14993" t="s">
        <v>14889</v>
      </c>
      <c r="C14993">
        <v>15651</v>
      </c>
      <c r="D14993" t="str">
        <f>"2225-6253"</f>
        <v>2225-6253</v>
      </c>
      <c r="E14993" t="s">
        <v>8</v>
      </c>
      <c r="F14993" t="s">
        <v>14996</v>
      </c>
      <c r="G14993">
        <v>1</v>
      </c>
    </row>
    <row r="14994" spans="1:7" x14ac:dyDescent="0.25">
      <c r="A14994">
        <v>41</v>
      </c>
      <c r="B14994" t="s">
        <v>14889</v>
      </c>
      <c r="C14994">
        <v>14862</v>
      </c>
      <c r="D14994" t="str">
        <f>"1876-1070"</f>
        <v>1876-1070</v>
      </c>
      <c r="E14994" t="s">
        <v>8</v>
      </c>
      <c r="F14994" t="s">
        <v>14997</v>
      </c>
      <c r="G14994">
        <v>1</v>
      </c>
    </row>
    <row r="14995" spans="1:7" x14ac:dyDescent="0.25">
      <c r="A14995">
        <v>41</v>
      </c>
      <c r="B14995" t="s">
        <v>14889</v>
      </c>
      <c r="C14995">
        <v>3587</v>
      </c>
      <c r="D14995" t="str">
        <f>"0386-216X"</f>
        <v>0386-216X</v>
      </c>
      <c r="E14995" t="s">
        <v>8</v>
      </c>
      <c r="F14995" t="s">
        <v>14998</v>
      </c>
      <c r="G14995">
        <v>1</v>
      </c>
    </row>
    <row r="14996" spans="1:7" x14ac:dyDescent="0.25">
      <c r="A14996">
        <v>41</v>
      </c>
      <c r="B14996" t="s">
        <v>14889</v>
      </c>
      <c r="C14996">
        <v>14419</v>
      </c>
      <c r="D14996" t="str">
        <f>"0948-3276"</f>
        <v>0948-3276</v>
      </c>
      <c r="E14996" t="s">
        <v>8</v>
      </c>
      <c r="F14996" t="s">
        <v>14999</v>
      </c>
      <c r="G14996">
        <v>1</v>
      </c>
    </row>
    <row r="14997" spans="1:7" x14ac:dyDescent="0.25">
      <c r="A14997">
        <v>41</v>
      </c>
      <c r="B14997" t="s">
        <v>14889</v>
      </c>
      <c r="C14997">
        <v>11324</v>
      </c>
      <c r="D14997" t="str">
        <f>"0023-1584"</f>
        <v>0023-1584</v>
      </c>
      <c r="E14997" t="s">
        <v>8</v>
      </c>
      <c r="F14997" t="s">
        <v>15000</v>
      </c>
      <c r="G14997">
        <v>1</v>
      </c>
    </row>
    <row r="14998" spans="1:7" x14ac:dyDescent="0.25">
      <c r="A14998">
        <v>41</v>
      </c>
      <c r="B14998" t="s">
        <v>14889</v>
      </c>
      <c r="C14998">
        <v>152</v>
      </c>
      <c r="D14998" t="str">
        <f>"0256-1115"</f>
        <v>0256-1115</v>
      </c>
      <c r="E14998" t="s">
        <v>8</v>
      </c>
      <c r="F14998" t="s">
        <v>15001</v>
      </c>
      <c r="G14998">
        <v>1</v>
      </c>
    </row>
    <row r="14999" spans="1:7" x14ac:dyDescent="0.25">
      <c r="A14999">
        <v>41</v>
      </c>
      <c r="B14999" t="s">
        <v>14889</v>
      </c>
      <c r="C14999">
        <v>12497</v>
      </c>
      <c r="D14999" t="str">
        <f>"1862-4243"</f>
        <v>1862-4243</v>
      </c>
      <c r="E14999" t="s">
        <v>8</v>
      </c>
      <c r="F14999" t="s">
        <v>15002</v>
      </c>
      <c r="G14999">
        <v>1</v>
      </c>
    </row>
    <row r="15000" spans="1:7" x14ac:dyDescent="0.25">
      <c r="A15000">
        <v>41</v>
      </c>
      <c r="B15000" t="s">
        <v>14889</v>
      </c>
      <c r="C15000">
        <v>5666</v>
      </c>
      <c r="D15000" t="str">
        <f>"0327-0793"</f>
        <v>0327-0793</v>
      </c>
      <c r="E15000" t="s">
        <v>8</v>
      </c>
      <c r="F15000" t="s">
        <v>15003</v>
      </c>
      <c r="G15000">
        <v>1</v>
      </c>
    </row>
    <row r="15001" spans="1:7" x14ac:dyDescent="0.25">
      <c r="A15001">
        <v>41</v>
      </c>
      <c r="B15001" t="s">
        <v>14889</v>
      </c>
      <c r="C15001">
        <v>12435</v>
      </c>
      <c r="D15001" t="str">
        <f>"0262-4230"</f>
        <v>0262-4230</v>
      </c>
      <c r="E15001" t="s">
        <v>8</v>
      </c>
      <c r="F15001" t="s">
        <v>15004</v>
      </c>
      <c r="G15001">
        <v>1</v>
      </c>
    </row>
    <row r="15002" spans="1:7" x14ac:dyDescent="0.25">
      <c r="A15002">
        <v>41</v>
      </c>
      <c r="B15002" t="s">
        <v>14889</v>
      </c>
      <c r="C15002">
        <v>7699624</v>
      </c>
      <c r="E15002" t="s">
        <v>8</v>
      </c>
      <c r="F15002" t="s">
        <v>15005</v>
      </c>
      <c r="G15002">
        <v>1</v>
      </c>
    </row>
    <row r="15003" spans="1:7" x14ac:dyDescent="0.25">
      <c r="A15003">
        <v>41</v>
      </c>
      <c r="B15003" t="s">
        <v>14889</v>
      </c>
      <c r="C15003">
        <v>8761676</v>
      </c>
      <c r="E15003" t="s">
        <v>8</v>
      </c>
      <c r="F15003" t="s">
        <v>15006</v>
      </c>
      <c r="G15003">
        <v>1</v>
      </c>
    </row>
    <row r="15004" spans="1:7" x14ac:dyDescent="0.25">
      <c r="A15004">
        <v>41</v>
      </c>
      <c r="B15004" t="s">
        <v>14889</v>
      </c>
      <c r="C15004">
        <v>7253</v>
      </c>
      <c r="D15004" t="str">
        <f>"0882-7508"</f>
        <v>0882-7508</v>
      </c>
      <c r="E15004" t="s">
        <v>8</v>
      </c>
      <c r="F15004" t="s">
        <v>15007</v>
      </c>
      <c r="G15004">
        <v>1</v>
      </c>
    </row>
    <row r="15005" spans="1:7" x14ac:dyDescent="0.25">
      <c r="A15005">
        <v>41</v>
      </c>
      <c r="B15005" t="s">
        <v>14889</v>
      </c>
      <c r="C15005">
        <v>131099</v>
      </c>
      <c r="D15005" t="str">
        <f>"2572-6668"</f>
        <v>2572-6668</v>
      </c>
      <c r="E15005" t="s">
        <v>8</v>
      </c>
      <c r="F15005" t="s">
        <v>15008</v>
      </c>
      <c r="G15005">
        <v>1</v>
      </c>
    </row>
    <row r="15006" spans="1:7" x14ac:dyDescent="0.25">
      <c r="A15006">
        <v>41</v>
      </c>
      <c r="B15006" t="s">
        <v>14889</v>
      </c>
      <c r="C15006">
        <v>2529</v>
      </c>
      <c r="D15006" t="str">
        <f>"2524-3462"</f>
        <v>2524-3462</v>
      </c>
      <c r="E15006" t="s">
        <v>8</v>
      </c>
      <c r="F15006" t="s">
        <v>15009</v>
      </c>
      <c r="G15006">
        <v>1</v>
      </c>
    </row>
    <row r="15007" spans="1:7" x14ac:dyDescent="0.25">
      <c r="A15007">
        <v>41</v>
      </c>
      <c r="B15007" t="s">
        <v>14889</v>
      </c>
      <c r="C15007">
        <v>6789</v>
      </c>
      <c r="D15007" t="str">
        <f>"0276-1459"</f>
        <v>0276-1459</v>
      </c>
      <c r="E15007" t="s">
        <v>8</v>
      </c>
      <c r="F15007" t="s">
        <v>15010</v>
      </c>
      <c r="G15007">
        <v>1</v>
      </c>
    </row>
    <row r="15008" spans="1:7" x14ac:dyDescent="0.25">
      <c r="A15008">
        <v>41</v>
      </c>
      <c r="B15008" t="s">
        <v>14889</v>
      </c>
      <c r="C15008">
        <v>787</v>
      </c>
      <c r="D15008" t="str">
        <f>"1439-9598"</f>
        <v>1439-9598</v>
      </c>
      <c r="E15008" t="s">
        <v>8</v>
      </c>
      <c r="F15008" t="s">
        <v>15011</v>
      </c>
      <c r="G15008">
        <v>1</v>
      </c>
    </row>
    <row r="15009" spans="1:7" x14ac:dyDescent="0.25">
      <c r="A15009">
        <v>41</v>
      </c>
      <c r="B15009" t="s">
        <v>14889</v>
      </c>
      <c r="C15009">
        <v>3402</v>
      </c>
      <c r="D15009" t="str">
        <f>"0028-2448"</f>
        <v>0028-2448</v>
      </c>
      <c r="E15009" t="s">
        <v>8</v>
      </c>
      <c r="F15009" t="s">
        <v>15012</v>
      </c>
      <c r="G15009">
        <v>1</v>
      </c>
    </row>
    <row r="15010" spans="1:7" x14ac:dyDescent="0.25">
      <c r="A15010">
        <v>41</v>
      </c>
      <c r="B15010" t="s">
        <v>14889</v>
      </c>
      <c r="C15010">
        <v>8783387</v>
      </c>
      <c r="E15010" t="s">
        <v>8</v>
      </c>
      <c r="F15010" t="s">
        <v>15013</v>
      </c>
      <c r="G15010">
        <v>1</v>
      </c>
    </row>
    <row r="15011" spans="1:7" x14ac:dyDescent="0.25">
      <c r="A15011">
        <v>41</v>
      </c>
      <c r="B15011" t="s">
        <v>14889</v>
      </c>
      <c r="C15011">
        <v>6102</v>
      </c>
      <c r="D15011" t="str">
        <f>"0030-1388"</f>
        <v>0030-1388</v>
      </c>
      <c r="E15011" t="s">
        <v>8</v>
      </c>
      <c r="F15011" t="s">
        <v>15014</v>
      </c>
      <c r="G15011">
        <v>1</v>
      </c>
    </row>
    <row r="15012" spans="1:7" x14ac:dyDescent="0.25">
      <c r="A15012">
        <v>41</v>
      </c>
      <c r="B15012" t="s">
        <v>14889</v>
      </c>
      <c r="C15012">
        <v>4047</v>
      </c>
      <c r="D15012" t="str">
        <f>"1294-4475"</f>
        <v>1294-4475</v>
      </c>
      <c r="E15012" t="s">
        <v>8</v>
      </c>
      <c r="F15012" t="s">
        <v>15015</v>
      </c>
      <c r="G15012">
        <v>1</v>
      </c>
    </row>
    <row r="15013" spans="1:7" x14ac:dyDescent="0.25">
      <c r="A15013">
        <v>41</v>
      </c>
      <c r="B15013" t="s">
        <v>14889</v>
      </c>
      <c r="C15013">
        <v>13800</v>
      </c>
      <c r="D15013" t="str">
        <f>"0342-5622"</f>
        <v>0342-5622</v>
      </c>
      <c r="E15013" t="s">
        <v>8</v>
      </c>
      <c r="F15013" t="s">
        <v>15016</v>
      </c>
      <c r="G15013">
        <v>1</v>
      </c>
    </row>
    <row r="15014" spans="1:7" x14ac:dyDescent="0.25">
      <c r="A15014">
        <v>41</v>
      </c>
      <c r="B15014" t="s">
        <v>14889</v>
      </c>
      <c r="C15014">
        <v>8399</v>
      </c>
      <c r="D15014" t="str">
        <f>"1083-6160"</f>
        <v>1083-6160</v>
      </c>
      <c r="E15014" t="s">
        <v>8</v>
      </c>
      <c r="F15014" t="s">
        <v>15017</v>
      </c>
      <c r="G15014">
        <v>1</v>
      </c>
    </row>
    <row r="15015" spans="1:7" x14ac:dyDescent="0.25">
      <c r="A15015">
        <v>41</v>
      </c>
      <c r="B15015" t="s">
        <v>14889</v>
      </c>
      <c r="C15015">
        <v>4819</v>
      </c>
      <c r="D15015" t="str">
        <f>"0934-0866"</f>
        <v>0934-0866</v>
      </c>
      <c r="E15015" t="s">
        <v>8</v>
      </c>
      <c r="F15015" t="s">
        <v>15018</v>
      </c>
      <c r="G15015">
        <v>1</v>
      </c>
    </row>
    <row r="15016" spans="1:7" x14ac:dyDescent="0.25">
      <c r="A15016">
        <v>41</v>
      </c>
      <c r="B15016" t="s">
        <v>14889</v>
      </c>
      <c r="C15016">
        <v>10649</v>
      </c>
      <c r="D15016" t="str">
        <f>"0272-6351"</f>
        <v>0272-6351</v>
      </c>
      <c r="E15016" t="s">
        <v>8</v>
      </c>
      <c r="F15016" t="s">
        <v>15019</v>
      </c>
      <c r="G15016">
        <v>1</v>
      </c>
    </row>
    <row r="15017" spans="1:7" x14ac:dyDescent="0.25">
      <c r="A15017">
        <v>41</v>
      </c>
      <c r="B15017" t="s">
        <v>14889</v>
      </c>
      <c r="C15017">
        <v>4245</v>
      </c>
      <c r="D15017" t="str">
        <f>"0965-5441"</f>
        <v>0965-5441</v>
      </c>
      <c r="E15017" t="s">
        <v>8</v>
      </c>
      <c r="F15017" t="s">
        <v>15020</v>
      </c>
      <c r="G15017">
        <v>1</v>
      </c>
    </row>
    <row r="15018" spans="1:7" x14ac:dyDescent="0.25">
      <c r="A15018">
        <v>41</v>
      </c>
      <c r="B15018" t="s">
        <v>14889</v>
      </c>
      <c r="C15018">
        <v>8123</v>
      </c>
      <c r="D15018" t="str">
        <f>"1091-6466"</f>
        <v>1091-6466</v>
      </c>
      <c r="E15018" t="s">
        <v>8</v>
      </c>
      <c r="F15018" t="s">
        <v>15021</v>
      </c>
      <c r="G15018">
        <v>1</v>
      </c>
    </row>
    <row r="15019" spans="1:7" x14ac:dyDescent="0.25">
      <c r="A15019">
        <v>41</v>
      </c>
      <c r="B15019" t="s">
        <v>14889</v>
      </c>
      <c r="C15019">
        <v>8200</v>
      </c>
      <c r="D15019" t="str">
        <f>"1529-9074"</f>
        <v>1529-9074</v>
      </c>
      <c r="E15019" t="s">
        <v>8</v>
      </c>
      <c r="F15019" t="s">
        <v>15022</v>
      </c>
      <c r="G15019">
        <v>1</v>
      </c>
    </row>
    <row r="15020" spans="1:7" x14ac:dyDescent="0.25">
      <c r="A15020">
        <v>41</v>
      </c>
      <c r="B15020" t="s">
        <v>14889</v>
      </c>
      <c r="C15020">
        <v>14955</v>
      </c>
      <c r="D15020" t="str">
        <f>"0369-9420"</f>
        <v>0369-9420</v>
      </c>
      <c r="E15020" t="s">
        <v>8</v>
      </c>
      <c r="F15020" t="s">
        <v>15023</v>
      </c>
      <c r="G15020">
        <v>1</v>
      </c>
    </row>
    <row r="15021" spans="1:7" x14ac:dyDescent="0.25">
      <c r="A15021">
        <v>41</v>
      </c>
      <c r="B15021" t="s">
        <v>14889</v>
      </c>
      <c r="C15021">
        <v>7646</v>
      </c>
      <c r="D15021" t="str">
        <f>"0032-0188"</f>
        <v>0032-0188</v>
      </c>
      <c r="E15021" t="s">
        <v>8</v>
      </c>
      <c r="F15021" t="s">
        <v>15024</v>
      </c>
      <c r="G15021">
        <v>1</v>
      </c>
    </row>
    <row r="15022" spans="1:7" x14ac:dyDescent="0.25">
      <c r="A15022">
        <v>41</v>
      </c>
      <c r="B15022" t="s">
        <v>14889</v>
      </c>
      <c r="C15022">
        <v>9317</v>
      </c>
      <c r="D15022" t="str">
        <f>"0272-4324"</f>
        <v>0272-4324</v>
      </c>
      <c r="E15022" t="s">
        <v>8</v>
      </c>
      <c r="F15022" t="s">
        <v>15025</v>
      </c>
      <c r="G15022">
        <v>1</v>
      </c>
    </row>
    <row r="15023" spans="1:7" x14ac:dyDescent="0.25">
      <c r="A15023">
        <v>41</v>
      </c>
      <c r="B15023" t="s">
        <v>14889</v>
      </c>
      <c r="C15023">
        <v>15776</v>
      </c>
      <c r="D15023" t="str">
        <f>"0272-8397"</f>
        <v>0272-8397</v>
      </c>
      <c r="E15023" t="s">
        <v>8</v>
      </c>
      <c r="F15023" t="s">
        <v>15026</v>
      </c>
      <c r="G15023">
        <v>1</v>
      </c>
    </row>
    <row r="15024" spans="1:7" x14ac:dyDescent="0.25">
      <c r="A15024">
        <v>41</v>
      </c>
      <c r="B15024" t="s">
        <v>14889</v>
      </c>
      <c r="C15024">
        <v>8783385</v>
      </c>
      <c r="E15024" t="s">
        <v>8</v>
      </c>
      <c r="F15024" t="s">
        <v>15027</v>
      </c>
      <c r="G15024">
        <v>1</v>
      </c>
    </row>
    <row r="15025" spans="1:7" x14ac:dyDescent="0.25">
      <c r="A15025">
        <v>41</v>
      </c>
      <c r="B15025" t="s">
        <v>14889</v>
      </c>
      <c r="C15025">
        <v>7216</v>
      </c>
      <c r="D15025" t="str">
        <f>"0032-3888"</f>
        <v>0032-3888</v>
      </c>
      <c r="E15025" t="s">
        <v>8</v>
      </c>
      <c r="F15025" t="s">
        <v>15028</v>
      </c>
      <c r="G15025">
        <v>1</v>
      </c>
    </row>
    <row r="15026" spans="1:7" x14ac:dyDescent="0.25">
      <c r="A15026">
        <v>41</v>
      </c>
      <c r="B15026" t="s">
        <v>14889</v>
      </c>
      <c r="C15026">
        <v>9684</v>
      </c>
      <c r="D15026" t="str">
        <f>"0142-9418"</f>
        <v>0142-9418</v>
      </c>
      <c r="E15026" t="s">
        <v>8</v>
      </c>
      <c r="F15026" t="s">
        <v>15029</v>
      </c>
      <c r="G15026">
        <v>1</v>
      </c>
    </row>
    <row r="15027" spans="1:7" x14ac:dyDescent="0.25">
      <c r="A15027">
        <v>41</v>
      </c>
      <c r="B15027" t="s">
        <v>14889</v>
      </c>
      <c r="C15027">
        <v>7816</v>
      </c>
      <c r="D15027" t="str">
        <f>"0032-5910"</f>
        <v>0032-5910</v>
      </c>
      <c r="E15027" t="s">
        <v>8</v>
      </c>
      <c r="F15027" t="s">
        <v>15030</v>
      </c>
      <c r="G15027">
        <v>1</v>
      </c>
    </row>
    <row r="15028" spans="1:7" x14ac:dyDescent="0.25">
      <c r="A15028">
        <v>41</v>
      </c>
      <c r="B15028" t="s">
        <v>14889</v>
      </c>
      <c r="C15028">
        <v>5022</v>
      </c>
      <c r="D15028" t="str">
        <f>"0957-5820"</f>
        <v>0957-5820</v>
      </c>
      <c r="E15028" t="s">
        <v>8</v>
      </c>
      <c r="F15028" t="s">
        <v>15031</v>
      </c>
      <c r="G15028">
        <v>1</v>
      </c>
    </row>
    <row r="15029" spans="1:7" x14ac:dyDescent="0.25">
      <c r="A15029">
        <v>41</v>
      </c>
      <c r="B15029" t="s">
        <v>14889</v>
      </c>
      <c r="C15029">
        <v>7465</v>
      </c>
      <c r="D15029" t="str">
        <f>"1066-8527"</f>
        <v>1066-8527</v>
      </c>
      <c r="E15029" t="s">
        <v>8</v>
      </c>
      <c r="F15029" t="s">
        <v>15032</v>
      </c>
      <c r="G15029">
        <v>1</v>
      </c>
    </row>
    <row r="15030" spans="1:7" x14ac:dyDescent="0.25">
      <c r="A15030">
        <v>41</v>
      </c>
      <c r="B15030" t="s">
        <v>14889</v>
      </c>
      <c r="C15030">
        <v>9002</v>
      </c>
      <c r="D15030" t="str">
        <f>"0300-9440"</f>
        <v>0300-9440</v>
      </c>
      <c r="E15030" t="s">
        <v>8</v>
      </c>
      <c r="F15030" t="s">
        <v>15033</v>
      </c>
      <c r="G15030">
        <v>1</v>
      </c>
    </row>
    <row r="15031" spans="1:7" x14ac:dyDescent="0.25">
      <c r="A15031">
        <v>41</v>
      </c>
      <c r="B15031" t="s">
        <v>14889</v>
      </c>
      <c r="C15031">
        <v>4728</v>
      </c>
      <c r="D15031" t="str">
        <f>"0721-3115"</f>
        <v>0721-3115</v>
      </c>
      <c r="E15031" t="s">
        <v>8</v>
      </c>
      <c r="F15031" t="s">
        <v>15034</v>
      </c>
      <c r="G15031">
        <v>1</v>
      </c>
    </row>
    <row r="15032" spans="1:7" x14ac:dyDescent="0.25">
      <c r="A15032">
        <v>41</v>
      </c>
      <c r="B15032" t="s">
        <v>14889</v>
      </c>
      <c r="C15032">
        <v>1274</v>
      </c>
      <c r="D15032" t="str">
        <f>"0033-2496"</f>
        <v>0033-2496</v>
      </c>
      <c r="E15032" t="s">
        <v>8</v>
      </c>
      <c r="F15032" t="s">
        <v>15035</v>
      </c>
      <c r="G15032">
        <v>1</v>
      </c>
    </row>
    <row r="15033" spans="1:7" x14ac:dyDescent="0.25">
      <c r="A15033">
        <v>41</v>
      </c>
      <c r="B15033" t="s">
        <v>14889</v>
      </c>
      <c r="C15033">
        <v>2656</v>
      </c>
      <c r="D15033" t="str">
        <f>"1878-5190"</f>
        <v>1878-5190</v>
      </c>
      <c r="E15033" t="s">
        <v>8</v>
      </c>
      <c r="F15033" t="s">
        <v>15036</v>
      </c>
      <c r="G15033">
        <v>1</v>
      </c>
    </row>
    <row r="15034" spans="1:7" x14ac:dyDescent="0.25">
      <c r="A15034">
        <v>41</v>
      </c>
      <c r="B15034" t="s">
        <v>14889</v>
      </c>
      <c r="C15034">
        <v>14811</v>
      </c>
      <c r="D15034" t="str">
        <f>"1381-5148"</f>
        <v>1381-5148</v>
      </c>
      <c r="E15034" t="s">
        <v>8</v>
      </c>
      <c r="F15034" t="s">
        <v>15037</v>
      </c>
      <c r="G15034">
        <v>1</v>
      </c>
    </row>
    <row r="15035" spans="1:7" x14ac:dyDescent="0.25">
      <c r="A15035">
        <v>41</v>
      </c>
      <c r="B15035" t="s">
        <v>14889</v>
      </c>
      <c r="C15035">
        <v>8077</v>
      </c>
      <c r="D15035" t="str">
        <f>"0090-3507"</f>
        <v>0090-3507</v>
      </c>
      <c r="E15035" t="s">
        <v>8</v>
      </c>
      <c r="F15035" t="s">
        <v>15038</v>
      </c>
      <c r="G15035">
        <v>1</v>
      </c>
    </row>
    <row r="15036" spans="1:7" x14ac:dyDescent="0.25">
      <c r="A15036">
        <v>41</v>
      </c>
      <c r="B15036" t="s">
        <v>14889</v>
      </c>
      <c r="C15036">
        <v>4714</v>
      </c>
      <c r="D15036" t="str">
        <f>"0034-7752"</f>
        <v>0034-7752</v>
      </c>
      <c r="E15036" t="s">
        <v>8</v>
      </c>
      <c r="F15036" t="s">
        <v>15039</v>
      </c>
      <c r="G15036">
        <v>1</v>
      </c>
    </row>
    <row r="15037" spans="1:7" x14ac:dyDescent="0.25">
      <c r="A15037">
        <v>41</v>
      </c>
      <c r="B15037" t="s">
        <v>14889</v>
      </c>
      <c r="C15037">
        <v>15091</v>
      </c>
      <c r="D15037" t="str">
        <f>"1070-4272"</f>
        <v>1070-4272</v>
      </c>
      <c r="E15037" t="s">
        <v>8</v>
      </c>
      <c r="F15037" t="s">
        <v>15040</v>
      </c>
      <c r="G15037">
        <v>1</v>
      </c>
    </row>
    <row r="15038" spans="1:7" x14ac:dyDescent="0.25">
      <c r="A15038">
        <v>41</v>
      </c>
      <c r="B15038" t="s">
        <v>14889</v>
      </c>
      <c r="C15038">
        <v>5904</v>
      </c>
      <c r="D15038" t="str">
        <f>"1557-2064"</f>
        <v>1557-2064</v>
      </c>
      <c r="E15038" t="s">
        <v>8</v>
      </c>
      <c r="F15038" t="s">
        <v>15041</v>
      </c>
      <c r="G15038">
        <v>1</v>
      </c>
    </row>
    <row r="15039" spans="1:7" x14ac:dyDescent="0.25">
      <c r="A15039">
        <v>41</v>
      </c>
      <c r="B15039" t="s">
        <v>14889</v>
      </c>
      <c r="C15039">
        <v>5932</v>
      </c>
      <c r="D15039" t="str">
        <f>"0149-6395"</f>
        <v>0149-6395</v>
      </c>
      <c r="E15039" t="s">
        <v>8</v>
      </c>
      <c r="F15039" t="s">
        <v>15042</v>
      </c>
      <c r="G15039">
        <v>1</v>
      </c>
    </row>
    <row r="15040" spans="1:7" x14ac:dyDescent="0.25">
      <c r="A15040">
        <v>41</v>
      </c>
      <c r="B15040" t="s">
        <v>14889</v>
      </c>
      <c r="C15040">
        <v>10995</v>
      </c>
      <c r="D15040" t="str">
        <f>"1341-7215"</f>
        <v>1341-7215</v>
      </c>
      <c r="E15040" t="s">
        <v>8</v>
      </c>
      <c r="F15040" t="s">
        <v>15043</v>
      </c>
      <c r="G15040">
        <v>1</v>
      </c>
    </row>
    <row r="15041" spans="1:7" x14ac:dyDescent="0.25">
      <c r="A15041">
        <v>41</v>
      </c>
      <c r="B15041" t="s">
        <v>14889</v>
      </c>
      <c r="C15041">
        <v>8774</v>
      </c>
      <c r="D15041" t="str">
        <f>"1064-6671"</f>
        <v>1064-6671</v>
      </c>
      <c r="E15041" t="s">
        <v>8</v>
      </c>
      <c r="F15041" t="s">
        <v>15044</v>
      </c>
      <c r="G15041">
        <v>1</v>
      </c>
    </row>
    <row r="15042" spans="1:7" x14ac:dyDescent="0.25">
      <c r="A15042">
        <v>41</v>
      </c>
      <c r="B15042" t="s">
        <v>14889</v>
      </c>
      <c r="C15042">
        <v>11506</v>
      </c>
      <c r="D15042" t="str">
        <f>"1086-055X"</f>
        <v>1086-055X</v>
      </c>
      <c r="E15042" t="s">
        <v>8</v>
      </c>
      <c r="F15042" t="s">
        <v>15045</v>
      </c>
      <c r="G15042">
        <v>1</v>
      </c>
    </row>
    <row r="15043" spans="1:7" x14ac:dyDescent="0.25">
      <c r="A15043">
        <v>41</v>
      </c>
      <c r="B15043" t="s">
        <v>14889</v>
      </c>
      <c r="C15043">
        <v>7618</v>
      </c>
      <c r="D15043" t="str">
        <f>"1930-1855"</f>
        <v>1930-1855</v>
      </c>
      <c r="E15043" t="s">
        <v>8</v>
      </c>
      <c r="F15043" t="s">
        <v>15046</v>
      </c>
      <c r="G15043">
        <v>1</v>
      </c>
    </row>
    <row r="15044" spans="1:7" x14ac:dyDescent="0.25">
      <c r="A15044">
        <v>41</v>
      </c>
      <c r="B15044" t="s">
        <v>14889</v>
      </c>
      <c r="C15044">
        <v>9368</v>
      </c>
      <c r="D15044" t="str">
        <f>"1094-6470"</f>
        <v>1094-6470</v>
      </c>
      <c r="E15044" t="s">
        <v>8</v>
      </c>
      <c r="F15044" t="s">
        <v>15047</v>
      </c>
      <c r="G15044">
        <v>1</v>
      </c>
    </row>
    <row r="15045" spans="1:7" x14ac:dyDescent="0.25">
      <c r="A15045">
        <v>41</v>
      </c>
      <c r="B15045" t="s">
        <v>14889</v>
      </c>
      <c r="C15045">
        <v>16063</v>
      </c>
      <c r="D15045" t="str">
        <f>"0932-3414"</f>
        <v>0932-3414</v>
      </c>
      <c r="E15045" t="s">
        <v>8</v>
      </c>
      <c r="F15045" t="s">
        <v>15048</v>
      </c>
      <c r="G15045">
        <v>1</v>
      </c>
    </row>
    <row r="15046" spans="1:7" x14ac:dyDescent="0.25">
      <c r="A15046">
        <v>41</v>
      </c>
      <c r="B15046" t="s">
        <v>14889</v>
      </c>
      <c r="C15046">
        <v>12697</v>
      </c>
      <c r="D15046" t="str">
        <f>"0302-0797"</f>
        <v>0302-0797</v>
      </c>
      <c r="E15046" t="s">
        <v>8</v>
      </c>
      <c r="F15046" t="s">
        <v>15049</v>
      </c>
      <c r="G15046">
        <v>1</v>
      </c>
    </row>
    <row r="15047" spans="1:7" x14ac:dyDescent="0.25">
      <c r="A15047">
        <v>41</v>
      </c>
      <c r="B15047" t="s">
        <v>14889</v>
      </c>
      <c r="C15047">
        <v>13748</v>
      </c>
      <c r="D15047" t="str">
        <f>"0021-9614"</f>
        <v>0021-9614</v>
      </c>
      <c r="E15047" t="s">
        <v>8</v>
      </c>
      <c r="F15047" t="s">
        <v>15050</v>
      </c>
      <c r="G15047">
        <v>1</v>
      </c>
    </row>
    <row r="15048" spans="1:7" x14ac:dyDescent="0.25">
      <c r="A15048">
        <v>41</v>
      </c>
      <c r="B15048" t="s">
        <v>14889</v>
      </c>
      <c r="C15048">
        <v>13973</v>
      </c>
      <c r="D15048" t="str">
        <f>"2166-0123"</f>
        <v>2166-0123</v>
      </c>
      <c r="E15048" t="s">
        <v>8</v>
      </c>
      <c r="F15048" t="s">
        <v>15051</v>
      </c>
      <c r="G15048">
        <v>1</v>
      </c>
    </row>
    <row r="15049" spans="1:7" x14ac:dyDescent="0.25">
      <c r="A15049">
        <v>41</v>
      </c>
      <c r="B15049" t="s">
        <v>14889</v>
      </c>
      <c r="C15049">
        <v>15435</v>
      </c>
      <c r="D15049" t="str">
        <f>"0040-5795"</f>
        <v>0040-5795</v>
      </c>
      <c r="E15049" t="s">
        <v>8</v>
      </c>
      <c r="F15049" t="s">
        <v>15052</v>
      </c>
      <c r="G15049">
        <v>1</v>
      </c>
    </row>
    <row r="15050" spans="1:7" x14ac:dyDescent="0.25">
      <c r="A15050">
        <v>41</v>
      </c>
      <c r="B15050" t="s">
        <v>14889</v>
      </c>
      <c r="C15050">
        <v>15251</v>
      </c>
      <c r="D15050" t="str">
        <f>"1022-5528"</f>
        <v>1022-5528</v>
      </c>
      <c r="E15050" t="s">
        <v>8</v>
      </c>
      <c r="F15050" t="s">
        <v>15053</v>
      </c>
      <c r="G15050">
        <v>1</v>
      </c>
    </row>
    <row r="15051" spans="1:7" x14ac:dyDescent="0.25">
      <c r="A15051">
        <v>41</v>
      </c>
      <c r="B15051" t="s">
        <v>14889</v>
      </c>
      <c r="C15051">
        <v>16682</v>
      </c>
      <c r="D15051" t="str">
        <f>"1023-8883"</f>
        <v>1023-8883</v>
      </c>
      <c r="E15051" t="s">
        <v>8</v>
      </c>
      <c r="F15051" t="s">
        <v>15054</v>
      </c>
      <c r="G15051">
        <v>1</v>
      </c>
    </row>
    <row r="15052" spans="1:7" x14ac:dyDescent="0.25">
      <c r="A15052">
        <v>41</v>
      </c>
      <c r="B15052" t="s">
        <v>14889</v>
      </c>
      <c r="C15052">
        <v>16734</v>
      </c>
      <c r="D15052" t="str">
        <f>"1300-0527"</f>
        <v>1300-0527</v>
      </c>
      <c r="E15052" t="s">
        <v>8</v>
      </c>
      <c r="F15052" t="s">
        <v>15055</v>
      </c>
      <c r="G15052">
        <v>1</v>
      </c>
    </row>
    <row r="15053" spans="1:7" x14ac:dyDescent="0.25">
      <c r="A15053">
        <v>41</v>
      </c>
      <c r="B15053" t="s">
        <v>14889</v>
      </c>
      <c r="C15053">
        <v>8089</v>
      </c>
      <c r="D15053" t="str">
        <f>"0043-8790"</f>
        <v>0043-8790</v>
      </c>
      <c r="E15053" t="s">
        <v>8</v>
      </c>
      <c r="F15053" t="s">
        <v>15056</v>
      </c>
      <c r="G15053">
        <v>1</v>
      </c>
    </row>
    <row r="15054" spans="1:7" x14ac:dyDescent="0.25">
      <c r="A15054">
        <v>42</v>
      </c>
      <c r="B15054" t="s">
        <v>15057</v>
      </c>
      <c r="C15054">
        <v>15978</v>
      </c>
      <c r="D15054" t="str">
        <f>"0935-9648"</f>
        <v>0935-9648</v>
      </c>
      <c r="E15054" t="s">
        <v>8</v>
      </c>
      <c r="F15054" t="s">
        <v>15058</v>
      </c>
      <c r="G15054">
        <v>3</v>
      </c>
    </row>
    <row r="15055" spans="1:7" x14ac:dyDescent="0.25">
      <c r="A15055">
        <v>42</v>
      </c>
      <c r="B15055" t="s">
        <v>15057</v>
      </c>
      <c r="C15055">
        <v>14297</v>
      </c>
      <c r="D15055" t="str">
        <f>"0927-796X"</f>
        <v>0927-796X</v>
      </c>
      <c r="E15055" t="s">
        <v>8</v>
      </c>
      <c r="F15055" t="s">
        <v>15059</v>
      </c>
      <c r="G15055">
        <v>3</v>
      </c>
    </row>
    <row r="15056" spans="1:7" x14ac:dyDescent="0.25">
      <c r="A15056">
        <v>42</v>
      </c>
      <c r="B15056" t="s">
        <v>15057</v>
      </c>
      <c r="C15056">
        <v>5632</v>
      </c>
      <c r="D15056" t="str">
        <f>"1476-1122"</f>
        <v>1476-1122</v>
      </c>
      <c r="E15056" t="s">
        <v>8</v>
      </c>
      <c r="F15056" t="s">
        <v>15060</v>
      </c>
      <c r="G15056">
        <v>3</v>
      </c>
    </row>
    <row r="15057" spans="1:7" x14ac:dyDescent="0.25">
      <c r="A15057">
        <v>42</v>
      </c>
      <c r="B15057" t="s">
        <v>15057</v>
      </c>
      <c r="C15057">
        <v>1471</v>
      </c>
      <c r="D15057" t="str">
        <f>"0079-6425"</f>
        <v>0079-6425</v>
      </c>
      <c r="E15057" t="s">
        <v>8</v>
      </c>
      <c r="F15057" t="s">
        <v>15061</v>
      </c>
      <c r="G15057">
        <v>3</v>
      </c>
    </row>
    <row r="15058" spans="1:7" x14ac:dyDescent="0.25">
      <c r="A15058">
        <v>42</v>
      </c>
      <c r="B15058" t="s">
        <v>15057</v>
      </c>
      <c r="C15058">
        <v>180111</v>
      </c>
      <c r="D15058" t="str">
        <f>"2053-1583"</f>
        <v>2053-1583</v>
      </c>
      <c r="E15058" t="s">
        <v>8</v>
      </c>
      <c r="F15058" t="s">
        <v>15062</v>
      </c>
      <c r="G15058">
        <v>2</v>
      </c>
    </row>
    <row r="15059" spans="1:7" x14ac:dyDescent="0.25">
      <c r="A15059">
        <v>42</v>
      </c>
      <c r="B15059" t="s">
        <v>15057</v>
      </c>
      <c r="C15059">
        <v>8770194</v>
      </c>
      <c r="D15059" t="str">
        <f>"2329-7662"</f>
        <v>2329-7662</v>
      </c>
      <c r="E15059" t="s">
        <v>8</v>
      </c>
      <c r="F15059" t="s">
        <v>15063</v>
      </c>
      <c r="G15059">
        <v>2</v>
      </c>
    </row>
    <row r="15060" spans="1:7" x14ac:dyDescent="0.25">
      <c r="A15060">
        <v>42</v>
      </c>
      <c r="B15060" t="s">
        <v>15057</v>
      </c>
      <c r="C15060">
        <v>18067</v>
      </c>
      <c r="D15060" t="str">
        <f>"1936-0851"</f>
        <v>1936-0851</v>
      </c>
      <c r="E15060" t="s">
        <v>8</v>
      </c>
      <c r="F15060" t="s">
        <v>15064</v>
      </c>
      <c r="G15060">
        <v>2</v>
      </c>
    </row>
    <row r="15061" spans="1:7" x14ac:dyDescent="0.25">
      <c r="A15061">
        <v>42</v>
      </c>
      <c r="B15061" t="s">
        <v>15057</v>
      </c>
      <c r="C15061">
        <v>7757785</v>
      </c>
      <c r="E15061" t="s">
        <v>8</v>
      </c>
      <c r="F15061" t="s">
        <v>15065</v>
      </c>
      <c r="G15061">
        <v>2</v>
      </c>
    </row>
    <row r="15062" spans="1:7" x14ac:dyDescent="0.25">
      <c r="A15062">
        <v>42</v>
      </c>
      <c r="B15062" t="s">
        <v>15057</v>
      </c>
      <c r="C15062">
        <v>17648</v>
      </c>
      <c r="D15062" t="str">
        <f>"1742-7061"</f>
        <v>1742-7061</v>
      </c>
      <c r="E15062" t="s">
        <v>8</v>
      </c>
      <c r="F15062" t="s">
        <v>15066</v>
      </c>
      <c r="G15062">
        <v>2</v>
      </c>
    </row>
    <row r="15063" spans="1:7" x14ac:dyDescent="0.25">
      <c r="A15063">
        <v>42</v>
      </c>
      <c r="B15063" t="s">
        <v>15057</v>
      </c>
      <c r="C15063">
        <v>7469</v>
      </c>
      <c r="D15063" t="str">
        <f>"1359-6454"</f>
        <v>1359-6454</v>
      </c>
      <c r="E15063" t="s">
        <v>8</v>
      </c>
      <c r="F15063" t="s">
        <v>15067</v>
      </c>
      <c r="G15063">
        <v>2</v>
      </c>
    </row>
    <row r="15064" spans="1:7" x14ac:dyDescent="0.25">
      <c r="A15064">
        <v>42</v>
      </c>
      <c r="B15064" t="s">
        <v>15057</v>
      </c>
      <c r="C15064">
        <v>13289</v>
      </c>
      <c r="D15064" t="str">
        <f>"1616-301X"</f>
        <v>1616-301X</v>
      </c>
      <c r="E15064" t="s">
        <v>8</v>
      </c>
      <c r="F15064" t="s">
        <v>15068</v>
      </c>
      <c r="G15064">
        <v>2</v>
      </c>
    </row>
    <row r="15065" spans="1:7" x14ac:dyDescent="0.25">
      <c r="A15065">
        <v>42</v>
      </c>
      <c r="B15065" t="s">
        <v>15057</v>
      </c>
      <c r="C15065">
        <v>180110</v>
      </c>
      <c r="D15065" t="str">
        <f>"2196-7350"</f>
        <v>2196-7350</v>
      </c>
      <c r="E15065" t="s">
        <v>8</v>
      </c>
      <c r="F15065" t="s">
        <v>15069</v>
      </c>
      <c r="G15065">
        <v>2</v>
      </c>
    </row>
    <row r="15066" spans="1:7" x14ac:dyDescent="0.25">
      <c r="A15066">
        <v>42</v>
      </c>
      <c r="B15066" t="s">
        <v>15057</v>
      </c>
      <c r="C15066">
        <v>7748275</v>
      </c>
      <c r="E15066" t="s">
        <v>8</v>
      </c>
      <c r="F15066" t="s">
        <v>15070</v>
      </c>
      <c r="G15066">
        <v>2</v>
      </c>
    </row>
    <row r="15067" spans="1:7" x14ac:dyDescent="0.25">
      <c r="A15067">
        <v>42</v>
      </c>
      <c r="B15067" t="s">
        <v>15057</v>
      </c>
      <c r="C15067">
        <v>3971</v>
      </c>
      <c r="D15067" t="str">
        <f>"0360-0564"</f>
        <v>0360-0564</v>
      </c>
      <c r="E15067" t="s">
        <v>8</v>
      </c>
      <c r="F15067" t="s">
        <v>15071</v>
      </c>
      <c r="G15067">
        <v>2</v>
      </c>
    </row>
    <row r="15068" spans="1:7" x14ac:dyDescent="0.25">
      <c r="A15068">
        <v>42</v>
      </c>
      <c r="B15068" t="s">
        <v>15057</v>
      </c>
      <c r="C15068">
        <v>10250</v>
      </c>
      <c r="D15068" t="str">
        <f>"0065-3055"</f>
        <v>0065-3055</v>
      </c>
      <c r="E15068" t="s">
        <v>15</v>
      </c>
      <c r="F15068" t="s">
        <v>15072</v>
      </c>
      <c r="G15068">
        <v>2</v>
      </c>
    </row>
    <row r="15069" spans="1:7" x14ac:dyDescent="0.25">
      <c r="A15069">
        <v>42</v>
      </c>
      <c r="B15069" t="s">
        <v>15057</v>
      </c>
      <c r="C15069">
        <v>7632</v>
      </c>
      <c r="D15069" t="str">
        <f>"1531-7331"</f>
        <v>1531-7331</v>
      </c>
      <c r="E15069" t="s">
        <v>8</v>
      </c>
      <c r="F15069" t="s">
        <v>15073</v>
      </c>
      <c r="G15069">
        <v>2</v>
      </c>
    </row>
    <row r="15070" spans="1:7" x14ac:dyDescent="0.25">
      <c r="A15070">
        <v>42</v>
      </c>
      <c r="B15070" t="s">
        <v>15057</v>
      </c>
      <c r="C15070">
        <v>1269</v>
      </c>
      <c r="D15070" t="str">
        <f>"0169-4332"</f>
        <v>0169-4332</v>
      </c>
      <c r="E15070" t="s">
        <v>8</v>
      </c>
      <c r="F15070" t="s">
        <v>15074</v>
      </c>
      <c r="G15070">
        <v>2</v>
      </c>
    </row>
    <row r="15071" spans="1:7" x14ac:dyDescent="0.25">
      <c r="A15071">
        <v>42</v>
      </c>
      <c r="B15071" t="s">
        <v>15057</v>
      </c>
      <c r="C15071">
        <v>7727449</v>
      </c>
      <c r="D15071" t="str">
        <f>"2047-4830"</f>
        <v>2047-4830</v>
      </c>
      <c r="E15071" t="s">
        <v>8</v>
      </c>
      <c r="F15071" t="s">
        <v>15075</v>
      </c>
      <c r="G15071">
        <v>2</v>
      </c>
    </row>
    <row r="15072" spans="1:7" x14ac:dyDescent="0.25">
      <c r="A15072">
        <v>42</v>
      </c>
      <c r="B15072" t="s">
        <v>15057</v>
      </c>
      <c r="C15072">
        <v>8753</v>
      </c>
      <c r="D15072" t="str">
        <f>"0008-6223"</f>
        <v>0008-6223</v>
      </c>
      <c r="E15072" t="s">
        <v>8</v>
      </c>
      <c r="F15072" t="s">
        <v>15076</v>
      </c>
      <c r="G15072">
        <v>2</v>
      </c>
    </row>
    <row r="15073" spans="1:7" x14ac:dyDescent="0.25">
      <c r="A15073">
        <v>42</v>
      </c>
      <c r="B15073" t="s">
        <v>15057</v>
      </c>
      <c r="C15073">
        <v>7748515</v>
      </c>
      <c r="D15073" t="str">
        <f>"2196-0216"</f>
        <v>2196-0216</v>
      </c>
      <c r="E15073" t="s">
        <v>8</v>
      </c>
      <c r="F15073" t="s">
        <v>15077</v>
      </c>
      <c r="G15073">
        <v>2</v>
      </c>
    </row>
    <row r="15074" spans="1:7" x14ac:dyDescent="0.25">
      <c r="A15074">
        <v>42</v>
      </c>
      <c r="B15074" t="s">
        <v>15057</v>
      </c>
      <c r="C15074">
        <v>7429</v>
      </c>
      <c r="D15074" t="str">
        <f>"1359-835X"</f>
        <v>1359-835X</v>
      </c>
      <c r="E15074" t="s">
        <v>8</v>
      </c>
      <c r="F15074" t="s">
        <v>15078</v>
      </c>
      <c r="G15074">
        <v>2</v>
      </c>
    </row>
    <row r="15075" spans="1:7" x14ac:dyDescent="0.25">
      <c r="A15075">
        <v>42</v>
      </c>
      <c r="B15075" t="s">
        <v>15057</v>
      </c>
      <c r="C15075">
        <v>5249</v>
      </c>
      <c r="D15075" t="str">
        <f>"1359-8368"</f>
        <v>1359-8368</v>
      </c>
      <c r="E15075" t="s">
        <v>8</v>
      </c>
      <c r="F15075" t="s">
        <v>15079</v>
      </c>
      <c r="G15075">
        <v>2</v>
      </c>
    </row>
    <row r="15076" spans="1:7" x14ac:dyDescent="0.25">
      <c r="A15076">
        <v>42</v>
      </c>
      <c r="B15076" t="s">
        <v>15057</v>
      </c>
      <c r="C15076">
        <v>2553</v>
      </c>
      <c r="D15076" t="str">
        <f>"0266-3538"</f>
        <v>0266-3538</v>
      </c>
      <c r="E15076" t="s">
        <v>8</v>
      </c>
      <c r="F15076" t="s">
        <v>15080</v>
      </c>
      <c r="G15076">
        <v>2</v>
      </c>
    </row>
    <row r="15077" spans="1:7" x14ac:dyDescent="0.25">
      <c r="A15077">
        <v>42</v>
      </c>
      <c r="B15077" t="s">
        <v>15057</v>
      </c>
      <c r="C15077">
        <v>8</v>
      </c>
      <c r="D15077" t="str">
        <f>"0010-938X"</f>
        <v>0010-938X</v>
      </c>
      <c r="E15077" t="s">
        <v>8</v>
      </c>
      <c r="F15077" t="s">
        <v>15081</v>
      </c>
      <c r="G15077">
        <v>2</v>
      </c>
    </row>
    <row r="15078" spans="1:7" x14ac:dyDescent="0.25">
      <c r="A15078">
        <v>42</v>
      </c>
      <c r="B15078" t="s">
        <v>15057</v>
      </c>
      <c r="C15078">
        <v>5712</v>
      </c>
      <c r="D15078" t="str">
        <f>"1040-8436"</f>
        <v>1040-8436</v>
      </c>
      <c r="E15078" t="s">
        <v>8</v>
      </c>
      <c r="F15078" t="s">
        <v>15082</v>
      </c>
      <c r="G15078">
        <v>2</v>
      </c>
    </row>
    <row r="15079" spans="1:7" x14ac:dyDescent="0.25">
      <c r="A15079">
        <v>42</v>
      </c>
      <c r="B15079" t="s">
        <v>15057</v>
      </c>
      <c r="C15079">
        <v>7526</v>
      </c>
      <c r="D15079" t="str">
        <f>"1359-0286"</f>
        <v>1359-0286</v>
      </c>
      <c r="E15079" t="s">
        <v>8</v>
      </c>
      <c r="F15079" t="s">
        <v>15083</v>
      </c>
      <c r="G15079">
        <v>2</v>
      </c>
    </row>
    <row r="15080" spans="1:7" x14ac:dyDescent="0.25">
      <c r="A15080">
        <v>42</v>
      </c>
      <c r="B15080" t="s">
        <v>15057</v>
      </c>
      <c r="C15080">
        <v>7745067</v>
      </c>
      <c r="E15080" t="s">
        <v>8</v>
      </c>
      <c r="F15080" t="s">
        <v>15084</v>
      </c>
      <c r="G15080">
        <v>2</v>
      </c>
    </row>
    <row r="15081" spans="1:7" x14ac:dyDescent="0.25">
      <c r="A15081">
        <v>42</v>
      </c>
      <c r="B15081" t="s">
        <v>15057</v>
      </c>
      <c r="C15081">
        <v>7752838</v>
      </c>
      <c r="D15081" t="str">
        <f>"2051-8153"</f>
        <v>2051-8153</v>
      </c>
      <c r="E15081" t="s">
        <v>8</v>
      </c>
      <c r="F15081" t="s">
        <v>15085</v>
      </c>
      <c r="G15081">
        <v>2</v>
      </c>
    </row>
    <row r="15082" spans="1:7" x14ac:dyDescent="0.25">
      <c r="A15082">
        <v>42</v>
      </c>
      <c r="B15082" t="s">
        <v>15057</v>
      </c>
      <c r="C15082">
        <v>11857</v>
      </c>
      <c r="D15082" t="str">
        <f>"0304-386X"</f>
        <v>0304-386X</v>
      </c>
      <c r="E15082" t="s">
        <v>8</v>
      </c>
      <c r="F15082" t="s">
        <v>15086</v>
      </c>
      <c r="G15082">
        <v>2</v>
      </c>
    </row>
    <row r="15083" spans="1:7" x14ac:dyDescent="0.25">
      <c r="A15083">
        <v>42</v>
      </c>
      <c r="B15083" t="s">
        <v>15057</v>
      </c>
      <c r="C15083">
        <v>155995</v>
      </c>
      <c r="D15083" t="str">
        <f>"1939-1404"</f>
        <v>1939-1404</v>
      </c>
      <c r="E15083" t="s">
        <v>8</v>
      </c>
      <c r="F15083" t="s">
        <v>15087</v>
      </c>
      <c r="G15083">
        <v>2</v>
      </c>
    </row>
    <row r="15084" spans="1:7" x14ac:dyDescent="0.25">
      <c r="A15084">
        <v>42</v>
      </c>
      <c r="B15084" t="s">
        <v>15057</v>
      </c>
      <c r="C15084">
        <v>15577</v>
      </c>
      <c r="D15084" t="str">
        <f>"0950-6608"</f>
        <v>0950-6608</v>
      </c>
      <c r="E15084" t="s">
        <v>8</v>
      </c>
      <c r="F15084" t="s">
        <v>15088</v>
      </c>
      <c r="G15084">
        <v>2</v>
      </c>
    </row>
    <row r="15085" spans="1:7" x14ac:dyDescent="0.25">
      <c r="A15085">
        <v>42</v>
      </c>
      <c r="B15085" t="s">
        <v>15057</v>
      </c>
      <c r="C15085">
        <v>7739075</v>
      </c>
      <c r="D15085" t="str">
        <f>"2050-7488"</f>
        <v>2050-7488</v>
      </c>
      <c r="E15085" t="s">
        <v>8</v>
      </c>
      <c r="F15085" t="s">
        <v>15089</v>
      </c>
      <c r="G15085">
        <v>2</v>
      </c>
    </row>
    <row r="15086" spans="1:7" x14ac:dyDescent="0.25">
      <c r="A15086">
        <v>42</v>
      </c>
      <c r="B15086" t="s">
        <v>15057</v>
      </c>
      <c r="C15086">
        <v>7739077</v>
      </c>
      <c r="D15086" t="str">
        <f>"2050-750X"</f>
        <v>2050-750X</v>
      </c>
      <c r="E15086" t="s">
        <v>8</v>
      </c>
      <c r="F15086" t="s">
        <v>15090</v>
      </c>
      <c r="G15086">
        <v>2</v>
      </c>
    </row>
    <row r="15087" spans="1:7" x14ac:dyDescent="0.25">
      <c r="A15087">
        <v>42</v>
      </c>
      <c r="B15087" t="s">
        <v>15057</v>
      </c>
      <c r="C15087">
        <v>7739079</v>
      </c>
      <c r="D15087" t="str">
        <f>"2050-7526"</f>
        <v>2050-7526</v>
      </c>
      <c r="E15087" t="s">
        <v>8</v>
      </c>
      <c r="F15087" t="s">
        <v>15091</v>
      </c>
      <c r="G15087">
        <v>2</v>
      </c>
    </row>
    <row r="15088" spans="1:7" x14ac:dyDescent="0.25">
      <c r="A15088">
        <v>42</v>
      </c>
      <c r="B15088" t="s">
        <v>15057</v>
      </c>
      <c r="C15088">
        <v>428</v>
      </c>
      <c r="D15088" t="str">
        <f>"1005-0302"</f>
        <v>1005-0302</v>
      </c>
      <c r="E15088" t="s">
        <v>8</v>
      </c>
      <c r="F15088" t="s">
        <v>15092</v>
      </c>
      <c r="G15088">
        <v>2</v>
      </c>
    </row>
    <row r="15089" spans="1:7" x14ac:dyDescent="0.25">
      <c r="A15089">
        <v>42</v>
      </c>
      <c r="B15089" t="s">
        <v>15057</v>
      </c>
      <c r="C15089">
        <v>16113</v>
      </c>
      <c r="D15089" t="str">
        <f>"0743-7463"</f>
        <v>0743-7463</v>
      </c>
      <c r="E15089" t="s">
        <v>8</v>
      </c>
      <c r="F15089" t="s">
        <v>15093</v>
      </c>
      <c r="G15089">
        <v>2</v>
      </c>
    </row>
    <row r="15090" spans="1:7" x14ac:dyDescent="0.25">
      <c r="A15090">
        <v>42</v>
      </c>
      <c r="B15090" t="s">
        <v>15057</v>
      </c>
      <c r="C15090">
        <v>1760</v>
      </c>
      <c r="D15090" t="str">
        <f>"0264-1275"</f>
        <v>0264-1275</v>
      </c>
      <c r="E15090" t="s">
        <v>8</v>
      </c>
      <c r="F15090" t="s">
        <v>15094</v>
      </c>
      <c r="G15090">
        <v>2</v>
      </c>
    </row>
    <row r="15091" spans="1:7" x14ac:dyDescent="0.25">
      <c r="A15091">
        <v>42</v>
      </c>
      <c r="B15091" t="s">
        <v>15057</v>
      </c>
      <c r="C15091">
        <v>7744866</v>
      </c>
      <c r="D15091" t="str">
        <f>"2166-3831"</f>
        <v>2166-3831</v>
      </c>
      <c r="E15091" t="s">
        <v>8</v>
      </c>
      <c r="F15091" t="s">
        <v>15095</v>
      </c>
      <c r="G15091">
        <v>2</v>
      </c>
    </row>
    <row r="15092" spans="1:7" x14ac:dyDescent="0.25">
      <c r="A15092">
        <v>42</v>
      </c>
      <c r="B15092" t="s">
        <v>15057</v>
      </c>
      <c r="C15092">
        <v>12478</v>
      </c>
      <c r="D15092" t="str">
        <f>"0921-5093"</f>
        <v>0921-5093</v>
      </c>
      <c r="E15092" t="s">
        <v>8</v>
      </c>
      <c r="F15092" t="s">
        <v>15096</v>
      </c>
      <c r="G15092">
        <v>2</v>
      </c>
    </row>
    <row r="15093" spans="1:7" x14ac:dyDescent="0.25">
      <c r="A15093">
        <v>42</v>
      </c>
      <c r="B15093" t="s">
        <v>15057</v>
      </c>
      <c r="C15093">
        <v>17720</v>
      </c>
      <c r="D15093" t="str">
        <f>"1369-7021"</f>
        <v>1369-7021</v>
      </c>
      <c r="E15093" t="s">
        <v>8</v>
      </c>
      <c r="F15093" t="s">
        <v>15097</v>
      </c>
      <c r="G15093">
        <v>2</v>
      </c>
    </row>
    <row r="15094" spans="1:7" x14ac:dyDescent="0.25">
      <c r="A15094">
        <v>42</v>
      </c>
      <c r="B15094" t="s">
        <v>15057</v>
      </c>
      <c r="C15094">
        <v>11841</v>
      </c>
      <c r="D15094" t="str">
        <f>"0883-7694"</f>
        <v>0883-7694</v>
      </c>
      <c r="E15094" t="s">
        <v>8</v>
      </c>
      <c r="F15094" t="s">
        <v>15098</v>
      </c>
      <c r="G15094">
        <v>2</v>
      </c>
    </row>
    <row r="15095" spans="1:7" x14ac:dyDescent="0.25">
      <c r="A15095">
        <v>42</v>
      </c>
      <c r="B15095" t="s">
        <v>15057</v>
      </c>
      <c r="C15095">
        <v>7738634</v>
      </c>
      <c r="D15095" t="str">
        <f>"2211-2855"</f>
        <v>2211-2855</v>
      </c>
      <c r="E15095" t="s">
        <v>8</v>
      </c>
      <c r="F15095" t="s">
        <v>15099</v>
      </c>
      <c r="G15095">
        <v>2</v>
      </c>
    </row>
    <row r="15096" spans="1:7" x14ac:dyDescent="0.25">
      <c r="A15096">
        <v>42</v>
      </c>
      <c r="B15096" t="s">
        <v>15057</v>
      </c>
      <c r="C15096">
        <v>3012</v>
      </c>
      <c r="D15096" t="str">
        <f>"1530-6984"</f>
        <v>1530-6984</v>
      </c>
      <c r="E15096" t="s">
        <v>8</v>
      </c>
      <c r="F15096" t="s">
        <v>15100</v>
      </c>
      <c r="G15096">
        <v>2</v>
      </c>
    </row>
    <row r="15097" spans="1:7" x14ac:dyDescent="0.25">
      <c r="A15097">
        <v>42</v>
      </c>
      <c r="B15097" t="s">
        <v>15057</v>
      </c>
      <c r="C15097">
        <v>154271</v>
      </c>
      <c r="D15097" t="str">
        <f>"1998-0124"</f>
        <v>1998-0124</v>
      </c>
      <c r="E15097" t="s">
        <v>8</v>
      </c>
      <c r="F15097" t="s">
        <v>15101</v>
      </c>
      <c r="G15097">
        <v>2</v>
      </c>
    </row>
    <row r="15098" spans="1:7" x14ac:dyDescent="0.25">
      <c r="A15098">
        <v>42</v>
      </c>
      <c r="B15098" t="s">
        <v>15057</v>
      </c>
      <c r="C15098">
        <v>17707</v>
      </c>
      <c r="D15098" t="str">
        <f>"1748-0132"</f>
        <v>1748-0132</v>
      </c>
      <c r="E15098" t="s">
        <v>8</v>
      </c>
      <c r="F15098" t="s">
        <v>15102</v>
      </c>
      <c r="G15098">
        <v>2</v>
      </c>
    </row>
    <row r="15099" spans="1:7" x14ac:dyDescent="0.25">
      <c r="A15099">
        <v>42</v>
      </c>
      <c r="B15099" t="s">
        <v>15057</v>
      </c>
      <c r="C15099">
        <v>17180</v>
      </c>
      <c r="D15099" t="str">
        <f>"1549-9634"</f>
        <v>1549-9634</v>
      </c>
      <c r="E15099" t="s">
        <v>8</v>
      </c>
      <c r="F15099" t="s">
        <v>15103</v>
      </c>
      <c r="G15099">
        <v>2</v>
      </c>
    </row>
    <row r="15100" spans="1:7" x14ac:dyDescent="0.25">
      <c r="A15100">
        <v>42</v>
      </c>
      <c r="B15100" t="s">
        <v>15057</v>
      </c>
      <c r="C15100">
        <v>6212418</v>
      </c>
      <c r="D15100" t="str">
        <f>"2040-3364"</f>
        <v>2040-3364</v>
      </c>
      <c r="E15100" t="s">
        <v>8</v>
      </c>
      <c r="F15100" t="s">
        <v>15104</v>
      </c>
      <c r="G15100">
        <v>2</v>
      </c>
    </row>
    <row r="15101" spans="1:7" x14ac:dyDescent="0.25">
      <c r="A15101">
        <v>42</v>
      </c>
      <c r="B15101" t="s">
        <v>15057</v>
      </c>
      <c r="C15101">
        <v>180112</v>
      </c>
      <c r="D15101" t="str">
        <f>"2331-7019"</f>
        <v>2331-7019</v>
      </c>
      <c r="E15101" t="s">
        <v>8</v>
      </c>
      <c r="F15101" t="s">
        <v>15105</v>
      </c>
      <c r="G15101">
        <v>2</v>
      </c>
    </row>
    <row r="15102" spans="1:7" x14ac:dyDescent="0.25">
      <c r="A15102">
        <v>42</v>
      </c>
      <c r="B15102" t="s">
        <v>15057</v>
      </c>
      <c r="C15102">
        <v>7707471</v>
      </c>
      <c r="E15102" t="s">
        <v>8</v>
      </c>
      <c r="F15102" t="s">
        <v>15106</v>
      </c>
      <c r="G15102">
        <v>2</v>
      </c>
    </row>
    <row r="15103" spans="1:7" x14ac:dyDescent="0.25">
      <c r="A15103">
        <v>42</v>
      </c>
      <c r="B15103" t="s">
        <v>15057</v>
      </c>
      <c r="C15103">
        <v>9019</v>
      </c>
      <c r="D15103" t="str">
        <f>"0960-8974"</f>
        <v>0960-8974</v>
      </c>
      <c r="E15103" t="s">
        <v>8</v>
      </c>
      <c r="F15103" t="s">
        <v>15107</v>
      </c>
      <c r="G15103">
        <v>2</v>
      </c>
    </row>
    <row r="15104" spans="1:7" x14ac:dyDescent="0.25">
      <c r="A15104">
        <v>42</v>
      </c>
      <c r="B15104" t="s">
        <v>15057</v>
      </c>
      <c r="C15104">
        <v>18041</v>
      </c>
      <c r="D15104" t="str">
        <f>"1547-6286"</f>
        <v>1547-6286</v>
      </c>
      <c r="E15104" t="s">
        <v>8</v>
      </c>
      <c r="F15104" t="s">
        <v>15108</v>
      </c>
      <c r="G15104">
        <v>2</v>
      </c>
    </row>
    <row r="15105" spans="1:7" x14ac:dyDescent="0.25">
      <c r="A15105">
        <v>42</v>
      </c>
      <c r="B15105" t="s">
        <v>15057</v>
      </c>
      <c r="C15105">
        <v>3980</v>
      </c>
      <c r="D15105" t="str">
        <f>"1468-6996"</f>
        <v>1468-6996</v>
      </c>
      <c r="E15105" t="s">
        <v>8</v>
      </c>
      <c r="F15105" t="s">
        <v>15109</v>
      </c>
      <c r="G15105">
        <v>2</v>
      </c>
    </row>
    <row r="15106" spans="1:7" x14ac:dyDescent="0.25">
      <c r="A15106">
        <v>42</v>
      </c>
      <c r="B15106" t="s">
        <v>15057</v>
      </c>
      <c r="C15106">
        <v>5452</v>
      </c>
      <c r="D15106" t="str">
        <f>"1359-6462"</f>
        <v>1359-6462</v>
      </c>
      <c r="E15106" t="s">
        <v>8</v>
      </c>
      <c r="F15106" t="s">
        <v>15110</v>
      </c>
      <c r="G15106">
        <v>2</v>
      </c>
    </row>
    <row r="15107" spans="1:7" x14ac:dyDescent="0.25">
      <c r="A15107">
        <v>42</v>
      </c>
      <c r="B15107" t="s">
        <v>15057</v>
      </c>
      <c r="C15107">
        <v>18188</v>
      </c>
      <c r="D15107" t="str">
        <f>"1744-683X"</f>
        <v>1744-683X</v>
      </c>
      <c r="E15107" t="s">
        <v>8</v>
      </c>
      <c r="F15107" t="s">
        <v>15111</v>
      </c>
      <c r="G15107">
        <v>2</v>
      </c>
    </row>
    <row r="15108" spans="1:7" x14ac:dyDescent="0.25">
      <c r="A15108">
        <v>42</v>
      </c>
      <c r="B15108" t="s">
        <v>15057</v>
      </c>
      <c r="C15108">
        <v>2788</v>
      </c>
      <c r="D15108" t="str">
        <f>"0927-0248"</f>
        <v>0927-0248</v>
      </c>
      <c r="E15108" t="s">
        <v>8</v>
      </c>
      <c r="F15108" t="s">
        <v>15112</v>
      </c>
      <c r="G15108">
        <v>2</v>
      </c>
    </row>
    <row r="15109" spans="1:7" x14ac:dyDescent="0.25">
      <c r="A15109">
        <v>42</v>
      </c>
      <c r="B15109" t="s">
        <v>15057</v>
      </c>
      <c r="C15109">
        <v>12866</v>
      </c>
      <c r="D15109" t="str">
        <f>"0167-5729"</f>
        <v>0167-5729</v>
      </c>
      <c r="E15109" t="s">
        <v>8</v>
      </c>
      <c r="F15109" t="s">
        <v>15113</v>
      </c>
      <c r="G15109">
        <v>2</v>
      </c>
    </row>
    <row r="15110" spans="1:7" x14ac:dyDescent="0.25">
      <c r="A15110">
        <v>42</v>
      </c>
      <c r="B15110" t="s">
        <v>15057</v>
      </c>
      <c r="C15110">
        <v>7708922</v>
      </c>
      <c r="D15110" t="str">
        <f>"1838-7640"</f>
        <v>1838-7640</v>
      </c>
      <c r="E15110" t="s">
        <v>8</v>
      </c>
      <c r="F15110" t="s">
        <v>15114</v>
      </c>
      <c r="G15110">
        <v>2</v>
      </c>
    </row>
    <row r="15111" spans="1:7" x14ac:dyDescent="0.25">
      <c r="A15111">
        <v>42</v>
      </c>
      <c r="B15111" t="s">
        <v>15057</v>
      </c>
      <c r="C15111">
        <v>8782527</v>
      </c>
      <c r="E15111" t="s">
        <v>8</v>
      </c>
      <c r="F15111" t="s">
        <v>15115</v>
      </c>
      <c r="G15111">
        <v>1</v>
      </c>
    </row>
    <row r="15112" spans="1:7" x14ac:dyDescent="0.25">
      <c r="A15112">
        <v>42</v>
      </c>
      <c r="B15112" t="s">
        <v>15057</v>
      </c>
      <c r="C15112">
        <v>8769247</v>
      </c>
      <c r="D15112" t="str">
        <f>"2214-8604"</f>
        <v>2214-8604</v>
      </c>
      <c r="E15112" t="s">
        <v>8</v>
      </c>
      <c r="F15112" t="s">
        <v>15116</v>
      </c>
      <c r="G15112">
        <v>1</v>
      </c>
    </row>
    <row r="15113" spans="1:7" x14ac:dyDescent="0.25">
      <c r="A15113">
        <v>42</v>
      </c>
      <c r="B15113" t="s">
        <v>15057</v>
      </c>
      <c r="C15113">
        <v>7808</v>
      </c>
      <c r="D15113" t="str">
        <f>"0963-6935"</f>
        <v>0963-6935</v>
      </c>
      <c r="E15113" t="s">
        <v>8</v>
      </c>
      <c r="F15113" t="s">
        <v>15117</v>
      </c>
      <c r="G15113">
        <v>1</v>
      </c>
    </row>
    <row r="15114" spans="1:7" x14ac:dyDescent="0.25">
      <c r="A15114">
        <v>42</v>
      </c>
      <c r="B15114" t="s">
        <v>15057</v>
      </c>
      <c r="C15114">
        <v>6626</v>
      </c>
      <c r="D15114" t="str">
        <f>"0882-7958"</f>
        <v>0882-7958</v>
      </c>
      <c r="E15114" t="s">
        <v>8</v>
      </c>
      <c r="F15114" t="s">
        <v>15118</v>
      </c>
      <c r="G15114">
        <v>1</v>
      </c>
    </row>
    <row r="15115" spans="1:7" x14ac:dyDescent="0.25">
      <c r="A15115">
        <v>42</v>
      </c>
      <c r="B15115" t="s">
        <v>15057</v>
      </c>
      <c r="C15115">
        <v>8783788</v>
      </c>
      <c r="E15115" t="s">
        <v>15</v>
      </c>
      <c r="F15115" t="s">
        <v>15119</v>
      </c>
      <c r="G15115">
        <v>1</v>
      </c>
    </row>
    <row r="15116" spans="1:7" x14ac:dyDescent="0.25">
      <c r="A15116">
        <v>42</v>
      </c>
      <c r="B15116" t="s">
        <v>15057</v>
      </c>
      <c r="C15116">
        <v>17919</v>
      </c>
      <c r="D15116" t="str">
        <f>"1743-6753"</f>
        <v>1743-6753</v>
      </c>
      <c r="E15116" t="s">
        <v>8</v>
      </c>
      <c r="F15116" t="s">
        <v>15120</v>
      </c>
      <c r="G15116">
        <v>1</v>
      </c>
    </row>
    <row r="15117" spans="1:7" x14ac:dyDescent="0.25">
      <c r="A15117">
        <v>42</v>
      </c>
      <c r="B15117" t="s">
        <v>15057</v>
      </c>
      <c r="C15117">
        <v>8783121</v>
      </c>
      <c r="E15117" t="s">
        <v>2100</v>
      </c>
      <c r="F15117" t="s">
        <v>15121</v>
      </c>
      <c r="G15117">
        <v>1</v>
      </c>
    </row>
    <row r="15118" spans="1:7" x14ac:dyDescent="0.25">
      <c r="A15118">
        <v>42</v>
      </c>
      <c r="B15118" t="s">
        <v>15057</v>
      </c>
      <c r="C15118">
        <v>8785</v>
      </c>
      <c r="D15118" t="str">
        <f>"0151-9107"</f>
        <v>0151-9107</v>
      </c>
      <c r="E15118" t="s">
        <v>8</v>
      </c>
      <c r="F15118" t="s">
        <v>15122</v>
      </c>
      <c r="G15118">
        <v>1</v>
      </c>
    </row>
    <row r="15119" spans="1:7" x14ac:dyDescent="0.25">
      <c r="A15119">
        <v>42</v>
      </c>
      <c r="B15119" t="s">
        <v>15057</v>
      </c>
      <c r="C15119">
        <v>156480</v>
      </c>
      <c r="D15119" t="str">
        <f>"1223-6039"</f>
        <v>1223-6039</v>
      </c>
      <c r="E15119" t="s">
        <v>8</v>
      </c>
      <c r="F15119" t="s">
        <v>15123</v>
      </c>
      <c r="G15119">
        <v>1</v>
      </c>
    </row>
    <row r="15120" spans="1:7" x14ac:dyDescent="0.25">
      <c r="A15120">
        <v>42</v>
      </c>
      <c r="B15120" t="s">
        <v>15057</v>
      </c>
      <c r="C15120">
        <v>8783071</v>
      </c>
      <c r="E15120" t="s">
        <v>2100</v>
      </c>
      <c r="F15120" t="s">
        <v>15124</v>
      </c>
      <c r="G15120">
        <v>1</v>
      </c>
    </row>
    <row r="15121" spans="1:7" x14ac:dyDescent="0.25">
      <c r="A15121">
        <v>42</v>
      </c>
      <c r="B15121" t="s">
        <v>15057</v>
      </c>
      <c r="C15121">
        <v>5382</v>
      </c>
      <c r="D15121" t="str">
        <f>"0003-5599"</f>
        <v>0003-5599</v>
      </c>
      <c r="E15121" t="s">
        <v>8</v>
      </c>
      <c r="F15121" t="s">
        <v>15125</v>
      </c>
      <c r="G15121">
        <v>1</v>
      </c>
    </row>
    <row r="15122" spans="1:7" x14ac:dyDescent="0.25">
      <c r="A15122">
        <v>42</v>
      </c>
      <c r="B15122" t="s">
        <v>15057</v>
      </c>
      <c r="C15122">
        <v>10261</v>
      </c>
      <c r="D15122" t="str">
        <f>"1038-6807"</f>
        <v>1038-6807</v>
      </c>
      <c r="E15122" t="s">
        <v>8</v>
      </c>
      <c r="F15122" t="s">
        <v>15126</v>
      </c>
      <c r="G15122">
        <v>1</v>
      </c>
    </row>
    <row r="15123" spans="1:7" x14ac:dyDescent="0.25">
      <c r="A15123">
        <v>42</v>
      </c>
      <c r="B15123" t="s">
        <v>15057</v>
      </c>
      <c r="C15123">
        <v>13039</v>
      </c>
      <c r="D15123" t="str">
        <f>"1559-128X"</f>
        <v>1559-128X</v>
      </c>
      <c r="E15123" t="s">
        <v>8</v>
      </c>
      <c r="F15123" t="s">
        <v>15127</v>
      </c>
      <c r="G15123">
        <v>1</v>
      </c>
    </row>
    <row r="15124" spans="1:7" x14ac:dyDescent="0.25">
      <c r="A15124">
        <v>42</v>
      </c>
      <c r="B15124" t="s">
        <v>15057</v>
      </c>
      <c r="C15124">
        <v>4423</v>
      </c>
      <c r="D15124" t="str">
        <f>"0947-8396"</f>
        <v>0947-8396</v>
      </c>
      <c r="E15124" t="s">
        <v>8</v>
      </c>
      <c r="F15124" t="s">
        <v>15128</v>
      </c>
      <c r="G15124">
        <v>1</v>
      </c>
    </row>
    <row r="15125" spans="1:7" x14ac:dyDescent="0.25">
      <c r="A15125">
        <v>42</v>
      </c>
      <c r="B15125" t="s">
        <v>15057</v>
      </c>
      <c r="C15125">
        <v>9054</v>
      </c>
      <c r="D15125" t="str">
        <f>"1430-6395"</f>
        <v>1430-6395</v>
      </c>
      <c r="E15125" t="s">
        <v>8</v>
      </c>
      <c r="F15125" t="s">
        <v>15129</v>
      </c>
      <c r="G15125">
        <v>1</v>
      </c>
    </row>
    <row r="15126" spans="1:7" x14ac:dyDescent="0.25">
      <c r="A15126">
        <v>42</v>
      </c>
      <c r="B15126" t="s">
        <v>15057</v>
      </c>
      <c r="C15126">
        <v>18166</v>
      </c>
      <c r="D15126" t="str">
        <f>"1733-3490"</f>
        <v>1733-3490</v>
      </c>
      <c r="E15126" t="s">
        <v>8</v>
      </c>
      <c r="F15126" t="s">
        <v>15130</v>
      </c>
      <c r="G15126">
        <v>1</v>
      </c>
    </row>
    <row r="15127" spans="1:7" x14ac:dyDescent="0.25">
      <c r="A15127">
        <v>42</v>
      </c>
      <c r="B15127" t="s">
        <v>15057</v>
      </c>
      <c r="C15127">
        <v>8783070</v>
      </c>
      <c r="E15127" t="s">
        <v>2100</v>
      </c>
      <c r="F15127" t="s">
        <v>15131</v>
      </c>
      <c r="G15127">
        <v>1</v>
      </c>
    </row>
    <row r="15128" spans="1:7" x14ac:dyDescent="0.25">
      <c r="A15128">
        <v>42</v>
      </c>
      <c r="B15128" t="s">
        <v>15057</v>
      </c>
      <c r="C15128">
        <v>8783120</v>
      </c>
      <c r="E15128" t="s">
        <v>2100</v>
      </c>
      <c r="F15128" t="s">
        <v>15132</v>
      </c>
      <c r="G15128">
        <v>1</v>
      </c>
    </row>
    <row r="15129" spans="1:7" x14ac:dyDescent="0.25">
      <c r="A15129">
        <v>42</v>
      </c>
      <c r="B15129" t="s">
        <v>15057</v>
      </c>
      <c r="C15129">
        <v>7695624</v>
      </c>
      <c r="E15129" t="s">
        <v>8</v>
      </c>
      <c r="F15129" t="s">
        <v>15133</v>
      </c>
      <c r="G15129">
        <v>1</v>
      </c>
    </row>
    <row r="15130" spans="1:7" x14ac:dyDescent="0.25">
      <c r="A15130">
        <v>42</v>
      </c>
      <c r="B15130" t="s">
        <v>15057</v>
      </c>
      <c r="C15130">
        <v>25755</v>
      </c>
      <c r="D15130" t="str">
        <f>"1939-1234"</f>
        <v>1939-1234</v>
      </c>
      <c r="E15130" t="s">
        <v>8</v>
      </c>
      <c r="F15130" t="s">
        <v>15134</v>
      </c>
      <c r="G15130">
        <v>1</v>
      </c>
    </row>
    <row r="15131" spans="1:7" x14ac:dyDescent="0.25">
      <c r="A15131">
        <v>42</v>
      </c>
      <c r="B15131" t="s">
        <v>15057</v>
      </c>
      <c r="C15131">
        <v>119085</v>
      </c>
      <c r="D15131" t="str">
        <f>"1934-8630"</f>
        <v>1934-8630</v>
      </c>
      <c r="E15131" t="s">
        <v>8</v>
      </c>
      <c r="F15131" t="s">
        <v>15135</v>
      </c>
      <c r="G15131">
        <v>1</v>
      </c>
    </row>
    <row r="15132" spans="1:7" x14ac:dyDescent="0.25">
      <c r="A15132">
        <v>42</v>
      </c>
      <c r="B15132" t="s">
        <v>15057</v>
      </c>
      <c r="C15132">
        <v>8782569</v>
      </c>
      <c r="D15132" t="str">
        <f>"2405-4518"</f>
        <v>2405-4518</v>
      </c>
      <c r="E15132" t="s">
        <v>8</v>
      </c>
      <c r="F15132" t="s">
        <v>15136</v>
      </c>
      <c r="G15132">
        <v>1</v>
      </c>
    </row>
    <row r="15133" spans="1:7" x14ac:dyDescent="0.25">
      <c r="A15133">
        <v>42</v>
      </c>
      <c r="B15133" t="s">
        <v>15057</v>
      </c>
      <c r="C15133">
        <v>8783069</v>
      </c>
      <c r="E15133" t="s">
        <v>2100</v>
      </c>
      <c r="F15133" t="s">
        <v>15137</v>
      </c>
      <c r="G15133">
        <v>1</v>
      </c>
    </row>
    <row r="15134" spans="1:7" x14ac:dyDescent="0.25">
      <c r="A15134">
        <v>42</v>
      </c>
      <c r="B15134" t="s">
        <v>15057</v>
      </c>
      <c r="C15134">
        <v>14700</v>
      </c>
      <c r="D15134" t="str">
        <f>"0366-3175"</f>
        <v>0366-3175</v>
      </c>
      <c r="E15134" t="s">
        <v>8</v>
      </c>
      <c r="F15134" t="s">
        <v>15138</v>
      </c>
      <c r="G15134">
        <v>1</v>
      </c>
    </row>
    <row r="15135" spans="1:7" x14ac:dyDescent="0.25">
      <c r="A15135">
        <v>42</v>
      </c>
      <c r="B15135" t="s">
        <v>15057</v>
      </c>
      <c r="C15135">
        <v>2059</v>
      </c>
      <c r="D15135" t="str">
        <f>"0008-4433"</f>
        <v>0008-4433</v>
      </c>
      <c r="E15135" t="s">
        <v>8</v>
      </c>
      <c r="F15135" t="s">
        <v>15139</v>
      </c>
      <c r="G15135">
        <v>1</v>
      </c>
    </row>
    <row r="15136" spans="1:7" x14ac:dyDescent="0.25">
      <c r="A15136">
        <v>42</v>
      </c>
      <c r="B15136" t="s">
        <v>15057</v>
      </c>
      <c r="C15136">
        <v>8962</v>
      </c>
      <c r="D15136" t="str">
        <f>"0262-4893"</f>
        <v>0262-4893</v>
      </c>
      <c r="E15136" t="s">
        <v>8</v>
      </c>
      <c r="F15136" t="s">
        <v>15140</v>
      </c>
      <c r="G15136">
        <v>1</v>
      </c>
    </row>
    <row r="15137" spans="1:7" x14ac:dyDescent="0.25">
      <c r="A15137">
        <v>42</v>
      </c>
      <c r="B15137" t="s">
        <v>15057</v>
      </c>
      <c r="C15137">
        <v>6231</v>
      </c>
      <c r="D15137" t="str">
        <f>"0272-8842"</f>
        <v>0272-8842</v>
      </c>
      <c r="E15137" t="s">
        <v>8</v>
      </c>
      <c r="F15137" t="s">
        <v>15141</v>
      </c>
      <c r="G15137">
        <v>1</v>
      </c>
    </row>
    <row r="15138" spans="1:7" x14ac:dyDescent="0.25">
      <c r="A15138">
        <v>42</v>
      </c>
      <c r="B15138" t="s">
        <v>15057</v>
      </c>
      <c r="C15138">
        <v>12862</v>
      </c>
      <c r="D15138" t="str">
        <f>"0862-5468"</f>
        <v>0862-5468</v>
      </c>
      <c r="E15138" t="s">
        <v>8</v>
      </c>
      <c r="F15138" t="s">
        <v>15142</v>
      </c>
      <c r="G15138">
        <v>1</v>
      </c>
    </row>
    <row r="15139" spans="1:7" x14ac:dyDescent="0.25">
      <c r="A15139">
        <v>42</v>
      </c>
      <c r="B15139" t="s">
        <v>15057</v>
      </c>
      <c r="C15139">
        <v>14951</v>
      </c>
      <c r="D15139" t="str">
        <f>"0927-0256"</f>
        <v>0927-0256</v>
      </c>
      <c r="E15139" t="s">
        <v>8</v>
      </c>
      <c r="F15139" t="s">
        <v>15143</v>
      </c>
      <c r="G15139">
        <v>1</v>
      </c>
    </row>
    <row r="15140" spans="1:7" x14ac:dyDescent="0.25">
      <c r="A15140">
        <v>42</v>
      </c>
      <c r="B15140" t="s">
        <v>15057</v>
      </c>
      <c r="C15140">
        <v>8783119</v>
      </c>
      <c r="E15140" t="s">
        <v>2100</v>
      </c>
      <c r="F15140" t="s">
        <v>15144</v>
      </c>
      <c r="G15140">
        <v>1</v>
      </c>
    </row>
    <row r="15141" spans="1:7" x14ac:dyDescent="0.25">
      <c r="A15141">
        <v>42</v>
      </c>
      <c r="B15141" t="s">
        <v>15057</v>
      </c>
      <c r="C15141">
        <v>12899</v>
      </c>
      <c r="D15141" t="str">
        <f>"0010-9312"</f>
        <v>0010-9312</v>
      </c>
      <c r="E15141" t="s">
        <v>8</v>
      </c>
      <c r="F15141" t="s">
        <v>15145</v>
      </c>
      <c r="G15141">
        <v>1</v>
      </c>
    </row>
    <row r="15142" spans="1:7" x14ac:dyDescent="0.25">
      <c r="A15142">
        <v>42</v>
      </c>
      <c r="B15142" t="s">
        <v>15057</v>
      </c>
      <c r="C15142">
        <v>5439</v>
      </c>
      <c r="D15142" t="str">
        <f>"1478-422X"</f>
        <v>1478-422X</v>
      </c>
      <c r="E15142" t="s">
        <v>8</v>
      </c>
      <c r="F15142" t="s">
        <v>15146</v>
      </c>
      <c r="G15142">
        <v>1</v>
      </c>
    </row>
    <row r="15143" spans="1:7" x14ac:dyDescent="0.25">
      <c r="A15143">
        <v>42</v>
      </c>
      <c r="B15143" t="s">
        <v>15057</v>
      </c>
      <c r="C15143">
        <v>7531</v>
      </c>
      <c r="D15143" t="str">
        <f>"0334-6005"</f>
        <v>0334-6005</v>
      </c>
      <c r="E15143" t="s">
        <v>8</v>
      </c>
      <c r="F15143" t="s">
        <v>15147</v>
      </c>
      <c r="G15143">
        <v>1</v>
      </c>
    </row>
    <row r="15144" spans="1:7" x14ac:dyDescent="0.25">
      <c r="A15144">
        <v>42</v>
      </c>
      <c r="B15144" t="s">
        <v>15057</v>
      </c>
      <c r="C15144">
        <v>17740</v>
      </c>
      <c r="D15144" t="str">
        <f>"1573-4137"</f>
        <v>1573-4137</v>
      </c>
      <c r="E15144" t="s">
        <v>8</v>
      </c>
      <c r="F15144" t="s">
        <v>15148</v>
      </c>
      <c r="G15144">
        <v>1</v>
      </c>
    </row>
    <row r="15145" spans="1:7" x14ac:dyDescent="0.25">
      <c r="A15145">
        <v>42</v>
      </c>
      <c r="B15145" t="s">
        <v>15057</v>
      </c>
      <c r="C15145">
        <v>1532</v>
      </c>
      <c r="D15145" t="str">
        <f>"1012-0386"</f>
        <v>1012-0386</v>
      </c>
      <c r="E15145" t="s">
        <v>8</v>
      </c>
      <c r="F15145" t="s">
        <v>15149</v>
      </c>
      <c r="G15145">
        <v>1</v>
      </c>
    </row>
    <row r="15146" spans="1:7" x14ac:dyDescent="0.25">
      <c r="A15146">
        <v>42</v>
      </c>
      <c r="B15146" t="s">
        <v>15057</v>
      </c>
      <c r="C15146">
        <v>12265</v>
      </c>
      <c r="D15146" t="str">
        <f>"0925-9635"</f>
        <v>0925-9635</v>
      </c>
      <c r="E15146" t="s">
        <v>8</v>
      </c>
      <c r="F15146" t="s">
        <v>15150</v>
      </c>
      <c r="G15146">
        <v>1</v>
      </c>
    </row>
    <row r="15147" spans="1:7" x14ac:dyDescent="0.25">
      <c r="A15147">
        <v>42</v>
      </c>
      <c r="B15147" t="s">
        <v>15057</v>
      </c>
      <c r="C15147">
        <v>8782879</v>
      </c>
      <c r="E15147" t="s">
        <v>2100</v>
      </c>
      <c r="F15147" t="s">
        <v>15151</v>
      </c>
      <c r="G15147">
        <v>1</v>
      </c>
    </row>
    <row r="15148" spans="1:7" x14ac:dyDescent="0.25">
      <c r="A15148">
        <v>42</v>
      </c>
      <c r="B15148" t="s">
        <v>15057</v>
      </c>
      <c r="C15148">
        <v>18115</v>
      </c>
      <c r="D15148" t="str">
        <f>"1473-7159"</f>
        <v>1473-7159</v>
      </c>
      <c r="E15148" t="s">
        <v>8</v>
      </c>
      <c r="F15148" t="s">
        <v>15152</v>
      </c>
      <c r="G15148">
        <v>1</v>
      </c>
    </row>
    <row r="15149" spans="1:7" x14ac:dyDescent="0.25">
      <c r="A15149">
        <v>42</v>
      </c>
      <c r="B15149" t="s">
        <v>15057</v>
      </c>
      <c r="C15149">
        <v>14344</v>
      </c>
      <c r="D15149" t="str">
        <f>"0015-0193"</f>
        <v>0015-0193</v>
      </c>
      <c r="E15149" t="s">
        <v>8</v>
      </c>
      <c r="F15149" t="s">
        <v>15153</v>
      </c>
      <c r="G15149">
        <v>1</v>
      </c>
    </row>
    <row r="15150" spans="1:7" x14ac:dyDescent="0.25">
      <c r="A15150">
        <v>42</v>
      </c>
      <c r="B15150" t="s">
        <v>15057</v>
      </c>
      <c r="C15150">
        <v>3848</v>
      </c>
      <c r="D15150" t="str">
        <f>"0146-8030"</f>
        <v>0146-8030</v>
      </c>
      <c r="E15150" t="s">
        <v>8</v>
      </c>
      <c r="F15150" t="s">
        <v>15154</v>
      </c>
      <c r="G15150">
        <v>1</v>
      </c>
    </row>
    <row r="15151" spans="1:7" x14ac:dyDescent="0.25">
      <c r="A15151">
        <v>42</v>
      </c>
      <c r="B15151" t="s">
        <v>15057</v>
      </c>
      <c r="C15151">
        <v>8312</v>
      </c>
      <c r="D15151" t="str">
        <f>"1229-9197"</f>
        <v>1229-9197</v>
      </c>
      <c r="E15151" t="s">
        <v>8</v>
      </c>
      <c r="F15151" t="s">
        <v>15155</v>
      </c>
      <c r="G15151">
        <v>1</v>
      </c>
    </row>
    <row r="15152" spans="1:7" x14ac:dyDescent="0.25">
      <c r="A15152">
        <v>42</v>
      </c>
      <c r="B15152" t="s">
        <v>15057</v>
      </c>
      <c r="C15152">
        <v>3748</v>
      </c>
      <c r="D15152" t="str">
        <f>"1230-3666"</f>
        <v>1230-3666</v>
      </c>
      <c r="E15152" t="s">
        <v>8</v>
      </c>
      <c r="F15152" t="s">
        <v>15156</v>
      </c>
      <c r="G15152">
        <v>1</v>
      </c>
    </row>
    <row r="15153" spans="1:7" x14ac:dyDescent="0.25">
      <c r="A15153">
        <v>42</v>
      </c>
      <c r="B15153" t="s">
        <v>15057</v>
      </c>
      <c r="C15153">
        <v>9615</v>
      </c>
      <c r="D15153" t="str">
        <f>"0308-0501"</f>
        <v>0308-0501</v>
      </c>
      <c r="E15153" t="s">
        <v>8</v>
      </c>
      <c r="F15153" t="s">
        <v>15157</v>
      </c>
      <c r="G15153">
        <v>1</v>
      </c>
    </row>
    <row r="15154" spans="1:7" x14ac:dyDescent="0.25">
      <c r="A15154">
        <v>42</v>
      </c>
      <c r="B15154" t="s">
        <v>15057</v>
      </c>
      <c r="C15154">
        <v>3377</v>
      </c>
      <c r="D15154" t="str">
        <f>"0015-2684"</f>
        <v>0015-2684</v>
      </c>
      <c r="E15154" t="s">
        <v>8</v>
      </c>
      <c r="F15154" t="s">
        <v>15158</v>
      </c>
      <c r="G15154">
        <v>1</v>
      </c>
    </row>
    <row r="15155" spans="1:7" x14ac:dyDescent="0.25">
      <c r="A15155">
        <v>42</v>
      </c>
      <c r="B15155" t="s">
        <v>15057</v>
      </c>
      <c r="C15155">
        <v>8166</v>
      </c>
      <c r="D15155" t="str">
        <f>"0031-918X"</f>
        <v>0031-918X</v>
      </c>
      <c r="E15155" t="s">
        <v>8</v>
      </c>
      <c r="F15155" t="s">
        <v>15159</v>
      </c>
      <c r="G15155">
        <v>1</v>
      </c>
    </row>
    <row r="15156" spans="1:7" x14ac:dyDescent="0.25">
      <c r="A15156">
        <v>42</v>
      </c>
      <c r="B15156" t="s">
        <v>15057</v>
      </c>
      <c r="C15156">
        <v>8782912</v>
      </c>
      <c r="D15156" t="str">
        <f>"2468-0168"</f>
        <v>2468-0168</v>
      </c>
      <c r="E15156" t="s">
        <v>15</v>
      </c>
      <c r="F15156" t="s">
        <v>15160</v>
      </c>
      <c r="G15156">
        <v>1</v>
      </c>
    </row>
    <row r="15157" spans="1:7" x14ac:dyDescent="0.25">
      <c r="A15157">
        <v>42</v>
      </c>
      <c r="B15157" t="s">
        <v>15057</v>
      </c>
      <c r="C15157">
        <v>8761990</v>
      </c>
      <c r="E15157" t="s">
        <v>8</v>
      </c>
      <c r="F15157" t="s">
        <v>15161</v>
      </c>
      <c r="G15157">
        <v>1</v>
      </c>
    </row>
    <row r="15158" spans="1:7" x14ac:dyDescent="0.25">
      <c r="A15158">
        <v>42</v>
      </c>
      <c r="B15158" t="s">
        <v>15057</v>
      </c>
      <c r="C15158">
        <v>9432</v>
      </c>
      <c r="D15158" t="str">
        <f>"0361-7610"</f>
        <v>0361-7610</v>
      </c>
      <c r="E15158" t="s">
        <v>8</v>
      </c>
      <c r="F15158" t="s">
        <v>15162</v>
      </c>
      <c r="G15158">
        <v>1</v>
      </c>
    </row>
    <row r="15159" spans="1:7" x14ac:dyDescent="0.25">
      <c r="A15159">
        <v>42</v>
      </c>
      <c r="B15159" t="s">
        <v>15057</v>
      </c>
      <c r="C15159">
        <v>14469</v>
      </c>
      <c r="D15159" t="str">
        <f>"1087-6596"</f>
        <v>1087-6596</v>
      </c>
      <c r="E15159" t="s">
        <v>8</v>
      </c>
      <c r="F15159" t="s">
        <v>15163</v>
      </c>
      <c r="G15159">
        <v>1</v>
      </c>
    </row>
    <row r="15160" spans="1:7" x14ac:dyDescent="0.25">
      <c r="A15160">
        <v>42</v>
      </c>
      <c r="B15160" t="s">
        <v>15057</v>
      </c>
      <c r="C15160">
        <v>11316</v>
      </c>
      <c r="D15160" t="str">
        <f>"1027-8591"</f>
        <v>1027-8591</v>
      </c>
      <c r="E15160" t="s">
        <v>8</v>
      </c>
      <c r="F15160" t="s">
        <v>15164</v>
      </c>
      <c r="G15160">
        <v>1</v>
      </c>
    </row>
    <row r="15161" spans="1:7" x14ac:dyDescent="0.25">
      <c r="A15161">
        <v>42</v>
      </c>
      <c r="B15161" t="s">
        <v>15057</v>
      </c>
      <c r="C15161">
        <v>15065</v>
      </c>
      <c r="D15161" t="str">
        <f>"1434-5021"</f>
        <v>1434-5021</v>
      </c>
      <c r="E15161" t="s">
        <v>8</v>
      </c>
      <c r="F15161" t="s">
        <v>15165</v>
      </c>
      <c r="G15161">
        <v>1</v>
      </c>
    </row>
    <row r="15162" spans="1:7" x14ac:dyDescent="0.25">
      <c r="A15162">
        <v>42</v>
      </c>
      <c r="B15162" t="s">
        <v>15057</v>
      </c>
      <c r="C15162">
        <v>8782878</v>
      </c>
      <c r="E15162" t="s">
        <v>2100</v>
      </c>
      <c r="F15162" t="s">
        <v>15166</v>
      </c>
      <c r="G15162">
        <v>1</v>
      </c>
    </row>
    <row r="15163" spans="1:7" x14ac:dyDescent="0.25">
      <c r="A15163">
        <v>42</v>
      </c>
      <c r="B15163" t="s">
        <v>15057</v>
      </c>
      <c r="C15163">
        <v>8782877</v>
      </c>
      <c r="E15163" t="s">
        <v>2100</v>
      </c>
      <c r="F15163" t="s">
        <v>15167</v>
      </c>
      <c r="G15163">
        <v>1</v>
      </c>
    </row>
    <row r="15164" spans="1:7" x14ac:dyDescent="0.25">
      <c r="A15164">
        <v>42</v>
      </c>
      <c r="B15164" t="s">
        <v>15057</v>
      </c>
      <c r="C15164">
        <v>8783068</v>
      </c>
      <c r="E15164" t="s">
        <v>2100</v>
      </c>
      <c r="F15164" t="s">
        <v>15168</v>
      </c>
      <c r="G15164">
        <v>1</v>
      </c>
    </row>
    <row r="15165" spans="1:7" x14ac:dyDescent="0.25">
      <c r="A15165">
        <v>42</v>
      </c>
      <c r="B15165" t="s">
        <v>15057</v>
      </c>
      <c r="C15165">
        <v>8782875</v>
      </c>
      <c r="E15165" t="s">
        <v>2100</v>
      </c>
      <c r="F15165" t="s">
        <v>15169</v>
      </c>
      <c r="G15165">
        <v>1</v>
      </c>
    </row>
    <row r="15166" spans="1:7" x14ac:dyDescent="0.25">
      <c r="A15166">
        <v>42</v>
      </c>
      <c r="B15166" t="s">
        <v>15057</v>
      </c>
      <c r="C15166">
        <v>8783067</v>
      </c>
      <c r="D15166" t="str">
        <f>"2330-5665"</f>
        <v>2330-5665</v>
      </c>
      <c r="E15166" t="s">
        <v>2100</v>
      </c>
      <c r="F15166" t="s">
        <v>15170</v>
      </c>
      <c r="G15166">
        <v>1</v>
      </c>
    </row>
    <row r="15167" spans="1:7" x14ac:dyDescent="0.25">
      <c r="A15167">
        <v>42</v>
      </c>
      <c r="B15167" t="s">
        <v>15057</v>
      </c>
      <c r="C15167">
        <v>8782874</v>
      </c>
      <c r="E15167" t="s">
        <v>2100</v>
      </c>
      <c r="F15167" t="s">
        <v>15171</v>
      </c>
      <c r="G15167">
        <v>1</v>
      </c>
    </row>
    <row r="15168" spans="1:7" x14ac:dyDescent="0.25">
      <c r="A15168">
        <v>42</v>
      </c>
      <c r="B15168" t="s">
        <v>15057</v>
      </c>
      <c r="C15168">
        <v>8782873</v>
      </c>
      <c r="D15168" t="str">
        <f>"0160-8371"</f>
        <v>0160-8371</v>
      </c>
      <c r="E15168" t="s">
        <v>2100</v>
      </c>
      <c r="F15168" t="s">
        <v>15172</v>
      </c>
      <c r="G15168">
        <v>1</v>
      </c>
    </row>
    <row r="15169" spans="1:7" x14ac:dyDescent="0.25">
      <c r="A15169">
        <v>42</v>
      </c>
      <c r="B15169" t="s">
        <v>15057</v>
      </c>
      <c r="C15169">
        <v>8783092</v>
      </c>
      <c r="E15169" t="s">
        <v>2100</v>
      </c>
      <c r="F15169" t="s">
        <v>15173</v>
      </c>
      <c r="G15169">
        <v>1</v>
      </c>
    </row>
    <row r="15170" spans="1:7" x14ac:dyDescent="0.25">
      <c r="A15170">
        <v>42</v>
      </c>
      <c r="B15170" t="s">
        <v>15057</v>
      </c>
      <c r="C15170">
        <v>15674</v>
      </c>
      <c r="D15170" t="str">
        <f>"1536-125X"</f>
        <v>1536-125X</v>
      </c>
      <c r="E15170" t="s">
        <v>8</v>
      </c>
      <c r="F15170" t="s">
        <v>15174</v>
      </c>
      <c r="G15170">
        <v>1</v>
      </c>
    </row>
    <row r="15171" spans="1:7" x14ac:dyDescent="0.25">
      <c r="A15171">
        <v>42</v>
      </c>
      <c r="B15171" t="s">
        <v>15057</v>
      </c>
      <c r="C15171">
        <v>10930</v>
      </c>
      <c r="D15171" t="str">
        <f>"0971-0426"</f>
        <v>0971-0426</v>
      </c>
      <c r="E15171" t="s">
        <v>8</v>
      </c>
      <c r="F15171" t="s">
        <v>15175</v>
      </c>
      <c r="G15171">
        <v>1</v>
      </c>
    </row>
    <row r="15172" spans="1:7" x14ac:dyDescent="0.25">
      <c r="A15172">
        <v>42</v>
      </c>
      <c r="B15172" t="s">
        <v>15057</v>
      </c>
      <c r="C15172">
        <v>10711</v>
      </c>
      <c r="D15172" t="str">
        <f>"1350-4495"</f>
        <v>1350-4495</v>
      </c>
      <c r="E15172" t="s">
        <v>8</v>
      </c>
      <c r="F15172" t="s">
        <v>15176</v>
      </c>
      <c r="G15172">
        <v>1</v>
      </c>
    </row>
    <row r="15173" spans="1:7" x14ac:dyDescent="0.25">
      <c r="A15173">
        <v>42</v>
      </c>
      <c r="B15173" t="s">
        <v>15057</v>
      </c>
      <c r="C15173">
        <v>2585</v>
      </c>
      <c r="D15173" t="str">
        <f>"0020-1685"</f>
        <v>0020-1685</v>
      </c>
      <c r="E15173" t="s">
        <v>8</v>
      </c>
      <c r="F15173" t="s">
        <v>15177</v>
      </c>
      <c r="G15173">
        <v>1</v>
      </c>
    </row>
    <row r="15174" spans="1:7" x14ac:dyDescent="0.25">
      <c r="A15174">
        <v>42</v>
      </c>
      <c r="B15174" t="s">
        <v>15057</v>
      </c>
      <c r="C15174">
        <v>15423</v>
      </c>
      <c r="D15174" t="str">
        <f>"1354-2575"</f>
        <v>1354-2575</v>
      </c>
      <c r="E15174" t="s">
        <v>8</v>
      </c>
      <c r="F15174" t="s">
        <v>15178</v>
      </c>
      <c r="G15174">
        <v>1</v>
      </c>
    </row>
    <row r="15175" spans="1:7" x14ac:dyDescent="0.25">
      <c r="A15175">
        <v>42</v>
      </c>
      <c r="B15175" t="s">
        <v>15057</v>
      </c>
      <c r="C15175">
        <v>2830</v>
      </c>
      <c r="D15175" t="str">
        <f>"1058-4587"</f>
        <v>1058-4587</v>
      </c>
      <c r="E15175" t="s">
        <v>8</v>
      </c>
      <c r="F15175" t="s">
        <v>15179</v>
      </c>
      <c r="G15175">
        <v>1</v>
      </c>
    </row>
    <row r="15176" spans="1:7" x14ac:dyDescent="0.25">
      <c r="A15176">
        <v>42</v>
      </c>
      <c r="B15176" t="s">
        <v>15057</v>
      </c>
      <c r="C15176">
        <v>8783066</v>
      </c>
      <c r="E15176" t="s">
        <v>2100</v>
      </c>
      <c r="F15176" t="s">
        <v>15180</v>
      </c>
      <c r="G15176">
        <v>1</v>
      </c>
    </row>
    <row r="15177" spans="1:7" x14ac:dyDescent="0.25">
      <c r="A15177">
        <v>42</v>
      </c>
      <c r="B15177" t="s">
        <v>15057</v>
      </c>
      <c r="C15177">
        <v>14838</v>
      </c>
      <c r="D15177" t="str">
        <f>"0966-9795"</f>
        <v>0966-9795</v>
      </c>
      <c r="E15177" t="s">
        <v>8</v>
      </c>
      <c r="F15177" t="s">
        <v>15181</v>
      </c>
      <c r="G15177">
        <v>1</v>
      </c>
    </row>
    <row r="15178" spans="1:7" x14ac:dyDescent="0.25">
      <c r="A15178">
        <v>42</v>
      </c>
      <c r="B15178" t="s">
        <v>15057</v>
      </c>
      <c r="C15178">
        <v>8783065</v>
      </c>
      <c r="E15178" t="s">
        <v>2100</v>
      </c>
      <c r="F15178" t="s">
        <v>15182</v>
      </c>
      <c r="G15178">
        <v>1</v>
      </c>
    </row>
    <row r="15179" spans="1:7" x14ac:dyDescent="0.25">
      <c r="A15179">
        <v>42</v>
      </c>
      <c r="B15179" t="s">
        <v>15057</v>
      </c>
      <c r="C15179">
        <v>5010972</v>
      </c>
      <c r="E15179" t="s">
        <v>2100</v>
      </c>
      <c r="F15179" t="s">
        <v>15183</v>
      </c>
      <c r="G15179">
        <v>1</v>
      </c>
    </row>
    <row r="15180" spans="1:7" x14ac:dyDescent="0.25">
      <c r="A15180">
        <v>42</v>
      </c>
      <c r="B15180" t="s">
        <v>15057</v>
      </c>
      <c r="C15180">
        <v>8783118</v>
      </c>
      <c r="E15180" t="s">
        <v>2100</v>
      </c>
      <c r="F15180" t="s">
        <v>15184</v>
      </c>
      <c r="G15180">
        <v>1</v>
      </c>
    </row>
    <row r="15181" spans="1:7" x14ac:dyDescent="0.25">
      <c r="A15181">
        <v>42</v>
      </c>
      <c r="B15181" t="s">
        <v>15057</v>
      </c>
      <c r="C15181">
        <v>8782876</v>
      </c>
      <c r="E15181" t="s">
        <v>2100</v>
      </c>
      <c r="F15181" t="s">
        <v>15185</v>
      </c>
      <c r="G15181">
        <v>1</v>
      </c>
    </row>
    <row r="15182" spans="1:7" x14ac:dyDescent="0.25">
      <c r="A15182">
        <v>42</v>
      </c>
      <c r="B15182" t="s">
        <v>15057</v>
      </c>
      <c r="C15182">
        <v>8783341</v>
      </c>
      <c r="E15182" t="s">
        <v>2100</v>
      </c>
      <c r="F15182" t="s">
        <v>15186</v>
      </c>
      <c r="G15182">
        <v>1</v>
      </c>
    </row>
    <row r="15183" spans="1:7" x14ac:dyDescent="0.25">
      <c r="A15183">
        <v>42</v>
      </c>
      <c r="B15183" t="s">
        <v>15057</v>
      </c>
      <c r="C15183">
        <v>8783064</v>
      </c>
      <c r="D15183" t="str">
        <f>"1092-8669"</f>
        <v>1092-8669</v>
      </c>
      <c r="E15183" t="s">
        <v>2100</v>
      </c>
      <c r="F15183" t="s">
        <v>15187</v>
      </c>
      <c r="G15183">
        <v>1</v>
      </c>
    </row>
    <row r="15184" spans="1:7" x14ac:dyDescent="0.25">
      <c r="A15184">
        <v>42</v>
      </c>
      <c r="B15184" t="s">
        <v>15057</v>
      </c>
      <c r="C15184">
        <v>8783062</v>
      </c>
      <c r="E15184" t="s">
        <v>2100</v>
      </c>
      <c r="F15184" t="s">
        <v>15188</v>
      </c>
      <c r="G15184">
        <v>1</v>
      </c>
    </row>
    <row r="15185" spans="1:7" x14ac:dyDescent="0.25">
      <c r="A15185">
        <v>42</v>
      </c>
      <c r="B15185" t="s">
        <v>15057</v>
      </c>
      <c r="C15185">
        <v>8783061</v>
      </c>
      <c r="D15185" t="str">
        <f>"1944-9399"</f>
        <v>1944-9399</v>
      </c>
      <c r="E15185" t="s">
        <v>2100</v>
      </c>
      <c r="F15185" t="s">
        <v>15189</v>
      </c>
      <c r="G15185">
        <v>1</v>
      </c>
    </row>
    <row r="15186" spans="1:7" x14ac:dyDescent="0.25">
      <c r="A15186">
        <v>42</v>
      </c>
      <c r="B15186" t="s">
        <v>15057</v>
      </c>
      <c r="C15186">
        <v>8783059</v>
      </c>
      <c r="E15186" t="s">
        <v>2100</v>
      </c>
      <c r="F15186" t="s">
        <v>15190</v>
      </c>
      <c r="G15186">
        <v>1</v>
      </c>
    </row>
    <row r="15187" spans="1:7" x14ac:dyDescent="0.25">
      <c r="A15187">
        <v>42</v>
      </c>
      <c r="B15187" t="s">
        <v>15057</v>
      </c>
      <c r="C15187">
        <v>8783117</v>
      </c>
      <c r="E15187" t="s">
        <v>2100</v>
      </c>
      <c r="F15187" t="s">
        <v>15191</v>
      </c>
      <c r="G15187">
        <v>1</v>
      </c>
    </row>
    <row r="15188" spans="1:7" x14ac:dyDescent="0.25">
      <c r="A15188">
        <v>42</v>
      </c>
      <c r="B15188" t="s">
        <v>15057</v>
      </c>
      <c r="C15188">
        <v>8782872</v>
      </c>
      <c r="D15188" t="str">
        <f>"2162-3430"</f>
        <v>2162-3430</v>
      </c>
      <c r="E15188" t="s">
        <v>2100</v>
      </c>
      <c r="F15188" t="s">
        <v>15192</v>
      </c>
      <c r="G15188">
        <v>1</v>
      </c>
    </row>
    <row r="15189" spans="1:7" x14ac:dyDescent="0.25">
      <c r="A15189">
        <v>42</v>
      </c>
      <c r="B15189" t="s">
        <v>15057</v>
      </c>
      <c r="C15189">
        <v>8782869</v>
      </c>
      <c r="E15189" t="s">
        <v>2100</v>
      </c>
      <c r="F15189" t="s">
        <v>15193</v>
      </c>
      <c r="G15189">
        <v>1</v>
      </c>
    </row>
    <row r="15190" spans="1:7" x14ac:dyDescent="0.25">
      <c r="A15190">
        <v>42</v>
      </c>
      <c r="B15190" t="s">
        <v>15057</v>
      </c>
      <c r="C15190">
        <v>8782870</v>
      </c>
      <c r="D15190" t="str">
        <f>"2424-8967"</f>
        <v>2424-8967</v>
      </c>
      <c r="E15190" t="s">
        <v>2100</v>
      </c>
      <c r="F15190" t="s">
        <v>15194</v>
      </c>
      <c r="G15190">
        <v>1</v>
      </c>
    </row>
    <row r="15191" spans="1:7" x14ac:dyDescent="0.25">
      <c r="A15191">
        <v>42</v>
      </c>
      <c r="B15191" t="s">
        <v>15057</v>
      </c>
      <c r="C15191">
        <v>8783058</v>
      </c>
      <c r="E15191" t="s">
        <v>2100</v>
      </c>
      <c r="F15191" t="s">
        <v>15195</v>
      </c>
      <c r="G15191">
        <v>1</v>
      </c>
    </row>
    <row r="15192" spans="1:7" x14ac:dyDescent="0.25">
      <c r="A15192">
        <v>42</v>
      </c>
      <c r="B15192" t="s">
        <v>15057</v>
      </c>
      <c r="C15192">
        <v>8783057</v>
      </c>
      <c r="E15192" t="s">
        <v>2100</v>
      </c>
      <c r="F15192" t="s">
        <v>15196</v>
      </c>
      <c r="G15192">
        <v>1</v>
      </c>
    </row>
    <row r="15193" spans="1:7" x14ac:dyDescent="0.25">
      <c r="A15193">
        <v>42</v>
      </c>
      <c r="B15193" t="s">
        <v>15057</v>
      </c>
      <c r="C15193">
        <v>8782871</v>
      </c>
      <c r="E15193" t="s">
        <v>2100</v>
      </c>
      <c r="F15193" t="s">
        <v>15197</v>
      </c>
      <c r="G15193">
        <v>1</v>
      </c>
    </row>
    <row r="15194" spans="1:7" x14ac:dyDescent="0.25">
      <c r="A15194">
        <v>42</v>
      </c>
      <c r="B15194" t="s">
        <v>15057</v>
      </c>
      <c r="C15194">
        <v>1634</v>
      </c>
      <c r="D15194" t="str">
        <f>"1734-4492"</f>
        <v>1734-4492</v>
      </c>
      <c r="E15194" t="s">
        <v>8</v>
      </c>
      <c r="F15194" t="s">
        <v>15198</v>
      </c>
      <c r="G15194">
        <v>1</v>
      </c>
    </row>
    <row r="15195" spans="1:7" x14ac:dyDescent="0.25">
      <c r="A15195">
        <v>42</v>
      </c>
      <c r="B15195" t="s">
        <v>15057</v>
      </c>
      <c r="C15195">
        <v>15733</v>
      </c>
      <c r="D15195" t="str">
        <f>"1862-5282"</f>
        <v>1862-5282</v>
      </c>
      <c r="E15195" t="s">
        <v>8</v>
      </c>
      <c r="F15195" t="s">
        <v>15199</v>
      </c>
      <c r="G15195">
        <v>1</v>
      </c>
    </row>
    <row r="15196" spans="1:7" x14ac:dyDescent="0.25">
      <c r="A15196">
        <v>42</v>
      </c>
      <c r="B15196" t="s">
        <v>15057</v>
      </c>
      <c r="C15196">
        <v>4748</v>
      </c>
      <c r="D15196" t="str">
        <f>"1674-4799"</f>
        <v>1674-4799</v>
      </c>
      <c r="E15196" t="s">
        <v>8</v>
      </c>
      <c r="F15196" t="s">
        <v>15200</v>
      </c>
      <c r="G15196">
        <v>1</v>
      </c>
    </row>
    <row r="15197" spans="1:7" x14ac:dyDescent="0.25">
      <c r="A15197">
        <v>42</v>
      </c>
      <c r="B15197" t="s">
        <v>15057</v>
      </c>
      <c r="C15197">
        <v>154061</v>
      </c>
      <c r="D15197" t="str">
        <f>"1176-9114"</f>
        <v>1176-9114</v>
      </c>
      <c r="E15197" t="s">
        <v>8</v>
      </c>
      <c r="F15197" t="s">
        <v>15201</v>
      </c>
      <c r="G15197">
        <v>1</v>
      </c>
    </row>
    <row r="15198" spans="1:7" x14ac:dyDescent="0.25">
      <c r="A15198">
        <v>42</v>
      </c>
      <c r="B15198" t="s">
        <v>15057</v>
      </c>
      <c r="C15198">
        <v>2349</v>
      </c>
      <c r="D15198" t="str">
        <f>"0219-581X"</f>
        <v>0219-581X</v>
      </c>
      <c r="E15198" t="s">
        <v>8</v>
      </c>
      <c r="F15198" t="s">
        <v>15202</v>
      </c>
      <c r="G15198">
        <v>1</v>
      </c>
    </row>
    <row r="15199" spans="1:7" x14ac:dyDescent="0.25">
      <c r="A15199">
        <v>42</v>
      </c>
      <c r="B15199" t="s">
        <v>15057</v>
      </c>
      <c r="C15199">
        <v>17708</v>
      </c>
      <c r="D15199" t="str">
        <f>"1475-7435"</f>
        <v>1475-7435</v>
      </c>
      <c r="E15199" t="s">
        <v>8</v>
      </c>
      <c r="F15199" t="s">
        <v>15203</v>
      </c>
      <c r="G15199">
        <v>1</v>
      </c>
    </row>
    <row r="15200" spans="1:7" x14ac:dyDescent="0.25">
      <c r="A15200">
        <v>42</v>
      </c>
      <c r="B15200" t="s">
        <v>15057</v>
      </c>
      <c r="C15200">
        <v>11680</v>
      </c>
      <c r="D15200" t="str">
        <f>"0888-7462"</f>
        <v>0888-7462</v>
      </c>
      <c r="E15200" t="s">
        <v>8</v>
      </c>
      <c r="F15200" t="s">
        <v>15204</v>
      </c>
      <c r="G15200">
        <v>1</v>
      </c>
    </row>
    <row r="15201" spans="1:7" x14ac:dyDescent="0.25">
      <c r="A15201">
        <v>42</v>
      </c>
      <c r="B15201" t="s">
        <v>15057</v>
      </c>
      <c r="C15201">
        <v>13893</v>
      </c>
      <c r="D15201" t="str">
        <f>"0263-4368"</f>
        <v>0263-4368</v>
      </c>
      <c r="E15201" t="s">
        <v>8</v>
      </c>
      <c r="F15201" t="s">
        <v>15205</v>
      </c>
      <c r="G15201">
        <v>1</v>
      </c>
    </row>
    <row r="15202" spans="1:7" x14ac:dyDescent="0.25">
      <c r="A15202">
        <v>42</v>
      </c>
      <c r="B15202" t="s">
        <v>15057</v>
      </c>
      <c r="C15202">
        <v>8783116</v>
      </c>
      <c r="D15202" t="str">
        <f>"2367-1181"</f>
        <v>2367-1181</v>
      </c>
      <c r="E15202" t="s">
        <v>2100</v>
      </c>
      <c r="F15202" t="s">
        <v>15206</v>
      </c>
      <c r="G15202">
        <v>1</v>
      </c>
    </row>
    <row r="15203" spans="1:7" x14ac:dyDescent="0.25">
      <c r="A15203">
        <v>42</v>
      </c>
      <c r="B15203" t="s">
        <v>15057</v>
      </c>
      <c r="C15203">
        <v>6145172</v>
      </c>
      <c r="D15203" t="str">
        <f>"1757-8981"</f>
        <v>1757-8981</v>
      </c>
      <c r="E15203" t="s">
        <v>8</v>
      </c>
      <c r="F15203" t="s">
        <v>15207</v>
      </c>
      <c r="G15203">
        <v>1</v>
      </c>
    </row>
    <row r="15204" spans="1:7" x14ac:dyDescent="0.25">
      <c r="A15204">
        <v>42</v>
      </c>
      <c r="B15204" t="s">
        <v>15057</v>
      </c>
      <c r="C15204">
        <v>12986</v>
      </c>
      <c r="D15204" t="str">
        <f>"1547-0423"</f>
        <v>1547-0423</v>
      </c>
      <c r="E15204" t="s">
        <v>8</v>
      </c>
      <c r="F15204" t="s">
        <v>15208</v>
      </c>
      <c r="G15204">
        <v>1</v>
      </c>
    </row>
    <row r="15205" spans="1:7" x14ac:dyDescent="0.25">
      <c r="A15205">
        <v>42</v>
      </c>
      <c r="B15205" t="s">
        <v>15057</v>
      </c>
      <c r="C15205">
        <v>9720</v>
      </c>
      <c r="D15205" t="str">
        <f>"0301-9233"</f>
        <v>0301-9233</v>
      </c>
      <c r="E15205" t="s">
        <v>8</v>
      </c>
      <c r="F15205" t="s">
        <v>15209</v>
      </c>
      <c r="G15205">
        <v>1</v>
      </c>
    </row>
    <row r="15206" spans="1:7" x14ac:dyDescent="0.25">
      <c r="A15206">
        <v>42</v>
      </c>
      <c r="B15206" t="s">
        <v>15057</v>
      </c>
      <c r="C15206">
        <v>5170</v>
      </c>
      <c r="D15206" t="str">
        <f>"0915-1559"</f>
        <v>0915-1559</v>
      </c>
      <c r="E15206" t="s">
        <v>8</v>
      </c>
      <c r="F15206" t="s">
        <v>15210</v>
      </c>
      <c r="G15206">
        <v>1</v>
      </c>
    </row>
    <row r="15207" spans="1:7" x14ac:dyDescent="0.25">
      <c r="A15207">
        <v>42</v>
      </c>
      <c r="B15207" t="s">
        <v>15057</v>
      </c>
      <c r="C15207">
        <v>10305</v>
      </c>
      <c r="D15207" t="str">
        <f>"0412-1961"</f>
        <v>0412-1961</v>
      </c>
      <c r="E15207" t="s">
        <v>8</v>
      </c>
      <c r="F15207" t="s">
        <v>15211</v>
      </c>
      <c r="G15207">
        <v>1</v>
      </c>
    </row>
    <row r="15208" spans="1:7" x14ac:dyDescent="0.25">
      <c r="A15208">
        <v>42</v>
      </c>
      <c r="B15208" t="s">
        <v>15057</v>
      </c>
      <c r="C15208">
        <v>10510</v>
      </c>
      <c r="D15208" t="str">
        <f>"1047-4838"</f>
        <v>1047-4838</v>
      </c>
      <c r="E15208" t="s">
        <v>8</v>
      </c>
      <c r="F15208" t="s">
        <v>15212</v>
      </c>
      <c r="G15208">
        <v>1</v>
      </c>
    </row>
    <row r="15209" spans="1:7" x14ac:dyDescent="0.25">
      <c r="A15209">
        <v>42</v>
      </c>
      <c r="B15209" t="s">
        <v>15057</v>
      </c>
      <c r="C15209">
        <v>5507</v>
      </c>
      <c r="D15209" t="str">
        <f>"0169-4243"</f>
        <v>0169-4243</v>
      </c>
      <c r="E15209" t="s">
        <v>8</v>
      </c>
      <c r="F15209" t="s">
        <v>15213</v>
      </c>
      <c r="G15209">
        <v>1</v>
      </c>
    </row>
    <row r="15210" spans="1:7" x14ac:dyDescent="0.25">
      <c r="A15210">
        <v>42</v>
      </c>
      <c r="B15210" t="s">
        <v>15057</v>
      </c>
      <c r="C15210">
        <v>6970</v>
      </c>
      <c r="D15210" t="str">
        <f>"0925-8388"</f>
        <v>0925-8388</v>
      </c>
      <c r="E15210" t="s">
        <v>8</v>
      </c>
      <c r="F15210" t="s">
        <v>15214</v>
      </c>
      <c r="G15210">
        <v>1</v>
      </c>
    </row>
    <row r="15211" spans="1:7" x14ac:dyDescent="0.25">
      <c r="A15211">
        <v>42</v>
      </c>
      <c r="B15211" t="s">
        <v>15057</v>
      </c>
      <c r="C15211">
        <v>17831</v>
      </c>
      <c r="D15211" t="str">
        <f>"1549-3296"</f>
        <v>1549-3296</v>
      </c>
      <c r="E15211" t="s">
        <v>8</v>
      </c>
      <c r="F15211" t="s">
        <v>15215</v>
      </c>
      <c r="G15211">
        <v>1</v>
      </c>
    </row>
    <row r="15212" spans="1:7" x14ac:dyDescent="0.25">
      <c r="A15212">
        <v>42</v>
      </c>
      <c r="B15212" t="s">
        <v>15057</v>
      </c>
      <c r="C15212">
        <v>11721</v>
      </c>
      <c r="D15212" t="str">
        <f>"1229-9162"</f>
        <v>1229-9162</v>
      </c>
      <c r="E15212" t="s">
        <v>8</v>
      </c>
      <c r="F15212" t="s">
        <v>15216</v>
      </c>
      <c r="G15212">
        <v>1</v>
      </c>
    </row>
    <row r="15213" spans="1:7" x14ac:dyDescent="0.25">
      <c r="A15213">
        <v>42</v>
      </c>
      <c r="B15213" t="s">
        <v>15057</v>
      </c>
      <c r="C15213">
        <v>7224</v>
      </c>
      <c r="D15213" t="str">
        <f>"0095-2443"</f>
        <v>0095-2443</v>
      </c>
      <c r="E15213" t="s">
        <v>8</v>
      </c>
      <c r="F15213" t="s">
        <v>15217</v>
      </c>
      <c r="G15213">
        <v>1</v>
      </c>
    </row>
    <row r="15214" spans="1:7" x14ac:dyDescent="0.25">
      <c r="A15214">
        <v>42</v>
      </c>
      <c r="B15214" t="s">
        <v>15057</v>
      </c>
      <c r="C15214">
        <v>16429</v>
      </c>
      <c r="D15214" t="str">
        <f>"0737-0652"</f>
        <v>0737-0652</v>
      </c>
      <c r="E15214" t="s">
        <v>8</v>
      </c>
      <c r="F15214" t="s">
        <v>15218</v>
      </c>
      <c r="G15214">
        <v>1</v>
      </c>
    </row>
    <row r="15215" spans="1:7" x14ac:dyDescent="0.25">
      <c r="A15215">
        <v>42</v>
      </c>
      <c r="B15215" t="s">
        <v>15057</v>
      </c>
      <c r="C15215">
        <v>11964</v>
      </c>
      <c r="D15215" t="str">
        <f>"0094-4289"</f>
        <v>0094-4289</v>
      </c>
      <c r="E15215" t="s">
        <v>8</v>
      </c>
      <c r="F15215" t="s">
        <v>15219</v>
      </c>
      <c r="G15215">
        <v>1</v>
      </c>
    </row>
    <row r="15216" spans="1:7" x14ac:dyDescent="0.25">
      <c r="A15216">
        <v>42</v>
      </c>
      <c r="B15216" t="s">
        <v>15057</v>
      </c>
      <c r="C15216">
        <v>6666</v>
      </c>
      <c r="D15216" t="str">
        <f>"1528-0837"</f>
        <v>1528-0837</v>
      </c>
      <c r="E15216" t="s">
        <v>8</v>
      </c>
      <c r="F15216" t="s">
        <v>15220</v>
      </c>
      <c r="G15216">
        <v>1</v>
      </c>
    </row>
    <row r="15217" spans="1:7" x14ac:dyDescent="0.25">
      <c r="A15217">
        <v>42</v>
      </c>
      <c r="B15217" t="s">
        <v>15057</v>
      </c>
      <c r="C15217">
        <v>6309</v>
      </c>
      <c r="D15217" t="str">
        <f>"1045-389X"</f>
        <v>1045-389X</v>
      </c>
      <c r="E15217" t="s">
        <v>8</v>
      </c>
      <c r="F15217" t="s">
        <v>15221</v>
      </c>
      <c r="G15217">
        <v>1</v>
      </c>
    </row>
    <row r="15218" spans="1:7" x14ac:dyDescent="0.25">
      <c r="A15218">
        <v>42</v>
      </c>
      <c r="B15218" t="s">
        <v>15057</v>
      </c>
      <c r="C15218">
        <v>10451</v>
      </c>
      <c r="D15218" t="str">
        <f>"1006-706X"</f>
        <v>1006-706X</v>
      </c>
      <c r="E15218" t="s">
        <v>8</v>
      </c>
      <c r="F15218" t="s">
        <v>15222</v>
      </c>
      <c r="G15218">
        <v>1</v>
      </c>
    </row>
    <row r="15219" spans="1:7" x14ac:dyDescent="0.25">
      <c r="A15219">
        <v>42</v>
      </c>
      <c r="B15219" t="s">
        <v>15057</v>
      </c>
      <c r="C15219">
        <v>1313</v>
      </c>
      <c r="D15219" t="str">
        <f>"0304-8853"</f>
        <v>0304-8853</v>
      </c>
      <c r="E15219" t="s">
        <v>8</v>
      </c>
      <c r="F15219" t="s">
        <v>15223</v>
      </c>
      <c r="G15219">
        <v>1</v>
      </c>
    </row>
    <row r="15220" spans="1:7" x14ac:dyDescent="0.25">
      <c r="A15220">
        <v>42</v>
      </c>
      <c r="B15220" t="s">
        <v>15057</v>
      </c>
      <c r="C15220">
        <v>6350</v>
      </c>
      <c r="D15220" t="str">
        <f>"1059-9495"</f>
        <v>1059-9495</v>
      </c>
      <c r="E15220" t="s">
        <v>8</v>
      </c>
      <c r="F15220" t="s">
        <v>15224</v>
      </c>
      <c r="G15220">
        <v>1</v>
      </c>
    </row>
    <row r="15221" spans="1:7" x14ac:dyDescent="0.25">
      <c r="A15221">
        <v>42</v>
      </c>
      <c r="B15221" t="s">
        <v>15057</v>
      </c>
      <c r="C15221">
        <v>2794</v>
      </c>
      <c r="D15221" t="str">
        <f>"0884-2914"</f>
        <v>0884-2914</v>
      </c>
      <c r="E15221" t="s">
        <v>8</v>
      </c>
      <c r="F15221" t="s">
        <v>15225</v>
      </c>
      <c r="G15221">
        <v>1</v>
      </c>
    </row>
    <row r="15222" spans="1:7" x14ac:dyDescent="0.25">
      <c r="A15222">
        <v>42</v>
      </c>
      <c r="B15222" t="s">
        <v>15057</v>
      </c>
      <c r="C15222">
        <v>13368</v>
      </c>
      <c r="D15222" t="str">
        <f>"0022-2461"</f>
        <v>0022-2461</v>
      </c>
      <c r="E15222" t="s">
        <v>8</v>
      </c>
      <c r="F15222" t="s">
        <v>15226</v>
      </c>
      <c r="G15222">
        <v>1</v>
      </c>
    </row>
    <row r="15223" spans="1:7" x14ac:dyDescent="0.25">
      <c r="A15223">
        <v>42</v>
      </c>
      <c r="B15223" t="s">
        <v>15057</v>
      </c>
      <c r="C15223">
        <v>2278</v>
      </c>
      <c r="D15223" t="str">
        <f>"0957-4522"</f>
        <v>0957-4522</v>
      </c>
      <c r="E15223" t="s">
        <v>8</v>
      </c>
      <c r="F15223" t="s">
        <v>15227</v>
      </c>
      <c r="G15223">
        <v>1</v>
      </c>
    </row>
    <row r="15224" spans="1:7" x14ac:dyDescent="0.25">
      <c r="A15224">
        <v>42</v>
      </c>
      <c r="B15224" t="s">
        <v>15057</v>
      </c>
      <c r="C15224">
        <v>8987</v>
      </c>
      <c r="D15224" t="str">
        <f>"0957-4530"</f>
        <v>0957-4530</v>
      </c>
      <c r="E15224" t="s">
        <v>8</v>
      </c>
      <c r="F15224" t="s">
        <v>15228</v>
      </c>
      <c r="G15224">
        <v>1</v>
      </c>
    </row>
    <row r="15225" spans="1:7" x14ac:dyDescent="0.25">
      <c r="A15225">
        <v>42</v>
      </c>
      <c r="B15225" t="s">
        <v>15057</v>
      </c>
      <c r="C15225">
        <v>27722</v>
      </c>
      <c r="D15225" t="str">
        <f>"1559-3959"</f>
        <v>1559-3959</v>
      </c>
      <c r="E15225" t="s">
        <v>8</v>
      </c>
      <c r="F15225" t="s">
        <v>15229</v>
      </c>
      <c r="G15225">
        <v>1</v>
      </c>
    </row>
    <row r="15226" spans="1:7" x14ac:dyDescent="0.25">
      <c r="A15226">
        <v>42</v>
      </c>
      <c r="B15226" t="s">
        <v>15057</v>
      </c>
      <c r="C15226">
        <v>27887</v>
      </c>
      <c r="D15226" t="str">
        <f>"1932-5150"</f>
        <v>1932-5150</v>
      </c>
      <c r="E15226" t="s">
        <v>8</v>
      </c>
      <c r="F15226" t="s">
        <v>15230</v>
      </c>
      <c r="G15226">
        <v>1</v>
      </c>
    </row>
    <row r="15227" spans="1:7" x14ac:dyDescent="0.25">
      <c r="A15227">
        <v>42</v>
      </c>
      <c r="B15227" t="s">
        <v>15057</v>
      </c>
      <c r="C15227">
        <v>4997</v>
      </c>
      <c r="D15227" t="str">
        <f>"0960-1317"</f>
        <v>0960-1317</v>
      </c>
      <c r="E15227" t="s">
        <v>8</v>
      </c>
      <c r="F15227" t="s">
        <v>15231</v>
      </c>
      <c r="G15227">
        <v>1</v>
      </c>
    </row>
    <row r="15228" spans="1:7" x14ac:dyDescent="0.25">
      <c r="A15228">
        <v>42</v>
      </c>
      <c r="B15228" t="s">
        <v>15057</v>
      </c>
      <c r="C15228">
        <v>1933</v>
      </c>
      <c r="D15228" t="str">
        <f>"0950-0340"</f>
        <v>0950-0340</v>
      </c>
      <c r="E15228" t="s">
        <v>8</v>
      </c>
      <c r="F15228" t="s">
        <v>15232</v>
      </c>
      <c r="G15228">
        <v>1</v>
      </c>
    </row>
    <row r="15229" spans="1:7" x14ac:dyDescent="0.25">
      <c r="A15229">
        <v>42</v>
      </c>
      <c r="B15229" t="s">
        <v>15057</v>
      </c>
      <c r="C15229">
        <v>14070</v>
      </c>
      <c r="E15229" t="s">
        <v>8</v>
      </c>
      <c r="F15229" t="s">
        <v>15233</v>
      </c>
      <c r="G15229">
        <v>1</v>
      </c>
    </row>
    <row r="15230" spans="1:7" x14ac:dyDescent="0.25">
      <c r="A15230">
        <v>42</v>
      </c>
      <c r="B15230" t="s">
        <v>15057</v>
      </c>
      <c r="C15230">
        <v>15999</v>
      </c>
      <c r="D15230" t="str">
        <f>"1687-4110"</f>
        <v>1687-4110</v>
      </c>
      <c r="E15230" t="s">
        <v>8</v>
      </c>
      <c r="F15230" t="s">
        <v>15234</v>
      </c>
      <c r="G15230">
        <v>1</v>
      </c>
    </row>
    <row r="15231" spans="1:7" x14ac:dyDescent="0.25">
      <c r="A15231">
        <v>42</v>
      </c>
      <c r="B15231" t="s">
        <v>15057</v>
      </c>
      <c r="C15231">
        <v>494</v>
      </c>
      <c r="D15231" t="str">
        <f>"1388-0764"</f>
        <v>1388-0764</v>
      </c>
      <c r="E15231" t="s">
        <v>8</v>
      </c>
      <c r="F15231" t="s">
        <v>15235</v>
      </c>
      <c r="G15231">
        <v>1</v>
      </c>
    </row>
    <row r="15232" spans="1:7" x14ac:dyDescent="0.25">
      <c r="A15232">
        <v>42</v>
      </c>
      <c r="B15232" t="s">
        <v>15057</v>
      </c>
      <c r="C15232">
        <v>2343</v>
      </c>
      <c r="D15232" t="str">
        <f>"1533-4880"</f>
        <v>1533-4880</v>
      </c>
      <c r="E15232" t="s">
        <v>8</v>
      </c>
      <c r="F15232" t="s">
        <v>15236</v>
      </c>
      <c r="G15232">
        <v>1</v>
      </c>
    </row>
    <row r="15233" spans="1:7" x14ac:dyDescent="0.25">
      <c r="A15233">
        <v>42</v>
      </c>
      <c r="B15233" t="s">
        <v>15057</v>
      </c>
      <c r="C15233">
        <v>2331</v>
      </c>
      <c r="D15233" t="str">
        <f>"1480-2422"</f>
        <v>1480-2422</v>
      </c>
      <c r="E15233" t="s">
        <v>8</v>
      </c>
      <c r="F15233" t="s">
        <v>15237</v>
      </c>
      <c r="G15233">
        <v>1</v>
      </c>
    </row>
    <row r="15234" spans="1:7" x14ac:dyDescent="0.25">
      <c r="A15234">
        <v>42</v>
      </c>
      <c r="B15234" t="s">
        <v>15057</v>
      </c>
      <c r="C15234">
        <v>8783367</v>
      </c>
      <c r="E15234" t="s">
        <v>8</v>
      </c>
      <c r="F15234" t="s">
        <v>15238</v>
      </c>
      <c r="G15234">
        <v>1</v>
      </c>
    </row>
    <row r="15235" spans="1:7" x14ac:dyDescent="0.25">
      <c r="A15235">
        <v>42</v>
      </c>
      <c r="B15235" t="s">
        <v>15057</v>
      </c>
      <c r="C15235">
        <v>13772</v>
      </c>
      <c r="D15235" t="str">
        <f>"0195-9298"</f>
        <v>0195-9298</v>
      </c>
      <c r="E15235" t="s">
        <v>8</v>
      </c>
      <c r="F15235" t="s">
        <v>15239</v>
      </c>
      <c r="G15235">
        <v>1</v>
      </c>
    </row>
    <row r="15236" spans="1:7" x14ac:dyDescent="0.25">
      <c r="A15236">
        <v>42</v>
      </c>
      <c r="B15236" t="s">
        <v>15057</v>
      </c>
      <c r="C15236">
        <v>10121</v>
      </c>
      <c r="D15236" t="str">
        <f>"0022-3115"</f>
        <v>0022-3115</v>
      </c>
      <c r="E15236" t="s">
        <v>8</v>
      </c>
      <c r="F15236" t="s">
        <v>15240</v>
      </c>
      <c r="G15236">
        <v>1</v>
      </c>
    </row>
    <row r="15237" spans="1:7" x14ac:dyDescent="0.25">
      <c r="A15237">
        <v>42</v>
      </c>
      <c r="B15237" t="s">
        <v>15057</v>
      </c>
      <c r="C15237">
        <v>6171306</v>
      </c>
      <c r="D15237" t="str">
        <f>"2040-8978"</f>
        <v>2040-8978</v>
      </c>
      <c r="E15237" t="s">
        <v>8</v>
      </c>
      <c r="F15237" t="s">
        <v>15241</v>
      </c>
      <c r="G15237">
        <v>1</v>
      </c>
    </row>
    <row r="15238" spans="1:7" x14ac:dyDescent="0.25">
      <c r="A15238">
        <v>42</v>
      </c>
      <c r="B15238" t="s">
        <v>15057</v>
      </c>
      <c r="C15238">
        <v>3489</v>
      </c>
      <c r="D15238" t="str">
        <f>"1454-4164"</f>
        <v>1454-4164</v>
      </c>
      <c r="E15238" t="s">
        <v>8</v>
      </c>
      <c r="F15238" t="s">
        <v>15242</v>
      </c>
      <c r="G15238">
        <v>1</v>
      </c>
    </row>
    <row r="15239" spans="1:7" x14ac:dyDescent="0.25">
      <c r="A15239">
        <v>42</v>
      </c>
      <c r="B15239" t="s">
        <v>15057</v>
      </c>
      <c r="C15239">
        <v>13025</v>
      </c>
      <c r="D15239" t="str">
        <f>"8756-0879"</f>
        <v>8756-0879</v>
      </c>
      <c r="E15239" t="s">
        <v>8</v>
      </c>
      <c r="F15239" t="s">
        <v>15243</v>
      </c>
      <c r="G15239">
        <v>1</v>
      </c>
    </row>
    <row r="15240" spans="1:7" x14ac:dyDescent="0.25">
      <c r="A15240">
        <v>42</v>
      </c>
      <c r="B15240" t="s">
        <v>15057</v>
      </c>
      <c r="C15240">
        <v>13994</v>
      </c>
      <c r="D15240" t="str">
        <f>"1380-2224"</f>
        <v>1380-2224</v>
      </c>
      <c r="E15240" t="s">
        <v>8</v>
      </c>
      <c r="F15240" t="s">
        <v>15244</v>
      </c>
      <c r="G15240">
        <v>1</v>
      </c>
    </row>
    <row r="15241" spans="1:7" x14ac:dyDescent="0.25">
      <c r="A15241">
        <v>42</v>
      </c>
      <c r="B15241" t="s">
        <v>15057</v>
      </c>
      <c r="C15241">
        <v>10687</v>
      </c>
      <c r="D15241" t="str">
        <f>"0731-6844"</f>
        <v>0731-6844</v>
      </c>
      <c r="E15241" t="s">
        <v>8</v>
      </c>
      <c r="F15241" t="s">
        <v>15245</v>
      </c>
      <c r="G15241">
        <v>1</v>
      </c>
    </row>
    <row r="15242" spans="1:7" x14ac:dyDescent="0.25">
      <c r="A15242">
        <v>42</v>
      </c>
      <c r="B15242" t="s">
        <v>15057</v>
      </c>
      <c r="C15242">
        <v>7631</v>
      </c>
      <c r="D15242" t="str">
        <f>"1927-6311"</f>
        <v>1927-6311</v>
      </c>
      <c r="E15242" t="s">
        <v>8</v>
      </c>
      <c r="F15242" t="s">
        <v>15246</v>
      </c>
      <c r="G15242">
        <v>1</v>
      </c>
    </row>
    <row r="15243" spans="1:7" x14ac:dyDescent="0.25">
      <c r="A15243">
        <v>42</v>
      </c>
      <c r="B15243" t="s">
        <v>15057</v>
      </c>
      <c r="C15243">
        <v>7515</v>
      </c>
      <c r="D15243" t="str">
        <f>"0928-0707"</f>
        <v>0928-0707</v>
      </c>
      <c r="E15243" t="s">
        <v>8</v>
      </c>
      <c r="F15243" t="s">
        <v>15247</v>
      </c>
      <c r="G15243">
        <v>1</v>
      </c>
    </row>
    <row r="15244" spans="1:7" x14ac:dyDescent="0.25">
      <c r="A15244">
        <v>42</v>
      </c>
      <c r="B15244" t="s">
        <v>15057</v>
      </c>
      <c r="C15244">
        <v>17050</v>
      </c>
      <c r="D15244" t="str">
        <f>"1557-1939"</f>
        <v>1557-1939</v>
      </c>
      <c r="E15244" t="s">
        <v>8</v>
      </c>
      <c r="F15244" t="s">
        <v>15248</v>
      </c>
      <c r="G15244">
        <v>1</v>
      </c>
    </row>
    <row r="15245" spans="1:7" x14ac:dyDescent="0.25">
      <c r="A15245">
        <v>42</v>
      </c>
      <c r="B15245" t="s">
        <v>15057</v>
      </c>
      <c r="C15245">
        <v>15207</v>
      </c>
      <c r="D15245" t="str">
        <f>"0090-3973"</f>
        <v>0090-3973</v>
      </c>
      <c r="E15245" t="s">
        <v>8</v>
      </c>
      <c r="F15245" t="s">
        <v>15249</v>
      </c>
      <c r="G15245">
        <v>1</v>
      </c>
    </row>
    <row r="15246" spans="1:7" x14ac:dyDescent="0.25">
      <c r="A15246">
        <v>42</v>
      </c>
      <c r="B15246" t="s">
        <v>15057</v>
      </c>
      <c r="C15246">
        <v>12105</v>
      </c>
      <c r="D15246" t="str">
        <f>"0002-7820"</f>
        <v>0002-7820</v>
      </c>
      <c r="E15246" t="s">
        <v>8</v>
      </c>
      <c r="F15246" t="s">
        <v>15250</v>
      </c>
      <c r="G15246">
        <v>1</v>
      </c>
    </row>
    <row r="15247" spans="1:7" x14ac:dyDescent="0.25">
      <c r="A15247">
        <v>42</v>
      </c>
      <c r="B15247" t="s">
        <v>15057</v>
      </c>
      <c r="C15247">
        <v>17152</v>
      </c>
      <c r="D15247" t="str">
        <f>"0914-5400"</f>
        <v>0914-5400</v>
      </c>
      <c r="E15247" t="s">
        <v>8</v>
      </c>
      <c r="F15247" t="s">
        <v>15251</v>
      </c>
      <c r="G15247">
        <v>1</v>
      </c>
    </row>
    <row r="15248" spans="1:7" x14ac:dyDescent="0.25">
      <c r="A15248">
        <v>42</v>
      </c>
      <c r="B15248" t="s">
        <v>15057</v>
      </c>
      <c r="C15248">
        <v>8467</v>
      </c>
      <c r="D15248" t="str">
        <f>"0955-2219"</f>
        <v>0955-2219</v>
      </c>
      <c r="E15248" t="s">
        <v>8</v>
      </c>
      <c r="F15248" t="s">
        <v>15252</v>
      </c>
      <c r="G15248">
        <v>1</v>
      </c>
    </row>
    <row r="15249" spans="1:7" x14ac:dyDescent="0.25">
      <c r="A15249">
        <v>42</v>
      </c>
      <c r="B15249" t="s">
        <v>15057</v>
      </c>
      <c r="C15249">
        <v>5391</v>
      </c>
      <c r="D15249" t="str">
        <f>"1071-0922"</f>
        <v>1071-0922</v>
      </c>
      <c r="E15249" t="s">
        <v>8</v>
      </c>
      <c r="F15249" t="s">
        <v>15253</v>
      </c>
      <c r="G15249">
        <v>1</v>
      </c>
    </row>
    <row r="15250" spans="1:7" x14ac:dyDescent="0.25">
      <c r="A15250">
        <v>42</v>
      </c>
      <c r="B15250" t="s">
        <v>15057</v>
      </c>
      <c r="C15250">
        <v>15061</v>
      </c>
      <c r="D15250" t="str">
        <f>"1059-9630"</f>
        <v>1059-9630</v>
      </c>
      <c r="E15250" t="s">
        <v>8</v>
      </c>
      <c r="F15250" t="s">
        <v>15254</v>
      </c>
      <c r="G15250">
        <v>1</v>
      </c>
    </row>
    <row r="15251" spans="1:7" x14ac:dyDescent="0.25">
      <c r="A15251">
        <v>42</v>
      </c>
      <c r="B15251" t="s">
        <v>15057</v>
      </c>
      <c r="C15251">
        <v>2814</v>
      </c>
      <c r="D15251" t="str">
        <f>"2166-2746"</f>
        <v>2166-2746</v>
      </c>
      <c r="E15251" t="s">
        <v>8</v>
      </c>
      <c r="F15251" t="s">
        <v>15255</v>
      </c>
      <c r="G15251">
        <v>1</v>
      </c>
    </row>
    <row r="15252" spans="1:7" x14ac:dyDescent="0.25">
      <c r="A15252">
        <v>42</v>
      </c>
      <c r="B15252" t="s">
        <v>15057</v>
      </c>
      <c r="C15252">
        <v>128827</v>
      </c>
      <c r="D15252" t="str">
        <f>"1553-1813"</f>
        <v>1553-1813</v>
      </c>
      <c r="E15252" t="s">
        <v>8</v>
      </c>
      <c r="F15252" t="s">
        <v>15256</v>
      </c>
      <c r="G15252">
        <v>1</v>
      </c>
    </row>
    <row r="15253" spans="1:7" x14ac:dyDescent="0.25">
      <c r="A15253">
        <v>42</v>
      </c>
      <c r="B15253" t="s">
        <v>15057</v>
      </c>
      <c r="C15253">
        <v>5343</v>
      </c>
      <c r="D15253" t="str">
        <f>"1083-5601"</f>
        <v>1083-5601</v>
      </c>
      <c r="E15253" t="s">
        <v>8</v>
      </c>
      <c r="F15253" t="s">
        <v>15257</v>
      </c>
      <c r="G15253">
        <v>1</v>
      </c>
    </row>
    <row r="15254" spans="1:7" x14ac:dyDescent="0.25">
      <c r="A15254">
        <v>42</v>
      </c>
      <c r="B15254" t="s">
        <v>15057</v>
      </c>
      <c r="C15254">
        <v>13096</v>
      </c>
      <c r="D15254" t="str">
        <f>"1435-0211"</f>
        <v>1435-0211</v>
      </c>
      <c r="E15254" t="s">
        <v>8</v>
      </c>
      <c r="F15254" t="s">
        <v>15258</v>
      </c>
      <c r="G15254">
        <v>1</v>
      </c>
    </row>
    <row r="15255" spans="1:7" x14ac:dyDescent="0.25">
      <c r="A15255">
        <v>42</v>
      </c>
      <c r="B15255" t="s">
        <v>15057</v>
      </c>
      <c r="C15255">
        <v>10394</v>
      </c>
      <c r="D15255" t="str">
        <f>"1013-9826"</f>
        <v>1013-9826</v>
      </c>
      <c r="E15255" t="s">
        <v>8</v>
      </c>
      <c r="F15255" t="s">
        <v>15259</v>
      </c>
      <c r="G15255">
        <v>1</v>
      </c>
    </row>
    <row r="15256" spans="1:7" x14ac:dyDescent="0.25">
      <c r="A15256">
        <v>42</v>
      </c>
      <c r="B15256" t="s">
        <v>15057</v>
      </c>
      <c r="C15256">
        <v>8250</v>
      </c>
      <c r="D15256" t="str">
        <f>"1226-119X"</f>
        <v>1226-119X</v>
      </c>
      <c r="E15256" t="s">
        <v>8</v>
      </c>
      <c r="F15256" t="s">
        <v>15260</v>
      </c>
      <c r="G15256">
        <v>1</v>
      </c>
    </row>
    <row r="15257" spans="1:7" x14ac:dyDescent="0.25">
      <c r="A15257">
        <v>42</v>
      </c>
      <c r="B15257" t="s">
        <v>15057</v>
      </c>
      <c r="C15257">
        <v>10983</v>
      </c>
      <c r="D15257" t="str">
        <f>"0023-432X"</f>
        <v>0023-432X</v>
      </c>
      <c r="E15257" t="s">
        <v>8</v>
      </c>
      <c r="F15257" t="s">
        <v>15261</v>
      </c>
      <c r="G15257">
        <v>1</v>
      </c>
    </row>
    <row r="15258" spans="1:7" x14ac:dyDescent="0.25">
      <c r="A15258">
        <v>42</v>
      </c>
      <c r="B15258" t="s">
        <v>15057</v>
      </c>
      <c r="C15258">
        <v>19229</v>
      </c>
      <c r="D15258" t="str">
        <f>"0026-0843"</f>
        <v>0026-0843</v>
      </c>
      <c r="E15258" t="s">
        <v>8</v>
      </c>
      <c r="F15258" t="s">
        <v>15262</v>
      </c>
      <c r="G15258">
        <v>1</v>
      </c>
    </row>
    <row r="15259" spans="1:7" x14ac:dyDescent="0.25">
      <c r="A15259">
        <v>42</v>
      </c>
      <c r="B15259" t="s">
        <v>15057</v>
      </c>
      <c r="C15259">
        <v>8782901</v>
      </c>
      <c r="D15259" t="str">
        <f>"2195-1284"</f>
        <v>2195-1284</v>
      </c>
      <c r="E15259" t="s">
        <v>15</v>
      </c>
      <c r="F15259" t="s">
        <v>15263</v>
      </c>
      <c r="G15259">
        <v>1</v>
      </c>
    </row>
    <row r="15260" spans="1:7" x14ac:dyDescent="0.25">
      <c r="A15260">
        <v>42</v>
      </c>
      <c r="B15260" t="s">
        <v>15057</v>
      </c>
      <c r="C15260">
        <v>9516</v>
      </c>
      <c r="D15260" t="str">
        <f>"0465-2746"</f>
        <v>0465-2746</v>
      </c>
      <c r="E15260" t="s">
        <v>8</v>
      </c>
      <c r="F15260" t="s">
        <v>15264</v>
      </c>
      <c r="G15260">
        <v>1</v>
      </c>
    </row>
    <row r="15261" spans="1:7" x14ac:dyDescent="0.25">
      <c r="A15261">
        <v>42</v>
      </c>
      <c r="B15261" t="s">
        <v>15057</v>
      </c>
      <c r="C15261">
        <v>6196983</v>
      </c>
      <c r="E15261" t="s">
        <v>8</v>
      </c>
      <c r="F15261" t="s">
        <v>15265</v>
      </c>
      <c r="G15261">
        <v>1</v>
      </c>
    </row>
    <row r="15262" spans="1:7" x14ac:dyDescent="0.25">
      <c r="A15262">
        <v>42</v>
      </c>
      <c r="B15262" t="s">
        <v>15057</v>
      </c>
      <c r="C15262">
        <v>12935</v>
      </c>
      <c r="D15262" t="str">
        <f>"0947-5117"</f>
        <v>0947-5117</v>
      </c>
      <c r="E15262" t="s">
        <v>8</v>
      </c>
      <c r="F15262" t="s">
        <v>15266</v>
      </c>
      <c r="G15262">
        <v>1</v>
      </c>
    </row>
    <row r="15263" spans="1:7" x14ac:dyDescent="0.25">
      <c r="A15263">
        <v>42</v>
      </c>
      <c r="B15263" t="s">
        <v>15057</v>
      </c>
      <c r="C15263">
        <v>1485</v>
      </c>
      <c r="D15263" t="str">
        <f>"1359-5997"</f>
        <v>1359-5997</v>
      </c>
      <c r="E15263" t="s">
        <v>8</v>
      </c>
      <c r="F15263" t="s">
        <v>15267</v>
      </c>
      <c r="G15263">
        <v>1</v>
      </c>
    </row>
    <row r="15264" spans="1:7" x14ac:dyDescent="0.25">
      <c r="A15264">
        <v>42</v>
      </c>
      <c r="B15264" t="s">
        <v>15057</v>
      </c>
      <c r="C15264">
        <v>1310</v>
      </c>
      <c r="D15264" t="str">
        <f>"0960-3409"</f>
        <v>0960-3409</v>
      </c>
      <c r="E15264" t="s">
        <v>8</v>
      </c>
      <c r="F15264" t="s">
        <v>15268</v>
      </c>
      <c r="G15264">
        <v>1</v>
      </c>
    </row>
    <row r="15265" spans="1:7" x14ac:dyDescent="0.25">
      <c r="A15265">
        <v>42</v>
      </c>
      <c r="B15265" t="s">
        <v>15057</v>
      </c>
      <c r="C15265">
        <v>4528</v>
      </c>
      <c r="D15265" t="str">
        <f>"1044-5803"</f>
        <v>1044-5803</v>
      </c>
      <c r="E15265" t="s">
        <v>8</v>
      </c>
      <c r="F15265" t="s">
        <v>15269</v>
      </c>
      <c r="G15265">
        <v>1</v>
      </c>
    </row>
    <row r="15266" spans="1:7" x14ac:dyDescent="0.25">
      <c r="A15266">
        <v>42</v>
      </c>
      <c r="B15266" t="s">
        <v>15057</v>
      </c>
      <c r="C15266">
        <v>10317</v>
      </c>
      <c r="D15266" t="str">
        <f>"0025-5327"</f>
        <v>0025-5327</v>
      </c>
      <c r="E15266" t="s">
        <v>8</v>
      </c>
      <c r="F15266" t="s">
        <v>15270</v>
      </c>
      <c r="G15266">
        <v>1</v>
      </c>
    </row>
    <row r="15267" spans="1:7" x14ac:dyDescent="0.25">
      <c r="A15267">
        <v>42</v>
      </c>
      <c r="B15267" t="s">
        <v>15057</v>
      </c>
      <c r="C15267">
        <v>14246</v>
      </c>
      <c r="D15267" t="str">
        <f>"0167-577X"</f>
        <v>0167-577X</v>
      </c>
      <c r="E15267" t="s">
        <v>8</v>
      </c>
      <c r="F15267" t="s">
        <v>15271</v>
      </c>
      <c r="G15267">
        <v>1</v>
      </c>
    </row>
    <row r="15268" spans="1:7" x14ac:dyDescent="0.25">
      <c r="A15268">
        <v>42</v>
      </c>
      <c r="B15268" t="s">
        <v>15057</v>
      </c>
      <c r="C15268">
        <v>66</v>
      </c>
      <c r="D15268" t="str">
        <f>"0094-1492"</f>
        <v>0094-1492</v>
      </c>
      <c r="E15268" t="s">
        <v>8</v>
      </c>
      <c r="F15268" t="s">
        <v>15272</v>
      </c>
      <c r="G15268">
        <v>1</v>
      </c>
    </row>
    <row r="15269" spans="1:7" x14ac:dyDescent="0.25">
      <c r="A15269">
        <v>42</v>
      </c>
      <c r="B15269" t="s">
        <v>15057</v>
      </c>
      <c r="C15269">
        <v>14730</v>
      </c>
      <c r="D15269" t="str">
        <f>"0025-5408"</f>
        <v>0025-5408</v>
      </c>
      <c r="E15269" t="s">
        <v>8</v>
      </c>
      <c r="F15269" t="s">
        <v>15273</v>
      </c>
      <c r="G15269">
        <v>1</v>
      </c>
    </row>
    <row r="15270" spans="1:7" x14ac:dyDescent="0.25">
      <c r="A15270">
        <v>42</v>
      </c>
      <c r="B15270" t="s">
        <v>15057</v>
      </c>
      <c r="C15270">
        <v>8777823</v>
      </c>
      <c r="E15270" t="s">
        <v>8</v>
      </c>
      <c r="F15270" t="s">
        <v>15274</v>
      </c>
      <c r="G15270">
        <v>1</v>
      </c>
    </row>
    <row r="15271" spans="1:7" x14ac:dyDescent="0.25">
      <c r="A15271">
        <v>42</v>
      </c>
      <c r="B15271" t="s">
        <v>15057</v>
      </c>
      <c r="C15271">
        <v>14376</v>
      </c>
      <c r="D15271" t="str">
        <f>"0137-1339"</f>
        <v>0137-1339</v>
      </c>
      <c r="E15271" t="s">
        <v>8</v>
      </c>
      <c r="F15271" t="s">
        <v>15275</v>
      </c>
      <c r="G15271">
        <v>1</v>
      </c>
    </row>
    <row r="15272" spans="1:7" x14ac:dyDescent="0.25">
      <c r="A15272">
        <v>42</v>
      </c>
      <c r="B15272" t="s">
        <v>15057</v>
      </c>
      <c r="C15272">
        <v>153001</v>
      </c>
      <c r="D15272" t="str">
        <f>"0921-5107"</f>
        <v>0921-5107</v>
      </c>
      <c r="E15272" t="s">
        <v>8</v>
      </c>
      <c r="F15272" t="s">
        <v>15276</v>
      </c>
      <c r="G15272">
        <v>1</v>
      </c>
    </row>
    <row r="15273" spans="1:7" x14ac:dyDescent="0.25">
      <c r="A15273">
        <v>42</v>
      </c>
      <c r="B15273" t="s">
        <v>15057</v>
      </c>
      <c r="C15273">
        <v>153136</v>
      </c>
      <c r="E15273" t="s">
        <v>8</v>
      </c>
      <c r="F15273" t="s">
        <v>15277</v>
      </c>
      <c r="G15273">
        <v>1</v>
      </c>
    </row>
    <row r="15274" spans="1:7" x14ac:dyDescent="0.25">
      <c r="A15274">
        <v>42</v>
      </c>
      <c r="B15274" t="s">
        <v>15057</v>
      </c>
      <c r="C15274">
        <v>12183</v>
      </c>
      <c r="D15274" t="str">
        <f>"0267-0836"</f>
        <v>0267-0836</v>
      </c>
      <c r="E15274" t="s">
        <v>8</v>
      </c>
      <c r="F15274" t="s">
        <v>15278</v>
      </c>
      <c r="G15274">
        <v>1</v>
      </c>
    </row>
    <row r="15275" spans="1:7" x14ac:dyDescent="0.25">
      <c r="A15275">
        <v>42</v>
      </c>
      <c r="B15275" t="s">
        <v>15057</v>
      </c>
      <c r="C15275">
        <v>8782867</v>
      </c>
      <c r="E15275" t="s">
        <v>2100</v>
      </c>
      <c r="F15275" t="s">
        <v>15279</v>
      </c>
      <c r="G15275">
        <v>1</v>
      </c>
    </row>
    <row r="15276" spans="1:7" x14ac:dyDescent="0.25">
      <c r="A15276">
        <v>42</v>
      </c>
      <c r="B15276" t="s">
        <v>15057</v>
      </c>
      <c r="C15276">
        <v>10169</v>
      </c>
      <c r="D15276" t="str">
        <f>"0255-5476"</f>
        <v>0255-5476</v>
      </c>
      <c r="E15276" t="s">
        <v>8</v>
      </c>
      <c r="F15276" t="s">
        <v>15280</v>
      </c>
      <c r="G15276">
        <v>1</v>
      </c>
    </row>
    <row r="15277" spans="1:7" x14ac:dyDescent="0.25">
      <c r="A15277">
        <v>42</v>
      </c>
      <c r="B15277" t="s">
        <v>15057</v>
      </c>
      <c r="C15277">
        <v>10511</v>
      </c>
      <c r="D15277" t="str">
        <f>"1369-8001"</f>
        <v>1369-8001</v>
      </c>
      <c r="E15277" t="s">
        <v>8</v>
      </c>
      <c r="F15277" t="s">
        <v>15281</v>
      </c>
      <c r="G15277">
        <v>1</v>
      </c>
    </row>
    <row r="15278" spans="1:7" x14ac:dyDescent="0.25">
      <c r="A15278">
        <v>42</v>
      </c>
      <c r="B15278" t="s">
        <v>15057</v>
      </c>
      <c r="C15278">
        <v>7939</v>
      </c>
      <c r="D15278" t="str">
        <f>"1066-7857"</f>
        <v>1066-7857</v>
      </c>
      <c r="E15278" t="s">
        <v>8</v>
      </c>
      <c r="F15278" t="s">
        <v>15282</v>
      </c>
      <c r="G15278">
        <v>1</v>
      </c>
    </row>
    <row r="15279" spans="1:7" x14ac:dyDescent="0.25">
      <c r="A15279">
        <v>42</v>
      </c>
      <c r="B15279" t="s">
        <v>15057</v>
      </c>
      <c r="C15279">
        <v>12185</v>
      </c>
      <c r="D15279" t="str">
        <f>"0025-5300"</f>
        <v>0025-5300</v>
      </c>
      <c r="E15279" t="s">
        <v>8</v>
      </c>
      <c r="F15279" t="s">
        <v>15283</v>
      </c>
      <c r="G15279">
        <v>1</v>
      </c>
    </row>
    <row r="15280" spans="1:7" x14ac:dyDescent="0.25">
      <c r="A15280">
        <v>42</v>
      </c>
      <c r="B15280" t="s">
        <v>15057</v>
      </c>
      <c r="C15280">
        <v>8774778</v>
      </c>
      <c r="D15280" t="str">
        <f>"2214-7853"</f>
        <v>2214-7853</v>
      </c>
      <c r="E15280" t="s">
        <v>8</v>
      </c>
      <c r="F15280" t="s">
        <v>15284</v>
      </c>
      <c r="G15280">
        <v>1</v>
      </c>
    </row>
    <row r="15281" spans="1:7" x14ac:dyDescent="0.25">
      <c r="A15281">
        <v>42</v>
      </c>
      <c r="B15281" t="s">
        <v>15057</v>
      </c>
      <c r="C15281">
        <v>12949</v>
      </c>
      <c r="D15281" t="str">
        <f>"1345-9678"</f>
        <v>1345-9678</v>
      </c>
      <c r="E15281" t="s">
        <v>8</v>
      </c>
      <c r="F15281" t="s">
        <v>15285</v>
      </c>
      <c r="G15281">
        <v>1</v>
      </c>
    </row>
    <row r="15282" spans="1:7" x14ac:dyDescent="0.25">
      <c r="A15282">
        <v>42</v>
      </c>
      <c r="B15282" t="s">
        <v>15057</v>
      </c>
      <c r="C15282">
        <v>11923</v>
      </c>
      <c r="D15282" t="str">
        <f>"0933-5137"</f>
        <v>0933-5137</v>
      </c>
      <c r="E15282" t="s">
        <v>8</v>
      </c>
      <c r="F15282" t="s">
        <v>15286</v>
      </c>
      <c r="G15282">
        <v>1</v>
      </c>
    </row>
    <row r="15283" spans="1:7" x14ac:dyDescent="0.25">
      <c r="A15283">
        <v>42</v>
      </c>
      <c r="B15283" t="s">
        <v>15057</v>
      </c>
      <c r="C15283">
        <v>14356</v>
      </c>
      <c r="D15283" t="str">
        <f>"1385-2000"</f>
        <v>1385-2000</v>
      </c>
      <c r="E15283" t="s">
        <v>8</v>
      </c>
      <c r="F15283" t="s">
        <v>15287</v>
      </c>
      <c r="G15283">
        <v>1</v>
      </c>
    </row>
    <row r="15284" spans="1:7" x14ac:dyDescent="0.25">
      <c r="A15284">
        <v>42</v>
      </c>
      <c r="B15284" t="s">
        <v>15057</v>
      </c>
      <c r="C15284">
        <v>3114</v>
      </c>
      <c r="D15284" t="str">
        <f>"0958-2118"</f>
        <v>0958-2118</v>
      </c>
      <c r="E15284" t="s">
        <v>8</v>
      </c>
      <c r="F15284" t="s">
        <v>15288</v>
      </c>
      <c r="G15284">
        <v>1</v>
      </c>
    </row>
    <row r="15285" spans="1:7" x14ac:dyDescent="0.25">
      <c r="A15285">
        <v>42</v>
      </c>
      <c r="B15285" t="s">
        <v>15057</v>
      </c>
      <c r="C15285">
        <v>9790</v>
      </c>
      <c r="D15285" t="str">
        <f>"0026-0657"</f>
        <v>0026-0657</v>
      </c>
      <c r="E15285" t="s">
        <v>8</v>
      </c>
      <c r="F15285" t="s">
        <v>15289</v>
      </c>
      <c r="G15285">
        <v>1</v>
      </c>
    </row>
    <row r="15286" spans="1:7" x14ac:dyDescent="0.25">
      <c r="A15286">
        <v>42</v>
      </c>
      <c r="B15286" t="s">
        <v>15057</v>
      </c>
      <c r="C15286">
        <v>9977</v>
      </c>
      <c r="D15286" t="str">
        <f>"0026-0673"</f>
        <v>0026-0673</v>
      </c>
      <c r="E15286" t="s">
        <v>8</v>
      </c>
      <c r="F15286" t="s">
        <v>15290</v>
      </c>
      <c r="G15286">
        <v>1</v>
      </c>
    </row>
    <row r="15287" spans="1:7" x14ac:dyDescent="0.25">
      <c r="A15287">
        <v>42</v>
      </c>
      <c r="B15287" t="s">
        <v>15057</v>
      </c>
      <c r="C15287">
        <v>1862</v>
      </c>
      <c r="D15287" t="str">
        <f>"0026-0746"</f>
        <v>0026-0746</v>
      </c>
      <c r="E15287" t="s">
        <v>8</v>
      </c>
      <c r="F15287" t="s">
        <v>15291</v>
      </c>
      <c r="G15287">
        <v>1</v>
      </c>
    </row>
    <row r="15288" spans="1:7" x14ac:dyDescent="0.25">
      <c r="A15288">
        <v>42</v>
      </c>
      <c r="B15288" t="s">
        <v>15057</v>
      </c>
      <c r="C15288">
        <v>6162</v>
      </c>
      <c r="D15288" t="str">
        <f>"1073-5623"</f>
        <v>1073-5623</v>
      </c>
      <c r="E15288" t="s">
        <v>8</v>
      </c>
      <c r="F15288" t="s">
        <v>15292</v>
      </c>
      <c r="G15288">
        <v>1</v>
      </c>
    </row>
    <row r="15289" spans="1:7" x14ac:dyDescent="0.25">
      <c r="A15289">
        <v>42</v>
      </c>
      <c r="B15289" t="s">
        <v>15057</v>
      </c>
      <c r="C15289">
        <v>14351</v>
      </c>
      <c r="D15289" t="str">
        <f>"1073-5615"</f>
        <v>1073-5615</v>
      </c>
      <c r="E15289" t="s">
        <v>8</v>
      </c>
      <c r="F15289" t="s">
        <v>15293</v>
      </c>
      <c r="G15289">
        <v>1</v>
      </c>
    </row>
    <row r="15290" spans="1:7" x14ac:dyDescent="0.25">
      <c r="A15290">
        <v>42</v>
      </c>
      <c r="B15290" t="s">
        <v>15057</v>
      </c>
      <c r="C15290">
        <v>4008</v>
      </c>
      <c r="D15290" t="str">
        <f>"0026-0894"</f>
        <v>0026-0894</v>
      </c>
      <c r="E15290" t="s">
        <v>8</v>
      </c>
      <c r="F15290" t="s">
        <v>15294</v>
      </c>
      <c r="G15290">
        <v>1</v>
      </c>
    </row>
    <row r="15291" spans="1:7" x14ac:dyDescent="0.25">
      <c r="A15291">
        <v>42</v>
      </c>
      <c r="B15291" t="s">
        <v>15057</v>
      </c>
      <c r="C15291">
        <v>4679</v>
      </c>
      <c r="D15291" t="str">
        <f>"1598-9623"</f>
        <v>1598-9623</v>
      </c>
      <c r="E15291" t="s">
        <v>8</v>
      </c>
      <c r="F15291" t="s">
        <v>15295</v>
      </c>
      <c r="G15291">
        <v>1</v>
      </c>
    </row>
    <row r="15292" spans="1:7" x14ac:dyDescent="0.25">
      <c r="A15292">
        <v>42</v>
      </c>
      <c r="B15292" t="s">
        <v>15057</v>
      </c>
      <c r="C15292">
        <v>10299</v>
      </c>
      <c r="D15292" t="str">
        <f>"0543-5846"</f>
        <v>0543-5846</v>
      </c>
      <c r="E15292" t="s">
        <v>8</v>
      </c>
      <c r="F15292" t="s">
        <v>15296</v>
      </c>
      <c r="G15292">
        <v>1</v>
      </c>
    </row>
    <row r="15293" spans="1:7" x14ac:dyDescent="0.25">
      <c r="A15293">
        <v>42</v>
      </c>
      <c r="B15293" t="s">
        <v>15057</v>
      </c>
      <c r="C15293">
        <v>8783056</v>
      </c>
      <c r="E15293" t="s">
        <v>2100</v>
      </c>
      <c r="F15293" t="s">
        <v>15297</v>
      </c>
      <c r="G15293">
        <v>1</v>
      </c>
    </row>
    <row r="15294" spans="1:7" x14ac:dyDescent="0.25">
      <c r="A15294">
        <v>42</v>
      </c>
      <c r="B15294" t="s">
        <v>15057</v>
      </c>
      <c r="C15294">
        <v>2877</v>
      </c>
      <c r="D15294" t="str">
        <f>"1387-1811"</f>
        <v>1387-1811</v>
      </c>
      <c r="E15294" t="s">
        <v>8</v>
      </c>
      <c r="F15294" t="s">
        <v>15298</v>
      </c>
      <c r="G15294">
        <v>1</v>
      </c>
    </row>
    <row r="15295" spans="1:7" x14ac:dyDescent="0.25">
      <c r="A15295">
        <v>42</v>
      </c>
      <c r="B15295" t="s">
        <v>15057</v>
      </c>
      <c r="C15295">
        <v>4143</v>
      </c>
      <c r="D15295" t="str">
        <f>"2572-6641"</f>
        <v>2572-6641</v>
      </c>
      <c r="E15295" t="s">
        <v>8</v>
      </c>
      <c r="F15295" t="s">
        <v>15299</v>
      </c>
      <c r="G15295">
        <v>1</v>
      </c>
    </row>
    <row r="15296" spans="1:7" x14ac:dyDescent="0.25">
      <c r="A15296">
        <v>42</v>
      </c>
      <c r="B15296" t="s">
        <v>15057</v>
      </c>
      <c r="C15296">
        <v>7728415</v>
      </c>
      <c r="E15296" t="s">
        <v>8</v>
      </c>
      <c r="F15296" t="s">
        <v>15300</v>
      </c>
      <c r="G15296">
        <v>1</v>
      </c>
    </row>
    <row r="15297" spans="1:7" x14ac:dyDescent="0.25">
      <c r="A15297">
        <v>42</v>
      </c>
      <c r="B15297" t="s">
        <v>15057</v>
      </c>
      <c r="C15297">
        <v>8782693</v>
      </c>
      <c r="E15297" t="s">
        <v>8</v>
      </c>
      <c r="F15297" t="s">
        <v>15301</v>
      </c>
      <c r="G15297">
        <v>1</v>
      </c>
    </row>
    <row r="15298" spans="1:7" x14ac:dyDescent="0.25">
      <c r="A15298">
        <v>42</v>
      </c>
      <c r="B15298" t="s">
        <v>15057</v>
      </c>
      <c r="C15298">
        <v>24031</v>
      </c>
      <c r="D15298" t="str">
        <f>"1793-2920"</f>
        <v>1793-2920</v>
      </c>
      <c r="E15298" t="s">
        <v>8</v>
      </c>
      <c r="F15298" t="s">
        <v>15302</v>
      </c>
      <c r="G15298">
        <v>1</v>
      </c>
    </row>
    <row r="15299" spans="1:7" x14ac:dyDescent="0.25">
      <c r="A15299">
        <v>42</v>
      </c>
      <c r="B15299" t="s">
        <v>15057</v>
      </c>
      <c r="C15299">
        <v>6212411</v>
      </c>
      <c r="D15299" t="str">
        <f>"2150-5551"</f>
        <v>2150-5551</v>
      </c>
      <c r="E15299" t="s">
        <v>8</v>
      </c>
      <c r="F15299" t="s">
        <v>15303</v>
      </c>
      <c r="G15299">
        <v>1</v>
      </c>
    </row>
    <row r="15300" spans="1:7" x14ac:dyDescent="0.25">
      <c r="A15300">
        <v>42</v>
      </c>
      <c r="B15300" t="s">
        <v>15057</v>
      </c>
      <c r="C15300">
        <v>26538</v>
      </c>
      <c r="D15300" t="str">
        <f>"1931-7573"</f>
        <v>1931-7573</v>
      </c>
      <c r="E15300" t="s">
        <v>8</v>
      </c>
      <c r="F15300" t="s">
        <v>15304</v>
      </c>
      <c r="G15300">
        <v>1</v>
      </c>
    </row>
    <row r="15301" spans="1:7" x14ac:dyDescent="0.25">
      <c r="A15301">
        <v>42</v>
      </c>
      <c r="B15301" t="s">
        <v>15057</v>
      </c>
      <c r="C15301">
        <v>8782899</v>
      </c>
      <c r="D15301" t="str">
        <f>"1434-4904"</f>
        <v>1434-4904</v>
      </c>
      <c r="E15301" t="s">
        <v>15</v>
      </c>
      <c r="F15301" t="s">
        <v>15305</v>
      </c>
      <c r="G15301">
        <v>1</v>
      </c>
    </row>
    <row r="15302" spans="1:7" x14ac:dyDescent="0.25">
      <c r="A15302">
        <v>42</v>
      </c>
      <c r="B15302" t="s">
        <v>15057</v>
      </c>
      <c r="C15302">
        <v>11277</v>
      </c>
      <c r="D15302" t="str">
        <f>"0957-4484"</f>
        <v>0957-4484</v>
      </c>
      <c r="E15302" t="s">
        <v>8</v>
      </c>
      <c r="F15302" t="s">
        <v>15306</v>
      </c>
      <c r="G15302">
        <v>1</v>
      </c>
    </row>
    <row r="15303" spans="1:7" x14ac:dyDescent="0.25">
      <c r="A15303">
        <v>42</v>
      </c>
      <c r="B15303" t="s">
        <v>15057</v>
      </c>
      <c r="C15303">
        <v>8782911</v>
      </c>
      <c r="D15303" t="str">
        <f>"1874-6500"</f>
        <v>1874-6500</v>
      </c>
      <c r="E15303" t="s">
        <v>15</v>
      </c>
      <c r="F15303" t="s">
        <v>15307</v>
      </c>
      <c r="G15303">
        <v>1</v>
      </c>
    </row>
    <row r="15304" spans="1:7" x14ac:dyDescent="0.25">
      <c r="A15304">
        <v>42</v>
      </c>
      <c r="B15304" t="s">
        <v>15057</v>
      </c>
      <c r="C15304">
        <v>8401</v>
      </c>
      <c r="D15304" t="str">
        <f>"0963-8695"</f>
        <v>0963-8695</v>
      </c>
      <c r="E15304" t="s">
        <v>8</v>
      </c>
      <c r="F15304" t="s">
        <v>15308</v>
      </c>
      <c r="G15304">
        <v>1</v>
      </c>
    </row>
    <row r="15305" spans="1:7" x14ac:dyDescent="0.25">
      <c r="A15305">
        <v>42</v>
      </c>
      <c r="B15305" t="s">
        <v>15057</v>
      </c>
      <c r="C15305">
        <v>10757</v>
      </c>
      <c r="D15305" t="str">
        <f>"0387-1533"</f>
        <v>0387-1533</v>
      </c>
      <c r="E15305" t="s">
        <v>8</v>
      </c>
      <c r="F15305" t="s">
        <v>15309</v>
      </c>
      <c r="G15305">
        <v>1</v>
      </c>
    </row>
    <row r="15306" spans="1:7" x14ac:dyDescent="0.25">
      <c r="A15306">
        <v>42</v>
      </c>
      <c r="B15306" t="s">
        <v>15057</v>
      </c>
      <c r="C15306">
        <v>10273</v>
      </c>
      <c r="D15306" t="str">
        <f>"0021-4876"</f>
        <v>0021-4876</v>
      </c>
      <c r="E15306" t="s">
        <v>8</v>
      </c>
      <c r="F15306" t="s">
        <v>15310</v>
      </c>
      <c r="G15306">
        <v>1</v>
      </c>
    </row>
    <row r="15307" spans="1:7" x14ac:dyDescent="0.25">
      <c r="A15307">
        <v>42</v>
      </c>
      <c r="B15307" t="s">
        <v>15057</v>
      </c>
      <c r="C15307">
        <v>11806</v>
      </c>
      <c r="D15307" t="str">
        <f>"1601-4057"</f>
        <v>1601-4057</v>
      </c>
      <c r="E15307" t="s">
        <v>8</v>
      </c>
      <c r="F15307" t="s">
        <v>15311</v>
      </c>
      <c r="G15307">
        <v>1</v>
      </c>
    </row>
    <row r="15308" spans="1:7" x14ac:dyDescent="0.25">
      <c r="A15308">
        <v>42</v>
      </c>
      <c r="B15308" t="s">
        <v>15057</v>
      </c>
      <c r="C15308">
        <v>8782868</v>
      </c>
      <c r="E15308" t="s">
        <v>2100</v>
      </c>
      <c r="F15308" t="s">
        <v>15312</v>
      </c>
      <c r="G15308">
        <v>1</v>
      </c>
    </row>
    <row r="15309" spans="1:7" x14ac:dyDescent="0.25">
      <c r="A15309">
        <v>42</v>
      </c>
      <c r="B15309" t="s">
        <v>15057</v>
      </c>
      <c r="C15309">
        <v>6920</v>
      </c>
      <c r="D15309" t="str">
        <f>"0091-3286"</f>
        <v>0091-3286</v>
      </c>
      <c r="E15309" t="s">
        <v>8</v>
      </c>
      <c r="F15309" t="s">
        <v>15313</v>
      </c>
      <c r="G15309">
        <v>1</v>
      </c>
    </row>
    <row r="15310" spans="1:7" x14ac:dyDescent="0.25">
      <c r="A15310">
        <v>42</v>
      </c>
      <c r="B15310" t="s">
        <v>15057</v>
      </c>
      <c r="C15310">
        <v>6062</v>
      </c>
      <c r="D15310" t="str">
        <f>"0925-3467"</f>
        <v>0925-3467</v>
      </c>
      <c r="E15310" t="s">
        <v>8</v>
      </c>
      <c r="F15310" t="s">
        <v>15314</v>
      </c>
      <c r="G15310">
        <v>1</v>
      </c>
    </row>
    <row r="15311" spans="1:7" x14ac:dyDescent="0.25">
      <c r="A15311">
        <v>42</v>
      </c>
      <c r="B15311" t="s">
        <v>15057</v>
      </c>
      <c r="C15311">
        <v>7727552</v>
      </c>
      <c r="D15311" t="str">
        <f>"2159-3930"</f>
        <v>2159-3930</v>
      </c>
      <c r="E15311" t="s">
        <v>8</v>
      </c>
      <c r="F15311" t="s">
        <v>15315</v>
      </c>
      <c r="G15311">
        <v>1</v>
      </c>
    </row>
    <row r="15312" spans="1:7" x14ac:dyDescent="0.25">
      <c r="A15312">
        <v>42</v>
      </c>
      <c r="B15312" t="s">
        <v>15057</v>
      </c>
      <c r="C15312">
        <v>14007</v>
      </c>
      <c r="D15312" t="str">
        <f>"1340-6000"</f>
        <v>1340-6000</v>
      </c>
      <c r="E15312" t="s">
        <v>8</v>
      </c>
      <c r="F15312" t="s">
        <v>15316</v>
      </c>
      <c r="G15312">
        <v>1</v>
      </c>
    </row>
    <row r="15313" spans="1:7" x14ac:dyDescent="0.25">
      <c r="A15313">
        <v>42</v>
      </c>
      <c r="B15313" t="s">
        <v>15057</v>
      </c>
      <c r="C15313">
        <v>12316</v>
      </c>
      <c r="D15313" t="str">
        <f>"0146-9592"</f>
        <v>0146-9592</v>
      </c>
      <c r="E15313" t="s">
        <v>8</v>
      </c>
      <c r="F15313" t="s">
        <v>15317</v>
      </c>
      <c r="G15313">
        <v>1</v>
      </c>
    </row>
    <row r="15314" spans="1:7" x14ac:dyDescent="0.25">
      <c r="A15314">
        <v>42</v>
      </c>
      <c r="B15314" t="s">
        <v>15057</v>
      </c>
      <c r="C15314">
        <v>8782866</v>
      </c>
      <c r="E15314" t="s">
        <v>2100</v>
      </c>
      <c r="F15314" t="s">
        <v>15318</v>
      </c>
      <c r="G15314">
        <v>1</v>
      </c>
    </row>
    <row r="15315" spans="1:7" x14ac:dyDescent="0.25">
      <c r="A15315">
        <v>42</v>
      </c>
      <c r="B15315" t="s">
        <v>15057</v>
      </c>
      <c r="C15315">
        <v>15735</v>
      </c>
      <c r="D15315" t="str">
        <f>"1478-6435"</f>
        <v>1478-6435</v>
      </c>
      <c r="E15315" t="s">
        <v>8</v>
      </c>
      <c r="F15315" t="s">
        <v>15319</v>
      </c>
      <c r="G15315">
        <v>1</v>
      </c>
    </row>
    <row r="15316" spans="1:7" x14ac:dyDescent="0.25">
      <c r="A15316">
        <v>42</v>
      </c>
      <c r="B15316" t="s">
        <v>15057</v>
      </c>
      <c r="C15316">
        <v>12943</v>
      </c>
      <c r="D15316" t="str">
        <f>"0950-0839"</f>
        <v>0950-0839</v>
      </c>
      <c r="E15316" t="s">
        <v>8</v>
      </c>
      <c r="F15316" t="s">
        <v>15320</v>
      </c>
      <c r="G15316">
        <v>1</v>
      </c>
    </row>
    <row r="15317" spans="1:7" x14ac:dyDescent="0.25">
      <c r="A15317">
        <v>42</v>
      </c>
      <c r="B15317" t="s">
        <v>15057</v>
      </c>
      <c r="C15317">
        <v>17903</v>
      </c>
      <c r="D15317" t="str">
        <f>"1569-4410"</f>
        <v>1569-4410</v>
      </c>
      <c r="E15317" t="s">
        <v>8</v>
      </c>
      <c r="F15317" t="s">
        <v>15321</v>
      </c>
      <c r="G15317">
        <v>1</v>
      </c>
    </row>
    <row r="15318" spans="1:7" x14ac:dyDescent="0.25">
      <c r="A15318">
        <v>42</v>
      </c>
      <c r="B15318" t="s">
        <v>15057</v>
      </c>
      <c r="C15318">
        <v>15019</v>
      </c>
      <c r="D15318" t="str">
        <f>"1386-9477"</f>
        <v>1386-9477</v>
      </c>
      <c r="E15318" t="s">
        <v>8</v>
      </c>
      <c r="F15318" t="s">
        <v>15322</v>
      </c>
      <c r="G15318">
        <v>1</v>
      </c>
    </row>
    <row r="15319" spans="1:7" x14ac:dyDescent="0.25">
      <c r="A15319">
        <v>42</v>
      </c>
      <c r="B15319" t="s">
        <v>15057</v>
      </c>
      <c r="C15319">
        <v>8782434</v>
      </c>
      <c r="D15319" t="str">
        <f>"2469-9950"</f>
        <v>2469-9950</v>
      </c>
      <c r="E15319" t="s">
        <v>8</v>
      </c>
      <c r="F15319" t="s">
        <v>15323</v>
      </c>
      <c r="G15319">
        <v>1</v>
      </c>
    </row>
    <row r="15320" spans="1:7" x14ac:dyDescent="0.25">
      <c r="A15320">
        <v>42</v>
      </c>
      <c r="B15320" t="s">
        <v>15057</v>
      </c>
      <c r="C15320">
        <v>8782823</v>
      </c>
      <c r="D15320" t="str">
        <f>"2476-0455"</f>
        <v>2476-0455</v>
      </c>
      <c r="E15320" t="s">
        <v>8</v>
      </c>
      <c r="F15320" t="s">
        <v>15324</v>
      </c>
      <c r="G15320">
        <v>1</v>
      </c>
    </row>
    <row r="15321" spans="1:7" x14ac:dyDescent="0.25">
      <c r="A15321">
        <v>42</v>
      </c>
      <c r="B15321" t="s">
        <v>15057</v>
      </c>
      <c r="C15321">
        <v>1551</v>
      </c>
      <c r="D15321" t="str">
        <f>"1753-3562"</f>
        <v>1753-3562</v>
      </c>
      <c r="E15321" t="s">
        <v>8</v>
      </c>
      <c r="F15321" t="s">
        <v>15325</v>
      </c>
      <c r="G15321">
        <v>1</v>
      </c>
    </row>
    <row r="15322" spans="1:7" x14ac:dyDescent="0.25">
      <c r="A15322">
        <v>42</v>
      </c>
      <c r="B15322" t="s">
        <v>15057</v>
      </c>
      <c r="C15322">
        <v>3071</v>
      </c>
      <c r="D15322" t="str">
        <f>"0342-1791"</f>
        <v>0342-1791</v>
      </c>
      <c r="E15322" t="s">
        <v>8</v>
      </c>
      <c r="F15322" t="s">
        <v>15326</v>
      </c>
      <c r="G15322">
        <v>1</v>
      </c>
    </row>
    <row r="15323" spans="1:7" x14ac:dyDescent="0.25">
      <c r="A15323">
        <v>42</v>
      </c>
      <c r="B15323" t="s">
        <v>15057</v>
      </c>
      <c r="C15323">
        <v>10120</v>
      </c>
      <c r="D15323" t="str">
        <f>"1612-8850"</f>
        <v>1612-8850</v>
      </c>
      <c r="E15323" t="s">
        <v>8</v>
      </c>
      <c r="F15323" t="s">
        <v>15327</v>
      </c>
      <c r="G15323">
        <v>1</v>
      </c>
    </row>
    <row r="15324" spans="1:7" x14ac:dyDescent="0.25">
      <c r="A15324">
        <v>42</v>
      </c>
      <c r="B15324" t="s">
        <v>15057</v>
      </c>
      <c r="C15324">
        <v>18164</v>
      </c>
      <c r="D15324" t="str">
        <f>"1557-1955"</f>
        <v>1557-1955</v>
      </c>
      <c r="E15324" t="s">
        <v>8</v>
      </c>
      <c r="F15324" t="s">
        <v>15328</v>
      </c>
      <c r="G15324">
        <v>1</v>
      </c>
    </row>
    <row r="15325" spans="1:7" x14ac:dyDescent="0.25">
      <c r="A15325">
        <v>42</v>
      </c>
      <c r="B15325" t="s">
        <v>15057</v>
      </c>
      <c r="C15325">
        <v>467</v>
      </c>
      <c r="D15325" t="str">
        <f>"0091-9578"</f>
        <v>0091-9578</v>
      </c>
      <c r="E15325" t="s">
        <v>8</v>
      </c>
      <c r="F15325" t="s">
        <v>15329</v>
      </c>
      <c r="G15325">
        <v>1</v>
      </c>
    </row>
    <row r="15326" spans="1:7" x14ac:dyDescent="0.25">
      <c r="A15326">
        <v>42</v>
      </c>
      <c r="B15326" t="s">
        <v>15057</v>
      </c>
      <c r="C15326">
        <v>9429</v>
      </c>
      <c r="D15326" t="str">
        <f>"0967-3911"</f>
        <v>0967-3911</v>
      </c>
      <c r="E15326" t="s">
        <v>8</v>
      </c>
      <c r="F15326" t="s">
        <v>15330</v>
      </c>
      <c r="G15326">
        <v>1</v>
      </c>
    </row>
    <row r="15327" spans="1:7" x14ac:dyDescent="0.25">
      <c r="A15327">
        <v>42</v>
      </c>
      <c r="B15327" t="s">
        <v>15057</v>
      </c>
      <c r="C15327">
        <v>16943</v>
      </c>
      <c r="D15327" t="str">
        <f>"0885-7156"</f>
        <v>0885-7156</v>
      </c>
      <c r="E15327" t="s">
        <v>8</v>
      </c>
      <c r="F15327" t="s">
        <v>15331</v>
      </c>
      <c r="G15327">
        <v>1</v>
      </c>
    </row>
    <row r="15328" spans="1:7" x14ac:dyDescent="0.25">
      <c r="A15328">
        <v>42</v>
      </c>
      <c r="B15328" t="s">
        <v>15057</v>
      </c>
      <c r="C15328">
        <v>5955</v>
      </c>
      <c r="D15328" t="str">
        <f>"1068-1302"</f>
        <v>1068-1302</v>
      </c>
      <c r="E15328" t="s">
        <v>8</v>
      </c>
      <c r="F15328" t="s">
        <v>15332</v>
      </c>
      <c r="G15328">
        <v>1</v>
      </c>
    </row>
    <row r="15329" spans="1:7" x14ac:dyDescent="0.25">
      <c r="A15329">
        <v>42</v>
      </c>
      <c r="B15329" t="s">
        <v>15057</v>
      </c>
      <c r="C15329">
        <v>6761</v>
      </c>
      <c r="D15329" t="str">
        <f>"0032-678X"</f>
        <v>0032-678X</v>
      </c>
      <c r="E15329" t="s">
        <v>8</v>
      </c>
      <c r="F15329" t="s">
        <v>15333</v>
      </c>
      <c r="G15329">
        <v>1</v>
      </c>
    </row>
    <row r="15330" spans="1:7" x14ac:dyDescent="0.25">
      <c r="A15330">
        <v>42</v>
      </c>
      <c r="B15330" t="s">
        <v>15057</v>
      </c>
      <c r="C15330">
        <v>16583</v>
      </c>
      <c r="D15330" t="str">
        <f>"1464-4207"</f>
        <v>1464-4207</v>
      </c>
      <c r="E15330" t="s">
        <v>8</v>
      </c>
      <c r="F15330" t="s">
        <v>15334</v>
      </c>
      <c r="G15330">
        <v>1</v>
      </c>
    </row>
    <row r="15331" spans="1:7" x14ac:dyDescent="0.25">
      <c r="A15331">
        <v>42</v>
      </c>
      <c r="B15331" t="s">
        <v>15057</v>
      </c>
      <c r="C15331">
        <v>8783789</v>
      </c>
      <c r="E15331" t="s">
        <v>15</v>
      </c>
      <c r="F15331" t="s">
        <v>15335</v>
      </c>
      <c r="G15331">
        <v>1</v>
      </c>
    </row>
    <row r="15332" spans="1:7" x14ac:dyDescent="0.25">
      <c r="A15332">
        <v>42</v>
      </c>
      <c r="B15332" t="s">
        <v>15057</v>
      </c>
      <c r="C15332">
        <v>5498</v>
      </c>
      <c r="D15332" t="str">
        <f>"0907-0079"</f>
        <v>0907-0079</v>
      </c>
      <c r="E15332" t="s">
        <v>8</v>
      </c>
      <c r="F15332" t="s">
        <v>15336</v>
      </c>
      <c r="G15332">
        <v>1</v>
      </c>
    </row>
    <row r="15333" spans="1:7" x14ac:dyDescent="0.25">
      <c r="A15333">
        <v>42</v>
      </c>
      <c r="B15333" t="s">
        <v>15057</v>
      </c>
      <c r="C15333">
        <v>5010</v>
      </c>
      <c r="D15333" t="str">
        <f>"1001-0521"</f>
        <v>1001-0521</v>
      </c>
      <c r="E15333" t="s">
        <v>8</v>
      </c>
      <c r="F15333" t="s">
        <v>15337</v>
      </c>
      <c r="G15333">
        <v>1</v>
      </c>
    </row>
    <row r="15334" spans="1:7" x14ac:dyDescent="0.25">
      <c r="A15334">
        <v>42</v>
      </c>
      <c r="B15334" t="s">
        <v>15057</v>
      </c>
      <c r="C15334">
        <v>5962</v>
      </c>
      <c r="D15334" t="str">
        <f>"0034-3617"</f>
        <v>0034-3617</v>
      </c>
      <c r="E15334" t="s">
        <v>8</v>
      </c>
      <c r="F15334" t="s">
        <v>15338</v>
      </c>
      <c r="G15334">
        <v>1</v>
      </c>
    </row>
    <row r="15335" spans="1:7" x14ac:dyDescent="0.25">
      <c r="A15335">
        <v>42</v>
      </c>
      <c r="B15335" t="s">
        <v>15057</v>
      </c>
      <c r="C15335">
        <v>1337</v>
      </c>
      <c r="D15335" t="str">
        <f>"0934-9847"</f>
        <v>0934-9847</v>
      </c>
      <c r="E15335" t="s">
        <v>8</v>
      </c>
      <c r="F15335" t="s">
        <v>15339</v>
      </c>
      <c r="G15335">
        <v>1</v>
      </c>
    </row>
    <row r="15336" spans="1:7" x14ac:dyDescent="0.25">
      <c r="A15336">
        <v>42</v>
      </c>
      <c r="B15336" t="s">
        <v>15057</v>
      </c>
      <c r="C15336">
        <v>10051</v>
      </c>
      <c r="D15336" t="str">
        <f>"1605-8127"</f>
        <v>1605-8127</v>
      </c>
      <c r="E15336" t="s">
        <v>8</v>
      </c>
      <c r="F15336" t="s">
        <v>15340</v>
      </c>
      <c r="G15336">
        <v>1</v>
      </c>
    </row>
    <row r="15337" spans="1:7" x14ac:dyDescent="0.25">
      <c r="A15337">
        <v>42</v>
      </c>
      <c r="B15337" t="s">
        <v>15057</v>
      </c>
      <c r="C15337">
        <v>9829</v>
      </c>
      <c r="D15337" t="str">
        <f>"0034-8570"</f>
        <v>0034-8570</v>
      </c>
      <c r="E15337" t="s">
        <v>8</v>
      </c>
      <c r="F15337" t="s">
        <v>15341</v>
      </c>
      <c r="G15337">
        <v>1</v>
      </c>
    </row>
    <row r="15338" spans="1:7" x14ac:dyDescent="0.25">
      <c r="A15338">
        <v>42</v>
      </c>
      <c r="B15338" t="s">
        <v>15057</v>
      </c>
      <c r="C15338">
        <v>2486</v>
      </c>
      <c r="D15338" t="str">
        <f>"1061-8309"</f>
        <v>1061-8309</v>
      </c>
      <c r="E15338" t="s">
        <v>8</v>
      </c>
      <c r="F15338" t="s">
        <v>15342</v>
      </c>
      <c r="G15338">
        <v>1</v>
      </c>
    </row>
    <row r="15339" spans="1:7" x14ac:dyDescent="0.25">
      <c r="A15339">
        <v>42</v>
      </c>
      <c r="B15339" t="s">
        <v>15057</v>
      </c>
      <c r="C15339">
        <v>10685</v>
      </c>
      <c r="D15339" t="str">
        <f>"0036-0295"</f>
        <v>0036-0295</v>
      </c>
      <c r="E15339" t="s">
        <v>8</v>
      </c>
      <c r="F15339" t="s">
        <v>15343</v>
      </c>
      <c r="G15339">
        <v>1</v>
      </c>
    </row>
    <row r="15340" spans="1:7" x14ac:dyDescent="0.25">
      <c r="A15340">
        <v>42</v>
      </c>
      <c r="B15340" t="s">
        <v>15057</v>
      </c>
      <c r="C15340">
        <v>152011</v>
      </c>
      <c r="D15340" t="str">
        <f>"0792-1233"</f>
        <v>0792-1233</v>
      </c>
      <c r="E15340" t="s">
        <v>8</v>
      </c>
      <c r="F15340" t="s">
        <v>15344</v>
      </c>
      <c r="G15340">
        <v>1</v>
      </c>
    </row>
    <row r="15341" spans="1:7" x14ac:dyDescent="0.25">
      <c r="A15341">
        <v>42</v>
      </c>
      <c r="B15341" t="s">
        <v>15057</v>
      </c>
      <c r="C15341">
        <v>7713282</v>
      </c>
      <c r="D15341" t="str">
        <f>"1947-2935"</f>
        <v>1947-2935</v>
      </c>
      <c r="E15341" t="s">
        <v>8</v>
      </c>
      <c r="F15341" t="s">
        <v>15345</v>
      </c>
      <c r="G15341">
        <v>1</v>
      </c>
    </row>
    <row r="15342" spans="1:7" x14ac:dyDescent="0.25">
      <c r="A15342">
        <v>42</v>
      </c>
      <c r="B15342" t="s">
        <v>15057</v>
      </c>
      <c r="C15342">
        <v>14531</v>
      </c>
      <c r="D15342" t="str">
        <f>"1350-4789"</f>
        <v>1350-4789</v>
      </c>
      <c r="E15342" t="s">
        <v>8</v>
      </c>
      <c r="F15342" t="s">
        <v>15346</v>
      </c>
      <c r="G15342">
        <v>1</v>
      </c>
    </row>
    <row r="15343" spans="1:7" x14ac:dyDescent="0.25">
      <c r="A15343">
        <v>42</v>
      </c>
      <c r="B15343" t="s">
        <v>15057</v>
      </c>
      <c r="C15343">
        <v>12651</v>
      </c>
      <c r="D15343" t="str">
        <f>"0080-8784"</f>
        <v>0080-8784</v>
      </c>
      <c r="E15343" t="s">
        <v>15</v>
      </c>
      <c r="F15343" t="s">
        <v>15347</v>
      </c>
      <c r="G15343">
        <v>1</v>
      </c>
    </row>
    <row r="15344" spans="1:7" x14ac:dyDescent="0.25">
      <c r="A15344">
        <v>42</v>
      </c>
      <c r="B15344" t="s">
        <v>15057</v>
      </c>
      <c r="C15344">
        <v>8783365</v>
      </c>
      <c r="E15344" t="s">
        <v>8</v>
      </c>
      <c r="F15344" t="s">
        <v>15348</v>
      </c>
      <c r="G15344">
        <v>1</v>
      </c>
    </row>
    <row r="15345" spans="1:7" x14ac:dyDescent="0.25">
      <c r="A15345">
        <v>42</v>
      </c>
      <c r="B15345" t="s">
        <v>15057</v>
      </c>
      <c r="C15345">
        <v>8783366</v>
      </c>
      <c r="E15345" t="s">
        <v>8</v>
      </c>
      <c r="F15345" t="s">
        <v>15349</v>
      </c>
      <c r="G15345">
        <v>1</v>
      </c>
    </row>
    <row r="15346" spans="1:7" x14ac:dyDescent="0.25">
      <c r="A15346">
        <v>42</v>
      </c>
      <c r="B15346" t="s">
        <v>15057</v>
      </c>
      <c r="C15346">
        <v>9321</v>
      </c>
      <c r="D15346" t="str">
        <f>"0954-0911"</f>
        <v>0954-0911</v>
      </c>
      <c r="E15346" t="s">
        <v>8</v>
      </c>
      <c r="F15346" t="s">
        <v>15350</v>
      </c>
      <c r="G15346">
        <v>1</v>
      </c>
    </row>
    <row r="15347" spans="1:7" x14ac:dyDescent="0.25">
      <c r="A15347">
        <v>42</v>
      </c>
      <c r="B15347" t="s">
        <v>15057</v>
      </c>
      <c r="C15347">
        <v>8783055</v>
      </c>
      <c r="E15347" t="s">
        <v>2100</v>
      </c>
      <c r="F15347" t="s">
        <v>15351</v>
      </c>
      <c r="G15347">
        <v>1</v>
      </c>
    </row>
    <row r="15348" spans="1:7" x14ac:dyDescent="0.25">
      <c r="A15348">
        <v>42</v>
      </c>
      <c r="B15348" t="s">
        <v>15057</v>
      </c>
      <c r="C15348">
        <v>8782865</v>
      </c>
      <c r="E15348" t="s">
        <v>2100</v>
      </c>
      <c r="F15348" t="s">
        <v>15352</v>
      </c>
      <c r="G15348">
        <v>1</v>
      </c>
    </row>
    <row r="15349" spans="1:7" x14ac:dyDescent="0.25">
      <c r="A15349">
        <v>42</v>
      </c>
      <c r="B15349" t="s">
        <v>15057</v>
      </c>
      <c r="C15349">
        <v>8782864</v>
      </c>
      <c r="E15349" t="s">
        <v>2100</v>
      </c>
      <c r="F15349" t="s">
        <v>15353</v>
      </c>
      <c r="G15349">
        <v>1</v>
      </c>
    </row>
    <row r="15350" spans="1:7" x14ac:dyDescent="0.25">
      <c r="A15350">
        <v>42</v>
      </c>
      <c r="B15350" t="s">
        <v>15057</v>
      </c>
      <c r="C15350">
        <v>8782863</v>
      </c>
      <c r="E15350" t="s">
        <v>2100</v>
      </c>
      <c r="F15350" t="s">
        <v>15354</v>
      </c>
      <c r="G15350">
        <v>1</v>
      </c>
    </row>
    <row r="15351" spans="1:7" x14ac:dyDescent="0.25">
      <c r="A15351">
        <v>42</v>
      </c>
      <c r="B15351" t="s">
        <v>15057</v>
      </c>
      <c r="C15351">
        <v>8783054</v>
      </c>
      <c r="E15351" t="s">
        <v>2100</v>
      </c>
      <c r="F15351" t="s">
        <v>15355</v>
      </c>
      <c r="G15351">
        <v>1</v>
      </c>
    </row>
    <row r="15352" spans="1:7" x14ac:dyDescent="0.25">
      <c r="A15352">
        <v>42</v>
      </c>
      <c r="B15352" t="s">
        <v>15057</v>
      </c>
      <c r="C15352">
        <v>8782862</v>
      </c>
      <c r="E15352" t="s">
        <v>2100</v>
      </c>
      <c r="F15352" t="s">
        <v>15356</v>
      </c>
      <c r="G15352">
        <v>1</v>
      </c>
    </row>
    <row r="15353" spans="1:7" x14ac:dyDescent="0.25">
      <c r="A15353">
        <v>42</v>
      </c>
      <c r="B15353" t="s">
        <v>15057</v>
      </c>
      <c r="C15353">
        <v>11938</v>
      </c>
      <c r="D15353" t="str">
        <f>"0967-0912"</f>
        <v>0967-0912</v>
      </c>
      <c r="E15353" t="s">
        <v>8</v>
      </c>
      <c r="F15353" t="s">
        <v>15357</v>
      </c>
      <c r="G15353">
        <v>1</v>
      </c>
    </row>
    <row r="15354" spans="1:7" x14ac:dyDescent="0.25">
      <c r="A15354">
        <v>42</v>
      </c>
      <c r="B15354" t="s">
        <v>15057</v>
      </c>
      <c r="C15354">
        <v>691</v>
      </c>
      <c r="D15354" t="str">
        <f>"1611-3683"</f>
        <v>1611-3683</v>
      </c>
      <c r="E15354" t="s">
        <v>8</v>
      </c>
      <c r="F15354" t="s">
        <v>15358</v>
      </c>
      <c r="G15354">
        <v>1</v>
      </c>
    </row>
    <row r="15355" spans="1:7" x14ac:dyDescent="0.25">
      <c r="A15355">
        <v>42</v>
      </c>
      <c r="B15355" t="s">
        <v>15057</v>
      </c>
      <c r="C15355">
        <v>15598</v>
      </c>
      <c r="D15355" t="str">
        <f>"1567-2069"</f>
        <v>1567-2069</v>
      </c>
      <c r="E15355" t="s">
        <v>8</v>
      </c>
      <c r="F15355" t="s">
        <v>15359</v>
      </c>
      <c r="G15355">
        <v>1</v>
      </c>
    </row>
    <row r="15356" spans="1:7" x14ac:dyDescent="0.25">
      <c r="A15356">
        <v>42</v>
      </c>
      <c r="B15356" t="s">
        <v>15057</v>
      </c>
      <c r="C15356">
        <v>3494</v>
      </c>
      <c r="D15356" t="str">
        <f>"0953-2048"</f>
        <v>0953-2048</v>
      </c>
      <c r="E15356" t="s">
        <v>8</v>
      </c>
      <c r="F15356" t="s">
        <v>15360</v>
      </c>
      <c r="G15356">
        <v>1</v>
      </c>
    </row>
    <row r="15357" spans="1:7" x14ac:dyDescent="0.25">
      <c r="A15357">
        <v>42</v>
      </c>
      <c r="B15357" t="s">
        <v>15057</v>
      </c>
      <c r="C15357">
        <v>11072</v>
      </c>
      <c r="D15357" t="str">
        <f>"0267-0844"</f>
        <v>0267-0844</v>
      </c>
      <c r="E15357" t="s">
        <v>8</v>
      </c>
      <c r="F15357" t="s">
        <v>15361</v>
      </c>
      <c r="G15357">
        <v>1</v>
      </c>
    </row>
    <row r="15358" spans="1:7" x14ac:dyDescent="0.25">
      <c r="A15358">
        <v>42</v>
      </c>
      <c r="B15358" t="s">
        <v>15057</v>
      </c>
      <c r="C15358">
        <v>16021</v>
      </c>
      <c r="D15358" t="str">
        <f>"0039-6028"</f>
        <v>0039-6028</v>
      </c>
      <c r="E15358" t="s">
        <v>8</v>
      </c>
      <c r="F15358" t="s">
        <v>15362</v>
      </c>
      <c r="G15358">
        <v>1</v>
      </c>
    </row>
    <row r="15359" spans="1:7" x14ac:dyDescent="0.25">
      <c r="A15359">
        <v>42</v>
      </c>
      <c r="B15359" t="s">
        <v>15057</v>
      </c>
      <c r="C15359">
        <v>13539</v>
      </c>
      <c r="D15359" t="str">
        <f>"1055-5269"</f>
        <v>1055-5269</v>
      </c>
      <c r="E15359" t="s">
        <v>8</v>
      </c>
      <c r="F15359" t="s">
        <v>15363</v>
      </c>
      <c r="G15359">
        <v>1</v>
      </c>
    </row>
    <row r="15360" spans="1:7" x14ac:dyDescent="0.25">
      <c r="A15360">
        <v>42</v>
      </c>
      <c r="B15360" t="s">
        <v>15057</v>
      </c>
      <c r="C15360">
        <v>8782861</v>
      </c>
      <c r="E15360" t="s">
        <v>2100</v>
      </c>
      <c r="F15360" t="s">
        <v>15364</v>
      </c>
      <c r="G15360">
        <v>1</v>
      </c>
    </row>
    <row r="15361" spans="1:7" x14ac:dyDescent="0.25">
      <c r="A15361">
        <v>42</v>
      </c>
      <c r="B15361" t="s">
        <v>15057</v>
      </c>
      <c r="C15361">
        <v>1474</v>
      </c>
      <c r="D15361" t="str">
        <f>"0379-6779"</f>
        <v>0379-6779</v>
      </c>
      <c r="E15361" t="s">
        <v>8</v>
      </c>
      <c r="F15361" t="s">
        <v>15365</v>
      </c>
      <c r="G15361">
        <v>1</v>
      </c>
    </row>
    <row r="15362" spans="1:7" x14ac:dyDescent="0.25">
      <c r="A15362">
        <v>42</v>
      </c>
      <c r="B15362" t="s">
        <v>15057</v>
      </c>
      <c r="C15362">
        <v>10668</v>
      </c>
      <c r="D15362" t="str">
        <f>"0021-1575"</f>
        <v>0021-1575</v>
      </c>
      <c r="E15362" t="s">
        <v>8</v>
      </c>
      <c r="F15362" t="s">
        <v>15366</v>
      </c>
      <c r="G15362">
        <v>1</v>
      </c>
    </row>
    <row r="15363" spans="1:7" x14ac:dyDescent="0.25">
      <c r="A15363">
        <v>42</v>
      </c>
      <c r="B15363" t="s">
        <v>15057</v>
      </c>
      <c r="C15363">
        <v>8167</v>
      </c>
      <c r="D15363" t="str">
        <f>"0021-8464"</f>
        <v>0021-8464</v>
      </c>
      <c r="E15363" t="s">
        <v>8</v>
      </c>
      <c r="F15363" t="s">
        <v>15367</v>
      </c>
      <c r="G15363">
        <v>1</v>
      </c>
    </row>
    <row r="15364" spans="1:7" x14ac:dyDescent="0.25">
      <c r="A15364">
        <v>42</v>
      </c>
      <c r="B15364" t="s">
        <v>15057</v>
      </c>
      <c r="C15364">
        <v>12413</v>
      </c>
      <c r="D15364" t="str">
        <f>"0040-6090"</f>
        <v>0040-6090</v>
      </c>
      <c r="E15364" t="s">
        <v>8</v>
      </c>
      <c r="F15364" t="s">
        <v>15368</v>
      </c>
      <c r="G15364">
        <v>1</v>
      </c>
    </row>
    <row r="15365" spans="1:7" x14ac:dyDescent="0.25">
      <c r="A15365">
        <v>42</v>
      </c>
      <c r="B15365" t="s">
        <v>15057</v>
      </c>
      <c r="C15365">
        <v>8783053</v>
      </c>
      <c r="E15365" t="s">
        <v>2100</v>
      </c>
      <c r="F15365" t="s">
        <v>15369</v>
      </c>
      <c r="G15365">
        <v>1</v>
      </c>
    </row>
    <row r="15366" spans="1:7" x14ac:dyDescent="0.25">
      <c r="A15366">
        <v>42</v>
      </c>
      <c r="B15366" t="s">
        <v>15057</v>
      </c>
      <c r="C15366">
        <v>13839</v>
      </c>
      <c r="D15366" t="str">
        <f>"0020-2967"</f>
        <v>0020-2967</v>
      </c>
      <c r="E15366" t="s">
        <v>8</v>
      </c>
      <c r="F15366" t="s">
        <v>15370</v>
      </c>
      <c r="G15366">
        <v>1</v>
      </c>
    </row>
    <row r="15367" spans="1:7" x14ac:dyDescent="0.25">
      <c r="A15367">
        <v>42</v>
      </c>
      <c r="B15367" t="s">
        <v>15057</v>
      </c>
      <c r="C15367">
        <v>11642</v>
      </c>
      <c r="D15367" t="str">
        <f>"0972-2815"</f>
        <v>0972-2815</v>
      </c>
      <c r="E15367" t="s">
        <v>8</v>
      </c>
      <c r="F15367" t="s">
        <v>15371</v>
      </c>
      <c r="G15367">
        <v>1</v>
      </c>
    </row>
    <row r="15368" spans="1:7" x14ac:dyDescent="0.25">
      <c r="A15368">
        <v>42</v>
      </c>
      <c r="B15368" t="s">
        <v>15057</v>
      </c>
      <c r="C15368">
        <v>11296</v>
      </c>
      <c r="D15368" t="str">
        <f>"0042-207X"</f>
        <v>0042-207X</v>
      </c>
      <c r="E15368" t="s">
        <v>8</v>
      </c>
      <c r="F15368" t="s">
        <v>15372</v>
      </c>
      <c r="G15368">
        <v>1</v>
      </c>
    </row>
    <row r="15369" spans="1:7" x14ac:dyDescent="0.25">
      <c r="A15369">
        <v>42</v>
      </c>
      <c r="B15369" t="s">
        <v>15057</v>
      </c>
      <c r="C15369">
        <v>8783052</v>
      </c>
      <c r="E15369" t="s">
        <v>2100</v>
      </c>
      <c r="F15369" t="s">
        <v>15373</v>
      </c>
      <c r="G15369">
        <v>1</v>
      </c>
    </row>
    <row r="15370" spans="1:7" x14ac:dyDescent="0.25">
      <c r="A15370">
        <v>43</v>
      </c>
      <c r="B15370" t="s">
        <v>15374</v>
      </c>
      <c r="C15370">
        <v>597</v>
      </c>
      <c r="D15370" t="str">
        <f>"0090-6964"</f>
        <v>0090-6964</v>
      </c>
      <c r="E15370" t="s">
        <v>8</v>
      </c>
      <c r="F15370" t="s">
        <v>15375</v>
      </c>
      <c r="G15370">
        <v>2</v>
      </c>
    </row>
    <row r="15371" spans="1:7" x14ac:dyDescent="0.25">
      <c r="A15371">
        <v>43</v>
      </c>
      <c r="B15371" t="s">
        <v>15374</v>
      </c>
      <c r="C15371">
        <v>6711</v>
      </c>
      <c r="D15371" t="str">
        <f>"1523-9829"</f>
        <v>1523-9829</v>
      </c>
      <c r="E15371" t="s">
        <v>8</v>
      </c>
      <c r="F15371" t="s">
        <v>15376</v>
      </c>
      <c r="G15371">
        <v>2</v>
      </c>
    </row>
    <row r="15372" spans="1:7" x14ac:dyDescent="0.25">
      <c r="A15372">
        <v>43</v>
      </c>
      <c r="B15372" t="s">
        <v>15374</v>
      </c>
      <c r="C15372">
        <v>1909</v>
      </c>
      <c r="D15372" t="str">
        <f>"0142-9612"</f>
        <v>0142-9612</v>
      </c>
      <c r="E15372" t="s">
        <v>8</v>
      </c>
      <c r="F15372" t="s">
        <v>15377</v>
      </c>
      <c r="G15372">
        <v>2</v>
      </c>
    </row>
    <row r="15373" spans="1:7" x14ac:dyDescent="0.25">
      <c r="A15373">
        <v>43</v>
      </c>
      <c r="B15373" t="s">
        <v>15374</v>
      </c>
      <c r="C15373">
        <v>153572</v>
      </c>
      <c r="D15373" t="str">
        <f>"1364-8535"</f>
        <v>1364-8535</v>
      </c>
      <c r="E15373" t="s">
        <v>8</v>
      </c>
      <c r="F15373" t="s">
        <v>15378</v>
      </c>
      <c r="G15373">
        <v>2</v>
      </c>
    </row>
    <row r="15374" spans="1:7" x14ac:dyDescent="0.25">
      <c r="A15374">
        <v>43</v>
      </c>
      <c r="B15374" t="s">
        <v>15374</v>
      </c>
      <c r="C15374">
        <v>6120280</v>
      </c>
      <c r="D15374" t="str">
        <f>"1662-4548"</f>
        <v>1662-4548</v>
      </c>
      <c r="E15374" t="s">
        <v>8</v>
      </c>
      <c r="F15374" t="s">
        <v>15379</v>
      </c>
      <c r="G15374">
        <v>2</v>
      </c>
    </row>
    <row r="15375" spans="1:7" x14ac:dyDescent="0.25">
      <c r="A15375">
        <v>43</v>
      </c>
      <c r="B15375" t="s">
        <v>15374</v>
      </c>
      <c r="C15375">
        <v>16662</v>
      </c>
      <c r="D15375" t="str">
        <f>"0018-9294"</f>
        <v>0018-9294</v>
      </c>
      <c r="E15375" t="s">
        <v>8</v>
      </c>
      <c r="F15375" t="s">
        <v>15380</v>
      </c>
      <c r="G15375">
        <v>2</v>
      </c>
    </row>
    <row r="15376" spans="1:7" x14ac:dyDescent="0.25">
      <c r="A15376">
        <v>43</v>
      </c>
      <c r="B15376" t="s">
        <v>15374</v>
      </c>
      <c r="C15376">
        <v>3317</v>
      </c>
      <c r="D15376" t="str">
        <f>"0278-0062"</f>
        <v>0278-0062</v>
      </c>
      <c r="E15376" t="s">
        <v>8</v>
      </c>
      <c r="F15376" t="s">
        <v>15381</v>
      </c>
      <c r="G15376">
        <v>2</v>
      </c>
    </row>
    <row r="15377" spans="1:7" x14ac:dyDescent="0.25">
      <c r="A15377">
        <v>43</v>
      </c>
      <c r="B15377" t="s">
        <v>15374</v>
      </c>
      <c r="C15377">
        <v>9880</v>
      </c>
      <c r="D15377" t="str">
        <f>"1534-4320"</f>
        <v>1534-4320</v>
      </c>
      <c r="E15377" t="s">
        <v>8</v>
      </c>
      <c r="F15377" t="s">
        <v>15382</v>
      </c>
      <c r="G15377">
        <v>2</v>
      </c>
    </row>
    <row r="15378" spans="1:7" x14ac:dyDescent="0.25">
      <c r="A15378">
        <v>43</v>
      </c>
      <c r="B15378" t="s">
        <v>15374</v>
      </c>
      <c r="C15378">
        <v>17113</v>
      </c>
      <c r="D15378" t="str">
        <f>"1741-2560"</f>
        <v>1741-2560</v>
      </c>
      <c r="E15378" t="s">
        <v>8</v>
      </c>
      <c r="F15378" t="s">
        <v>15383</v>
      </c>
      <c r="G15378">
        <v>2</v>
      </c>
    </row>
    <row r="15379" spans="1:7" x14ac:dyDescent="0.25">
      <c r="A15379">
        <v>43</v>
      </c>
      <c r="B15379" t="s">
        <v>15374</v>
      </c>
      <c r="C15379">
        <v>13442</v>
      </c>
      <c r="E15379" t="s">
        <v>8</v>
      </c>
      <c r="F15379" t="s">
        <v>15384</v>
      </c>
      <c r="G15379">
        <v>2</v>
      </c>
    </row>
    <row r="15380" spans="1:7" x14ac:dyDescent="0.25">
      <c r="A15380">
        <v>43</v>
      </c>
      <c r="B15380" t="s">
        <v>15374</v>
      </c>
      <c r="C15380">
        <v>607</v>
      </c>
      <c r="D15380" t="str">
        <f>"0002-9343"</f>
        <v>0002-9343</v>
      </c>
      <c r="E15380" t="s">
        <v>8</v>
      </c>
      <c r="F15380" t="s">
        <v>15385</v>
      </c>
      <c r="G15380">
        <v>2</v>
      </c>
    </row>
    <row r="15381" spans="1:7" x14ac:dyDescent="0.25">
      <c r="A15381">
        <v>43</v>
      </c>
      <c r="B15381" t="s">
        <v>15374</v>
      </c>
      <c r="C15381">
        <v>9509</v>
      </c>
      <c r="D15381" t="str">
        <f>"1784-3286"</f>
        <v>1784-3286</v>
      </c>
      <c r="E15381" t="s">
        <v>8</v>
      </c>
      <c r="F15381" t="s">
        <v>15386</v>
      </c>
      <c r="G15381">
        <v>1</v>
      </c>
    </row>
    <row r="15382" spans="1:7" x14ac:dyDescent="0.25">
      <c r="A15382">
        <v>43</v>
      </c>
      <c r="B15382" t="s">
        <v>15374</v>
      </c>
      <c r="C15382">
        <v>3295</v>
      </c>
      <c r="D15382" t="str">
        <f>"1748-1708"</f>
        <v>1748-1708</v>
      </c>
      <c r="E15382" t="s">
        <v>8</v>
      </c>
      <c r="F15382" t="s">
        <v>15387</v>
      </c>
      <c r="G15382">
        <v>1</v>
      </c>
    </row>
    <row r="15383" spans="1:7" x14ac:dyDescent="0.25">
      <c r="A15383">
        <v>43</v>
      </c>
      <c r="B15383" t="s">
        <v>15374</v>
      </c>
      <c r="C15383">
        <v>7720207</v>
      </c>
      <c r="D15383" t="str">
        <f>"2192-2640"</f>
        <v>2192-2640</v>
      </c>
      <c r="E15383" t="s">
        <v>8</v>
      </c>
      <c r="F15383" t="s">
        <v>15388</v>
      </c>
      <c r="G15383">
        <v>1</v>
      </c>
    </row>
    <row r="15384" spans="1:7" x14ac:dyDescent="0.25">
      <c r="A15384">
        <v>43</v>
      </c>
      <c r="B15384" t="s">
        <v>15374</v>
      </c>
      <c r="C15384">
        <v>152715</v>
      </c>
      <c r="D15384" t="str">
        <f>"2169-1401"</f>
        <v>2169-1401</v>
      </c>
      <c r="E15384" t="s">
        <v>8</v>
      </c>
      <c r="F15384" t="s">
        <v>15389</v>
      </c>
      <c r="G15384">
        <v>1</v>
      </c>
    </row>
    <row r="15385" spans="1:7" x14ac:dyDescent="0.25">
      <c r="A15385">
        <v>43</v>
      </c>
      <c r="B15385" t="s">
        <v>15374</v>
      </c>
      <c r="C15385">
        <v>12575</v>
      </c>
      <c r="D15385" t="str">
        <f>"0160-564X"</f>
        <v>0160-564X</v>
      </c>
      <c r="E15385" t="s">
        <v>8</v>
      </c>
      <c r="F15385" t="s">
        <v>15390</v>
      </c>
      <c r="G15385">
        <v>1</v>
      </c>
    </row>
    <row r="15386" spans="1:7" x14ac:dyDescent="0.25">
      <c r="A15386">
        <v>43</v>
      </c>
      <c r="B15386" t="s">
        <v>15374</v>
      </c>
      <c r="C15386">
        <v>17433</v>
      </c>
      <c r="D15386" t="str">
        <f>"0158-9938"</f>
        <v>0158-9938</v>
      </c>
      <c r="E15386" t="s">
        <v>8</v>
      </c>
      <c r="F15386" t="s">
        <v>15391</v>
      </c>
      <c r="G15386">
        <v>1</v>
      </c>
    </row>
    <row r="15387" spans="1:7" x14ac:dyDescent="0.25">
      <c r="A15387">
        <v>43</v>
      </c>
      <c r="B15387" t="s">
        <v>15374</v>
      </c>
      <c r="C15387">
        <v>120779</v>
      </c>
      <c r="D15387" t="str">
        <f>"0208-5216"</f>
        <v>0208-5216</v>
      </c>
      <c r="E15387" t="s">
        <v>8</v>
      </c>
      <c r="F15387" t="s">
        <v>15392</v>
      </c>
      <c r="G15387">
        <v>1</v>
      </c>
    </row>
    <row r="15388" spans="1:7" x14ac:dyDescent="0.25">
      <c r="A15388">
        <v>43</v>
      </c>
      <c r="B15388" t="s">
        <v>15374</v>
      </c>
      <c r="C15388">
        <v>10874</v>
      </c>
      <c r="D15388" t="str">
        <f>"1617-7959"</f>
        <v>1617-7959</v>
      </c>
      <c r="E15388" t="s">
        <v>8</v>
      </c>
      <c r="F15388" t="s">
        <v>15393</v>
      </c>
      <c r="G15388">
        <v>1</v>
      </c>
    </row>
    <row r="15389" spans="1:7" x14ac:dyDescent="0.25">
      <c r="A15389">
        <v>43</v>
      </c>
      <c r="B15389" t="s">
        <v>15374</v>
      </c>
      <c r="C15389">
        <v>5283</v>
      </c>
      <c r="E15389" t="s">
        <v>8</v>
      </c>
      <c r="F15389" t="s">
        <v>15394</v>
      </c>
      <c r="G15389">
        <v>1</v>
      </c>
    </row>
    <row r="15390" spans="1:7" x14ac:dyDescent="0.25">
      <c r="A15390">
        <v>43</v>
      </c>
      <c r="B15390" t="s">
        <v>15374</v>
      </c>
      <c r="C15390">
        <v>153671</v>
      </c>
      <c r="E15390" t="s">
        <v>8</v>
      </c>
      <c r="F15390" t="s">
        <v>15395</v>
      </c>
      <c r="G15390">
        <v>1</v>
      </c>
    </row>
    <row r="15391" spans="1:7" x14ac:dyDescent="0.25">
      <c r="A15391">
        <v>43</v>
      </c>
      <c r="B15391" t="s">
        <v>15374</v>
      </c>
      <c r="C15391">
        <v>9811</v>
      </c>
      <c r="D15391" t="str">
        <f>"1387-2176"</f>
        <v>1387-2176</v>
      </c>
      <c r="E15391" t="s">
        <v>8</v>
      </c>
      <c r="F15391" t="s">
        <v>15396</v>
      </c>
      <c r="G15391">
        <v>1</v>
      </c>
    </row>
    <row r="15392" spans="1:7" x14ac:dyDescent="0.25">
      <c r="A15392">
        <v>43</v>
      </c>
      <c r="B15392" t="s">
        <v>15374</v>
      </c>
      <c r="C15392">
        <v>20183</v>
      </c>
      <c r="D15392" t="str">
        <f>"1746-8094"</f>
        <v>1746-8094</v>
      </c>
      <c r="E15392" t="s">
        <v>8</v>
      </c>
      <c r="F15392" t="s">
        <v>15397</v>
      </c>
      <c r="G15392">
        <v>1</v>
      </c>
    </row>
    <row r="15393" spans="1:7" x14ac:dyDescent="0.25">
      <c r="A15393">
        <v>43</v>
      </c>
      <c r="B15393" t="s">
        <v>15374</v>
      </c>
      <c r="C15393">
        <v>3756</v>
      </c>
      <c r="D15393" t="str">
        <f>"0013-5585"</f>
        <v>0013-5585</v>
      </c>
      <c r="E15393" t="s">
        <v>8</v>
      </c>
      <c r="F15393" t="s">
        <v>15398</v>
      </c>
      <c r="G15393">
        <v>1</v>
      </c>
    </row>
    <row r="15394" spans="1:7" x14ac:dyDescent="0.25">
      <c r="A15394">
        <v>43</v>
      </c>
      <c r="B15394" t="s">
        <v>15374</v>
      </c>
      <c r="C15394">
        <v>12418</v>
      </c>
      <c r="E15394" t="s">
        <v>8</v>
      </c>
      <c r="F15394" t="s">
        <v>15399</v>
      </c>
      <c r="G15394">
        <v>1</v>
      </c>
    </row>
    <row r="15395" spans="1:7" x14ac:dyDescent="0.25">
      <c r="A15395">
        <v>43</v>
      </c>
      <c r="B15395" t="s">
        <v>15374</v>
      </c>
      <c r="C15395">
        <v>912</v>
      </c>
      <c r="E15395" t="s">
        <v>8</v>
      </c>
      <c r="F15395" t="s">
        <v>15400</v>
      </c>
      <c r="G15395">
        <v>1</v>
      </c>
    </row>
    <row r="15396" spans="1:7" x14ac:dyDescent="0.25">
      <c r="A15396">
        <v>43</v>
      </c>
      <c r="B15396" t="s">
        <v>15374</v>
      </c>
      <c r="C15396">
        <v>12450</v>
      </c>
      <c r="D15396" t="str">
        <f>"1389-9333"</f>
        <v>1389-9333</v>
      </c>
      <c r="E15396" t="s">
        <v>8</v>
      </c>
      <c r="F15396" t="s">
        <v>15401</v>
      </c>
      <c r="G15396">
        <v>1</v>
      </c>
    </row>
    <row r="15397" spans="1:7" x14ac:dyDescent="0.25">
      <c r="A15397">
        <v>43</v>
      </c>
      <c r="B15397" t="s">
        <v>15374</v>
      </c>
      <c r="C15397">
        <v>25737</v>
      </c>
      <c r="D15397" t="str">
        <f>"1865-5025"</f>
        <v>1865-5025</v>
      </c>
      <c r="E15397" t="s">
        <v>8</v>
      </c>
      <c r="F15397" t="s">
        <v>15402</v>
      </c>
      <c r="G15397">
        <v>1</v>
      </c>
    </row>
    <row r="15398" spans="1:7" x14ac:dyDescent="0.25">
      <c r="A15398">
        <v>43</v>
      </c>
      <c r="B15398" t="s">
        <v>15374</v>
      </c>
      <c r="C15398">
        <v>895</v>
      </c>
      <c r="D15398" t="str">
        <f>"1475-0961"</f>
        <v>1475-0961</v>
      </c>
      <c r="E15398" t="s">
        <v>8</v>
      </c>
      <c r="F15398" t="s">
        <v>15403</v>
      </c>
      <c r="G15398">
        <v>1</v>
      </c>
    </row>
    <row r="15399" spans="1:7" x14ac:dyDescent="0.25">
      <c r="A15399">
        <v>43</v>
      </c>
      <c r="B15399" t="s">
        <v>15374</v>
      </c>
      <c r="C15399">
        <v>1311</v>
      </c>
      <c r="D15399" t="str">
        <f>"1025-5842"</f>
        <v>1025-5842</v>
      </c>
      <c r="E15399" t="s">
        <v>8</v>
      </c>
      <c r="F15399" t="s">
        <v>15404</v>
      </c>
      <c r="G15399">
        <v>1</v>
      </c>
    </row>
    <row r="15400" spans="1:7" x14ac:dyDescent="0.25">
      <c r="A15400">
        <v>43</v>
      </c>
      <c r="B15400" t="s">
        <v>15374</v>
      </c>
      <c r="C15400">
        <v>12617</v>
      </c>
      <c r="D15400" t="str">
        <f>"0895-6111"</f>
        <v>0895-6111</v>
      </c>
      <c r="E15400" t="s">
        <v>8</v>
      </c>
      <c r="F15400" t="s">
        <v>15405</v>
      </c>
      <c r="G15400">
        <v>1</v>
      </c>
    </row>
    <row r="15401" spans="1:7" x14ac:dyDescent="0.25">
      <c r="A15401">
        <v>43</v>
      </c>
      <c r="B15401" t="s">
        <v>15374</v>
      </c>
      <c r="C15401">
        <v>12702</v>
      </c>
      <c r="D15401" t="str">
        <f>"0010-4825"</f>
        <v>0010-4825</v>
      </c>
      <c r="E15401" t="s">
        <v>8</v>
      </c>
      <c r="F15401" t="s">
        <v>15406</v>
      </c>
      <c r="G15401">
        <v>1</v>
      </c>
    </row>
    <row r="15402" spans="1:7" x14ac:dyDescent="0.25">
      <c r="A15402">
        <v>43</v>
      </c>
      <c r="B15402" t="s">
        <v>15374</v>
      </c>
      <c r="C15402">
        <v>10912</v>
      </c>
      <c r="D15402" t="str">
        <f>"0276-6574"</f>
        <v>0276-6574</v>
      </c>
      <c r="E15402" t="s">
        <v>8</v>
      </c>
      <c r="F15402" t="s">
        <v>15407</v>
      </c>
      <c r="G15402">
        <v>1</v>
      </c>
    </row>
    <row r="15403" spans="1:7" x14ac:dyDescent="0.25">
      <c r="A15403">
        <v>43</v>
      </c>
      <c r="B15403" t="s">
        <v>15374</v>
      </c>
      <c r="C15403">
        <v>7522</v>
      </c>
      <c r="D15403" t="str">
        <f>"1748-3107"</f>
        <v>1748-3107</v>
      </c>
      <c r="E15403" t="s">
        <v>8</v>
      </c>
      <c r="F15403" t="s">
        <v>15408</v>
      </c>
      <c r="G15403">
        <v>1</v>
      </c>
    </row>
    <row r="15404" spans="1:7" x14ac:dyDescent="0.25">
      <c r="A15404">
        <v>43</v>
      </c>
      <c r="B15404" t="s">
        <v>15374</v>
      </c>
      <c r="C15404">
        <v>13693</v>
      </c>
      <c r="D15404" t="str">
        <f>"1741-427X"</f>
        <v>1741-427X</v>
      </c>
      <c r="E15404" t="s">
        <v>8</v>
      </c>
      <c r="F15404" t="s">
        <v>15409</v>
      </c>
      <c r="G15404">
        <v>1</v>
      </c>
    </row>
    <row r="15405" spans="1:7" x14ac:dyDescent="0.25">
      <c r="A15405">
        <v>43</v>
      </c>
      <c r="B15405" t="s">
        <v>15374</v>
      </c>
      <c r="C15405">
        <v>17273</v>
      </c>
      <c r="D15405" t="str">
        <f>"1743-4440"</f>
        <v>1743-4440</v>
      </c>
      <c r="E15405" t="s">
        <v>8</v>
      </c>
      <c r="F15405" t="s">
        <v>15410</v>
      </c>
      <c r="G15405">
        <v>1</v>
      </c>
    </row>
    <row r="15406" spans="1:7" x14ac:dyDescent="0.25">
      <c r="A15406">
        <v>43</v>
      </c>
      <c r="B15406" t="s">
        <v>15374</v>
      </c>
      <c r="C15406">
        <v>6562</v>
      </c>
      <c r="D15406" t="str">
        <f>"2168-2194"</f>
        <v>2168-2194</v>
      </c>
      <c r="E15406" t="s">
        <v>8</v>
      </c>
      <c r="F15406" t="s">
        <v>15411</v>
      </c>
      <c r="G15406">
        <v>1</v>
      </c>
    </row>
    <row r="15407" spans="1:7" x14ac:dyDescent="0.25">
      <c r="A15407">
        <v>43</v>
      </c>
      <c r="B15407" t="s">
        <v>15374</v>
      </c>
      <c r="C15407">
        <v>7898</v>
      </c>
      <c r="D15407" t="str">
        <f>"2154-2287"</f>
        <v>2154-2287</v>
      </c>
      <c r="E15407" t="s">
        <v>8</v>
      </c>
      <c r="F15407" t="s">
        <v>15412</v>
      </c>
      <c r="G15407">
        <v>1</v>
      </c>
    </row>
    <row r="15408" spans="1:7" x14ac:dyDescent="0.25">
      <c r="A15408">
        <v>43</v>
      </c>
      <c r="B15408" t="s">
        <v>15374</v>
      </c>
      <c r="C15408">
        <v>8783828</v>
      </c>
      <c r="E15408" t="s">
        <v>15</v>
      </c>
      <c r="F15408" t="s">
        <v>15413</v>
      </c>
      <c r="G15408">
        <v>1</v>
      </c>
    </row>
    <row r="15409" spans="1:7" x14ac:dyDescent="0.25">
      <c r="A15409">
        <v>43</v>
      </c>
      <c r="B15409" t="s">
        <v>15374</v>
      </c>
      <c r="C15409">
        <v>16523</v>
      </c>
      <c r="D15409" t="str">
        <f>"0143-7496"</f>
        <v>0143-7496</v>
      </c>
      <c r="E15409" t="s">
        <v>8</v>
      </c>
      <c r="F15409" t="s">
        <v>15414</v>
      </c>
      <c r="G15409">
        <v>1</v>
      </c>
    </row>
    <row r="15410" spans="1:7" x14ac:dyDescent="0.25">
      <c r="A15410">
        <v>43</v>
      </c>
      <c r="B15410" t="s">
        <v>15374</v>
      </c>
      <c r="C15410">
        <v>25002</v>
      </c>
      <c r="D15410" t="str">
        <f>"1742-5549"</f>
        <v>1742-5549</v>
      </c>
      <c r="E15410" t="s">
        <v>8</v>
      </c>
      <c r="F15410" t="s">
        <v>15415</v>
      </c>
      <c r="G15410">
        <v>1</v>
      </c>
    </row>
    <row r="15411" spans="1:7" x14ac:dyDescent="0.25">
      <c r="A15411">
        <v>43</v>
      </c>
      <c r="B15411" t="s">
        <v>15374</v>
      </c>
      <c r="C15411">
        <v>14547</v>
      </c>
      <c r="D15411" t="str">
        <f>"0219-4678"</f>
        <v>0219-4678</v>
      </c>
      <c r="E15411" t="s">
        <v>8</v>
      </c>
      <c r="F15411" t="s">
        <v>15416</v>
      </c>
      <c r="G15411">
        <v>1</v>
      </c>
    </row>
    <row r="15412" spans="1:7" x14ac:dyDescent="0.25">
      <c r="A15412">
        <v>43</v>
      </c>
      <c r="B15412" t="s">
        <v>15374</v>
      </c>
      <c r="C15412">
        <v>7534</v>
      </c>
      <c r="D15412" t="str">
        <f>"1478-5951"</f>
        <v>1478-5951</v>
      </c>
      <c r="E15412" t="s">
        <v>8</v>
      </c>
      <c r="F15412" t="s">
        <v>15417</v>
      </c>
      <c r="G15412">
        <v>1</v>
      </c>
    </row>
    <row r="15413" spans="1:7" x14ac:dyDescent="0.25">
      <c r="A15413">
        <v>43</v>
      </c>
      <c r="B15413" t="s">
        <v>15374</v>
      </c>
      <c r="C15413">
        <v>6403</v>
      </c>
      <c r="E15413" t="s">
        <v>8</v>
      </c>
      <c r="F15413" t="s">
        <v>15418</v>
      </c>
      <c r="G15413">
        <v>1</v>
      </c>
    </row>
    <row r="15414" spans="1:7" x14ac:dyDescent="0.25">
      <c r="A15414">
        <v>43</v>
      </c>
      <c r="B15414" t="s">
        <v>15374</v>
      </c>
      <c r="C15414">
        <v>6017</v>
      </c>
      <c r="D15414" t="str">
        <f>"1434-7229"</f>
        <v>1434-7229</v>
      </c>
      <c r="E15414" t="s">
        <v>8</v>
      </c>
      <c r="F15414" t="s">
        <v>15419</v>
      </c>
      <c r="G15414">
        <v>1</v>
      </c>
    </row>
    <row r="15415" spans="1:7" x14ac:dyDescent="0.25">
      <c r="A15415">
        <v>43</v>
      </c>
      <c r="B15415" t="s">
        <v>15374</v>
      </c>
      <c r="C15415">
        <v>27117</v>
      </c>
      <c r="D15415" t="str">
        <f>"1754-9450"</f>
        <v>1754-9450</v>
      </c>
      <c r="E15415" t="s">
        <v>8</v>
      </c>
      <c r="F15415" t="s">
        <v>15420</v>
      </c>
      <c r="G15415">
        <v>1</v>
      </c>
    </row>
    <row r="15416" spans="1:7" x14ac:dyDescent="0.25">
      <c r="A15416">
        <v>43</v>
      </c>
      <c r="B15416" t="s">
        <v>15374</v>
      </c>
      <c r="C15416">
        <v>4862</v>
      </c>
      <c r="D15416" t="str">
        <f>"0885-3282"</f>
        <v>0885-3282</v>
      </c>
      <c r="E15416" t="s">
        <v>8</v>
      </c>
      <c r="F15416" t="s">
        <v>15421</v>
      </c>
      <c r="G15416">
        <v>1</v>
      </c>
    </row>
    <row r="15417" spans="1:7" x14ac:dyDescent="0.25">
      <c r="A15417">
        <v>43</v>
      </c>
      <c r="B15417" t="s">
        <v>15374</v>
      </c>
      <c r="C15417">
        <v>17395</v>
      </c>
      <c r="D15417" t="str">
        <f>"1552-4973"</f>
        <v>1552-4973</v>
      </c>
      <c r="E15417" t="s">
        <v>8</v>
      </c>
      <c r="F15417" t="s">
        <v>15422</v>
      </c>
      <c r="G15417">
        <v>1</v>
      </c>
    </row>
    <row r="15418" spans="1:7" x14ac:dyDescent="0.25">
      <c r="A15418">
        <v>43</v>
      </c>
      <c r="B15418" t="s">
        <v>15374</v>
      </c>
      <c r="C15418">
        <v>6168058</v>
      </c>
      <c r="D15418" t="str">
        <f>"1937-6871"</f>
        <v>1937-6871</v>
      </c>
      <c r="E15418" t="s">
        <v>8</v>
      </c>
      <c r="F15418" t="s">
        <v>15423</v>
      </c>
      <c r="G15418">
        <v>1</v>
      </c>
    </row>
    <row r="15419" spans="1:7" x14ac:dyDescent="0.25">
      <c r="A15419">
        <v>43</v>
      </c>
      <c r="B15419" t="s">
        <v>15374</v>
      </c>
      <c r="C15419">
        <v>12869</v>
      </c>
      <c r="D15419" t="str">
        <f>"1570-0232"</f>
        <v>1570-0232</v>
      </c>
      <c r="E15419" t="s">
        <v>8</v>
      </c>
      <c r="F15419" t="s">
        <v>15424</v>
      </c>
      <c r="G15419">
        <v>1</v>
      </c>
    </row>
    <row r="15420" spans="1:7" x14ac:dyDescent="0.25">
      <c r="A15420">
        <v>43</v>
      </c>
      <c r="B15420" t="s">
        <v>15374</v>
      </c>
      <c r="C15420">
        <v>13229</v>
      </c>
      <c r="D15420" t="str">
        <f>"0363-8855"</f>
        <v>0363-8855</v>
      </c>
      <c r="E15420" t="s">
        <v>8</v>
      </c>
      <c r="F15420" t="s">
        <v>15425</v>
      </c>
      <c r="G15420">
        <v>1</v>
      </c>
    </row>
    <row r="15421" spans="1:7" x14ac:dyDescent="0.25">
      <c r="A15421">
        <v>43</v>
      </c>
      <c r="B15421" t="s">
        <v>15374</v>
      </c>
      <c r="C15421">
        <v>7697761</v>
      </c>
      <c r="D15421" t="str">
        <f>"1689-832X"</f>
        <v>1689-832X</v>
      </c>
      <c r="E15421" t="s">
        <v>8</v>
      </c>
      <c r="F15421" t="s">
        <v>15426</v>
      </c>
      <c r="G15421">
        <v>1</v>
      </c>
    </row>
    <row r="15422" spans="1:7" x14ac:dyDescent="0.25">
      <c r="A15422">
        <v>43</v>
      </c>
      <c r="B15422" t="s">
        <v>15374</v>
      </c>
      <c r="C15422">
        <v>10642</v>
      </c>
      <c r="D15422" t="str">
        <f>"0897-1889"</f>
        <v>0897-1889</v>
      </c>
      <c r="E15422" t="s">
        <v>8</v>
      </c>
      <c r="F15422" t="s">
        <v>15427</v>
      </c>
      <c r="G15422">
        <v>1</v>
      </c>
    </row>
    <row r="15423" spans="1:7" x14ac:dyDescent="0.25">
      <c r="A15423">
        <v>43</v>
      </c>
      <c r="B15423" t="s">
        <v>15374</v>
      </c>
      <c r="C15423">
        <v>149509</v>
      </c>
      <c r="D15423" t="str">
        <f>"1341-7649"</f>
        <v>1341-7649</v>
      </c>
      <c r="E15423" t="s">
        <v>8</v>
      </c>
      <c r="F15423" t="s">
        <v>15428</v>
      </c>
      <c r="G15423">
        <v>1</v>
      </c>
    </row>
    <row r="15424" spans="1:7" x14ac:dyDescent="0.25">
      <c r="A15424">
        <v>43</v>
      </c>
      <c r="B15424" t="s">
        <v>15374</v>
      </c>
      <c r="C15424">
        <v>180113</v>
      </c>
      <c r="D15424" t="str">
        <f>"2246-3380"</f>
        <v>2246-3380</v>
      </c>
      <c r="E15424" t="s">
        <v>8</v>
      </c>
      <c r="F15424" t="s">
        <v>15429</v>
      </c>
      <c r="G15424">
        <v>1</v>
      </c>
    </row>
    <row r="15425" spans="1:7" x14ac:dyDescent="0.25">
      <c r="A15425">
        <v>43</v>
      </c>
      <c r="B15425" t="s">
        <v>15374</v>
      </c>
      <c r="C15425">
        <v>20660</v>
      </c>
      <c r="D15425" t="str">
        <f>"1932-6254"</f>
        <v>1932-6254</v>
      </c>
      <c r="E15425" t="s">
        <v>8</v>
      </c>
      <c r="F15425" t="s">
        <v>15430</v>
      </c>
      <c r="G15425">
        <v>1</v>
      </c>
    </row>
    <row r="15426" spans="1:7" x14ac:dyDescent="0.25">
      <c r="A15426">
        <v>43</v>
      </c>
      <c r="B15426" t="s">
        <v>15374</v>
      </c>
      <c r="C15426">
        <v>156024</v>
      </c>
      <c r="D15426" t="str">
        <f>"1392-8716"</f>
        <v>1392-8716</v>
      </c>
      <c r="E15426" t="s">
        <v>8</v>
      </c>
      <c r="F15426" t="s">
        <v>15431</v>
      </c>
      <c r="G15426">
        <v>1</v>
      </c>
    </row>
    <row r="15427" spans="1:7" x14ac:dyDescent="0.25">
      <c r="A15427">
        <v>43</v>
      </c>
      <c r="B15427" t="s">
        <v>15374</v>
      </c>
      <c r="C15427">
        <v>8420</v>
      </c>
      <c r="D15427" t="str">
        <f>"0140-0118"</f>
        <v>0140-0118</v>
      </c>
      <c r="E15427" t="s">
        <v>8</v>
      </c>
      <c r="F15427" t="s">
        <v>15432</v>
      </c>
      <c r="G15427">
        <v>1</v>
      </c>
    </row>
    <row r="15428" spans="1:7" x14ac:dyDescent="0.25">
      <c r="A15428">
        <v>43</v>
      </c>
      <c r="B15428" t="s">
        <v>15374</v>
      </c>
      <c r="C15428">
        <v>14631</v>
      </c>
      <c r="D15428" t="str">
        <f>"1350-4533"</f>
        <v>1350-4533</v>
      </c>
      <c r="E15428" t="s">
        <v>8</v>
      </c>
      <c r="F15428" t="s">
        <v>15433</v>
      </c>
      <c r="G15428">
        <v>1</v>
      </c>
    </row>
    <row r="15429" spans="1:7" x14ac:dyDescent="0.25">
      <c r="A15429">
        <v>43</v>
      </c>
      <c r="B15429" t="s">
        <v>15374</v>
      </c>
      <c r="C15429">
        <v>17814</v>
      </c>
      <c r="E15429" t="s">
        <v>8</v>
      </c>
      <c r="F15429" t="s">
        <v>15434</v>
      </c>
      <c r="G15429">
        <v>1</v>
      </c>
    </row>
    <row r="15430" spans="1:7" x14ac:dyDescent="0.25">
      <c r="A15430">
        <v>43</v>
      </c>
      <c r="B15430" t="s">
        <v>15374</v>
      </c>
      <c r="C15430">
        <v>13703</v>
      </c>
      <c r="D15430" t="str">
        <f>"0147-8389"</f>
        <v>0147-8389</v>
      </c>
      <c r="E15430" t="s">
        <v>8</v>
      </c>
      <c r="F15430" t="s">
        <v>15435</v>
      </c>
      <c r="G15430">
        <v>1</v>
      </c>
    </row>
    <row r="15431" spans="1:7" x14ac:dyDescent="0.25">
      <c r="A15431">
        <v>43</v>
      </c>
      <c r="B15431" t="s">
        <v>15374</v>
      </c>
      <c r="C15431">
        <v>1347</v>
      </c>
      <c r="D15431" t="str">
        <f>"1079-7440"</f>
        <v>1079-7440</v>
      </c>
      <c r="E15431" t="s">
        <v>8</v>
      </c>
      <c r="F15431" t="s">
        <v>15436</v>
      </c>
      <c r="G15431">
        <v>1</v>
      </c>
    </row>
    <row r="15432" spans="1:7" x14ac:dyDescent="0.25">
      <c r="A15432">
        <v>43</v>
      </c>
      <c r="B15432" t="s">
        <v>15374</v>
      </c>
      <c r="C15432">
        <v>13611</v>
      </c>
      <c r="D15432" t="str">
        <f>"0031-9155"</f>
        <v>0031-9155</v>
      </c>
      <c r="E15432" t="s">
        <v>8</v>
      </c>
      <c r="F15432" t="s">
        <v>15437</v>
      </c>
      <c r="G15432">
        <v>1</v>
      </c>
    </row>
    <row r="15433" spans="1:7" x14ac:dyDescent="0.25">
      <c r="A15433">
        <v>43</v>
      </c>
      <c r="B15433" t="s">
        <v>15374</v>
      </c>
      <c r="C15433">
        <v>8783829</v>
      </c>
      <c r="E15433" t="s">
        <v>15</v>
      </c>
      <c r="F15433" t="s">
        <v>15438</v>
      </c>
      <c r="G15433">
        <v>1</v>
      </c>
    </row>
    <row r="15434" spans="1:7" x14ac:dyDescent="0.25">
      <c r="A15434">
        <v>43</v>
      </c>
      <c r="B15434" t="s">
        <v>15374</v>
      </c>
      <c r="C15434">
        <v>4546</v>
      </c>
      <c r="D15434" t="str">
        <f>"0954-4119"</f>
        <v>0954-4119</v>
      </c>
      <c r="E15434" t="s">
        <v>8</v>
      </c>
      <c r="F15434" t="s">
        <v>15439</v>
      </c>
      <c r="G15434">
        <v>1</v>
      </c>
    </row>
    <row r="15435" spans="1:7" x14ac:dyDescent="0.25">
      <c r="A15435">
        <v>43</v>
      </c>
      <c r="B15435" t="s">
        <v>15374</v>
      </c>
      <c r="C15435">
        <v>31583</v>
      </c>
      <c r="D15435" t="str">
        <f>"2375-7477"</f>
        <v>2375-7477</v>
      </c>
      <c r="E15435" t="s">
        <v>8</v>
      </c>
      <c r="F15435" t="s">
        <v>15440</v>
      </c>
      <c r="G15435">
        <v>1</v>
      </c>
    </row>
    <row r="15436" spans="1:7" x14ac:dyDescent="0.25">
      <c r="A15436">
        <v>43</v>
      </c>
      <c r="B15436" t="s">
        <v>15374</v>
      </c>
      <c r="C15436">
        <v>97463</v>
      </c>
      <c r="D15436" t="str">
        <f>"1605-7422"</f>
        <v>1605-7422</v>
      </c>
      <c r="E15436" t="s">
        <v>8</v>
      </c>
      <c r="F15436" t="s">
        <v>15441</v>
      </c>
      <c r="G15436">
        <v>1</v>
      </c>
    </row>
    <row r="15437" spans="1:7" x14ac:dyDescent="0.25">
      <c r="A15437">
        <v>43</v>
      </c>
      <c r="B15437" t="s">
        <v>15374</v>
      </c>
      <c r="C15437">
        <v>18086</v>
      </c>
      <c r="D15437" t="str">
        <f>"1746-0751"</f>
        <v>1746-0751</v>
      </c>
      <c r="E15437" t="s">
        <v>8</v>
      </c>
      <c r="F15437" t="s">
        <v>15442</v>
      </c>
      <c r="G15437">
        <v>1</v>
      </c>
    </row>
    <row r="15438" spans="1:7" x14ac:dyDescent="0.25">
      <c r="A15438">
        <v>43</v>
      </c>
      <c r="B15438" t="s">
        <v>15374</v>
      </c>
      <c r="C15438">
        <v>11836</v>
      </c>
      <c r="D15438" t="str">
        <f>"1569-190X"</f>
        <v>1569-190X</v>
      </c>
      <c r="E15438" t="s">
        <v>8</v>
      </c>
      <c r="F15438" t="s">
        <v>15443</v>
      </c>
      <c r="G15438">
        <v>1</v>
      </c>
    </row>
    <row r="15439" spans="1:7" x14ac:dyDescent="0.25">
      <c r="A15439">
        <v>43</v>
      </c>
      <c r="B15439" t="s">
        <v>15374</v>
      </c>
      <c r="C15439">
        <v>9157</v>
      </c>
      <c r="D15439" t="str">
        <f>"0926-9630"</f>
        <v>0926-9630</v>
      </c>
      <c r="E15439" t="s">
        <v>15</v>
      </c>
      <c r="F15439" t="s">
        <v>15444</v>
      </c>
      <c r="G15439">
        <v>1</v>
      </c>
    </row>
    <row r="15440" spans="1:7" x14ac:dyDescent="0.25">
      <c r="A15440">
        <v>43</v>
      </c>
      <c r="B15440" t="s">
        <v>15374</v>
      </c>
      <c r="C15440">
        <v>26335</v>
      </c>
      <c r="D15440" t="str">
        <f>"1066-9817"</f>
        <v>1066-9817</v>
      </c>
      <c r="E15440" t="s">
        <v>8</v>
      </c>
      <c r="F15440" t="s">
        <v>15445</v>
      </c>
      <c r="G15440">
        <v>1</v>
      </c>
    </row>
    <row r="15441" spans="1:7" x14ac:dyDescent="0.25">
      <c r="A15441">
        <v>43</v>
      </c>
      <c r="B15441" t="s">
        <v>15374</v>
      </c>
      <c r="C15441">
        <v>11528</v>
      </c>
      <c r="D15441" t="str">
        <f>"0968-0160"</f>
        <v>0968-0160</v>
      </c>
      <c r="E15441" t="s">
        <v>8</v>
      </c>
      <c r="F15441" t="s">
        <v>15446</v>
      </c>
      <c r="G15441">
        <v>1</v>
      </c>
    </row>
    <row r="15442" spans="1:7" x14ac:dyDescent="0.25">
      <c r="A15442">
        <v>43</v>
      </c>
      <c r="B15442" t="s">
        <v>15374</v>
      </c>
      <c r="C15442">
        <v>8782722</v>
      </c>
      <c r="D15442" t="str">
        <f>" 2379-1381"</f>
        <v xml:space="preserve"> 2379-1381</v>
      </c>
      <c r="E15442" t="s">
        <v>8</v>
      </c>
      <c r="F15442" t="s">
        <v>15447</v>
      </c>
      <c r="G15442">
        <v>1</v>
      </c>
    </row>
    <row r="15443" spans="1:7" x14ac:dyDescent="0.25">
      <c r="A15443">
        <v>45</v>
      </c>
      <c r="B15443" t="s">
        <v>15448</v>
      </c>
      <c r="C15443">
        <v>80911</v>
      </c>
      <c r="D15443" t="str">
        <f>"1745-2007"</f>
        <v>1745-2007</v>
      </c>
      <c r="E15443" t="s">
        <v>8</v>
      </c>
      <c r="F15443" t="s">
        <v>15449</v>
      </c>
      <c r="G15443">
        <v>2</v>
      </c>
    </row>
    <row r="15444" spans="1:7" x14ac:dyDescent="0.25">
      <c r="A15444">
        <v>45</v>
      </c>
      <c r="B15444" t="s">
        <v>15448</v>
      </c>
      <c r="C15444">
        <v>9459</v>
      </c>
      <c r="D15444" t="str">
        <f>"0961-3218"</f>
        <v>0961-3218</v>
      </c>
      <c r="E15444" t="s">
        <v>8</v>
      </c>
      <c r="F15444" t="s">
        <v>15450</v>
      </c>
      <c r="G15444">
        <v>2</v>
      </c>
    </row>
    <row r="15445" spans="1:7" x14ac:dyDescent="0.25">
      <c r="A15445">
        <v>45</v>
      </c>
      <c r="B15445" t="s">
        <v>15448</v>
      </c>
      <c r="C15445">
        <v>15745</v>
      </c>
      <c r="D15445" t="str">
        <f>"0166-3615"</f>
        <v>0166-3615</v>
      </c>
      <c r="E15445" t="s">
        <v>8</v>
      </c>
      <c r="F15445" t="s">
        <v>15451</v>
      </c>
      <c r="G15445">
        <v>2</v>
      </c>
    </row>
    <row r="15446" spans="1:7" x14ac:dyDescent="0.25">
      <c r="A15446">
        <v>45</v>
      </c>
      <c r="B15446" t="s">
        <v>15448</v>
      </c>
      <c r="C15446">
        <v>10723</v>
      </c>
      <c r="D15446" t="str">
        <f>"1063-293X"</f>
        <v>1063-293X</v>
      </c>
      <c r="E15446" t="s">
        <v>8</v>
      </c>
      <c r="F15446" t="s">
        <v>15452</v>
      </c>
      <c r="G15446">
        <v>2</v>
      </c>
    </row>
    <row r="15447" spans="1:7" x14ac:dyDescent="0.25">
      <c r="A15447">
        <v>45</v>
      </c>
      <c r="B15447" t="s">
        <v>15448</v>
      </c>
      <c r="C15447">
        <v>7695106</v>
      </c>
      <c r="D15447" t="str">
        <f>"2204-9029"</f>
        <v>2204-9029</v>
      </c>
      <c r="E15447" t="s">
        <v>8</v>
      </c>
      <c r="F15447" t="s">
        <v>15453</v>
      </c>
      <c r="G15447">
        <v>2</v>
      </c>
    </row>
    <row r="15448" spans="1:7" x14ac:dyDescent="0.25">
      <c r="A15448">
        <v>45</v>
      </c>
      <c r="B15448" t="s">
        <v>15448</v>
      </c>
      <c r="C15448">
        <v>7835</v>
      </c>
      <c r="D15448" t="str">
        <f>"1471-4175"</f>
        <v>1471-4175</v>
      </c>
      <c r="E15448" t="s">
        <v>8</v>
      </c>
      <c r="F15448" t="s">
        <v>15454</v>
      </c>
      <c r="G15448">
        <v>2</v>
      </c>
    </row>
    <row r="15449" spans="1:7" x14ac:dyDescent="0.25">
      <c r="A15449">
        <v>45</v>
      </c>
      <c r="B15449" t="s">
        <v>15448</v>
      </c>
      <c r="C15449">
        <v>3064</v>
      </c>
      <c r="D15449" t="str">
        <f>"0144-6193"</f>
        <v>0144-6193</v>
      </c>
      <c r="E15449" t="s">
        <v>8</v>
      </c>
      <c r="F15449" t="s">
        <v>15455</v>
      </c>
      <c r="G15449">
        <v>2</v>
      </c>
    </row>
    <row r="15450" spans="1:7" x14ac:dyDescent="0.25">
      <c r="A15450">
        <v>45</v>
      </c>
      <c r="B15450" t="s">
        <v>15448</v>
      </c>
      <c r="C15450">
        <v>15350</v>
      </c>
      <c r="D15450" t="str">
        <f>"0963-1690"</f>
        <v>0963-1690</v>
      </c>
      <c r="E15450" t="s">
        <v>8</v>
      </c>
      <c r="F15450" t="s">
        <v>15456</v>
      </c>
      <c r="G15450">
        <v>2</v>
      </c>
    </row>
    <row r="15451" spans="1:7" x14ac:dyDescent="0.25">
      <c r="A15451">
        <v>45</v>
      </c>
      <c r="B15451" t="s">
        <v>15448</v>
      </c>
      <c r="C15451">
        <v>1496</v>
      </c>
      <c r="D15451" t="str">
        <f>"0969-9988"</f>
        <v>0969-9988</v>
      </c>
      <c r="E15451" t="s">
        <v>8</v>
      </c>
      <c r="F15451" t="s">
        <v>15457</v>
      </c>
      <c r="G15451">
        <v>2</v>
      </c>
    </row>
    <row r="15452" spans="1:7" x14ac:dyDescent="0.25">
      <c r="A15452">
        <v>45</v>
      </c>
      <c r="B15452" t="s">
        <v>15448</v>
      </c>
      <c r="C15452">
        <v>8447</v>
      </c>
      <c r="D15452" t="str">
        <f>"0957-4174"</f>
        <v>0957-4174</v>
      </c>
      <c r="E15452" t="s">
        <v>8</v>
      </c>
      <c r="F15452" t="s">
        <v>15458</v>
      </c>
      <c r="G15452">
        <v>2</v>
      </c>
    </row>
    <row r="15453" spans="1:7" x14ac:dyDescent="0.25">
      <c r="A15453">
        <v>45</v>
      </c>
      <c r="B15453" t="s">
        <v>15448</v>
      </c>
      <c r="C15453">
        <v>15054</v>
      </c>
      <c r="D15453" t="str">
        <f>"1090-8471"</f>
        <v>1090-8471</v>
      </c>
      <c r="E15453" t="s">
        <v>8</v>
      </c>
      <c r="F15453" t="s">
        <v>15459</v>
      </c>
      <c r="G15453">
        <v>2</v>
      </c>
    </row>
    <row r="15454" spans="1:7" x14ac:dyDescent="0.25">
      <c r="A15454">
        <v>45</v>
      </c>
      <c r="B15454" t="s">
        <v>15448</v>
      </c>
      <c r="C15454">
        <v>2240</v>
      </c>
      <c r="D15454" t="str">
        <f>"1368-2156"</f>
        <v>1368-2156</v>
      </c>
      <c r="E15454" t="s">
        <v>8</v>
      </c>
      <c r="F15454" t="s">
        <v>15460</v>
      </c>
      <c r="G15454">
        <v>2</v>
      </c>
    </row>
    <row r="15455" spans="1:7" x14ac:dyDescent="0.25">
      <c r="A15455">
        <v>45</v>
      </c>
      <c r="B15455" t="s">
        <v>15448</v>
      </c>
      <c r="C15455">
        <v>14758</v>
      </c>
      <c r="D15455" t="str">
        <f>"0144-3577"</f>
        <v>0144-3577</v>
      </c>
      <c r="E15455" t="s">
        <v>8</v>
      </c>
      <c r="F15455" t="s">
        <v>15461</v>
      </c>
      <c r="G15455">
        <v>2</v>
      </c>
    </row>
    <row r="15456" spans="1:7" x14ac:dyDescent="0.25">
      <c r="A15456">
        <v>45</v>
      </c>
      <c r="B15456" t="s">
        <v>15448</v>
      </c>
      <c r="C15456">
        <v>9931</v>
      </c>
      <c r="D15456" t="str">
        <f>"0925-5273"</f>
        <v>0925-5273</v>
      </c>
      <c r="E15456" t="s">
        <v>8</v>
      </c>
      <c r="F15456" t="s">
        <v>15462</v>
      </c>
      <c r="G15456">
        <v>2</v>
      </c>
    </row>
    <row r="15457" spans="1:7" x14ac:dyDescent="0.25">
      <c r="A15457">
        <v>45</v>
      </c>
      <c r="B15457" t="s">
        <v>15448</v>
      </c>
      <c r="C15457">
        <v>14719</v>
      </c>
      <c r="D15457" t="str">
        <f>"0263-7863"</f>
        <v>0263-7863</v>
      </c>
      <c r="E15457" t="s">
        <v>8</v>
      </c>
      <c r="F15457" t="s">
        <v>15463</v>
      </c>
      <c r="G15457">
        <v>2</v>
      </c>
    </row>
    <row r="15458" spans="1:7" x14ac:dyDescent="0.25">
      <c r="A15458">
        <v>45</v>
      </c>
      <c r="B15458" t="s">
        <v>15448</v>
      </c>
      <c r="C15458">
        <v>8727</v>
      </c>
      <c r="D15458" t="str">
        <f>"0267-5730"</f>
        <v>0267-5730</v>
      </c>
      <c r="E15458" t="s">
        <v>8</v>
      </c>
      <c r="F15458" t="s">
        <v>15464</v>
      </c>
      <c r="G15458">
        <v>2</v>
      </c>
    </row>
    <row r="15459" spans="1:7" x14ac:dyDescent="0.25">
      <c r="A15459">
        <v>45</v>
      </c>
      <c r="B15459" t="s">
        <v>15448</v>
      </c>
      <c r="C15459">
        <v>1969</v>
      </c>
      <c r="D15459" t="str">
        <f>"0959-6526"</f>
        <v>0959-6526</v>
      </c>
      <c r="E15459" t="s">
        <v>8</v>
      </c>
      <c r="F15459" t="s">
        <v>15465</v>
      </c>
      <c r="G15459">
        <v>2</v>
      </c>
    </row>
    <row r="15460" spans="1:7" x14ac:dyDescent="0.25">
      <c r="A15460">
        <v>45</v>
      </c>
      <c r="B15460" t="s">
        <v>15448</v>
      </c>
      <c r="C15460">
        <v>4194</v>
      </c>
      <c r="D15460" t="str">
        <f>"0733-9364"</f>
        <v>0733-9364</v>
      </c>
      <c r="E15460" t="s">
        <v>8</v>
      </c>
      <c r="F15460" t="s">
        <v>15466</v>
      </c>
      <c r="G15460">
        <v>2</v>
      </c>
    </row>
    <row r="15461" spans="1:7" x14ac:dyDescent="0.25">
      <c r="A15461">
        <v>45</v>
      </c>
      <c r="B15461" t="s">
        <v>15448</v>
      </c>
      <c r="C15461">
        <v>13634</v>
      </c>
      <c r="D15461" t="str">
        <f>"0954-4828"</f>
        <v>0954-4828</v>
      </c>
      <c r="E15461" t="s">
        <v>8</v>
      </c>
      <c r="F15461" t="s">
        <v>15467</v>
      </c>
      <c r="G15461">
        <v>2</v>
      </c>
    </row>
    <row r="15462" spans="1:7" x14ac:dyDescent="0.25">
      <c r="A15462">
        <v>45</v>
      </c>
      <c r="B15462" t="s">
        <v>15448</v>
      </c>
      <c r="C15462">
        <v>12956</v>
      </c>
      <c r="D15462" t="str">
        <f>"0742-597X"</f>
        <v>0742-597X</v>
      </c>
      <c r="E15462" t="s">
        <v>8</v>
      </c>
      <c r="F15462" t="s">
        <v>15468</v>
      </c>
      <c r="G15462">
        <v>2</v>
      </c>
    </row>
    <row r="15463" spans="1:7" x14ac:dyDescent="0.25">
      <c r="A15463">
        <v>45</v>
      </c>
      <c r="B15463" t="s">
        <v>15448</v>
      </c>
      <c r="C15463">
        <v>16624</v>
      </c>
      <c r="D15463" t="str">
        <f>"0278-6125"</f>
        <v>0278-6125</v>
      </c>
      <c r="E15463" t="s">
        <v>8</v>
      </c>
      <c r="F15463" t="s">
        <v>15469</v>
      </c>
      <c r="G15463">
        <v>2</v>
      </c>
    </row>
    <row r="15464" spans="1:7" x14ac:dyDescent="0.25">
      <c r="A15464">
        <v>45</v>
      </c>
      <c r="B15464" t="s">
        <v>15448</v>
      </c>
      <c r="C15464">
        <v>1957</v>
      </c>
      <c r="D15464" t="str">
        <f>"0022-4065"</f>
        <v>0022-4065</v>
      </c>
      <c r="E15464" t="s">
        <v>8</v>
      </c>
      <c r="F15464" t="s">
        <v>15470</v>
      </c>
      <c r="G15464">
        <v>2</v>
      </c>
    </row>
    <row r="15465" spans="1:7" x14ac:dyDescent="0.25">
      <c r="A15465">
        <v>45</v>
      </c>
      <c r="B15465" t="s">
        <v>15448</v>
      </c>
      <c r="C15465">
        <v>1275</v>
      </c>
      <c r="D15465" t="str">
        <f>"0892-9912"</f>
        <v>0892-9912</v>
      </c>
      <c r="E15465" t="s">
        <v>8</v>
      </c>
      <c r="F15465" t="s">
        <v>15471</v>
      </c>
      <c r="G15465">
        <v>2</v>
      </c>
    </row>
    <row r="15466" spans="1:7" x14ac:dyDescent="0.25">
      <c r="A15466">
        <v>45</v>
      </c>
      <c r="B15466" t="s">
        <v>15448</v>
      </c>
      <c r="C15466">
        <v>14684</v>
      </c>
      <c r="D15466" t="str">
        <f>"0749-5978"</f>
        <v>0749-5978</v>
      </c>
      <c r="E15466" t="s">
        <v>8</v>
      </c>
      <c r="F15466" t="s">
        <v>15472</v>
      </c>
      <c r="G15466">
        <v>2</v>
      </c>
    </row>
    <row r="15467" spans="1:7" x14ac:dyDescent="0.25">
      <c r="A15467">
        <v>45</v>
      </c>
      <c r="B15467" t="s">
        <v>15448</v>
      </c>
      <c r="C15467">
        <v>967</v>
      </c>
      <c r="D15467" t="str">
        <f>"1059-1478"</f>
        <v>1059-1478</v>
      </c>
      <c r="E15467" t="s">
        <v>8</v>
      </c>
      <c r="F15467" t="s">
        <v>15473</v>
      </c>
      <c r="G15467">
        <v>2</v>
      </c>
    </row>
    <row r="15468" spans="1:7" x14ac:dyDescent="0.25">
      <c r="A15468">
        <v>45</v>
      </c>
      <c r="B15468" t="s">
        <v>15448</v>
      </c>
      <c r="C15468">
        <v>2862</v>
      </c>
      <c r="D15468" t="str">
        <f>"8756-9728"</f>
        <v>8756-9728</v>
      </c>
      <c r="E15468" t="s">
        <v>8</v>
      </c>
      <c r="F15468" t="s">
        <v>15474</v>
      </c>
      <c r="G15468">
        <v>2</v>
      </c>
    </row>
    <row r="15469" spans="1:7" x14ac:dyDescent="0.25">
      <c r="A15469">
        <v>45</v>
      </c>
      <c r="B15469" t="s">
        <v>15448</v>
      </c>
      <c r="C15469">
        <v>1210</v>
      </c>
      <c r="D15469" t="str">
        <f>"0951-8320"</f>
        <v>0951-8320</v>
      </c>
      <c r="E15469" t="s">
        <v>8</v>
      </c>
      <c r="F15469" t="s">
        <v>15475</v>
      </c>
      <c r="G15469">
        <v>2</v>
      </c>
    </row>
    <row r="15470" spans="1:7" x14ac:dyDescent="0.25">
      <c r="A15470">
        <v>45</v>
      </c>
      <c r="B15470" t="s">
        <v>15448</v>
      </c>
      <c r="C15470">
        <v>11769</v>
      </c>
      <c r="D15470" t="str">
        <f>"0925-7535"</f>
        <v>0925-7535</v>
      </c>
      <c r="E15470" t="s">
        <v>8</v>
      </c>
      <c r="F15470" t="s">
        <v>15476</v>
      </c>
      <c r="G15470">
        <v>2</v>
      </c>
    </row>
    <row r="15471" spans="1:7" x14ac:dyDescent="0.25">
      <c r="A15471">
        <v>45</v>
      </c>
      <c r="B15471" t="s">
        <v>15448</v>
      </c>
      <c r="C15471">
        <v>5327</v>
      </c>
      <c r="D15471" t="str">
        <f>"1098-1241"</f>
        <v>1098-1241</v>
      </c>
      <c r="E15471" t="s">
        <v>8</v>
      </c>
      <c r="F15471" t="s">
        <v>15477</v>
      </c>
      <c r="G15471">
        <v>2</v>
      </c>
    </row>
    <row r="15472" spans="1:7" x14ac:dyDescent="0.25">
      <c r="A15472">
        <v>45</v>
      </c>
      <c r="B15472" t="s">
        <v>15448</v>
      </c>
      <c r="C15472">
        <v>3567</v>
      </c>
      <c r="D15472" t="str">
        <f>"0166-4972"</f>
        <v>0166-4972</v>
      </c>
      <c r="E15472" t="s">
        <v>8</v>
      </c>
      <c r="F15472" t="s">
        <v>15478</v>
      </c>
      <c r="G15472">
        <v>2</v>
      </c>
    </row>
    <row r="15473" spans="1:7" x14ac:dyDescent="0.25">
      <c r="A15473">
        <v>45</v>
      </c>
      <c r="B15473" t="s">
        <v>15448</v>
      </c>
      <c r="C15473">
        <v>125428</v>
      </c>
      <c r="D15473" t="str">
        <f>"1991-8763"</f>
        <v>1991-8763</v>
      </c>
      <c r="E15473" t="s">
        <v>8</v>
      </c>
      <c r="F15473" t="s">
        <v>15479</v>
      </c>
      <c r="G15473">
        <v>1</v>
      </c>
    </row>
    <row r="15474" spans="1:7" x14ac:dyDescent="0.25">
      <c r="A15474">
        <v>45</v>
      </c>
      <c r="B15474" t="s">
        <v>15448</v>
      </c>
      <c r="C15474">
        <v>15470</v>
      </c>
      <c r="D15474" t="str">
        <f>"0949-1775"</f>
        <v>0949-1775</v>
      </c>
      <c r="E15474" t="s">
        <v>8</v>
      </c>
      <c r="F15474" t="s">
        <v>15480</v>
      </c>
      <c r="G15474">
        <v>1</v>
      </c>
    </row>
    <row r="15475" spans="1:7" x14ac:dyDescent="0.25">
      <c r="A15475">
        <v>45</v>
      </c>
      <c r="B15475" t="s">
        <v>15448</v>
      </c>
      <c r="C15475">
        <v>8782503</v>
      </c>
      <c r="E15475" t="s">
        <v>2100</v>
      </c>
      <c r="F15475" t="s">
        <v>15481</v>
      </c>
      <c r="G15475">
        <v>1</v>
      </c>
    </row>
    <row r="15476" spans="1:7" x14ac:dyDescent="0.25">
      <c r="A15476">
        <v>45</v>
      </c>
      <c r="B15476" t="s">
        <v>15448</v>
      </c>
      <c r="C15476">
        <v>8782497</v>
      </c>
      <c r="E15476" t="s">
        <v>2100</v>
      </c>
      <c r="F15476" t="s">
        <v>15482</v>
      </c>
      <c r="G15476">
        <v>1</v>
      </c>
    </row>
    <row r="15477" spans="1:7" x14ac:dyDescent="0.25">
      <c r="A15477">
        <v>45</v>
      </c>
      <c r="B15477" t="s">
        <v>15448</v>
      </c>
      <c r="C15477">
        <v>156501</v>
      </c>
      <c r="E15477" t="s">
        <v>8</v>
      </c>
      <c r="F15477" t="s">
        <v>15483</v>
      </c>
      <c r="G15477">
        <v>1</v>
      </c>
    </row>
    <row r="15478" spans="1:7" x14ac:dyDescent="0.25">
      <c r="A15478">
        <v>45</v>
      </c>
      <c r="B15478" t="s">
        <v>15448</v>
      </c>
      <c r="C15478">
        <v>5020000</v>
      </c>
      <c r="E15478" t="s">
        <v>2100</v>
      </c>
      <c r="F15478" t="s">
        <v>15484</v>
      </c>
      <c r="G15478">
        <v>1</v>
      </c>
    </row>
    <row r="15479" spans="1:7" x14ac:dyDescent="0.25">
      <c r="A15479">
        <v>45</v>
      </c>
      <c r="B15479" t="s">
        <v>15448</v>
      </c>
      <c r="C15479">
        <v>11567</v>
      </c>
      <c r="D15479" t="str">
        <f>"0217-5959"</f>
        <v>0217-5959</v>
      </c>
      <c r="E15479" t="s">
        <v>8</v>
      </c>
      <c r="F15479" t="s">
        <v>15485</v>
      </c>
      <c r="G15479">
        <v>1</v>
      </c>
    </row>
    <row r="15480" spans="1:7" x14ac:dyDescent="0.25">
      <c r="A15480">
        <v>45</v>
      </c>
      <c r="B15480" t="s">
        <v>15448</v>
      </c>
      <c r="C15480">
        <v>27656</v>
      </c>
      <c r="D15480" t="str">
        <f>"1598-1347"</f>
        <v>1598-1347</v>
      </c>
      <c r="E15480" t="s">
        <v>8</v>
      </c>
      <c r="F15480" t="s">
        <v>15486</v>
      </c>
      <c r="G15480">
        <v>1</v>
      </c>
    </row>
    <row r="15481" spans="1:7" x14ac:dyDescent="0.25">
      <c r="A15481">
        <v>45</v>
      </c>
      <c r="B15481" t="s">
        <v>15448</v>
      </c>
      <c r="C15481">
        <v>8782685</v>
      </c>
      <c r="E15481" t="s">
        <v>2100</v>
      </c>
      <c r="F15481" t="s">
        <v>15487</v>
      </c>
      <c r="G15481">
        <v>1</v>
      </c>
    </row>
    <row r="15482" spans="1:7" x14ac:dyDescent="0.25">
      <c r="A15482">
        <v>45</v>
      </c>
      <c r="B15482" t="s">
        <v>15448</v>
      </c>
      <c r="C15482">
        <v>5020002</v>
      </c>
      <c r="E15482" t="s">
        <v>2100</v>
      </c>
      <c r="F15482" t="s">
        <v>15488</v>
      </c>
      <c r="G15482">
        <v>1</v>
      </c>
    </row>
    <row r="15483" spans="1:7" x14ac:dyDescent="0.25">
      <c r="A15483">
        <v>45</v>
      </c>
      <c r="B15483" t="s">
        <v>15448</v>
      </c>
      <c r="C15483">
        <v>7707529</v>
      </c>
      <c r="D15483" t="str">
        <f>"2044-124X"</f>
        <v>2044-124X</v>
      </c>
      <c r="E15483" t="s">
        <v>8</v>
      </c>
      <c r="F15483" t="s">
        <v>15489</v>
      </c>
      <c r="G15483">
        <v>1</v>
      </c>
    </row>
    <row r="15484" spans="1:7" x14ac:dyDescent="0.25">
      <c r="A15484">
        <v>45</v>
      </c>
      <c r="B15484" t="s">
        <v>15448</v>
      </c>
      <c r="C15484">
        <v>6845</v>
      </c>
      <c r="D15484" t="str">
        <f>"1463-7154"</f>
        <v>1463-7154</v>
      </c>
      <c r="E15484" t="s">
        <v>8</v>
      </c>
      <c r="F15484" t="s">
        <v>15490</v>
      </c>
      <c r="G15484">
        <v>1</v>
      </c>
    </row>
    <row r="15485" spans="1:7" x14ac:dyDescent="0.25">
      <c r="A15485">
        <v>45</v>
      </c>
      <c r="B15485" t="s">
        <v>15448</v>
      </c>
      <c r="C15485">
        <v>151953</v>
      </c>
      <c r="D15485" t="str">
        <f>"1492-9058"</f>
        <v>1492-9058</v>
      </c>
      <c r="E15485" t="s">
        <v>8</v>
      </c>
      <c r="F15485" t="s">
        <v>15491</v>
      </c>
      <c r="G15485">
        <v>1</v>
      </c>
    </row>
    <row r="15486" spans="1:7" x14ac:dyDescent="0.25">
      <c r="A15486">
        <v>45</v>
      </c>
      <c r="B15486" t="s">
        <v>15448</v>
      </c>
      <c r="C15486">
        <v>8783051</v>
      </c>
      <c r="E15486" t="s">
        <v>2100</v>
      </c>
      <c r="F15486" t="s">
        <v>15492</v>
      </c>
      <c r="G15486">
        <v>1</v>
      </c>
    </row>
    <row r="15487" spans="1:7" x14ac:dyDescent="0.25">
      <c r="A15487">
        <v>45</v>
      </c>
      <c r="B15487" t="s">
        <v>15448</v>
      </c>
      <c r="C15487">
        <v>156472</v>
      </c>
      <c r="E15487" t="s">
        <v>8</v>
      </c>
      <c r="F15487" t="s">
        <v>15493</v>
      </c>
      <c r="G15487">
        <v>1</v>
      </c>
    </row>
    <row r="15488" spans="1:7" x14ac:dyDescent="0.25">
      <c r="A15488">
        <v>45</v>
      </c>
      <c r="B15488" t="s">
        <v>15448</v>
      </c>
      <c r="C15488">
        <v>156471</v>
      </c>
      <c r="E15488" t="s">
        <v>8</v>
      </c>
      <c r="F15488" t="s">
        <v>15494</v>
      </c>
      <c r="G15488">
        <v>1</v>
      </c>
    </row>
    <row r="15489" spans="1:7" x14ac:dyDescent="0.25">
      <c r="A15489">
        <v>45</v>
      </c>
      <c r="B15489" t="s">
        <v>15448</v>
      </c>
      <c r="C15489">
        <v>156470</v>
      </c>
      <c r="E15489" t="s">
        <v>8</v>
      </c>
      <c r="F15489" t="s">
        <v>15495</v>
      </c>
      <c r="G15489">
        <v>1</v>
      </c>
    </row>
    <row r="15490" spans="1:7" x14ac:dyDescent="0.25">
      <c r="A15490">
        <v>45</v>
      </c>
      <c r="B15490" t="s">
        <v>15448</v>
      </c>
      <c r="C15490">
        <v>72827</v>
      </c>
      <c r="D15490" t="str">
        <f>"1755-5817"</f>
        <v>1755-5817</v>
      </c>
      <c r="E15490" t="s">
        <v>8</v>
      </c>
      <c r="F15490" t="s">
        <v>15496</v>
      </c>
      <c r="G15490">
        <v>1</v>
      </c>
    </row>
    <row r="15491" spans="1:7" x14ac:dyDescent="0.25">
      <c r="A15491">
        <v>45</v>
      </c>
      <c r="B15491" t="s">
        <v>15448</v>
      </c>
      <c r="C15491">
        <v>8783337</v>
      </c>
      <c r="D15491" t="str">
        <f>"2509-811X"</f>
        <v>2509-811X</v>
      </c>
      <c r="E15491" t="s">
        <v>8</v>
      </c>
      <c r="F15491" t="s">
        <v>15497</v>
      </c>
      <c r="G15491">
        <v>1</v>
      </c>
    </row>
    <row r="15492" spans="1:7" x14ac:dyDescent="0.25">
      <c r="A15492">
        <v>45</v>
      </c>
      <c r="B15492" t="s">
        <v>15448</v>
      </c>
      <c r="C15492">
        <v>8775963</v>
      </c>
      <c r="E15492" t="s">
        <v>8</v>
      </c>
      <c r="F15492" t="s">
        <v>15498</v>
      </c>
      <c r="G15492">
        <v>1</v>
      </c>
    </row>
    <row r="15493" spans="1:7" x14ac:dyDescent="0.25">
      <c r="A15493">
        <v>45</v>
      </c>
      <c r="B15493" t="s">
        <v>15448</v>
      </c>
      <c r="C15493">
        <v>16666</v>
      </c>
      <c r="D15493" t="str">
        <f>"0160-9327"</f>
        <v>0160-9327</v>
      </c>
      <c r="E15493" t="s">
        <v>8</v>
      </c>
      <c r="F15493" t="s">
        <v>15499</v>
      </c>
      <c r="G15493">
        <v>1</v>
      </c>
    </row>
    <row r="15494" spans="1:7" x14ac:dyDescent="0.25">
      <c r="A15494">
        <v>45</v>
      </c>
      <c r="B15494" t="s">
        <v>15448</v>
      </c>
      <c r="C15494">
        <v>10458</v>
      </c>
      <c r="D15494" t="str">
        <f>"1350-6307"</f>
        <v>1350-6307</v>
      </c>
      <c r="E15494" t="s">
        <v>8</v>
      </c>
      <c r="F15494" t="s">
        <v>15500</v>
      </c>
      <c r="G15494">
        <v>1</v>
      </c>
    </row>
    <row r="15495" spans="1:7" x14ac:dyDescent="0.25">
      <c r="A15495">
        <v>45</v>
      </c>
      <c r="B15495" t="s">
        <v>15448</v>
      </c>
      <c r="C15495">
        <v>14448</v>
      </c>
      <c r="D15495" t="str">
        <f>"1042-9247"</f>
        <v>1042-9247</v>
      </c>
      <c r="E15495" t="s">
        <v>8</v>
      </c>
      <c r="F15495" t="s">
        <v>15501</v>
      </c>
      <c r="G15495">
        <v>1</v>
      </c>
    </row>
    <row r="15496" spans="1:7" x14ac:dyDescent="0.25">
      <c r="A15496">
        <v>45</v>
      </c>
      <c r="B15496" t="s">
        <v>15448</v>
      </c>
      <c r="C15496">
        <v>8783046</v>
      </c>
      <c r="D15496" t="str">
        <f>"1993-1980"</f>
        <v>1993-1980</v>
      </c>
      <c r="E15496" t="s">
        <v>2100</v>
      </c>
      <c r="F15496" t="s">
        <v>15502</v>
      </c>
      <c r="G15496">
        <v>1</v>
      </c>
    </row>
    <row r="15497" spans="1:7" x14ac:dyDescent="0.25">
      <c r="A15497">
        <v>45</v>
      </c>
      <c r="B15497" t="s">
        <v>15448</v>
      </c>
      <c r="C15497">
        <v>8783171</v>
      </c>
      <c r="D15497" t="str">
        <f>"2049-1050"</f>
        <v>2049-1050</v>
      </c>
      <c r="E15497" t="s">
        <v>2100</v>
      </c>
      <c r="F15497" t="s">
        <v>15503</v>
      </c>
      <c r="G15497">
        <v>1</v>
      </c>
    </row>
    <row r="15498" spans="1:7" x14ac:dyDescent="0.25">
      <c r="A15498">
        <v>45</v>
      </c>
      <c r="B15498" t="s">
        <v>15448</v>
      </c>
      <c r="C15498">
        <v>2977</v>
      </c>
      <c r="D15498" t="str">
        <f>"1936-6582"</f>
        <v>1936-6582</v>
      </c>
      <c r="E15498" t="s">
        <v>8</v>
      </c>
      <c r="F15498" t="s">
        <v>15504</v>
      </c>
      <c r="G15498">
        <v>1</v>
      </c>
    </row>
    <row r="15499" spans="1:7" x14ac:dyDescent="0.25">
      <c r="A15499">
        <v>45</v>
      </c>
      <c r="B15499" t="s">
        <v>15448</v>
      </c>
      <c r="C15499">
        <v>13528</v>
      </c>
      <c r="D15499" t="str">
        <f>"0015-7899"</f>
        <v>0015-7899</v>
      </c>
      <c r="E15499" t="s">
        <v>8</v>
      </c>
      <c r="F15499" t="s">
        <v>15505</v>
      </c>
      <c r="G15499">
        <v>1</v>
      </c>
    </row>
    <row r="15500" spans="1:7" x14ac:dyDescent="0.25">
      <c r="A15500">
        <v>45</v>
      </c>
      <c r="B15500" t="s">
        <v>15448</v>
      </c>
      <c r="C15500">
        <v>8782836</v>
      </c>
      <c r="D15500" t="str">
        <f>"0142-5242"</f>
        <v>0142-5242</v>
      </c>
      <c r="E15500" t="s">
        <v>2100</v>
      </c>
      <c r="F15500" t="s">
        <v>10734</v>
      </c>
      <c r="G15500">
        <v>1</v>
      </c>
    </row>
    <row r="15501" spans="1:7" x14ac:dyDescent="0.25">
      <c r="A15501">
        <v>45</v>
      </c>
      <c r="B15501" t="s">
        <v>15448</v>
      </c>
      <c r="C15501">
        <v>8783010</v>
      </c>
      <c r="D15501" t="str">
        <f>"0307-0492"</f>
        <v>0307-0492</v>
      </c>
      <c r="E15501" t="s">
        <v>2100</v>
      </c>
      <c r="F15501" t="s">
        <v>15506</v>
      </c>
      <c r="G15501">
        <v>1</v>
      </c>
    </row>
    <row r="15502" spans="1:7" x14ac:dyDescent="0.25">
      <c r="A15502">
        <v>45</v>
      </c>
      <c r="B15502" t="s">
        <v>15448</v>
      </c>
      <c r="C15502">
        <v>7756743</v>
      </c>
      <c r="D15502" t="str">
        <f>"2053-3713"</f>
        <v>2053-3713</v>
      </c>
      <c r="E15502" t="s">
        <v>8</v>
      </c>
      <c r="F15502" t="s">
        <v>15507</v>
      </c>
      <c r="G15502">
        <v>1</v>
      </c>
    </row>
    <row r="15503" spans="1:7" x14ac:dyDescent="0.25">
      <c r="A15503">
        <v>45</v>
      </c>
      <c r="B15503" t="s">
        <v>15448</v>
      </c>
      <c r="C15503">
        <v>8782496</v>
      </c>
      <c r="E15503" t="s">
        <v>2100</v>
      </c>
      <c r="F15503" t="s">
        <v>15508</v>
      </c>
      <c r="G15503">
        <v>1</v>
      </c>
    </row>
    <row r="15504" spans="1:7" x14ac:dyDescent="0.25">
      <c r="A15504">
        <v>45</v>
      </c>
      <c r="B15504" t="s">
        <v>15448</v>
      </c>
      <c r="C15504">
        <v>3544</v>
      </c>
      <c r="D15504" t="str">
        <f>"1077-2618"</f>
        <v>1077-2618</v>
      </c>
      <c r="E15504" t="s">
        <v>8</v>
      </c>
      <c r="F15504" t="s">
        <v>15509</v>
      </c>
      <c r="G15504">
        <v>1</v>
      </c>
    </row>
    <row r="15505" spans="1:7" x14ac:dyDescent="0.25">
      <c r="A15505">
        <v>45</v>
      </c>
      <c r="B15505" t="s">
        <v>15448</v>
      </c>
      <c r="C15505">
        <v>8782856</v>
      </c>
      <c r="E15505" t="s">
        <v>2100</v>
      </c>
      <c r="F15505" t="s">
        <v>15510</v>
      </c>
      <c r="G15505">
        <v>1</v>
      </c>
    </row>
    <row r="15506" spans="1:7" x14ac:dyDescent="0.25">
      <c r="A15506">
        <v>45</v>
      </c>
      <c r="B15506" t="s">
        <v>15448</v>
      </c>
      <c r="C15506">
        <v>2807</v>
      </c>
      <c r="D15506" t="str">
        <f>"0278-6648"</f>
        <v>0278-6648</v>
      </c>
      <c r="E15506" t="s">
        <v>8</v>
      </c>
      <c r="F15506" t="s">
        <v>15511</v>
      </c>
      <c r="G15506">
        <v>1</v>
      </c>
    </row>
    <row r="15507" spans="1:7" x14ac:dyDescent="0.25">
      <c r="A15507">
        <v>45</v>
      </c>
      <c r="B15507" t="s">
        <v>15448</v>
      </c>
      <c r="C15507">
        <v>8782504</v>
      </c>
      <c r="E15507" t="s">
        <v>2100</v>
      </c>
      <c r="F15507" t="s">
        <v>15512</v>
      </c>
      <c r="G15507">
        <v>1</v>
      </c>
    </row>
    <row r="15508" spans="1:7" x14ac:dyDescent="0.25">
      <c r="A15508">
        <v>45</v>
      </c>
      <c r="B15508" t="s">
        <v>15448</v>
      </c>
      <c r="C15508">
        <v>8782475</v>
      </c>
      <c r="D15508" t="str">
        <f>"2377-3766"</f>
        <v>2377-3766</v>
      </c>
      <c r="E15508" t="s">
        <v>8</v>
      </c>
      <c r="F15508" t="s">
        <v>15513</v>
      </c>
      <c r="G15508">
        <v>1</v>
      </c>
    </row>
    <row r="15509" spans="1:7" x14ac:dyDescent="0.25">
      <c r="A15509">
        <v>45</v>
      </c>
      <c r="B15509" t="s">
        <v>15448</v>
      </c>
      <c r="C15509">
        <v>11537</v>
      </c>
      <c r="D15509" t="str">
        <f>"2168-2267"</f>
        <v>2168-2267</v>
      </c>
      <c r="E15509" t="s">
        <v>8</v>
      </c>
      <c r="F15509" t="s">
        <v>15514</v>
      </c>
      <c r="G15509">
        <v>1</v>
      </c>
    </row>
    <row r="15510" spans="1:7" x14ac:dyDescent="0.25">
      <c r="A15510">
        <v>45</v>
      </c>
      <c r="B15510" t="s">
        <v>15448</v>
      </c>
      <c r="C15510">
        <v>8782476</v>
      </c>
      <c r="D15510" t="str">
        <f>"1939-1412"</f>
        <v>1939-1412</v>
      </c>
      <c r="E15510" t="s">
        <v>8</v>
      </c>
      <c r="F15510" t="s">
        <v>15515</v>
      </c>
      <c r="G15510">
        <v>1</v>
      </c>
    </row>
    <row r="15511" spans="1:7" x14ac:dyDescent="0.25">
      <c r="A15511">
        <v>45</v>
      </c>
      <c r="B15511" t="s">
        <v>15448</v>
      </c>
      <c r="C15511">
        <v>14164</v>
      </c>
      <c r="D15511" t="str">
        <f>"2168-2291"</f>
        <v>2168-2291</v>
      </c>
      <c r="E15511" t="s">
        <v>8</v>
      </c>
      <c r="F15511" t="s">
        <v>15516</v>
      </c>
      <c r="G15511">
        <v>1</v>
      </c>
    </row>
    <row r="15512" spans="1:7" x14ac:dyDescent="0.25">
      <c r="A15512">
        <v>45</v>
      </c>
      <c r="B15512" t="s">
        <v>15448</v>
      </c>
      <c r="C15512">
        <v>14020</v>
      </c>
      <c r="D15512" t="str">
        <f>"2168-2216"</f>
        <v>2168-2216</v>
      </c>
      <c r="E15512" t="s">
        <v>8</v>
      </c>
      <c r="F15512" t="s">
        <v>15517</v>
      </c>
      <c r="G15512">
        <v>1</v>
      </c>
    </row>
    <row r="15513" spans="1:7" x14ac:dyDescent="0.25">
      <c r="A15513">
        <v>45</v>
      </c>
      <c r="B15513" t="s">
        <v>15448</v>
      </c>
      <c r="C15513">
        <v>9970</v>
      </c>
      <c r="D15513" t="str">
        <f>"0740-817X"</f>
        <v>0740-817X</v>
      </c>
      <c r="E15513" t="s">
        <v>8</v>
      </c>
      <c r="F15513" t="s">
        <v>15518</v>
      </c>
      <c r="G15513">
        <v>1</v>
      </c>
    </row>
    <row r="15514" spans="1:7" x14ac:dyDescent="0.25">
      <c r="A15514">
        <v>45</v>
      </c>
      <c r="B15514" t="s">
        <v>15448</v>
      </c>
      <c r="C15514">
        <v>24706</v>
      </c>
      <c r="D15514" t="str">
        <f>"0019-7858"</f>
        <v>0019-7858</v>
      </c>
      <c r="E15514" t="s">
        <v>8</v>
      </c>
      <c r="F15514" t="s">
        <v>15519</v>
      </c>
      <c r="G15514">
        <v>1</v>
      </c>
    </row>
    <row r="15515" spans="1:7" x14ac:dyDescent="0.25">
      <c r="A15515">
        <v>45</v>
      </c>
      <c r="B15515" t="s">
        <v>15448</v>
      </c>
      <c r="C15515">
        <v>11703</v>
      </c>
      <c r="D15515" t="str">
        <f>"0315-5986"</f>
        <v>0315-5986</v>
      </c>
      <c r="E15515" t="s">
        <v>8</v>
      </c>
      <c r="F15515" t="s">
        <v>15520</v>
      </c>
      <c r="G15515">
        <v>1</v>
      </c>
    </row>
    <row r="15516" spans="1:7" x14ac:dyDescent="0.25">
      <c r="A15516">
        <v>45</v>
      </c>
      <c r="B15516" t="s">
        <v>15448</v>
      </c>
      <c r="C15516">
        <v>10437</v>
      </c>
      <c r="D15516" t="str">
        <f>"0020-4412"</f>
        <v>0020-4412</v>
      </c>
      <c r="E15516" t="s">
        <v>8</v>
      </c>
      <c r="F15516" t="s">
        <v>15521</v>
      </c>
      <c r="G15516">
        <v>1</v>
      </c>
    </row>
    <row r="15517" spans="1:7" x14ac:dyDescent="0.25">
      <c r="A15517">
        <v>45</v>
      </c>
      <c r="B15517" t="s">
        <v>15448</v>
      </c>
      <c r="C15517">
        <v>154205</v>
      </c>
      <c r="D15517" t="str">
        <f>"1750-8975"</f>
        <v>1750-8975</v>
      </c>
      <c r="E15517" t="s">
        <v>8</v>
      </c>
      <c r="F15517" t="s">
        <v>15522</v>
      </c>
      <c r="G15517">
        <v>1</v>
      </c>
    </row>
    <row r="15518" spans="1:7" x14ac:dyDescent="0.25">
      <c r="A15518">
        <v>45</v>
      </c>
      <c r="B15518" t="s">
        <v>15448</v>
      </c>
      <c r="C15518">
        <v>5010029</v>
      </c>
      <c r="E15518" t="s">
        <v>2100</v>
      </c>
      <c r="F15518" t="s">
        <v>15523</v>
      </c>
      <c r="G15518">
        <v>1</v>
      </c>
    </row>
    <row r="15519" spans="1:7" x14ac:dyDescent="0.25">
      <c r="A15519">
        <v>45</v>
      </c>
      <c r="B15519" t="s">
        <v>15448</v>
      </c>
      <c r="C15519">
        <v>8782855</v>
      </c>
      <c r="E15519" t="s">
        <v>2100</v>
      </c>
      <c r="F15519" t="s">
        <v>15524</v>
      </c>
      <c r="G15519">
        <v>1</v>
      </c>
    </row>
    <row r="15520" spans="1:7" x14ac:dyDescent="0.25">
      <c r="A15520">
        <v>45</v>
      </c>
      <c r="B15520" t="s">
        <v>15448</v>
      </c>
      <c r="C15520">
        <v>5020031</v>
      </c>
      <c r="E15520" t="s">
        <v>2100</v>
      </c>
      <c r="F15520" t="s">
        <v>15525</v>
      </c>
      <c r="G15520">
        <v>1</v>
      </c>
    </row>
    <row r="15521" spans="1:7" x14ac:dyDescent="0.25">
      <c r="A15521">
        <v>45</v>
      </c>
      <c r="B15521" t="s">
        <v>15448</v>
      </c>
      <c r="C15521">
        <v>5020032</v>
      </c>
      <c r="E15521" t="s">
        <v>2100</v>
      </c>
      <c r="F15521" t="s">
        <v>15526</v>
      </c>
      <c r="G15521">
        <v>1</v>
      </c>
    </row>
    <row r="15522" spans="1:7" x14ac:dyDescent="0.25">
      <c r="A15522">
        <v>45</v>
      </c>
      <c r="B15522" t="s">
        <v>15448</v>
      </c>
      <c r="C15522">
        <v>5020037</v>
      </c>
      <c r="E15522" t="s">
        <v>2100</v>
      </c>
      <c r="F15522" t="s">
        <v>15527</v>
      </c>
      <c r="G15522">
        <v>1</v>
      </c>
    </row>
    <row r="15523" spans="1:7" x14ac:dyDescent="0.25">
      <c r="A15523">
        <v>45</v>
      </c>
      <c r="B15523" t="s">
        <v>15448</v>
      </c>
      <c r="C15523">
        <v>5020043</v>
      </c>
      <c r="E15523" t="s">
        <v>2100</v>
      </c>
      <c r="F15523" t="s">
        <v>15528</v>
      </c>
      <c r="G15523">
        <v>1</v>
      </c>
    </row>
    <row r="15524" spans="1:7" x14ac:dyDescent="0.25">
      <c r="A15524">
        <v>45</v>
      </c>
      <c r="B15524" t="s">
        <v>15448</v>
      </c>
      <c r="C15524">
        <v>8782854</v>
      </c>
      <c r="D15524" t="str">
        <f>"2161-1890"</f>
        <v>2161-1890</v>
      </c>
      <c r="E15524" t="s">
        <v>2100</v>
      </c>
      <c r="F15524" t="s">
        <v>15529</v>
      </c>
      <c r="G15524">
        <v>1</v>
      </c>
    </row>
    <row r="15525" spans="1:7" x14ac:dyDescent="0.25">
      <c r="A15525">
        <v>45</v>
      </c>
      <c r="B15525" t="s">
        <v>15448</v>
      </c>
      <c r="C15525">
        <v>5020050</v>
      </c>
      <c r="E15525" t="s">
        <v>2100</v>
      </c>
      <c r="F15525" t="s">
        <v>15530</v>
      </c>
      <c r="G15525">
        <v>1</v>
      </c>
    </row>
    <row r="15526" spans="1:7" x14ac:dyDescent="0.25">
      <c r="A15526">
        <v>45</v>
      </c>
      <c r="B15526" t="s">
        <v>15448</v>
      </c>
      <c r="C15526">
        <v>16815</v>
      </c>
      <c r="D15526" t="str">
        <f>"1550-2287"</f>
        <v>1550-2287</v>
      </c>
      <c r="E15526" t="s">
        <v>8</v>
      </c>
      <c r="F15526" t="s">
        <v>15531</v>
      </c>
      <c r="G15526">
        <v>1</v>
      </c>
    </row>
    <row r="15527" spans="1:7" x14ac:dyDescent="0.25">
      <c r="A15527">
        <v>45</v>
      </c>
      <c r="B15527" t="s">
        <v>15448</v>
      </c>
      <c r="C15527">
        <v>6520</v>
      </c>
      <c r="D15527" t="str">
        <f>"1358-8265"</f>
        <v>1358-8265</v>
      </c>
      <c r="E15527" t="s">
        <v>8</v>
      </c>
      <c r="F15527" t="s">
        <v>15532</v>
      </c>
      <c r="G15527">
        <v>1</v>
      </c>
    </row>
    <row r="15528" spans="1:7" x14ac:dyDescent="0.25">
      <c r="A15528">
        <v>45</v>
      </c>
      <c r="B15528" t="s">
        <v>15448</v>
      </c>
      <c r="C15528">
        <v>17970</v>
      </c>
      <c r="D15528" t="str">
        <f>"0219-8436"</f>
        <v>0219-8436</v>
      </c>
      <c r="E15528" t="s">
        <v>8</v>
      </c>
      <c r="F15528" t="s">
        <v>15533</v>
      </c>
      <c r="G15528">
        <v>1</v>
      </c>
    </row>
    <row r="15529" spans="1:7" x14ac:dyDescent="0.25">
      <c r="A15529">
        <v>45</v>
      </c>
      <c r="B15529" t="s">
        <v>15448</v>
      </c>
      <c r="C15529">
        <v>8052</v>
      </c>
      <c r="D15529" t="str">
        <f>"1477-5360"</f>
        <v>1477-5360</v>
      </c>
      <c r="E15529" t="s">
        <v>8</v>
      </c>
      <c r="F15529" t="s">
        <v>15534</v>
      </c>
      <c r="G15529">
        <v>1</v>
      </c>
    </row>
    <row r="15530" spans="1:7" x14ac:dyDescent="0.25">
      <c r="A15530">
        <v>45</v>
      </c>
      <c r="B15530" t="s">
        <v>15448</v>
      </c>
      <c r="C15530">
        <v>25368</v>
      </c>
      <c r="D15530" t="str">
        <f>"1751-6048"</f>
        <v>1751-6048</v>
      </c>
      <c r="E15530" t="s">
        <v>8</v>
      </c>
      <c r="F15530" t="s">
        <v>15535</v>
      </c>
      <c r="G15530">
        <v>1</v>
      </c>
    </row>
    <row r="15531" spans="1:7" x14ac:dyDescent="0.25">
      <c r="A15531">
        <v>45</v>
      </c>
      <c r="B15531" t="s">
        <v>15448</v>
      </c>
      <c r="C15531">
        <v>408</v>
      </c>
      <c r="D15531" t="str">
        <f>"1327-2314"</f>
        <v>1327-2314</v>
      </c>
      <c r="E15531" t="s">
        <v>8</v>
      </c>
      <c r="F15531" t="s">
        <v>15536</v>
      </c>
      <c r="G15531">
        <v>1</v>
      </c>
    </row>
    <row r="15532" spans="1:7" x14ac:dyDescent="0.25">
      <c r="A15532">
        <v>45</v>
      </c>
      <c r="B15532" t="s">
        <v>15448</v>
      </c>
      <c r="C15532">
        <v>6158027</v>
      </c>
      <c r="D15532" t="str">
        <f>"1756-1450"</f>
        <v>1756-1450</v>
      </c>
      <c r="E15532" t="s">
        <v>8</v>
      </c>
      <c r="F15532" t="s">
        <v>15537</v>
      </c>
      <c r="G15532">
        <v>1</v>
      </c>
    </row>
    <row r="15533" spans="1:7" x14ac:dyDescent="0.25">
      <c r="A15533">
        <v>45</v>
      </c>
      <c r="B15533" t="s">
        <v>15448</v>
      </c>
      <c r="C15533">
        <v>2497</v>
      </c>
      <c r="D15533" t="str">
        <f>"0973-1318"</f>
        <v>0973-1318</v>
      </c>
      <c r="E15533" t="s">
        <v>8</v>
      </c>
      <c r="F15533" t="s">
        <v>15538</v>
      </c>
      <c r="G15533">
        <v>1</v>
      </c>
    </row>
    <row r="15534" spans="1:7" x14ac:dyDescent="0.25">
      <c r="A15534">
        <v>45</v>
      </c>
      <c r="B15534" t="s">
        <v>15448</v>
      </c>
      <c r="C15534">
        <v>57</v>
      </c>
      <c r="D15534" t="str">
        <f>"0218-5393"</f>
        <v>0218-5393</v>
      </c>
      <c r="E15534" t="s">
        <v>8</v>
      </c>
      <c r="F15534" t="s">
        <v>15539</v>
      </c>
      <c r="G15534">
        <v>1</v>
      </c>
    </row>
    <row r="15535" spans="1:7" x14ac:dyDescent="0.25">
      <c r="A15535">
        <v>45</v>
      </c>
      <c r="B15535" t="s">
        <v>15448</v>
      </c>
      <c r="C15535">
        <v>25394</v>
      </c>
      <c r="D15535" t="str">
        <f>"1744-2370"</f>
        <v>1744-2370</v>
      </c>
      <c r="E15535" t="s">
        <v>8</v>
      </c>
      <c r="F15535" t="s">
        <v>15540</v>
      </c>
      <c r="G15535">
        <v>1</v>
      </c>
    </row>
    <row r="15536" spans="1:7" x14ac:dyDescent="0.25">
      <c r="A15536">
        <v>45</v>
      </c>
      <c r="B15536" t="s">
        <v>15448</v>
      </c>
      <c r="C15536">
        <v>299</v>
      </c>
      <c r="D15536" t="str">
        <f>"1740-8849"</f>
        <v>1740-8849</v>
      </c>
      <c r="E15536" t="s">
        <v>8</v>
      </c>
      <c r="F15536" t="s">
        <v>15541</v>
      </c>
      <c r="G15536">
        <v>1</v>
      </c>
    </row>
    <row r="15537" spans="1:7" x14ac:dyDescent="0.25">
      <c r="A15537">
        <v>45</v>
      </c>
      <c r="B15537" t="s">
        <v>15448</v>
      </c>
      <c r="C15537">
        <v>8289</v>
      </c>
      <c r="D15537" t="str">
        <f>"1741-539X"</f>
        <v>1741-539X</v>
      </c>
      <c r="E15537" t="s">
        <v>8</v>
      </c>
      <c r="F15537" t="s">
        <v>15542</v>
      </c>
      <c r="G15537">
        <v>1</v>
      </c>
    </row>
    <row r="15538" spans="1:7" x14ac:dyDescent="0.25">
      <c r="A15538">
        <v>45</v>
      </c>
      <c r="B15538" t="s">
        <v>15448</v>
      </c>
      <c r="C15538">
        <v>2613</v>
      </c>
      <c r="D15538" t="str">
        <f>"1460-6720"</f>
        <v>1460-6720</v>
      </c>
      <c r="E15538" t="s">
        <v>8</v>
      </c>
      <c r="F15538" t="s">
        <v>15543</v>
      </c>
      <c r="G15538">
        <v>1</v>
      </c>
    </row>
    <row r="15539" spans="1:7" x14ac:dyDescent="0.25">
      <c r="A15539">
        <v>45</v>
      </c>
      <c r="B15539" t="s">
        <v>15448</v>
      </c>
      <c r="C15539">
        <v>107591</v>
      </c>
      <c r="D15539" t="str">
        <f>"1939-7038"</f>
        <v>1939-7038</v>
      </c>
      <c r="E15539" t="s">
        <v>8</v>
      </c>
      <c r="F15539" t="s">
        <v>15544</v>
      </c>
      <c r="G15539">
        <v>1</v>
      </c>
    </row>
    <row r="15540" spans="1:7" x14ac:dyDescent="0.25">
      <c r="A15540">
        <v>45</v>
      </c>
      <c r="B15540" t="s">
        <v>15448</v>
      </c>
      <c r="C15540">
        <v>6035</v>
      </c>
      <c r="D15540" t="str">
        <f>"0020-7721"</f>
        <v>0020-7721</v>
      </c>
      <c r="E15540" t="s">
        <v>8</v>
      </c>
      <c r="F15540" t="s">
        <v>15545</v>
      </c>
      <c r="G15540">
        <v>1</v>
      </c>
    </row>
    <row r="15541" spans="1:7" x14ac:dyDescent="0.25">
      <c r="A15541">
        <v>45</v>
      </c>
      <c r="B15541" t="s">
        <v>15448</v>
      </c>
      <c r="C15541">
        <v>19933</v>
      </c>
      <c r="D15541" t="str">
        <f>"1740-2832"</f>
        <v>1740-2832</v>
      </c>
      <c r="E15541" t="s">
        <v>8</v>
      </c>
      <c r="F15541" t="s">
        <v>15546</v>
      </c>
      <c r="G15541">
        <v>1</v>
      </c>
    </row>
    <row r="15542" spans="1:7" x14ac:dyDescent="0.25">
      <c r="A15542">
        <v>45</v>
      </c>
      <c r="B15542" t="s">
        <v>15448</v>
      </c>
      <c r="C15542">
        <v>8783158</v>
      </c>
      <c r="E15542" t="s">
        <v>2100</v>
      </c>
      <c r="F15542" t="s">
        <v>15547</v>
      </c>
      <c r="G15542">
        <v>1</v>
      </c>
    </row>
    <row r="15543" spans="1:7" x14ac:dyDescent="0.25">
      <c r="A15543">
        <v>45</v>
      </c>
      <c r="B15543" t="s">
        <v>15448</v>
      </c>
      <c r="C15543">
        <v>17668</v>
      </c>
      <c r="D15543" t="str">
        <f>"1028-6276"</f>
        <v>1028-6276</v>
      </c>
      <c r="E15543" t="s">
        <v>8</v>
      </c>
      <c r="F15543" t="s">
        <v>15548</v>
      </c>
      <c r="G15543">
        <v>1</v>
      </c>
    </row>
    <row r="15544" spans="1:7" x14ac:dyDescent="0.25">
      <c r="A15544">
        <v>45</v>
      </c>
      <c r="B15544" t="s">
        <v>15448</v>
      </c>
      <c r="C15544">
        <v>11416</v>
      </c>
      <c r="D15544" t="str">
        <f>"0019-0578"</f>
        <v>0019-0578</v>
      </c>
      <c r="E15544" t="s">
        <v>8</v>
      </c>
      <c r="F15544" t="s">
        <v>15549</v>
      </c>
      <c r="G15544">
        <v>1</v>
      </c>
    </row>
    <row r="15545" spans="1:7" x14ac:dyDescent="0.25">
      <c r="A15545">
        <v>45</v>
      </c>
      <c r="B15545" t="s">
        <v>15448</v>
      </c>
      <c r="C15545">
        <v>5029</v>
      </c>
      <c r="D15545" t="str">
        <f>"0748-5492"</f>
        <v>0748-5492</v>
      </c>
      <c r="E15545" t="s">
        <v>8</v>
      </c>
      <c r="F15545" t="s">
        <v>15550</v>
      </c>
      <c r="G15545">
        <v>1</v>
      </c>
    </row>
    <row r="15546" spans="1:7" x14ac:dyDescent="0.25">
      <c r="A15546">
        <v>45</v>
      </c>
      <c r="B15546" t="s">
        <v>15448</v>
      </c>
      <c r="C15546">
        <v>16603</v>
      </c>
      <c r="D15546" t="str">
        <f>"0270-5214"</f>
        <v>0270-5214</v>
      </c>
      <c r="E15546" t="s">
        <v>8</v>
      </c>
      <c r="F15546" t="s">
        <v>15551</v>
      </c>
      <c r="G15546">
        <v>1</v>
      </c>
    </row>
    <row r="15547" spans="1:7" x14ac:dyDescent="0.25">
      <c r="A15547">
        <v>45</v>
      </c>
      <c r="B15547" t="s">
        <v>15448</v>
      </c>
      <c r="C15547">
        <v>53281</v>
      </c>
      <c r="D15547" t="str">
        <f>"1941-191X"</f>
        <v>1941-191X</v>
      </c>
      <c r="E15547" t="s">
        <v>8</v>
      </c>
      <c r="F15547" t="s">
        <v>15552</v>
      </c>
      <c r="G15547">
        <v>1</v>
      </c>
    </row>
    <row r="15548" spans="1:7" x14ac:dyDescent="0.25">
      <c r="A15548">
        <v>45</v>
      </c>
      <c r="B15548" t="s">
        <v>15448</v>
      </c>
      <c r="C15548">
        <v>18269</v>
      </c>
      <c r="D15548" t="str">
        <f>"1529-7713"</f>
        <v>1529-7713</v>
      </c>
      <c r="E15548" t="s">
        <v>8</v>
      </c>
      <c r="F15548" t="s">
        <v>15553</v>
      </c>
      <c r="G15548">
        <v>1</v>
      </c>
    </row>
    <row r="15549" spans="1:7" x14ac:dyDescent="0.25">
      <c r="A15549">
        <v>45</v>
      </c>
      <c r="B15549" t="s">
        <v>15448</v>
      </c>
      <c r="C15549">
        <v>2288</v>
      </c>
      <c r="D15549" t="str">
        <f>"0747-9964"</f>
        <v>0747-9964</v>
      </c>
      <c r="E15549" t="s">
        <v>8</v>
      </c>
      <c r="F15549" t="s">
        <v>15554</v>
      </c>
      <c r="G15549">
        <v>1</v>
      </c>
    </row>
    <row r="15550" spans="1:7" x14ac:dyDescent="0.25">
      <c r="A15550">
        <v>45</v>
      </c>
      <c r="B15550" t="s">
        <v>15448</v>
      </c>
      <c r="C15550">
        <v>104681</v>
      </c>
      <c r="D15550" t="str">
        <f>"1726-0531"</f>
        <v>1726-0531</v>
      </c>
      <c r="E15550" t="s">
        <v>8</v>
      </c>
      <c r="F15550" t="s">
        <v>15555</v>
      </c>
      <c r="G15550">
        <v>1</v>
      </c>
    </row>
    <row r="15551" spans="1:7" x14ac:dyDescent="0.25">
      <c r="A15551">
        <v>45</v>
      </c>
      <c r="B15551" t="s">
        <v>15448</v>
      </c>
      <c r="C15551">
        <v>6169289</v>
      </c>
      <c r="D15551" t="str">
        <f>"2166-6768"</f>
        <v>2166-6768</v>
      </c>
      <c r="E15551" t="s">
        <v>8</v>
      </c>
      <c r="F15551" t="s">
        <v>15556</v>
      </c>
      <c r="G15551">
        <v>1</v>
      </c>
    </row>
    <row r="15552" spans="1:7" x14ac:dyDescent="0.25">
      <c r="A15552">
        <v>45</v>
      </c>
      <c r="B15552" t="s">
        <v>15448</v>
      </c>
      <c r="C15552">
        <v>7071</v>
      </c>
      <c r="D15552" t="str">
        <f>"1472-5967"</f>
        <v>1472-5967</v>
      </c>
      <c r="E15552" t="s">
        <v>8</v>
      </c>
      <c r="F15552" t="s">
        <v>15557</v>
      </c>
      <c r="G15552">
        <v>1</v>
      </c>
    </row>
    <row r="15553" spans="1:7" x14ac:dyDescent="0.25">
      <c r="A15553">
        <v>45</v>
      </c>
      <c r="B15553" t="s">
        <v>15448</v>
      </c>
      <c r="C15553">
        <v>21647</v>
      </c>
      <c r="D15553" t="str">
        <f>"1547-7029"</f>
        <v>1547-7029</v>
      </c>
      <c r="E15553" t="s">
        <v>8</v>
      </c>
      <c r="F15553" t="s">
        <v>15558</v>
      </c>
      <c r="G15553">
        <v>1</v>
      </c>
    </row>
    <row r="15554" spans="1:7" x14ac:dyDescent="0.25">
      <c r="A15554">
        <v>45</v>
      </c>
      <c r="B15554" t="s">
        <v>15448</v>
      </c>
      <c r="C15554">
        <v>17076</v>
      </c>
      <c r="D15554" t="str">
        <f>"2194-6361"</f>
        <v>2194-6361</v>
      </c>
      <c r="E15554" t="s">
        <v>8</v>
      </c>
      <c r="F15554" t="s">
        <v>15559</v>
      </c>
      <c r="G15554">
        <v>1</v>
      </c>
    </row>
    <row r="15555" spans="1:7" x14ac:dyDescent="0.25">
      <c r="A15555">
        <v>45</v>
      </c>
      <c r="B15555" t="s">
        <v>15448</v>
      </c>
      <c r="C15555">
        <v>10014</v>
      </c>
      <c r="E15555" t="s">
        <v>8</v>
      </c>
      <c r="F15555" t="s">
        <v>15560</v>
      </c>
      <c r="G15555">
        <v>1</v>
      </c>
    </row>
    <row r="15556" spans="1:7" x14ac:dyDescent="0.25">
      <c r="A15556">
        <v>45</v>
      </c>
      <c r="B15556" t="s">
        <v>15448</v>
      </c>
      <c r="C15556">
        <v>8783336</v>
      </c>
      <c r="D15556" t="str">
        <f>"2530-7614"</f>
        <v>2530-7614</v>
      </c>
      <c r="E15556" t="s">
        <v>8</v>
      </c>
      <c r="F15556" t="s">
        <v>15561</v>
      </c>
      <c r="G15556">
        <v>1</v>
      </c>
    </row>
    <row r="15557" spans="1:7" x14ac:dyDescent="0.25">
      <c r="A15557">
        <v>45</v>
      </c>
      <c r="B15557" t="s">
        <v>15448</v>
      </c>
      <c r="C15557">
        <v>3999</v>
      </c>
      <c r="D15557" t="str">
        <f>"0950-4230"</f>
        <v>0950-4230</v>
      </c>
      <c r="E15557" t="s">
        <v>8</v>
      </c>
      <c r="F15557" t="s">
        <v>15562</v>
      </c>
      <c r="G15557">
        <v>1</v>
      </c>
    </row>
    <row r="15558" spans="1:7" x14ac:dyDescent="0.25">
      <c r="A15558">
        <v>45</v>
      </c>
      <c r="B15558" t="s">
        <v>15448</v>
      </c>
      <c r="C15558">
        <v>8782474</v>
      </c>
      <c r="D15558" t="str">
        <f>"2317-3963"</f>
        <v>2317-3963</v>
      </c>
      <c r="E15558" t="s">
        <v>8</v>
      </c>
      <c r="F15558" t="s">
        <v>15563</v>
      </c>
      <c r="G15558">
        <v>1</v>
      </c>
    </row>
    <row r="15559" spans="1:7" x14ac:dyDescent="0.25">
      <c r="A15559">
        <v>45</v>
      </c>
      <c r="B15559" t="s">
        <v>15448</v>
      </c>
      <c r="C15559">
        <v>13771</v>
      </c>
      <c r="D15559" t="str">
        <f>"1355-2511"</f>
        <v>1355-2511</v>
      </c>
      <c r="E15559" t="s">
        <v>8</v>
      </c>
      <c r="F15559" t="s">
        <v>15564</v>
      </c>
      <c r="G15559">
        <v>1</v>
      </c>
    </row>
    <row r="15560" spans="1:7" x14ac:dyDescent="0.25">
      <c r="A15560">
        <v>45</v>
      </c>
      <c r="B15560" t="s">
        <v>15448</v>
      </c>
      <c r="C15560">
        <v>19189</v>
      </c>
      <c r="D15560" t="str">
        <f>"1861-8200"</f>
        <v>1861-8200</v>
      </c>
      <c r="E15560" t="s">
        <v>8</v>
      </c>
      <c r="F15560" t="s">
        <v>15565</v>
      </c>
      <c r="G15560">
        <v>1</v>
      </c>
    </row>
    <row r="15561" spans="1:7" x14ac:dyDescent="0.25">
      <c r="A15561">
        <v>45</v>
      </c>
      <c r="B15561" t="s">
        <v>15448</v>
      </c>
      <c r="C15561">
        <v>7047</v>
      </c>
      <c r="D15561" t="str">
        <f>"1044-677X"</f>
        <v>1044-677X</v>
      </c>
      <c r="E15561" t="s">
        <v>8</v>
      </c>
      <c r="F15561" t="s">
        <v>15566</v>
      </c>
      <c r="G15561">
        <v>1</v>
      </c>
    </row>
    <row r="15562" spans="1:7" x14ac:dyDescent="0.25">
      <c r="A15562">
        <v>45</v>
      </c>
      <c r="B15562" t="s">
        <v>15448</v>
      </c>
      <c r="C15562">
        <v>10094</v>
      </c>
      <c r="D15562" t="str">
        <f>"0022-4456"</f>
        <v>0022-4456</v>
      </c>
      <c r="E15562" t="s">
        <v>8</v>
      </c>
      <c r="F15562" t="s">
        <v>15567</v>
      </c>
      <c r="G15562">
        <v>1</v>
      </c>
    </row>
    <row r="15563" spans="1:7" x14ac:dyDescent="0.25">
      <c r="A15563">
        <v>45</v>
      </c>
      <c r="B15563" t="s">
        <v>15448</v>
      </c>
      <c r="C15563">
        <v>2437</v>
      </c>
      <c r="D15563" t="str">
        <f>"0453-4514"</f>
        <v>0453-4514</v>
      </c>
      <c r="E15563" t="s">
        <v>8</v>
      </c>
      <c r="F15563" t="s">
        <v>15568</v>
      </c>
      <c r="G15563">
        <v>1</v>
      </c>
    </row>
    <row r="15564" spans="1:7" x14ac:dyDescent="0.25">
      <c r="A15564">
        <v>45</v>
      </c>
      <c r="B15564" t="s">
        <v>15448</v>
      </c>
      <c r="C15564">
        <v>102591</v>
      </c>
      <c r="D15564" t="str">
        <f>"1931-3357"</f>
        <v>1931-3357</v>
      </c>
      <c r="E15564" t="s">
        <v>8</v>
      </c>
      <c r="F15564" t="s">
        <v>15569</v>
      </c>
      <c r="G15564">
        <v>1</v>
      </c>
    </row>
    <row r="15565" spans="1:7" x14ac:dyDescent="0.25">
      <c r="A15565">
        <v>45</v>
      </c>
      <c r="B15565" t="s">
        <v>15448</v>
      </c>
      <c r="C15565">
        <v>14749</v>
      </c>
      <c r="D15565" t="str">
        <f>"1344-7653"</f>
        <v>1344-7653</v>
      </c>
      <c r="E15565" t="s">
        <v>8</v>
      </c>
      <c r="F15565" t="s">
        <v>15570</v>
      </c>
      <c r="G15565">
        <v>1</v>
      </c>
    </row>
    <row r="15566" spans="1:7" x14ac:dyDescent="0.25">
      <c r="A15566">
        <v>45</v>
      </c>
      <c r="B15566" t="s">
        <v>15448</v>
      </c>
      <c r="C15566">
        <v>65001</v>
      </c>
      <c r="E15566" t="s">
        <v>8</v>
      </c>
      <c r="F15566" t="s">
        <v>15571</v>
      </c>
      <c r="G15566">
        <v>1</v>
      </c>
    </row>
    <row r="15567" spans="1:7" x14ac:dyDescent="0.25">
      <c r="A15567">
        <v>45</v>
      </c>
      <c r="B15567" t="s">
        <v>15448</v>
      </c>
      <c r="C15567">
        <v>8782858</v>
      </c>
      <c r="D15567" t="str">
        <f>"2367-3370"</f>
        <v>2367-3370</v>
      </c>
      <c r="E15567" t="s">
        <v>15</v>
      </c>
      <c r="F15567" t="s">
        <v>15572</v>
      </c>
      <c r="G15567">
        <v>1</v>
      </c>
    </row>
    <row r="15568" spans="1:7" x14ac:dyDescent="0.25">
      <c r="A15568">
        <v>45</v>
      </c>
      <c r="B15568" t="s">
        <v>15448</v>
      </c>
      <c r="C15568">
        <v>7094</v>
      </c>
      <c r="D15568" t="str">
        <f>"1091-0344"</f>
        <v>1091-0344</v>
      </c>
      <c r="E15568" t="s">
        <v>8</v>
      </c>
      <c r="F15568" t="s">
        <v>15573</v>
      </c>
      <c r="G15568">
        <v>1</v>
      </c>
    </row>
    <row r="15569" spans="1:7" x14ac:dyDescent="0.25">
      <c r="A15569">
        <v>45</v>
      </c>
      <c r="B15569" t="s">
        <v>15448</v>
      </c>
      <c r="C15569">
        <v>12318</v>
      </c>
      <c r="D15569" t="str">
        <f>"0361-0853"</f>
        <v>0361-0853</v>
      </c>
      <c r="E15569" t="s">
        <v>8</v>
      </c>
      <c r="F15569" t="s">
        <v>15574</v>
      </c>
      <c r="G15569">
        <v>1</v>
      </c>
    </row>
    <row r="15570" spans="1:7" x14ac:dyDescent="0.25">
      <c r="A15570">
        <v>45</v>
      </c>
      <c r="B15570" t="s">
        <v>15448</v>
      </c>
      <c r="C15570">
        <v>8761426</v>
      </c>
      <c r="D15570" t="str">
        <f>"2213-8463"</f>
        <v>2213-8463</v>
      </c>
      <c r="E15570" t="s">
        <v>8</v>
      </c>
      <c r="F15570" t="s">
        <v>15575</v>
      </c>
      <c r="G15570">
        <v>1</v>
      </c>
    </row>
    <row r="15571" spans="1:7" x14ac:dyDescent="0.25">
      <c r="A15571">
        <v>45</v>
      </c>
      <c r="B15571" t="s">
        <v>15448</v>
      </c>
      <c r="C15571">
        <v>1910</v>
      </c>
      <c r="D15571" t="str">
        <f>"1042-6914"</f>
        <v>1042-6914</v>
      </c>
      <c r="E15571" t="s">
        <v>8</v>
      </c>
      <c r="F15571" t="s">
        <v>15576</v>
      </c>
      <c r="G15571">
        <v>1</v>
      </c>
    </row>
    <row r="15572" spans="1:7" x14ac:dyDescent="0.25">
      <c r="A15572">
        <v>45</v>
      </c>
      <c r="B15572" t="s">
        <v>15448</v>
      </c>
      <c r="C15572">
        <v>4951</v>
      </c>
      <c r="D15572" t="str">
        <f>"0263-2241"</f>
        <v>0263-2241</v>
      </c>
      <c r="E15572" t="s">
        <v>8</v>
      </c>
      <c r="F15572" t="s">
        <v>4714</v>
      </c>
      <c r="G15572">
        <v>1</v>
      </c>
    </row>
    <row r="15573" spans="1:7" x14ac:dyDescent="0.25">
      <c r="A15573">
        <v>45</v>
      </c>
      <c r="B15573" t="s">
        <v>15448</v>
      </c>
      <c r="C15573">
        <v>4349</v>
      </c>
      <c r="D15573" t="str">
        <f>"0543-1972"</f>
        <v>0543-1972</v>
      </c>
      <c r="E15573" t="s">
        <v>8</v>
      </c>
      <c r="F15573" t="s">
        <v>15577</v>
      </c>
      <c r="G15573">
        <v>1</v>
      </c>
    </row>
    <row r="15574" spans="1:7" x14ac:dyDescent="0.25">
      <c r="A15574">
        <v>45</v>
      </c>
      <c r="B15574" t="s">
        <v>15448</v>
      </c>
      <c r="C15574">
        <v>15142</v>
      </c>
      <c r="D15574" t="str">
        <f>"0938-0108"</f>
        <v>0938-0108</v>
      </c>
      <c r="E15574" t="s">
        <v>8</v>
      </c>
      <c r="F15574" t="s">
        <v>15578</v>
      </c>
      <c r="G15574">
        <v>1</v>
      </c>
    </row>
    <row r="15575" spans="1:7" x14ac:dyDescent="0.25">
      <c r="A15575">
        <v>45</v>
      </c>
      <c r="B15575" t="s">
        <v>15448</v>
      </c>
      <c r="C15575">
        <v>11610</v>
      </c>
      <c r="D15575" t="str">
        <f>"1099-274X"</f>
        <v>1099-274X</v>
      </c>
      <c r="E15575" t="s">
        <v>8</v>
      </c>
      <c r="F15575" t="s">
        <v>15579</v>
      </c>
      <c r="G15575">
        <v>1</v>
      </c>
    </row>
    <row r="15576" spans="1:7" x14ac:dyDescent="0.25">
      <c r="A15576">
        <v>45</v>
      </c>
      <c r="B15576" t="s">
        <v>15448</v>
      </c>
      <c r="C15576">
        <v>354</v>
      </c>
      <c r="D15576" t="str">
        <f>"0894-069X"</f>
        <v>0894-069X</v>
      </c>
      <c r="E15576" t="s">
        <v>8</v>
      </c>
      <c r="F15576" t="s">
        <v>15580</v>
      </c>
      <c r="G15576">
        <v>1</v>
      </c>
    </row>
    <row r="15577" spans="1:7" x14ac:dyDescent="0.25">
      <c r="A15577">
        <v>45</v>
      </c>
      <c r="B15577" t="s">
        <v>15448</v>
      </c>
      <c r="C15577">
        <v>7461</v>
      </c>
      <c r="D15577" t="str">
        <f>"0736-2501"</f>
        <v>0736-2501</v>
      </c>
      <c r="E15577" t="s">
        <v>8</v>
      </c>
      <c r="F15577" t="s">
        <v>15581</v>
      </c>
      <c r="G15577">
        <v>1</v>
      </c>
    </row>
    <row r="15578" spans="1:7" x14ac:dyDescent="0.25">
      <c r="A15578">
        <v>45</v>
      </c>
      <c r="B15578" t="s">
        <v>15448</v>
      </c>
      <c r="C15578">
        <v>7440</v>
      </c>
      <c r="D15578" t="str">
        <f>"1058-9759"</f>
        <v>1058-9759</v>
      </c>
      <c r="E15578" t="s">
        <v>8</v>
      </c>
      <c r="F15578" t="s">
        <v>15582</v>
      </c>
      <c r="G15578">
        <v>1</v>
      </c>
    </row>
    <row r="15579" spans="1:7" x14ac:dyDescent="0.25">
      <c r="A15579">
        <v>45</v>
      </c>
      <c r="B15579" t="s">
        <v>15448</v>
      </c>
      <c r="C15579">
        <v>17425</v>
      </c>
      <c r="D15579" t="str">
        <f>"0168-2601"</f>
        <v>0168-2601</v>
      </c>
      <c r="E15579" t="s">
        <v>8</v>
      </c>
      <c r="F15579" t="s">
        <v>15583</v>
      </c>
      <c r="G15579">
        <v>1</v>
      </c>
    </row>
    <row r="15580" spans="1:7" x14ac:dyDescent="0.25">
      <c r="A15580">
        <v>45</v>
      </c>
      <c r="B15580" t="s">
        <v>15448</v>
      </c>
      <c r="C15580">
        <v>10186</v>
      </c>
      <c r="D15580" t="str">
        <f>"0233-1934"</f>
        <v>0233-1934</v>
      </c>
      <c r="E15580" t="s">
        <v>8</v>
      </c>
      <c r="F15580" t="s">
        <v>15584</v>
      </c>
      <c r="G15580">
        <v>1</v>
      </c>
    </row>
    <row r="15581" spans="1:7" x14ac:dyDescent="0.25">
      <c r="A15581">
        <v>45</v>
      </c>
      <c r="B15581" t="s">
        <v>15448</v>
      </c>
      <c r="C15581">
        <v>285</v>
      </c>
      <c r="D15581" t="str">
        <f>"1055-6788"</f>
        <v>1055-6788</v>
      </c>
      <c r="E15581" t="s">
        <v>8</v>
      </c>
      <c r="F15581" t="s">
        <v>15585</v>
      </c>
      <c r="G15581">
        <v>1</v>
      </c>
    </row>
    <row r="15582" spans="1:7" x14ac:dyDescent="0.25">
      <c r="A15582">
        <v>45</v>
      </c>
      <c r="B15582" t="s">
        <v>15448</v>
      </c>
      <c r="C15582">
        <v>6047</v>
      </c>
      <c r="D15582" t="str">
        <f>"0141-6359"</f>
        <v>0141-6359</v>
      </c>
      <c r="E15582" t="s">
        <v>8</v>
      </c>
      <c r="F15582" t="s">
        <v>15586</v>
      </c>
      <c r="G15582">
        <v>1</v>
      </c>
    </row>
    <row r="15583" spans="1:7" x14ac:dyDescent="0.25">
      <c r="A15583">
        <v>45</v>
      </c>
      <c r="B15583" t="s">
        <v>15448</v>
      </c>
      <c r="C15583">
        <v>7740346</v>
      </c>
      <c r="E15583" t="s">
        <v>8</v>
      </c>
      <c r="F15583" t="s">
        <v>15587</v>
      </c>
      <c r="G15583">
        <v>1</v>
      </c>
    </row>
    <row r="15584" spans="1:7" x14ac:dyDescent="0.25">
      <c r="A15584">
        <v>45</v>
      </c>
      <c r="B15584" t="s">
        <v>15448</v>
      </c>
      <c r="C15584">
        <v>7755873</v>
      </c>
      <c r="D15584" t="str">
        <f>"2212-5671"</f>
        <v>2212-5671</v>
      </c>
      <c r="E15584" t="s">
        <v>8</v>
      </c>
      <c r="F15584" t="s">
        <v>15588</v>
      </c>
      <c r="G15584">
        <v>1</v>
      </c>
    </row>
    <row r="15585" spans="1:7" x14ac:dyDescent="0.25">
      <c r="A15585">
        <v>45</v>
      </c>
      <c r="B15585" t="s">
        <v>15448</v>
      </c>
      <c r="C15585">
        <v>3532</v>
      </c>
      <c r="D15585" t="str">
        <f>"0176-3377"</f>
        <v>0176-3377</v>
      </c>
      <c r="E15585" t="s">
        <v>8</v>
      </c>
      <c r="F15585" t="s">
        <v>15589</v>
      </c>
      <c r="G15585">
        <v>1</v>
      </c>
    </row>
    <row r="15586" spans="1:7" x14ac:dyDescent="0.25">
      <c r="A15586">
        <v>45</v>
      </c>
      <c r="B15586" t="s">
        <v>15448</v>
      </c>
      <c r="C15586">
        <v>156498</v>
      </c>
      <c r="E15586" t="s">
        <v>15</v>
      </c>
      <c r="F15586" t="s">
        <v>15590</v>
      </c>
      <c r="G15586">
        <v>1</v>
      </c>
    </row>
    <row r="15587" spans="1:7" x14ac:dyDescent="0.25">
      <c r="A15587">
        <v>45</v>
      </c>
      <c r="B15587" t="s">
        <v>15448</v>
      </c>
      <c r="C15587">
        <v>7547</v>
      </c>
      <c r="D15587" t="str">
        <f>"2150-5500"</f>
        <v>2150-5500</v>
      </c>
      <c r="E15587" t="s">
        <v>15</v>
      </c>
      <c r="F15587" t="s">
        <v>15591</v>
      </c>
      <c r="G15587">
        <v>1</v>
      </c>
    </row>
    <row r="15588" spans="1:7" x14ac:dyDescent="0.25">
      <c r="A15588">
        <v>45</v>
      </c>
      <c r="B15588" t="s">
        <v>15448</v>
      </c>
      <c r="C15588">
        <v>4547</v>
      </c>
      <c r="D15588" t="str">
        <f>"1748-006X"</f>
        <v>1748-006X</v>
      </c>
      <c r="E15588" t="s">
        <v>8</v>
      </c>
      <c r="F15588" t="s">
        <v>15592</v>
      </c>
      <c r="G15588">
        <v>1</v>
      </c>
    </row>
    <row r="15589" spans="1:7" x14ac:dyDescent="0.25">
      <c r="A15589">
        <v>45</v>
      </c>
      <c r="B15589" t="s">
        <v>15448</v>
      </c>
      <c r="C15589">
        <v>8782502</v>
      </c>
      <c r="D15589" t="str">
        <f>"2220-4342"</f>
        <v>2220-4342</v>
      </c>
      <c r="E15589" t="s">
        <v>15</v>
      </c>
      <c r="F15589" t="s">
        <v>15593</v>
      </c>
      <c r="G15589">
        <v>1</v>
      </c>
    </row>
    <row r="15590" spans="1:7" x14ac:dyDescent="0.25">
      <c r="A15590">
        <v>45</v>
      </c>
      <c r="B15590" t="s">
        <v>15448</v>
      </c>
      <c r="C15590">
        <v>156502</v>
      </c>
      <c r="E15590" t="s">
        <v>15</v>
      </c>
      <c r="F15590" t="s">
        <v>15594</v>
      </c>
      <c r="G15590">
        <v>1</v>
      </c>
    </row>
    <row r="15591" spans="1:7" x14ac:dyDescent="0.25">
      <c r="A15591">
        <v>45</v>
      </c>
      <c r="B15591" t="s">
        <v>15448</v>
      </c>
      <c r="C15591">
        <v>11238</v>
      </c>
      <c r="D15591" t="str">
        <f>"0149-144X"</f>
        <v>0149-144X</v>
      </c>
      <c r="E15591" t="s">
        <v>8</v>
      </c>
      <c r="F15591" t="s">
        <v>15595</v>
      </c>
      <c r="G15591">
        <v>1</v>
      </c>
    </row>
    <row r="15592" spans="1:7" x14ac:dyDescent="0.25">
      <c r="A15592">
        <v>45</v>
      </c>
      <c r="B15592" t="s">
        <v>15448</v>
      </c>
      <c r="C15592">
        <v>9595</v>
      </c>
      <c r="D15592" t="str">
        <f>"0748-8017"</f>
        <v>0748-8017</v>
      </c>
      <c r="E15592" t="s">
        <v>8</v>
      </c>
      <c r="F15592" t="s">
        <v>15596</v>
      </c>
      <c r="G15592">
        <v>1</v>
      </c>
    </row>
    <row r="15593" spans="1:7" x14ac:dyDescent="0.25">
      <c r="A15593">
        <v>45</v>
      </c>
      <c r="B15593" t="s">
        <v>15448</v>
      </c>
      <c r="C15593">
        <v>1298</v>
      </c>
      <c r="D15593" t="str">
        <f>"0898-2112"</f>
        <v>0898-2112</v>
      </c>
      <c r="E15593" t="s">
        <v>8</v>
      </c>
      <c r="F15593" t="s">
        <v>15597</v>
      </c>
      <c r="G15593">
        <v>1</v>
      </c>
    </row>
    <row r="15594" spans="1:7" x14ac:dyDescent="0.25">
      <c r="A15594">
        <v>45</v>
      </c>
      <c r="B15594" t="s">
        <v>15448</v>
      </c>
      <c r="C15594">
        <v>3081</v>
      </c>
      <c r="D15594" t="str">
        <f>"1355-2546"</f>
        <v>1355-2546</v>
      </c>
      <c r="E15594" t="s">
        <v>8</v>
      </c>
      <c r="F15594" t="s">
        <v>15598</v>
      </c>
      <c r="G15594">
        <v>1</v>
      </c>
    </row>
    <row r="15595" spans="1:7" x14ac:dyDescent="0.25">
      <c r="A15595">
        <v>45</v>
      </c>
      <c r="B15595" t="s">
        <v>15448</v>
      </c>
      <c r="C15595">
        <v>2385</v>
      </c>
      <c r="D15595" t="str">
        <f>"0256-2499"</f>
        <v>0256-2499</v>
      </c>
      <c r="E15595" t="s">
        <v>8</v>
      </c>
      <c r="F15595" t="s">
        <v>15599</v>
      </c>
      <c r="G15595">
        <v>1</v>
      </c>
    </row>
    <row r="15596" spans="1:7" x14ac:dyDescent="0.25">
      <c r="A15596">
        <v>45</v>
      </c>
      <c r="B15596" t="s">
        <v>15448</v>
      </c>
      <c r="C15596">
        <v>6273634</v>
      </c>
      <c r="D15596" t="str">
        <f>"1674-7321"</f>
        <v>1674-7321</v>
      </c>
      <c r="E15596" t="s">
        <v>8</v>
      </c>
      <c r="F15596" t="s">
        <v>15600</v>
      </c>
      <c r="G15596">
        <v>1</v>
      </c>
    </row>
    <row r="15597" spans="1:7" x14ac:dyDescent="0.25">
      <c r="A15597">
        <v>45</v>
      </c>
      <c r="B15597" t="s">
        <v>15448</v>
      </c>
      <c r="C15597">
        <v>86264</v>
      </c>
      <c r="D15597" t="str">
        <f>"0219-9823"</f>
        <v>0219-9823</v>
      </c>
      <c r="E15597" t="s">
        <v>15</v>
      </c>
      <c r="F15597" t="s">
        <v>15601</v>
      </c>
      <c r="G15597">
        <v>1</v>
      </c>
    </row>
    <row r="15598" spans="1:7" x14ac:dyDescent="0.25">
      <c r="A15598">
        <v>45</v>
      </c>
      <c r="B15598" t="s">
        <v>15448</v>
      </c>
      <c r="C15598">
        <v>7718781</v>
      </c>
      <c r="D15598" t="str">
        <f>"2046-6099"</f>
        <v>2046-6099</v>
      </c>
      <c r="E15598" t="s">
        <v>8</v>
      </c>
      <c r="F15598" t="s">
        <v>15602</v>
      </c>
      <c r="G15598">
        <v>1</v>
      </c>
    </row>
    <row r="15599" spans="1:7" x14ac:dyDescent="0.25">
      <c r="A15599">
        <v>45</v>
      </c>
      <c r="B15599" t="s">
        <v>15448</v>
      </c>
      <c r="C15599">
        <v>8783472</v>
      </c>
      <c r="E15599" t="s">
        <v>15</v>
      </c>
      <c r="F15599" t="s">
        <v>15603</v>
      </c>
      <c r="G15599">
        <v>1</v>
      </c>
    </row>
    <row r="15600" spans="1:7" x14ac:dyDescent="0.25">
      <c r="A15600">
        <v>45</v>
      </c>
      <c r="B15600" t="s">
        <v>15448</v>
      </c>
      <c r="C15600">
        <v>131617</v>
      </c>
      <c r="D15600" t="str">
        <f>"1625-8312"</f>
        <v>1625-8312</v>
      </c>
      <c r="E15600" t="s">
        <v>8</v>
      </c>
      <c r="F15600" t="s">
        <v>15604</v>
      </c>
      <c r="G15600">
        <v>1</v>
      </c>
    </row>
    <row r="15601" spans="1:7" x14ac:dyDescent="0.25">
      <c r="A15601">
        <v>45</v>
      </c>
      <c r="B15601" t="s">
        <v>15448</v>
      </c>
      <c r="C15601">
        <v>7736914</v>
      </c>
      <c r="E15601" t="s">
        <v>8</v>
      </c>
      <c r="F15601" t="s">
        <v>15605</v>
      </c>
      <c r="G15601">
        <v>1</v>
      </c>
    </row>
    <row r="15602" spans="1:7" x14ac:dyDescent="0.25">
      <c r="A15602">
        <v>45</v>
      </c>
      <c r="B15602" t="s">
        <v>15448</v>
      </c>
      <c r="C15602">
        <v>12475</v>
      </c>
      <c r="D15602" t="str">
        <f>"0537-9989"</f>
        <v>0537-9989</v>
      </c>
      <c r="E15602" t="s">
        <v>15</v>
      </c>
      <c r="F15602" t="s">
        <v>15606</v>
      </c>
      <c r="G15602">
        <v>1</v>
      </c>
    </row>
    <row r="15603" spans="1:7" x14ac:dyDescent="0.25">
      <c r="A15603">
        <v>45</v>
      </c>
      <c r="B15603" t="s">
        <v>15448</v>
      </c>
      <c r="C15603">
        <v>156457</v>
      </c>
      <c r="D15603" t="str">
        <f>"1562-3599"</f>
        <v>1562-3599</v>
      </c>
      <c r="E15603" t="s">
        <v>8</v>
      </c>
      <c r="F15603" t="s">
        <v>15607</v>
      </c>
      <c r="G15603">
        <v>1</v>
      </c>
    </row>
    <row r="15604" spans="1:7" x14ac:dyDescent="0.25">
      <c r="A15604">
        <v>45</v>
      </c>
      <c r="B15604" t="s">
        <v>15448</v>
      </c>
      <c r="C15604">
        <v>57423</v>
      </c>
      <c r="D15604" t="str">
        <f>"1747-4205"</f>
        <v>1747-4205</v>
      </c>
      <c r="E15604" t="s">
        <v>8</v>
      </c>
      <c r="F15604" t="s">
        <v>15608</v>
      </c>
      <c r="G15604">
        <v>1</v>
      </c>
    </row>
    <row r="15605" spans="1:7" x14ac:dyDescent="0.25">
      <c r="A15605">
        <v>45</v>
      </c>
      <c r="B15605" t="s">
        <v>15448</v>
      </c>
      <c r="C15605">
        <v>35014</v>
      </c>
      <c r="E15605" t="s">
        <v>8</v>
      </c>
      <c r="F15605" t="s">
        <v>15609</v>
      </c>
      <c r="G15605">
        <v>1</v>
      </c>
    </row>
    <row r="15606" spans="1:7" x14ac:dyDescent="0.25">
      <c r="A15606">
        <v>45</v>
      </c>
      <c r="B15606" t="s">
        <v>15448</v>
      </c>
      <c r="C15606">
        <v>8783473</v>
      </c>
      <c r="D15606" t="str">
        <f>"2052-4714"</f>
        <v>2052-4714</v>
      </c>
      <c r="E15606" t="s">
        <v>15</v>
      </c>
      <c r="F15606" t="s">
        <v>15610</v>
      </c>
      <c r="G15606">
        <v>1</v>
      </c>
    </row>
    <row r="15607" spans="1:7" x14ac:dyDescent="0.25">
      <c r="A15607">
        <v>46</v>
      </c>
      <c r="B15607" t="s">
        <v>15611</v>
      </c>
      <c r="C15607">
        <v>4830</v>
      </c>
      <c r="D15607" t="str">
        <f>"0066-4189"</f>
        <v>0066-4189</v>
      </c>
      <c r="E15607" t="s">
        <v>8</v>
      </c>
      <c r="F15607" t="s">
        <v>15612</v>
      </c>
      <c r="G15607">
        <v>2</v>
      </c>
    </row>
    <row r="15608" spans="1:7" x14ac:dyDescent="0.25">
      <c r="A15608">
        <v>46</v>
      </c>
      <c r="B15608" t="s">
        <v>15611</v>
      </c>
      <c r="C15608">
        <v>5079</v>
      </c>
      <c r="D15608" t="str">
        <f>"1359-4311"</f>
        <v>1359-4311</v>
      </c>
      <c r="E15608" t="s">
        <v>8</v>
      </c>
      <c r="F15608" t="s">
        <v>15613</v>
      </c>
      <c r="G15608">
        <v>2</v>
      </c>
    </row>
    <row r="15609" spans="1:7" x14ac:dyDescent="0.25">
      <c r="A15609">
        <v>46</v>
      </c>
      <c r="B15609" t="s">
        <v>15611</v>
      </c>
      <c r="C15609">
        <v>16580</v>
      </c>
      <c r="D15609" t="str">
        <f>"0007-8506"</f>
        <v>0007-8506</v>
      </c>
      <c r="E15609" t="s">
        <v>8</v>
      </c>
      <c r="F15609" t="s">
        <v>15614</v>
      </c>
      <c r="G15609">
        <v>2</v>
      </c>
    </row>
    <row r="15610" spans="1:7" x14ac:dyDescent="0.25">
      <c r="A15610">
        <v>46</v>
      </c>
      <c r="B15610" t="s">
        <v>15611</v>
      </c>
      <c r="C15610">
        <v>14175</v>
      </c>
      <c r="D15610" t="str">
        <f>"0263-8223"</f>
        <v>0263-8223</v>
      </c>
      <c r="E15610" t="s">
        <v>8</v>
      </c>
      <c r="F15610" t="s">
        <v>15615</v>
      </c>
      <c r="G15610">
        <v>2</v>
      </c>
    </row>
    <row r="15611" spans="1:7" x14ac:dyDescent="0.25">
      <c r="A15611">
        <v>46</v>
      </c>
      <c r="B15611" t="s">
        <v>15611</v>
      </c>
      <c r="C15611">
        <v>1752</v>
      </c>
      <c r="D15611" t="str">
        <f>"0045-7825"</f>
        <v>0045-7825</v>
      </c>
      <c r="E15611" t="s">
        <v>8</v>
      </c>
      <c r="F15611" t="s">
        <v>15616</v>
      </c>
      <c r="G15611">
        <v>2</v>
      </c>
    </row>
    <row r="15612" spans="1:7" x14ac:dyDescent="0.25">
      <c r="A15612">
        <v>46</v>
      </c>
      <c r="B15612" t="s">
        <v>15611</v>
      </c>
      <c r="C15612">
        <v>7171</v>
      </c>
      <c r="D15612" t="str">
        <f>"0013-7944"</f>
        <v>0013-7944</v>
      </c>
      <c r="E15612" t="s">
        <v>8</v>
      </c>
      <c r="F15612" t="s">
        <v>15617</v>
      </c>
      <c r="G15612">
        <v>2</v>
      </c>
    </row>
    <row r="15613" spans="1:7" x14ac:dyDescent="0.25">
      <c r="A15613">
        <v>46</v>
      </c>
      <c r="B15613" t="s">
        <v>15611</v>
      </c>
      <c r="C15613">
        <v>10076</v>
      </c>
      <c r="D15613" t="str">
        <f>"0997-7538"</f>
        <v>0997-7538</v>
      </c>
      <c r="E15613" t="s">
        <v>8</v>
      </c>
      <c r="F15613" t="s">
        <v>15618</v>
      </c>
      <c r="G15613">
        <v>2</v>
      </c>
    </row>
    <row r="15614" spans="1:7" x14ac:dyDescent="0.25">
      <c r="A15614">
        <v>46</v>
      </c>
      <c r="B15614" t="s">
        <v>15611</v>
      </c>
      <c r="C15614">
        <v>8585</v>
      </c>
      <c r="D15614" t="str">
        <f>"0029-5981"</f>
        <v>0029-5981</v>
      </c>
      <c r="E15614" t="s">
        <v>8</v>
      </c>
      <c r="F15614" t="s">
        <v>15619</v>
      </c>
      <c r="G15614">
        <v>2</v>
      </c>
    </row>
    <row r="15615" spans="1:7" x14ac:dyDescent="0.25">
      <c r="A15615">
        <v>46</v>
      </c>
      <c r="B15615" t="s">
        <v>15611</v>
      </c>
      <c r="C15615">
        <v>10428</v>
      </c>
      <c r="D15615" t="str">
        <f>"0376-9429"</f>
        <v>0376-9429</v>
      </c>
      <c r="E15615" t="s">
        <v>8</v>
      </c>
      <c r="F15615" t="s">
        <v>15620</v>
      </c>
      <c r="G15615">
        <v>2</v>
      </c>
    </row>
    <row r="15616" spans="1:7" x14ac:dyDescent="0.25">
      <c r="A15616">
        <v>46</v>
      </c>
      <c r="B15616" t="s">
        <v>15611</v>
      </c>
      <c r="C15616">
        <v>4368</v>
      </c>
      <c r="D15616" t="str">
        <f>"0890-6955"</f>
        <v>0890-6955</v>
      </c>
      <c r="E15616" t="s">
        <v>8</v>
      </c>
      <c r="F15616" t="s">
        <v>15621</v>
      </c>
      <c r="G15616">
        <v>2</v>
      </c>
    </row>
    <row r="15617" spans="1:7" x14ac:dyDescent="0.25">
      <c r="A15617">
        <v>46</v>
      </c>
      <c r="B15617" t="s">
        <v>15611</v>
      </c>
      <c r="C15617">
        <v>10916</v>
      </c>
      <c r="D15617" t="str">
        <f>"0020-7462"</f>
        <v>0020-7462</v>
      </c>
      <c r="E15617" t="s">
        <v>8</v>
      </c>
      <c r="F15617" t="s">
        <v>15622</v>
      </c>
      <c r="G15617">
        <v>2</v>
      </c>
    </row>
    <row r="15618" spans="1:7" x14ac:dyDescent="0.25">
      <c r="A15618">
        <v>46</v>
      </c>
      <c r="B15618" t="s">
        <v>15611</v>
      </c>
      <c r="C15618">
        <v>7247</v>
      </c>
      <c r="D15618" t="str">
        <f>"0749-6419"</f>
        <v>0749-6419</v>
      </c>
      <c r="E15618" t="s">
        <v>8</v>
      </c>
      <c r="F15618" t="s">
        <v>15623</v>
      </c>
      <c r="G15618">
        <v>2</v>
      </c>
    </row>
    <row r="15619" spans="1:7" x14ac:dyDescent="0.25">
      <c r="A15619">
        <v>46</v>
      </c>
      <c r="B15619" t="s">
        <v>15611</v>
      </c>
      <c r="C15619">
        <v>12076</v>
      </c>
      <c r="D15619" t="str">
        <f>"0020-7683"</f>
        <v>0020-7683</v>
      </c>
      <c r="E15619" t="s">
        <v>8</v>
      </c>
      <c r="F15619" t="s">
        <v>15624</v>
      </c>
      <c r="G15619">
        <v>2</v>
      </c>
    </row>
    <row r="15620" spans="1:7" x14ac:dyDescent="0.25">
      <c r="A15620">
        <v>46</v>
      </c>
      <c r="B15620" t="s">
        <v>15611</v>
      </c>
      <c r="C15620">
        <v>10586</v>
      </c>
      <c r="D15620" t="str">
        <f>"0021-8936"</f>
        <v>0021-8936</v>
      </c>
      <c r="E15620" t="s">
        <v>8</v>
      </c>
      <c r="F15620" t="s">
        <v>15625</v>
      </c>
      <c r="G15620">
        <v>2</v>
      </c>
    </row>
    <row r="15621" spans="1:7" x14ac:dyDescent="0.25">
      <c r="A15621">
        <v>46</v>
      </c>
      <c r="B15621" t="s">
        <v>15611</v>
      </c>
      <c r="C15621">
        <v>11206</v>
      </c>
      <c r="D15621" t="str">
        <f>"0022-1120"</f>
        <v>0022-1120</v>
      </c>
      <c r="E15621" t="s">
        <v>8</v>
      </c>
      <c r="F15621" t="s">
        <v>15626</v>
      </c>
      <c r="G15621">
        <v>2</v>
      </c>
    </row>
    <row r="15622" spans="1:7" x14ac:dyDescent="0.25">
      <c r="A15622">
        <v>46</v>
      </c>
      <c r="B15622" t="s">
        <v>15611</v>
      </c>
      <c r="C15622">
        <v>859</v>
      </c>
      <c r="D15622" t="str">
        <f>"1087-1357"</f>
        <v>1087-1357</v>
      </c>
      <c r="E15622" t="s">
        <v>8</v>
      </c>
      <c r="F15622" t="s">
        <v>15627</v>
      </c>
      <c r="G15622">
        <v>2</v>
      </c>
    </row>
    <row r="15623" spans="1:7" x14ac:dyDescent="0.25">
      <c r="A15623">
        <v>46</v>
      </c>
      <c r="B15623" t="s">
        <v>15611</v>
      </c>
      <c r="C15623">
        <v>13365</v>
      </c>
      <c r="D15623" t="str">
        <f>"1050-0472"</f>
        <v>1050-0472</v>
      </c>
      <c r="E15623" t="s">
        <v>8</v>
      </c>
      <c r="F15623" t="s">
        <v>15628</v>
      </c>
      <c r="G15623">
        <v>2</v>
      </c>
    </row>
    <row r="15624" spans="1:7" x14ac:dyDescent="0.25">
      <c r="A15624">
        <v>46</v>
      </c>
      <c r="B15624" t="s">
        <v>15611</v>
      </c>
      <c r="C15624">
        <v>12052</v>
      </c>
      <c r="D15624" t="str">
        <f>"0377-0257"</f>
        <v>0377-0257</v>
      </c>
      <c r="E15624" t="s">
        <v>8</v>
      </c>
      <c r="F15624" t="s">
        <v>15629</v>
      </c>
      <c r="G15624">
        <v>2</v>
      </c>
    </row>
    <row r="15625" spans="1:7" x14ac:dyDescent="0.25">
      <c r="A15625">
        <v>46</v>
      </c>
      <c r="B15625" t="s">
        <v>15611</v>
      </c>
      <c r="C15625">
        <v>16960</v>
      </c>
      <c r="D15625" t="str">
        <f>"0148-6055"</f>
        <v>0148-6055</v>
      </c>
      <c r="E15625" t="s">
        <v>8</v>
      </c>
      <c r="F15625" t="s">
        <v>15630</v>
      </c>
      <c r="G15625">
        <v>2</v>
      </c>
    </row>
    <row r="15626" spans="1:7" x14ac:dyDescent="0.25">
      <c r="A15626">
        <v>46</v>
      </c>
      <c r="B15626" t="s">
        <v>15611</v>
      </c>
      <c r="C15626">
        <v>5622</v>
      </c>
      <c r="D15626" t="str">
        <f>"1099-6362"</f>
        <v>1099-6362</v>
      </c>
      <c r="E15626" t="s">
        <v>8</v>
      </c>
      <c r="F15626" t="s">
        <v>15631</v>
      </c>
      <c r="G15626">
        <v>2</v>
      </c>
    </row>
    <row r="15627" spans="1:7" x14ac:dyDescent="0.25">
      <c r="A15627">
        <v>46</v>
      </c>
      <c r="B15627" t="s">
        <v>15611</v>
      </c>
      <c r="C15627">
        <v>3962</v>
      </c>
      <c r="D15627" t="str">
        <f>"0022-460X"</f>
        <v>0022-460X</v>
      </c>
      <c r="E15627" t="s">
        <v>8</v>
      </c>
      <c r="F15627" t="s">
        <v>15632</v>
      </c>
      <c r="G15627">
        <v>2</v>
      </c>
    </row>
    <row r="15628" spans="1:7" x14ac:dyDescent="0.25">
      <c r="A15628">
        <v>46</v>
      </c>
      <c r="B15628" t="s">
        <v>15611</v>
      </c>
      <c r="C15628">
        <v>5550</v>
      </c>
      <c r="D15628" t="str">
        <f>"0022-5096"</f>
        <v>0022-5096</v>
      </c>
      <c r="E15628" t="s">
        <v>8</v>
      </c>
      <c r="F15628" t="s">
        <v>15633</v>
      </c>
      <c r="G15628">
        <v>2</v>
      </c>
    </row>
    <row r="15629" spans="1:7" x14ac:dyDescent="0.25">
      <c r="A15629">
        <v>46</v>
      </c>
      <c r="B15629" t="s">
        <v>15611</v>
      </c>
      <c r="C15629">
        <v>4955</v>
      </c>
      <c r="D15629" t="str">
        <f>"0888-3270"</f>
        <v>0888-3270</v>
      </c>
      <c r="E15629" t="s">
        <v>8</v>
      </c>
      <c r="F15629" t="s">
        <v>15634</v>
      </c>
      <c r="G15629">
        <v>2</v>
      </c>
    </row>
    <row r="15630" spans="1:7" x14ac:dyDescent="0.25">
      <c r="A15630">
        <v>46</v>
      </c>
      <c r="B15630" t="s">
        <v>15611</v>
      </c>
      <c r="C15630">
        <v>8105</v>
      </c>
      <c r="D15630" t="str">
        <f>"0167-6636"</f>
        <v>0167-6636</v>
      </c>
      <c r="E15630" t="s">
        <v>8</v>
      </c>
      <c r="F15630" t="s">
        <v>15635</v>
      </c>
      <c r="G15630">
        <v>2</v>
      </c>
    </row>
    <row r="15631" spans="1:7" x14ac:dyDescent="0.25">
      <c r="A15631">
        <v>46</v>
      </c>
      <c r="B15631" t="s">
        <v>15611</v>
      </c>
      <c r="C15631">
        <v>16562</v>
      </c>
      <c r="D15631" t="str">
        <f>"0094-114X"</f>
        <v>0094-114X</v>
      </c>
      <c r="E15631" t="s">
        <v>8</v>
      </c>
      <c r="F15631" t="s">
        <v>15636</v>
      </c>
      <c r="G15631">
        <v>2</v>
      </c>
    </row>
    <row r="15632" spans="1:7" x14ac:dyDescent="0.25">
      <c r="A15632">
        <v>46</v>
      </c>
      <c r="B15632" t="s">
        <v>15611</v>
      </c>
      <c r="C15632">
        <v>10528</v>
      </c>
      <c r="D15632" t="str">
        <f>"0965-0393"</f>
        <v>0965-0393</v>
      </c>
      <c r="E15632" t="s">
        <v>8</v>
      </c>
      <c r="F15632" t="s">
        <v>15637</v>
      </c>
      <c r="G15632">
        <v>2</v>
      </c>
    </row>
    <row r="15633" spans="1:7" x14ac:dyDescent="0.25">
      <c r="A15633">
        <v>46</v>
      </c>
      <c r="B15633" t="s">
        <v>15611</v>
      </c>
      <c r="C15633">
        <v>10386</v>
      </c>
      <c r="D15633" t="str">
        <f>"1384-5640"</f>
        <v>1384-5640</v>
      </c>
      <c r="E15633" t="s">
        <v>8</v>
      </c>
      <c r="F15633" t="s">
        <v>15638</v>
      </c>
      <c r="G15633">
        <v>2</v>
      </c>
    </row>
    <row r="15634" spans="1:7" x14ac:dyDescent="0.25">
      <c r="A15634">
        <v>46</v>
      </c>
      <c r="B15634" t="s">
        <v>15611</v>
      </c>
      <c r="C15634">
        <v>11893</v>
      </c>
      <c r="D15634" t="str">
        <f>"0924-090X"</f>
        <v>0924-090X</v>
      </c>
      <c r="E15634" t="s">
        <v>8</v>
      </c>
      <c r="F15634" t="s">
        <v>15639</v>
      </c>
      <c r="G15634">
        <v>2</v>
      </c>
    </row>
    <row r="15635" spans="1:7" x14ac:dyDescent="0.25">
      <c r="A15635">
        <v>46</v>
      </c>
      <c r="B15635" t="s">
        <v>15611</v>
      </c>
      <c r="C15635">
        <v>6426</v>
      </c>
      <c r="D15635" t="str">
        <f>"1040-7782"</f>
        <v>1040-7782</v>
      </c>
      <c r="E15635" t="s">
        <v>8</v>
      </c>
      <c r="F15635" t="s">
        <v>15640</v>
      </c>
      <c r="G15635">
        <v>2</v>
      </c>
    </row>
    <row r="15636" spans="1:7" x14ac:dyDescent="0.25">
      <c r="A15636">
        <v>46</v>
      </c>
      <c r="B15636" t="s">
        <v>15611</v>
      </c>
      <c r="C15636">
        <v>2635</v>
      </c>
      <c r="D15636" t="str">
        <f>"0953-7287"</f>
        <v>0953-7287</v>
      </c>
      <c r="E15636" t="s">
        <v>8</v>
      </c>
      <c r="F15636" t="s">
        <v>15641</v>
      </c>
      <c r="G15636">
        <v>2</v>
      </c>
    </row>
    <row r="15637" spans="1:7" x14ac:dyDescent="0.25">
      <c r="A15637">
        <v>46</v>
      </c>
      <c r="B15637" t="s">
        <v>15611</v>
      </c>
      <c r="C15637">
        <v>12266</v>
      </c>
      <c r="D15637" t="str">
        <f>"0934-9839"</f>
        <v>0934-9839</v>
      </c>
      <c r="E15637" t="s">
        <v>8</v>
      </c>
      <c r="F15637" t="s">
        <v>15642</v>
      </c>
      <c r="G15637">
        <v>2</v>
      </c>
    </row>
    <row r="15638" spans="1:7" x14ac:dyDescent="0.25">
      <c r="A15638">
        <v>46</v>
      </c>
      <c r="B15638" t="s">
        <v>15611</v>
      </c>
      <c r="C15638">
        <v>1876</v>
      </c>
      <c r="D15638" t="str">
        <f>"0035-4511"</f>
        <v>0035-4511</v>
      </c>
      <c r="E15638" t="s">
        <v>8</v>
      </c>
      <c r="F15638" t="s">
        <v>15643</v>
      </c>
      <c r="G15638">
        <v>2</v>
      </c>
    </row>
    <row r="15639" spans="1:7" x14ac:dyDescent="0.25">
      <c r="A15639">
        <v>46</v>
      </c>
      <c r="B15639" t="s">
        <v>15611</v>
      </c>
      <c r="C15639">
        <v>5127</v>
      </c>
      <c r="D15639" t="str">
        <f>"1615-147X"</f>
        <v>1615-147X</v>
      </c>
      <c r="E15639" t="s">
        <v>8</v>
      </c>
      <c r="F15639" t="s">
        <v>15644</v>
      </c>
      <c r="G15639">
        <v>2</v>
      </c>
    </row>
    <row r="15640" spans="1:7" x14ac:dyDescent="0.25">
      <c r="A15640">
        <v>46</v>
      </c>
      <c r="B15640" t="s">
        <v>15611</v>
      </c>
      <c r="C15640">
        <v>6834</v>
      </c>
      <c r="D15640" t="str">
        <f>"0278-3649"</f>
        <v>0278-3649</v>
      </c>
      <c r="E15640" t="s">
        <v>8</v>
      </c>
      <c r="F15640" t="s">
        <v>15645</v>
      </c>
      <c r="G15640">
        <v>2</v>
      </c>
    </row>
    <row r="15641" spans="1:7" x14ac:dyDescent="0.25">
      <c r="A15641">
        <v>46</v>
      </c>
      <c r="B15641" t="s">
        <v>15611</v>
      </c>
      <c r="C15641">
        <v>12675</v>
      </c>
      <c r="D15641" t="str">
        <f>"0301-679X"</f>
        <v>0301-679X</v>
      </c>
      <c r="E15641" t="s">
        <v>8</v>
      </c>
      <c r="F15641" t="s">
        <v>15646</v>
      </c>
      <c r="G15641">
        <v>2</v>
      </c>
    </row>
    <row r="15642" spans="1:7" x14ac:dyDescent="0.25">
      <c r="A15642">
        <v>46</v>
      </c>
      <c r="B15642" t="s">
        <v>15611</v>
      </c>
      <c r="C15642">
        <v>5975</v>
      </c>
      <c r="D15642" t="str">
        <f>"0043-1648"</f>
        <v>0043-1648</v>
      </c>
      <c r="E15642" t="s">
        <v>8</v>
      </c>
      <c r="F15642" t="s">
        <v>15647</v>
      </c>
      <c r="G15642">
        <v>2</v>
      </c>
    </row>
    <row r="15643" spans="1:7" x14ac:dyDescent="0.25">
      <c r="A15643">
        <v>46</v>
      </c>
      <c r="B15643" t="s">
        <v>15611</v>
      </c>
      <c r="C15643">
        <v>4083</v>
      </c>
      <c r="D15643" t="str">
        <f>"1095-4244"</f>
        <v>1095-4244</v>
      </c>
      <c r="E15643" t="s">
        <v>8</v>
      </c>
      <c r="F15643" t="s">
        <v>15648</v>
      </c>
      <c r="G15643">
        <v>2</v>
      </c>
    </row>
    <row r="15644" spans="1:7" x14ac:dyDescent="0.25">
      <c r="A15644">
        <v>46</v>
      </c>
      <c r="B15644" t="s">
        <v>15611</v>
      </c>
      <c r="C15644">
        <v>353</v>
      </c>
      <c r="D15644" t="str">
        <f>"0001-5970"</f>
        <v>0001-5970</v>
      </c>
      <c r="E15644" t="s">
        <v>8</v>
      </c>
      <c r="F15644" t="s">
        <v>15649</v>
      </c>
      <c r="G15644">
        <v>1</v>
      </c>
    </row>
    <row r="15645" spans="1:7" x14ac:dyDescent="0.25">
      <c r="A15645">
        <v>46</v>
      </c>
      <c r="B15645" t="s">
        <v>15611</v>
      </c>
      <c r="C15645">
        <v>1652</v>
      </c>
      <c r="D15645" t="str">
        <f>"0894-9166"</f>
        <v>0894-9166</v>
      </c>
      <c r="E15645" t="s">
        <v>8</v>
      </c>
      <c r="F15645" t="s">
        <v>15650</v>
      </c>
      <c r="G15645">
        <v>1</v>
      </c>
    </row>
    <row r="15646" spans="1:7" x14ac:dyDescent="0.25">
      <c r="A15646">
        <v>46</v>
      </c>
      <c r="B15646" t="s">
        <v>15611</v>
      </c>
      <c r="C15646">
        <v>5779</v>
      </c>
      <c r="D15646" t="str">
        <f>"1438-1656"</f>
        <v>1438-1656</v>
      </c>
      <c r="E15646" t="s">
        <v>8</v>
      </c>
      <c r="F15646" t="s">
        <v>15651</v>
      </c>
      <c r="G15646">
        <v>1</v>
      </c>
    </row>
    <row r="15647" spans="1:7" x14ac:dyDescent="0.25">
      <c r="A15647">
        <v>46</v>
      </c>
      <c r="B15647" t="s">
        <v>15611</v>
      </c>
      <c r="C15647">
        <v>33714</v>
      </c>
      <c r="D15647" t="str">
        <f>"1687-8132"</f>
        <v>1687-8132</v>
      </c>
      <c r="E15647" t="s">
        <v>8</v>
      </c>
      <c r="F15647" t="s">
        <v>15652</v>
      </c>
      <c r="G15647">
        <v>1</v>
      </c>
    </row>
    <row r="15648" spans="1:7" x14ac:dyDescent="0.25">
      <c r="A15648">
        <v>46</v>
      </c>
      <c r="B15648" t="s">
        <v>15611</v>
      </c>
      <c r="C15648">
        <v>2402</v>
      </c>
      <c r="D15648" t="str">
        <f>"0740-722X"</f>
        <v>0740-722X</v>
      </c>
      <c r="E15648" t="s">
        <v>8</v>
      </c>
      <c r="F15648" t="s">
        <v>15653</v>
      </c>
      <c r="G15648">
        <v>1</v>
      </c>
    </row>
    <row r="15649" spans="1:7" x14ac:dyDescent="0.25">
      <c r="A15649">
        <v>46</v>
      </c>
      <c r="B15649" t="s">
        <v>15611</v>
      </c>
      <c r="C15649">
        <v>10746</v>
      </c>
      <c r="D15649" t="str">
        <f>"1270-9638"</f>
        <v>1270-9638</v>
      </c>
      <c r="E15649" t="s">
        <v>8</v>
      </c>
      <c r="F15649" t="s">
        <v>15654</v>
      </c>
      <c r="G15649">
        <v>1</v>
      </c>
    </row>
    <row r="15650" spans="1:7" x14ac:dyDescent="0.25">
      <c r="A15650">
        <v>46</v>
      </c>
      <c r="B15650" t="s">
        <v>15611</v>
      </c>
      <c r="C15650">
        <v>17132</v>
      </c>
      <c r="D15650" t="str">
        <f>"1748-8842"</f>
        <v>1748-8842</v>
      </c>
      <c r="E15650" t="s">
        <v>8</v>
      </c>
      <c r="F15650" t="s">
        <v>15655</v>
      </c>
      <c r="G15650">
        <v>1</v>
      </c>
    </row>
    <row r="15651" spans="1:7" x14ac:dyDescent="0.25">
      <c r="A15651">
        <v>46</v>
      </c>
      <c r="B15651" t="s">
        <v>15611</v>
      </c>
      <c r="C15651">
        <v>10038</v>
      </c>
      <c r="D15651" t="str">
        <f>"0001-1452"</f>
        <v>0001-1452</v>
      </c>
      <c r="E15651" t="s">
        <v>8</v>
      </c>
      <c r="F15651" t="s">
        <v>15656</v>
      </c>
      <c r="G15651">
        <v>1</v>
      </c>
    </row>
    <row r="15652" spans="1:7" x14ac:dyDescent="0.25">
      <c r="A15652">
        <v>46</v>
      </c>
      <c r="B15652" t="s">
        <v>15611</v>
      </c>
      <c r="C15652">
        <v>167</v>
      </c>
      <c r="D15652" t="str">
        <f>"0929-189X"</f>
        <v>0929-189X</v>
      </c>
      <c r="E15652" t="s">
        <v>8</v>
      </c>
      <c r="F15652" t="s">
        <v>15657</v>
      </c>
      <c r="G15652">
        <v>1</v>
      </c>
    </row>
    <row r="15653" spans="1:7" x14ac:dyDescent="0.25">
      <c r="A15653">
        <v>46</v>
      </c>
      <c r="B15653" t="s">
        <v>15611</v>
      </c>
      <c r="C15653">
        <v>5760</v>
      </c>
      <c r="D15653" t="str">
        <f>"0003-6900"</f>
        <v>0003-6900</v>
      </c>
      <c r="E15653" t="s">
        <v>8</v>
      </c>
      <c r="F15653" t="s">
        <v>15658</v>
      </c>
      <c r="G15653">
        <v>1</v>
      </c>
    </row>
    <row r="15654" spans="1:7" x14ac:dyDescent="0.25">
      <c r="A15654">
        <v>46</v>
      </c>
      <c r="B15654" t="s">
        <v>15611</v>
      </c>
      <c r="C15654">
        <v>6256</v>
      </c>
      <c r="D15654" t="str">
        <f>"0939-1533"</f>
        <v>0939-1533</v>
      </c>
      <c r="E15654" t="s">
        <v>8</v>
      </c>
      <c r="F15654" t="s">
        <v>15659</v>
      </c>
      <c r="G15654">
        <v>1</v>
      </c>
    </row>
    <row r="15655" spans="1:7" x14ac:dyDescent="0.25">
      <c r="A15655">
        <v>46</v>
      </c>
      <c r="B15655" t="s">
        <v>15611</v>
      </c>
      <c r="C15655">
        <v>3043</v>
      </c>
      <c r="D15655" t="str">
        <f>"0890-0604"</f>
        <v>0890-0604</v>
      </c>
      <c r="E15655" t="s">
        <v>8</v>
      </c>
      <c r="F15655" t="s">
        <v>15660</v>
      </c>
      <c r="G15655">
        <v>1</v>
      </c>
    </row>
    <row r="15656" spans="1:7" x14ac:dyDescent="0.25">
      <c r="A15656">
        <v>46</v>
      </c>
      <c r="B15656" t="s">
        <v>15611</v>
      </c>
      <c r="C15656">
        <v>3390</v>
      </c>
      <c r="D15656" t="str">
        <f>"0144-5154"</f>
        <v>0144-5154</v>
      </c>
      <c r="E15656" t="s">
        <v>8</v>
      </c>
      <c r="F15656" t="s">
        <v>15661</v>
      </c>
      <c r="G15656">
        <v>1</v>
      </c>
    </row>
    <row r="15657" spans="1:7" x14ac:dyDescent="0.25">
      <c r="A15657">
        <v>46</v>
      </c>
      <c r="B15657" t="s">
        <v>15611</v>
      </c>
      <c r="C15657">
        <v>8920</v>
      </c>
      <c r="D15657" t="str">
        <f>"1351-010X"</f>
        <v>1351-010X</v>
      </c>
      <c r="E15657" t="s">
        <v>8</v>
      </c>
      <c r="F15657" t="s">
        <v>15662</v>
      </c>
      <c r="G15657">
        <v>1</v>
      </c>
    </row>
    <row r="15658" spans="1:7" x14ac:dyDescent="0.25">
      <c r="A15658">
        <v>46</v>
      </c>
      <c r="B15658" t="s">
        <v>15611</v>
      </c>
      <c r="C15658">
        <v>16527</v>
      </c>
      <c r="D15658" t="str">
        <f>"0927-6440"</f>
        <v>0927-6440</v>
      </c>
      <c r="E15658" t="s">
        <v>8</v>
      </c>
      <c r="F15658" t="s">
        <v>15663</v>
      </c>
      <c r="G15658">
        <v>1</v>
      </c>
    </row>
    <row r="15659" spans="1:7" x14ac:dyDescent="0.25">
      <c r="A15659">
        <v>46</v>
      </c>
      <c r="B15659" t="s">
        <v>15611</v>
      </c>
      <c r="C15659">
        <v>8825</v>
      </c>
      <c r="D15659" t="str">
        <f>"0178-7675"</f>
        <v>0178-7675</v>
      </c>
      <c r="E15659" t="s">
        <v>8</v>
      </c>
      <c r="F15659" t="s">
        <v>15664</v>
      </c>
      <c r="G15659">
        <v>1</v>
      </c>
    </row>
    <row r="15660" spans="1:7" x14ac:dyDescent="0.25">
      <c r="A15660">
        <v>46</v>
      </c>
      <c r="B15660" t="s">
        <v>15611</v>
      </c>
      <c r="C15660">
        <v>4037</v>
      </c>
      <c r="D15660" t="str">
        <f>"0169-2607"</f>
        <v>0169-2607</v>
      </c>
      <c r="E15660" t="s">
        <v>8</v>
      </c>
      <c r="F15660" t="s">
        <v>15665</v>
      </c>
      <c r="G15660">
        <v>1</v>
      </c>
    </row>
    <row r="15661" spans="1:7" x14ac:dyDescent="0.25">
      <c r="A15661">
        <v>46</v>
      </c>
      <c r="B15661" t="s">
        <v>15611</v>
      </c>
      <c r="C15661">
        <v>9667</v>
      </c>
      <c r="D15661" t="str">
        <f>"0045-7930"</f>
        <v>0045-7930</v>
      </c>
      <c r="E15661" t="s">
        <v>8</v>
      </c>
      <c r="F15661" t="s">
        <v>15666</v>
      </c>
      <c r="G15661">
        <v>1</v>
      </c>
    </row>
    <row r="15662" spans="1:7" x14ac:dyDescent="0.25">
      <c r="A15662">
        <v>46</v>
      </c>
      <c r="B15662" t="s">
        <v>15611</v>
      </c>
      <c r="C15662">
        <v>118</v>
      </c>
      <c r="D15662" t="str">
        <f>"0197-2618"</f>
        <v>0197-2618</v>
      </c>
      <c r="E15662" t="s">
        <v>8</v>
      </c>
      <c r="F15662" t="s">
        <v>15667</v>
      </c>
      <c r="G15662">
        <v>1</v>
      </c>
    </row>
    <row r="15663" spans="1:7" x14ac:dyDescent="0.25">
      <c r="A15663">
        <v>46</v>
      </c>
      <c r="B15663" t="s">
        <v>15611</v>
      </c>
      <c r="C15663">
        <v>17665</v>
      </c>
      <c r="D15663" t="str">
        <f>"1492-8760"</f>
        <v>1492-8760</v>
      </c>
      <c r="E15663" t="s">
        <v>8</v>
      </c>
      <c r="F15663" t="s">
        <v>15668</v>
      </c>
      <c r="G15663">
        <v>1</v>
      </c>
    </row>
    <row r="15664" spans="1:7" x14ac:dyDescent="0.25">
      <c r="A15664">
        <v>46</v>
      </c>
      <c r="B15664" t="s">
        <v>15611</v>
      </c>
      <c r="C15664">
        <v>9690</v>
      </c>
      <c r="D15664" t="str">
        <f>"0305-215X"</f>
        <v>0305-215X</v>
      </c>
      <c r="E15664" t="s">
        <v>8</v>
      </c>
      <c r="F15664" t="s">
        <v>15669</v>
      </c>
      <c r="G15664">
        <v>1</v>
      </c>
    </row>
    <row r="15665" spans="1:7" x14ac:dyDescent="0.25">
      <c r="A15665">
        <v>46</v>
      </c>
      <c r="B15665" t="s">
        <v>15611</v>
      </c>
      <c r="C15665">
        <v>14732</v>
      </c>
      <c r="D15665" t="str">
        <f>"0376-4265"</f>
        <v>0376-4265</v>
      </c>
      <c r="E15665" t="s">
        <v>8</v>
      </c>
      <c r="F15665" t="s">
        <v>15670</v>
      </c>
      <c r="G15665">
        <v>1</v>
      </c>
    </row>
    <row r="15666" spans="1:7" x14ac:dyDescent="0.25">
      <c r="A15666">
        <v>46</v>
      </c>
      <c r="B15666" t="s">
        <v>15611</v>
      </c>
      <c r="C15666">
        <v>20007</v>
      </c>
      <c r="D15666" t="str">
        <f>"0949-166X"</f>
        <v>0949-166X</v>
      </c>
      <c r="E15666" t="s">
        <v>8</v>
      </c>
      <c r="F15666" t="s">
        <v>15671</v>
      </c>
      <c r="G15666">
        <v>1</v>
      </c>
    </row>
    <row r="15667" spans="1:7" x14ac:dyDescent="0.25">
      <c r="A15667">
        <v>46</v>
      </c>
      <c r="B15667" t="s">
        <v>15611</v>
      </c>
      <c r="C15667">
        <v>22370</v>
      </c>
      <c r="D15667" t="str">
        <f>"1751-5254"</f>
        <v>1751-5254</v>
      </c>
      <c r="E15667" t="s">
        <v>8</v>
      </c>
      <c r="F15667" t="s">
        <v>15672</v>
      </c>
      <c r="G15667">
        <v>1</v>
      </c>
    </row>
    <row r="15668" spans="1:7" x14ac:dyDescent="0.25">
      <c r="A15668">
        <v>46</v>
      </c>
      <c r="B15668" t="s">
        <v>15611</v>
      </c>
      <c r="C15668">
        <v>10503</v>
      </c>
      <c r="D15668" t="str">
        <f>"0997-7546"</f>
        <v>0997-7546</v>
      </c>
      <c r="E15668" t="s">
        <v>8</v>
      </c>
      <c r="F15668" t="s">
        <v>15673</v>
      </c>
      <c r="G15668">
        <v>1</v>
      </c>
    </row>
    <row r="15669" spans="1:7" x14ac:dyDescent="0.25">
      <c r="A15669">
        <v>46</v>
      </c>
      <c r="B15669" t="s">
        <v>15611</v>
      </c>
      <c r="C15669">
        <v>12844</v>
      </c>
      <c r="D15669" t="str">
        <f>"0014-3057"</f>
        <v>0014-3057</v>
      </c>
      <c r="E15669" t="s">
        <v>8</v>
      </c>
      <c r="F15669" t="s">
        <v>15674</v>
      </c>
      <c r="G15669">
        <v>1</v>
      </c>
    </row>
    <row r="15670" spans="1:7" x14ac:dyDescent="0.25">
      <c r="A15670">
        <v>46</v>
      </c>
      <c r="B15670" t="s">
        <v>15611</v>
      </c>
      <c r="C15670">
        <v>4142</v>
      </c>
      <c r="D15670" t="str">
        <f>"0723-4864"</f>
        <v>0723-4864</v>
      </c>
      <c r="E15670" t="s">
        <v>8</v>
      </c>
      <c r="F15670" t="s">
        <v>15675</v>
      </c>
      <c r="G15670">
        <v>1</v>
      </c>
    </row>
    <row r="15671" spans="1:7" x14ac:dyDescent="0.25">
      <c r="A15671">
        <v>46</v>
      </c>
      <c r="B15671" t="s">
        <v>15611</v>
      </c>
      <c r="C15671">
        <v>8770149</v>
      </c>
      <c r="E15671" t="s">
        <v>8</v>
      </c>
      <c r="F15671" t="s">
        <v>15676</v>
      </c>
      <c r="G15671">
        <v>1</v>
      </c>
    </row>
    <row r="15672" spans="1:7" x14ac:dyDescent="0.25">
      <c r="A15672">
        <v>46</v>
      </c>
      <c r="B15672" t="s">
        <v>15611</v>
      </c>
      <c r="C15672">
        <v>14582</v>
      </c>
      <c r="D15672" t="str">
        <f>"1479-0602"</f>
        <v>1479-0602</v>
      </c>
      <c r="E15672" t="s">
        <v>8</v>
      </c>
      <c r="F15672" t="s">
        <v>15677</v>
      </c>
      <c r="G15672">
        <v>1</v>
      </c>
    </row>
    <row r="15673" spans="1:7" x14ac:dyDescent="0.25">
      <c r="A15673">
        <v>46</v>
      </c>
      <c r="B15673" t="s">
        <v>15611</v>
      </c>
      <c r="C15673">
        <v>2286</v>
      </c>
      <c r="D15673" t="str">
        <f>"0168-874X"</f>
        <v>0168-874X</v>
      </c>
      <c r="E15673" t="s">
        <v>8</v>
      </c>
      <c r="F15673" t="s">
        <v>15678</v>
      </c>
      <c r="G15673">
        <v>1</v>
      </c>
    </row>
    <row r="15674" spans="1:7" x14ac:dyDescent="0.25">
      <c r="A15674">
        <v>46</v>
      </c>
      <c r="B15674" t="s">
        <v>15611</v>
      </c>
      <c r="C15674">
        <v>5824</v>
      </c>
      <c r="D15674" t="str">
        <f>"0955-5986"</f>
        <v>0955-5986</v>
      </c>
      <c r="E15674" t="s">
        <v>8</v>
      </c>
      <c r="F15674" t="s">
        <v>15679</v>
      </c>
      <c r="G15674">
        <v>1</v>
      </c>
    </row>
    <row r="15675" spans="1:7" x14ac:dyDescent="0.25">
      <c r="A15675">
        <v>46</v>
      </c>
      <c r="B15675" t="s">
        <v>15611</v>
      </c>
      <c r="C15675">
        <v>1669</v>
      </c>
      <c r="D15675" t="str">
        <f>"1386-6184"</f>
        <v>1386-6184</v>
      </c>
      <c r="E15675" t="s">
        <v>8</v>
      </c>
      <c r="F15675" t="s">
        <v>15680</v>
      </c>
      <c r="G15675">
        <v>1</v>
      </c>
    </row>
    <row r="15676" spans="1:7" x14ac:dyDescent="0.25">
      <c r="A15676">
        <v>46</v>
      </c>
      <c r="B15676" t="s">
        <v>15611</v>
      </c>
      <c r="C15676">
        <v>2819</v>
      </c>
      <c r="D15676" t="str">
        <f>"0015-4628"</f>
        <v>0015-4628</v>
      </c>
      <c r="E15676" t="s">
        <v>8</v>
      </c>
      <c r="F15676" t="s">
        <v>15681</v>
      </c>
      <c r="G15676">
        <v>1</v>
      </c>
    </row>
    <row r="15677" spans="1:7" x14ac:dyDescent="0.25">
      <c r="A15677">
        <v>46</v>
      </c>
      <c r="B15677" t="s">
        <v>15611</v>
      </c>
      <c r="C15677">
        <v>9271</v>
      </c>
      <c r="D15677" t="str">
        <f>"0169-5983"</f>
        <v>0169-5983</v>
      </c>
      <c r="E15677" t="s">
        <v>8</v>
      </c>
      <c r="F15677" t="s">
        <v>15682</v>
      </c>
      <c r="G15677">
        <v>1</v>
      </c>
    </row>
    <row r="15678" spans="1:7" x14ac:dyDescent="0.25">
      <c r="A15678">
        <v>46</v>
      </c>
      <c r="B15678" t="s">
        <v>15611</v>
      </c>
      <c r="C15678">
        <v>8762882</v>
      </c>
      <c r="D15678" t="str">
        <f>"2223-7690 "</f>
        <v xml:space="preserve">2223-7690 </v>
      </c>
      <c r="E15678" t="s">
        <v>8</v>
      </c>
      <c r="F15678" t="s">
        <v>15683</v>
      </c>
      <c r="G15678">
        <v>1</v>
      </c>
    </row>
    <row r="15679" spans="1:7" x14ac:dyDescent="0.25">
      <c r="A15679">
        <v>46</v>
      </c>
      <c r="B15679" t="s">
        <v>15611</v>
      </c>
      <c r="C15679">
        <v>5413</v>
      </c>
      <c r="D15679" t="str">
        <f>"1063-7095"</f>
        <v>1063-7095</v>
      </c>
      <c r="E15679" t="s">
        <v>8</v>
      </c>
      <c r="F15679" t="s">
        <v>15684</v>
      </c>
      <c r="G15679">
        <v>1</v>
      </c>
    </row>
    <row r="15680" spans="1:7" x14ac:dyDescent="0.25">
      <c r="A15680">
        <v>46</v>
      </c>
      <c r="B15680" t="s">
        <v>15611</v>
      </c>
      <c r="C15680">
        <v>12149</v>
      </c>
      <c r="D15680" t="str">
        <f>"0271-2091"</f>
        <v>0271-2091</v>
      </c>
      <c r="E15680" t="s">
        <v>8</v>
      </c>
      <c r="F15680" t="s">
        <v>15685</v>
      </c>
      <c r="G15680">
        <v>1</v>
      </c>
    </row>
    <row r="15681" spans="1:7" x14ac:dyDescent="0.25">
      <c r="A15681">
        <v>46</v>
      </c>
      <c r="B15681" t="s">
        <v>15611</v>
      </c>
      <c r="C15681">
        <v>14576</v>
      </c>
      <c r="D15681" t="str">
        <f>"0268-3768"</f>
        <v>0268-3768</v>
      </c>
      <c r="E15681" t="s">
        <v>8</v>
      </c>
      <c r="F15681" t="s">
        <v>15686</v>
      </c>
      <c r="G15681">
        <v>1</v>
      </c>
    </row>
    <row r="15682" spans="1:7" x14ac:dyDescent="0.25">
      <c r="A15682">
        <v>46</v>
      </c>
      <c r="B15682" t="s">
        <v>15611</v>
      </c>
      <c r="C15682">
        <v>1435</v>
      </c>
      <c r="D15682" t="str">
        <f>"1229-9138"</f>
        <v>1229-9138</v>
      </c>
      <c r="E15682" t="s">
        <v>8</v>
      </c>
      <c r="F15682" t="s">
        <v>15687</v>
      </c>
      <c r="G15682">
        <v>1</v>
      </c>
    </row>
    <row r="15683" spans="1:7" x14ac:dyDescent="0.25">
      <c r="A15683">
        <v>46</v>
      </c>
      <c r="B15683" t="s">
        <v>15611</v>
      </c>
      <c r="C15683">
        <v>2300</v>
      </c>
      <c r="D15683" t="str">
        <f>"0218-1274"</f>
        <v>0218-1274</v>
      </c>
      <c r="E15683" t="s">
        <v>8</v>
      </c>
      <c r="F15683" t="s">
        <v>15688</v>
      </c>
      <c r="G15683">
        <v>1</v>
      </c>
    </row>
    <row r="15684" spans="1:7" x14ac:dyDescent="0.25">
      <c r="A15684">
        <v>46</v>
      </c>
      <c r="B15684" t="s">
        <v>15611</v>
      </c>
      <c r="C15684">
        <v>11172</v>
      </c>
      <c r="D15684" t="str">
        <f>"1061-8562"</f>
        <v>1061-8562</v>
      </c>
      <c r="E15684" t="s">
        <v>8</v>
      </c>
      <c r="F15684" t="s">
        <v>15689</v>
      </c>
      <c r="G15684">
        <v>1</v>
      </c>
    </row>
    <row r="15685" spans="1:7" x14ac:dyDescent="0.25">
      <c r="A15685">
        <v>46</v>
      </c>
      <c r="B15685" t="s">
        <v>15611</v>
      </c>
      <c r="C15685">
        <v>245</v>
      </c>
      <c r="D15685" t="str">
        <f>"0951-192X"</f>
        <v>0951-192X</v>
      </c>
      <c r="E15685" t="s">
        <v>8</v>
      </c>
      <c r="F15685" t="s">
        <v>15690</v>
      </c>
      <c r="G15685">
        <v>1</v>
      </c>
    </row>
    <row r="15686" spans="1:7" x14ac:dyDescent="0.25">
      <c r="A15686">
        <v>46</v>
      </c>
      <c r="B15686" t="s">
        <v>15611</v>
      </c>
      <c r="C15686">
        <v>12888</v>
      </c>
      <c r="D15686" t="str">
        <f>"1468-0874"</f>
        <v>1468-0874</v>
      </c>
      <c r="E15686" t="s">
        <v>8</v>
      </c>
      <c r="F15686" t="s">
        <v>15691</v>
      </c>
      <c r="G15686">
        <v>1</v>
      </c>
    </row>
    <row r="15687" spans="1:7" x14ac:dyDescent="0.25">
      <c r="A15687">
        <v>46</v>
      </c>
      <c r="B15687" t="s">
        <v>15611</v>
      </c>
      <c r="C15687">
        <v>225</v>
      </c>
      <c r="D15687" t="str">
        <f>"0020-7225"</f>
        <v>0020-7225</v>
      </c>
      <c r="E15687" t="s">
        <v>8</v>
      </c>
      <c r="F15687" t="s">
        <v>15692</v>
      </c>
      <c r="G15687">
        <v>1</v>
      </c>
    </row>
    <row r="15688" spans="1:7" x14ac:dyDescent="0.25">
      <c r="A15688">
        <v>46</v>
      </c>
      <c r="B15688" t="s">
        <v>15611</v>
      </c>
      <c r="C15688">
        <v>11712</v>
      </c>
      <c r="D15688" t="str">
        <f>"0142-1123"</f>
        <v>0142-1123</v>
      </c>
      <c r="E15688" t="s">
        <v>8</v>
      </c>
      <c r="F15688" t="s">
        <v>15693</v>
      </c>
      <c r="G15688">
        <v>1</v>
      </c>
    </row>
    <row r="15689" spans="1:7" x14ac:dyDescent="0.25">
      <c r="A15689">
        <v>46</v>
      </c>
      <c r="B15689" t="s">
        <v>15611</v>
      </c>
      <c r="C15689">
        <v>3126</v>
      </c>
      <c r="D15689" t="str">
        <f>"0017-9310"</f>
        <v>0017-9310</v>
      </c>
      <c r="E15689" t="s">
        <v>8</v>
      </c>
      <c r="F15689" t="s">
        <v>15694</v>
      </c>
      <c r="G15689">
        <v>1</v>
      </c>
    </row>
    <row r="15690" spans="1:7" x14ac:dyDescent="0.25">
      <c r="A15690">
        <v>46</v>
      </c>
      <c r="B15690" t="s">
        <v>15611</v>
      </c>
      <c r="C15690">
        <v>17506</v>
      </c>
      <c r="D15690" t="str">
        <f>"1744-232X"</f>
        <v>1744-232X</v>
      </c>
      <c r="E15690" t="s">
        <v>8</v>
      </c>
      <c r="F15690" t="s">
        <v>15695</v>
      </c>
      <c r="G15690">
        <v>1</v>
      </c>
    </row>
    <row r="15691" spans="1:7" x14ac:dyDescent="0.25">
      <c r="A15691">
        <v>46</v>
      </c>
      <c r="B15691" t="s">
        <v>15611</v>
      </c>
      <c r="C15691">
        <v>12188</v>
      </c>
      <c r="D15691" t="str">
        <f>"0734-743X"</f>
        <v>0734-743X</v>
      </c>
      <c r="E15691" t="s">
        <v>8</v>
      </c>
      <c r="F15691" t="s">
        <v>15696</v>
      </c>
      <c r="G15691">
        <v>1</v>
      </c>
    </row>
    <row r="15692" spans="1:7" x14ac:dyDescent="0.25">
      <c r="A15692">
        <v>46</v>
      </c>
      <c r="B15692" t="s">
        <v>15611</v>
      </c>
      <c r="C15692">
        <v>16084</v>
      </c>
      <c r="D15692" t="str">
        <f>"1072-4761"</f>
        <v>1072-4761</v>
      </c>
      <c r="E15692" t="s">
        <v>8</v>
      </c>
      <c r="F15692" t="s">
        <v>15697</v>
      </c>
      <c r="G15692">
        <v>1</v>
      </c>
    </row>
    <row r="15693" spans="1:7" x14ac:dyDescent="0.25">
      <c r="A15693">
        <v>46</v>
      </c>
      <c r="B15693" t="s">
        <v>15611</v>
      </c>
      <c r="C15693">
        <v>5202</v>
      </c>
      <c r="D15693" t="str">
        <f>"1368-2148"</f>
        <v>1368-2148</v>
      </c>
      <c r="E15693" t="s">
        <v>8</v>
      </c>
      <c r="F15693" t="s">
        <v>15698</v>
      </c>
      <c r="G15693">
        <v>1</v>
      </c>
    </row>
    <row r="15694" spans="1:7" x14ac:dyDescent="0.25">
      <c r="A15694">
        <v>46</v>
      </c>
      <c r="B15694" t="s">
        <v>15611</v>
      </c>
      <c r="C15694">
        <v>26225</v>
      </c>
      <c r="D15694" t="str">
        <f>"1742-4208"</f>
        <v>1742-4208</v>
      </c>
      <c r="E15694" t="s">
        <v>8</v>
      </c>
      <c r="F15694" t="s">
        <v>15699</v>
      </c>
      <c r="G15694">
        <v>1</v>
      </c>
    </row>
    <row r="15695" spans="1:7" x14ac:dyDescent="0.25">
      <c r="A15695">
        <v>46</v>
      </c>
      <c r="B15695" t="s">
        <v>15611</v>
      </c>
      <c r="C15695">
        <v>19435</v>
      </c>
      <c r="D15695" t="str">
        <f>"1960-6206"</f>
        <v>1960-6206</v>
      </c>
      <c r="E15695" t="s">
        <v>8</v>
      </c>
      <c r="F15695" t="s">
        <v>15700</v>
      </c>
      <c r="G15695">
        <v>1</v>
      </c>
    </row>
    <row r="15696" spans="1:7" x14ac:dyDescent="0.25">
      <c r="A15696">
        <v>46</v>
      </c>
      <c r="B15696" t="s">
        <v>15611</v>
      </c>
      <c r="C15696">
        <v>3590</v>
      </c>
      <c r="D15696" t="str">
        <f>"0268-1900"</f>
        <v>0268-1900</v>
      </c>
      <c r="E15696" t="s">
        <v>8</v>
      </c>
      <c r="F15696" t="s">
        <v>15701</v>
      </c>
      <c r="G15696">
        <v>1</v>
      </c>
    </row>
    <row r="15697" spans="1:7" x14ac:dyDescent="0.25">
      <c r="A15697">
        <v>46</v>
      </c>
      <c r="B15697" t="s">
        <v>15611</v>
      </c>
      <c r="C15697">
        <v>16769</v>
      </c>
      <c r="D15697" t="str">
        <f>"0020-7403"</f>
        <v>0020-7403</v>
      </c>
      <c r="E15697" t="s">
        <v>8</v>
      </c>
      <c r="F15697" t="s">
        <v>15702</v>
      </c>
      <c r="G15697">
        <v>1</v>
      </c>
    </row>
    <row r="15698" spans="1:7" x14ac:dyDescent="0.25">
      <c r="A15698">
        <v>46</v>
      </c>
      <c r="B15698" t="s">
        <v>15611</v>
      </c>
      <c r="C15698">
        <v>14879</v>
      </c>
      <c r="D15698" t="str">
        <f>"0091-4037"</f>
        <v>0091-4037</v>
      </c>
      <c r="E15698" t="s">
        <v>8</v>
      </c>
      <c r="F15698" t="s">
        <v>15703</v>
      </c>
      <c r="G15698">
        <v>1</v>
      </c>
    </row>
    <row r="15699" spans="1:7" x14ac:dyDescent="0.25">
      <c r="A15699">
        <v>46</v>
      </c>
      <c r="B15699" t="s">
        <v>15611</v>
      </c>
      <c r="C15699">
        <v>1204</v>
      </c>
      <c r="D15699" t="str">
        <f>"0308-0161"</f>
        <v>0308-0161</v>
      </c>
      <c r="E15699" t="s">
        <v>8</v>
      </c>
      <c r="F15699" t="s">
        <v>15704</v>
      </c>
      <c r="G15699">
        <v>1</v>
      </c>
    </row>
    <row r="15700" spans="1:7" x14ac:dyDescent="0.25">
      <c r="A15700">
        <v>46</v>
      </c>
      <c r="B15700" t="s">
        <v>15611</v>
      </c>
      <c r="C15700">
        <v>2883</v>
      </c>
      <c r="D15700" t="str">
        <f>"1477-9056"</f>
        <v>1477-9056</v>
      </c>
      <c r="E15700" t="s">
        <v>8</v>
      </c>
      <c r="F15700" t="s">
        <v>15705</v>
      </c>
      <c r="G15700">
        <v>1</v>
      </c>
    </row>
    <row r="15701" spans="1:7" x14ac:dyDescent="0.25">
      <c r="A15701">
        <v>46</v>
      </c>
      <c r="B15701" t="s">
        <v>15611</v>
      </c>
      <c r="C15701">
        <v>2418</v>
      </c>
      <c r="D15701" t="str">
        <f>"1743-5110"</f>
        <v>1743-5110</v>
      </c>
      <c r="E15701" t="s">
        <v>8</v>
      </c>
      <c r="F15701" t="s">
        <v>15706</v>
      </c>
      <c r="G15701">
        <v>1</v>
      </c>
    </row>
    <row r="15702" spans="1:7" x14ac:dyDescent="0.25">
      <c r="A15702">
        <v>46</v>
      </c>
      <c r="B15702" t="s">
        <v>15611</v>
      </c>
      <c r="C15702">
        <v>2400</v>
      </c>
      <c r="D15702" t="str">
        <f>"0020-7543"</f>
        <v>0020-7543</v>
      </c>
      <c r="E15702" t="s">
        <v>8</v>
      </c>
      <c r="F15702" t="s">
        <v>15707</v>
      </c>
      <c r="G15702">
        <v>1</v>
      </c>
    </row>
    <row r="15703" spans="1:7" x14ac:dyDescent="0.25">
      <c r="A15703">
        <v>46</v>
      </c>
      <c r="B15703" t="s">
        <v>15611</v>
      </c>
      <c r="C15703">
        <v>10549</v>
      </c>
      <c r="D15703" t="str">
        <f>"1023-621X"</f>
        <v>1023-621X</v>
      </c>
      <c r="E15703" t="s">
        <v>8</v>
      </c>
      <c r="F15703" t="s">
        <v>15708</v>
      </c>
      <c r="G15703">
        <v>1</v>
      </c>
    </row>
    <row r="15704" spans="1:7" x14ac:dyDescent="0.25">
      <c r="A15704">
        <v>46</v>
      </c>
      <c r="B15704" t="s">
        <v>15611</v>
      </c>
      <c r="C15704">
        <v>2413</v>
      </c>
      <c r="D15704" t="str">
        <f>"1740-2123"</f>
        <v>1740-2123</v>
      </c>
      <c r="E15704" t="s">
        <v>8</v>
      </c>
      <c r="F15704" t="s">
        <v>15709</v>
      </c>
      <c r="G15704">
        <v>1</v>
      </c>
    </row>
    <row r="15705" spans="1:7" x14ac:dyDescent="0.25">
      <c r="A15705">
        <v>46</v>
      </c>
      <c r="B15705" t="s">
        <v>15611</v>
      </c>
      <c r="C15705">
        <v>14162</v>
      </c>
      <c r="D15705" t="str">
        <f>"0219-4554"</f>
        <v>0219-4554</v>
      </c>
      <c r="E15705" t="s">
        <v>8</v>
      </c>
      <c r="F15705" t="s">
        <v>15710</v>
      </c>
      <c r="G15705">
        <v>1</v>
      </c>
    </row>
    <row r="15706" spans="1:7" x14ac:dyDescent="0.25">
      <c r="A15706">
        <v>46</v>
      </c>
      <c r="B15706" t="s">
        <v>15611</v>
      </c>
      <c r="C15706">
        <v>9284</v>
      </c>
      <c r="D15706" t="str">
        <f>"1290-0729"</f>
        <v>1290-0729</v>
      </c>
      <c r="E15706" t="s">
        <v>8</v>
      </c>
      <c r="F15706" t="s">
        <v>15711</v>
      </c>
      <c r="G15706">
        <v>1</v>
      </c>
    </row>
    <row r="15707" spans="1:7" x14ac:dyDescent="0.25">
      <c r="A15707">
        <v>46</v>
      </c>
      <c r="B15707" t="s">
        <v>15611</v>
      </c>
      <c r="C15707">
        <v>4625</v>
      </c>
      <c r="D15707" t="str">
        <f>"0334-0082"</f>
        <v>0334-0082</v>
      </c>
      <c r="E15707" t="s">
        <v>8</v>
      </c>
      <c r="F15707" t="s">
        <v>15712</v>
      </c>
      <c r="G15707">
        <v>1</v>
      </c>
    </row>
    <row r="15708" spans="1:7" x14ac:dyDescent="0.25">
      <c r="A15708">
        <v>46</v>
      </c>
      <c r="B15708" t="s">
        <v>15611</v>
      </c>
      <c r="C15708">
        <v>20794</v>
      </c>
      <c r="D15708" t="str">
        <f>"1471-0226"</f>
        <v>1471-0226</v>
      </c>
      <c r="E15708" t="s">
        <v>8</v>
      </c>
      <c r="F15708" t="s">
        <v>15713</v>
      </c>
      <c r="G15708">
        <v>1</v>
      </c>
    </row>
    <row r="15709" spans="1:7" x14ac:dyDescent="0.25">
      <c r="A15709">
        <v>46</v>
      </c>
      <c r="B15709" t="s">
        <v>15611</v>
      </c>
      <c r="C15709">
        <v>4655</v>
      </c>
      <c r="D15709" t="str">
        <f>"0143-3369"</f>
        <v>0143-3369</v>
      </c>
      <c r="E15709" t="s">
        <v>8</v>
      </c>
      <c r="F15709" t="s">
        <v>15714</v>
      </c>
      <c r="G15709">
        <v>1</v>
      </c>
    </row>
    <row r="15710" spans="1:7" x14ac:dyDescent="0.25">
      <c r="A15710">
        <v>46</v>
      </c>
      <c r="B15710" t="s">
        <v>15611</v>
      </c>
      <c r="C15710">
        <v>24154</v>
      </c>
      <c r="D15710" t="str">
        <f>"1745-6436"</f>
        <v>1745-6436</v>
      </c>
      <c r="E15710" t="s">
        <v>8</v>
      </c>
      <c r="F15710" t="s">
        <v>15715</v>
      </c>
      <c r="G15710">
        <v>1</v>
      </c>
    </row>
    <row r="15711" spans="1:7" x14ac:dyDescent="0.25">
      <c r="A15711">
        <v>46</v>
      </c>
      <c r="B15711" t="s">
        <v>15611</v>
      </c>
      <c r="C15711">
        <v>366</v>
      </c>
      <c r="D15711" t="str">
        <f>"1473-3315"</f>
        <v>1473-3315</v>
      </c>
      <c r="E15711" t="s">
        <v>8</v>
      </c>
      <c r="F15711" t="s">
        <v>15716</v>
      </c>
      <c r="G15711">
        <v>1</v>
      </c>
    </row>
    <row r="15712" spans="1:7" x14ac:dyDescent="0.25">
      <c r="A15712">
        <v>46</v>
      </c>
      <c r="B15712" t="s">
        <v>15611</v>
      </c>
      <c r="C15712">
        <v>24622</v>
      </c>
      <c r="D15712" t="str">
        <f>"1955-2513"</f>
        <v>1955-2513</v>
      </c>
      <c r="E15712" t="s">
        <v>8</v>
      </c>
      <c r="F15712" t="s">
        <v>15717</v>
      </c>
      <c r="G15712">
        <v>1</v>
      </c>
    </row>
    <row r="15713" spans="1:7" x14ac:dyDescent="0.25">
      <c r="A15713">
        <v>46</v>
      </c>
      <c r="B15713" t="s">
        <v>15611</v>
      </c>
      <c r="C15713">
        <v>4131</v>
      </c>
      <c r="D15713" t="str">
        <f>"0930-777X"</f>
        <v>0930-777X</v>
      </c>
      <c r="E15713" t="s">
        <v>8</v>
      </c>
      <c r="F15713" t="s">
        <v>15718</v>
      </c>
      <c r="G15713">
        <v>1</v>
      </c>
    </row>
    <row r="15714" spans="1:7" x14ac:dyDescent="0.25">
      <c r="A15714">
        <v>46</v>
      </c>
      <c r="B15714" t="s">
        <v>15611</v>
      </c>
      <c r="C15714">
        <v>5773</v>
      </c>
      <c r="D15714" t="str">
        <f>"0219-6867"</f>
        <v>0219-6867</v>
      </c>
      <c r="E15714" t="s">
        <v>8</v>
      </c>
      <c r="F15714" t="s">
        <v>15719</v>
      </c>
      <c r="G15714">
        <v>1</v>
      </c>
    </row>
    <row r="15715" spans="1:7" x14ac:dyDescent="0.25">
      <c r="A15715">
        <v>46</v>
      </c>
      <c r="B15715" t="s">
        <v>15611</v>
      </c>
      <c r="C15715">
        <v>7410</v>
      </c>
      <c r="D15715" t="str">
        <f>"0893-1321"</f>
        <v>0893-1321</v>
      </c>
      <c r="E15715" t="s">
        <v>8</v>
      </c>
      <c r="F15715" t="s">
        <v>15720</v>
      </c>
      <c r="G15715">
        <v>1</v>
      </c>
    </row>
    <row r="15716" spans="1:7" x14ac:dyDescent="0.25">
      <c r="A15716">
        <v>46</v>
      </c>
      <c r="B15716" t="s">
        <v>15611</v>
      </c>
      <c r="C15716">
        <v>1421</v>
      </c>
      <c r="D15716" t="str">
        <f>"0021-8669"</f>
        <v>0021-8669</v>
      </c>
      <c r="E15716" t="s">
        <v>8</v>
      </c>
      <c r="F15716" t="s">
        <v>15721</v>
      </c>
      <c r="G15716">
        <v>1</v>
      </c>
    </row>
    <row r="15717" spans="1:7" x14ac:dyDescent="0.25">
      <c r="A15717">
        <v>46</v>
      </c>
      <c r="B15717" t="s">
        <v>15611</v>
      </c>
      <c r="C15717">
        <v>10698</v>
      </c>
      <c r="D15717" t="str">
        <f>"0021-8928"</f>
        <v>0021-8928</v>
      </c>
      <c r="E15717" t="s">
        <v>8</v>
      </c>
      <c r="F15717" t="s">
        <v>15722</v>
      </c>
      <c r="G15717">
        <v>1</v>
      </c>
    </row>
    <row r="15718" spans="1:7" x14ac:dyDescent="0.25">
      <c r="A15718">
        <v>46</v>
      </c>
      <c r="B15718" t="s">
        <v>15611</v>
      </c>
      <c r="C15718">
        <v>5362</v>
      </c>
      <c r="D15718" t="str">
        <f>"0021-8944"</f>
        <v>0021-8944</v>
      </c>
      <c r="E15718" t="s">
        <v>8</v>
      </c>
      <c r="F15718" t="s">
        <v>15723</v>
      </c>
      <c r="G15718">
        <v>1</v>
      </c>
    </row>
    <row r="15719" spans="1:7" x14ac:dyDescent="0.25">
      <c r="A15719">
        <v>46</v>
      </c>
      <c r="B15719" t="s">
        <v>15611</v>
      </c>
      <c r="C15719">
        <v>27603</v>
      </c>
      <c r="D15719" t="str">
        <f>"1559-9590"</f>
        <v>1559-9590</v>
      </c>
      <c r="E15719" t="s">
        <v>8</v>
      </c>
      <c r="F15719" t="s">
        <v>15724</v>
      </c>
      <c r="G15719">
        <v>1</v>
      </c>
    </row>
    <row r="15720" spans="1:7" x14ac:dyDescent="0.25">
      <c r="A15720">
        <v>46</v>
      </c>
      <c r="B15720" t="s">
        <v>15611</v>
      </c>
      <c r="C15720">
        <v>11291</v>
      </c>
      <c r="D15720" t="str">
        <f>"0021-9983"</f>
        <v>0021-9983</v>
      </c>
      <c r="E15720" t="s">
        <v>8</v>
      </c>
      <c r="F15720" t="s">
        <v>15725</v>
      </c>
      <c r="G15720">
        <v>1</v>
      </c>
    </row>
    <row r="15721" spans="1:7" x14ac:dyDescent="0.25">
      <c r="A15721">
        <v>46</v>
      </c>
      <c r="B15721" t="s">
        <v>15611</v>
      </c>
      <c r="C15721">
        <v>12093</v>
      </c>
      <c r="D15721" t="str">
        <f>"0218-396X"</f>
        <v>0218-396X</v>
      </c>
      <c r="E15721" t="s">
        <v>8</v>
      </c>
      <c r="F15721" t="s">
        <v>15726</v>
      </c>
      <c r="G15721">
        <v>1</v>
      </c>
    </row>
    <row r="15722" spans="1:7" x14ac:dyDescent="0.25">
      <c r="A15722">
        <v>46</v>
      </c>
      <c r="B15722" t="s">
        <v>15611</v>
      </c>
      <c r="C15722">
        <v>7156</v>
      </c>
      <c r="D15722" t="str">
        <f>"1546-1955"</f>
        <v>1546-1955</v>
      </c>
      <c r="E15722" t="s">
        <v>8</v>
      </c>
      <c r="F15722" t="s">
        <v>15727</v>
      </c>
      <c r="G15722">
        <v>1</v>
      </c>
    </row>
    <row r="15723" spans="1:7" x14ac:dyDescent="0.25">
      <c r="A15723">
        <v>46</v>
      </c>
      <c r="B15723" t="s">
        <v>15611</v>
      </c>
      <c r="C15723">
        <v>180115</v>
      </c>
      <c r="D15723" t="str">
        <f>"2288-4300"</f>
        <v>2288-4300</v>
      </c>
      <c r="E15723" t="s">
        <v>8</v>
      </c>
      <c r="F15723" t="s">
        <v>15728</v>
      </c>
      <c r="G15723">
        <v>1</v>
      </c>
    </row>
    <row r="15724" spans="1:7" x14ac:dyDescent="0.25">
      <c r="A15724">
        <v>46</v>
      </c>
      <c r="B15724" t="s">
        <v>15611</v>
      </c>
      <c r="C15724">
        <v>9450</v>
      </c>
      <c r="D15724" t="str">
        <f>"1530-9827"</f>
        <v>1530-9827</v>
      </c>
      <c r="E15724" t="s">
        <v>8</v>
      </c>
      <c r="F15724" t="s">
        <v>15729</v>
      </c>
      <c r="G15724">
        <v>1</v>
      </c>
    </row>
    <row r="15725" spans="1:7" x14ac:dyDescent="0.25">
      <c r="A15725">
        <v>46</v>
      </c>
      <c r="B15725" t="s">
        <v>15611</v>
      </c>
      <c r="C15725">
        <v>3332</v>
      </c>
      <c r="D15725" t="str">
        <f>"0374-3535"</f>
        <v>0374-3535</v>
      </c>
      <c r="E15725" t="s">
        <v>8</v>
      </c>
      <c r="F15725" t="s">
        <v>15730</v>
      </c>
      <c r="G15725">
        <v>1</v>
      </c>
    </row>
    <row r="15726" spans="1:7" x14ac:dyDescent="0.25">
      <c r="A15726">
        <v>46</v>
      </c>
      <c r="B15726" t="s">
        <v>15611</v>
      </c>
      <c r="C15726">
        <v>13824</v>
      </c>
      <c r="D15726" t="str">
        <f>"0742-4795"</f>
        <v>0742-4795</v>
      </c>
      <c r="E15726" t="s">
        <v>8</v>
      </c>
      <c r="F15726" t="s">
        <v>15731</v>
      </c>
      <c r="G15726">
        <v>1</v>
      </c>
    </row>
    <row r="15727" spans="1:7" x14ac:dyDescent="0.25">
      <c r="A15727">
        <v>46</v>
      </c>
      <c r="B15727" t="s">
        <v>15611</v>
      </c>
      <c r="C15727">
        <v>13396</v>
      </c>
      <c r="D15727" t="str">
        <f>"0889-9746"</f>
        <v>0889-9746</v>
      </c>
      <c r="E15727" t="s">
        <v>8</v>
      </c>
      <c r="F15727" t="s">
        <v>15732</v>
      </c>
      <c r="G15727">
        <v>1</v>
      </c>
    </row>
    <row r="15728" spans="1:7" x14ac:dyDescent="0.25">
      <c r="A15728">
        <v>46</v>
      </c>
      <c r="B15728" t="s">
        <v>15611</v>
      </c>
      <c r="C15728">
        <v>3075</v>
      </c>
      <c r="D15728" t="str">
        <f>"0098-2202"</f>
        <v>0098-2202</v>
      </c>
      <c r="E15728" t="s">
        <v>8</v>
      </c>
      <c r="F15728" t="s">
        <v>15733</v>
      </c>
      <c r="G15728">
        <v>1</v>
      </c>
    </row>
    <row r="15729" spans="1:7" x14ac:dyDescent="0.25">
      <c r="A15729">
        <v>46</v>
      </c>
      <c r="B15729" t="s">
        <v>15611</v>
      </c>
      <c r="C15729">
        <v>128636</v>
      </c>
      <c r="E15729" t="s">
        <v>8</v>
      </c>
      <c r="F15729" t="s">
        <v>15734</v>
      </c>
      <c r="G15729">
        <v>1</v>
      </c>
    </row>
    <row r="15730" spans="1:7" x14ac:dyDescent="0.25">
      <c r="A15730">
        <v>46</v>
      </c>
      <c r="B15730" t="s">
        <v>15611</v>
      </c>
      <c r="C15730">
        <v>16002</v>
      </c>
      <c r="D15730" t="str">
        <f>"0925-5001"</f>
        <v>0925-5001</v>
      </c>
      <c r="E15730" t="s">
        <v>8</v>
      </c>
      <c r="F15730" t="s">
        <v>15735</v>
      </c>
      <c r="G15730">
        <v>1</v>
      </c>
    </row>
    <row r="15731" spans="1:7" x14ac:dyDescent="0.25">
      <c r="A15731">
        <v>46</v>
      </c>
      <c r="B15731" t="s">
        <v>15611</v>
      </c>
      <c r="C15731">
        <v>5285</v>
      </c>
      <c r="D15731" t="str">
        <f>"0022-1481"</f>
        <v>0022-1481</v>
      </c>
      <c r="E15731" t="s">
        <v>8</v>
      </c>
      <c r="F15731" t="s">
        <v>15736</v>
      </c>
      <c r="G15731">
        <v>1</v>
      </c>
    </row>
    <row r="15732" spans="1:7" x14ac:dyDescent="0.25">
      <c r="A15732">
        <v>46</v>
      </c>
      <c r="B15732" t="s">
        <v>15611</v>
      </c>
      <c r="C15732">
        <v>9101</v>
      </c>
      <c r="D15732" t="str">
        <f>"0022-1686"</f>
        <v>0022-1686</v>
      </c>
      <c r="E15732" t="s">
        <v>8</v>
      </c>
      <c r="F15732" t="s">
        <v>15737</v>
      </c>
      <c r="G15732">
        <v>1</v>
      </c>
    </row>
    <row r="15733" spans="1:7" x14ac:dyDescent="0.25">
      <c r="A15733">
        <v>46</v>
      </c>
      <c r="B15733" t="s">
        <v>15611</v>
      </c>
      <c r="C15733">
        <v>3785</v>
      </c>
      <c r="D15733" t="str">
        <f>"0956-5515"</f>
        <v>0956-5515</v>
      </c>
      <c r="E15733" t="s">
        <v>8</v>
      </c>
      <c r="F15733" t="s">
        <v>15738</v>
      </c>
      <c r="G15733">
        <v>1</v>
      </c>
    </row>
    <row r="15734" spans="1:7" x14ac:dyDescent="0.25">
      <c r="A15734">
        <v>46</v>
      </c>
      <c r="B15734" t="s">
        <v>15611</v>
      </c>
      <c r="C15734">
        <v>13472</v>
      </c>
      <c r="D15734" t="str">
        <f>"1042-346X"</f>
        <v>1042-346X</v>
      </c>
      <c r="E15734" t="s">
        <v>8</v>
      </c>
      <c r="F15734" t="s">
        <v>15739</v>
      </c>
      <c r="G15734">
        <v>1</v>
      </c>
    </row>
    <row r="15735" spans="1:7" x14ac:dyDescent="0.25">
      <c r="A15735">
        <v>46</v>
      </c>
      <c r="B15735" t="s">
        <v>15611</v>
      </c>
      <c r="C15735">
        <v>15459</v>
      </c>
      <c r="D15735" t="str">
        <f>"1461-3484"</f>
        <v>1461-3484</v>
      </c>
      <c r="E15735" t="s">
        <v>8</v>
      </c>
      <c r="F15735" t="s">
        <v>15740</v>
      </c>
      <c r="G15735">
        <v>1</v>
      </c>
    </row>
    <row r="15736" spans="1:7" x14ac:dyDescent="0.25">
      <c r="A15736">
        <v>46</v>
      </c>
      <c r="B15736" t="s">
        <v>15611</v>
      </c>
      <c r="C15736">
        <v>27254</v>
      </c>
      <c r="D15736" t="str">
        <f>"0973-6867"</f>
        <v>0973-6867</v>
      </c>
      <c r="E15736" t="s">
        <v>8</v>
      </c>
      <c r="F15736" t="s">
        <v>15741</v>
      </c>
      <c r="G15736">
        <v>1</v>
      </c>
    </row>
    <row r="15737" spans="1:7" x14ac:dyDescent="0.25">
      <c r="A15737">
        <v>46</v>
      </c>
      <c r="B15737" t="s">
        <v>15611</v>
      </c>
      <c r="C15737">
        <v>5883</v>
      </c>
      <c r="D15737" t="str">
        <f>"0948-4280"</f>
        <v>0948-4280</v>
      </c>
      <c r="E15737" t="s">
        <v>8</v>
      </c>
      <c r="F15737" t="s">
        <v>11806</v>
      </c>
      <c r="G15737">
        <v>1</v>
      </c>
    </row>
    <row r="15738" spans="1:7" x14ac:dyDescent="0.25">
      <c r="A15738">
        <v>46</v>
      </c>
      <c r="B15738" t="s">
        <v>15611</v>
      </c>
      <c r="C15738">
        <v>13047</v>
      </c>
      <c r="D15738" t="str">
        <f>"0924-0136"</f>
        <v>0924-0136</v>
      </c>
      <c r="E15738" t="s">
        <v>8</v>
      </c>
      <c r="F15738" t="s">
        <v>15742</v>
      </c>
      <c r="G15738">
        <v>1</v>
      </c>
    </row>
    <row r="15739" spans="1:7" x14ac:dyDescent="0.25">
      <c r="A15739">
        <v>46</v>
      </c>
      <c r="B15739" t="s">
        <v>15611</v>
      </c>
      <c r="C15739">
        <v>17393</v>
      </c>
      <c r="D15739" t="str">
        <f>"1738-494X"</f>
        <v>1738-494X</v>
      </c>
      <c r="E15739" t="s">
        <v>8</v>
      </c>
      <c r="F15739" t="s">
        <v>15743</v>
      </c>
      <c r="G15739">
        <v>1</v>
      </c>
    </row>
    <row r="15740" spans="1:7" x14ac:dyDescent="0.25">
      <c r="A15740">
        <v>46</v>
      </c>
      <c r="B15740" t="s">
        <v>15611</v>
      </c>
      <c r="C15740">
        <v>13448</v>
      </c>
      <c r="D15740" t="str">
        <f>"0022-3093"</f>
        <v>0022-3093</v>
      </c>
      <c r="E15740" t="s">
        <v>8</v>
      </c>
      <c r="F15740" t="s">
        <v>15744</v>
      </c>
      <c r="G15740">
        <v>1</v>
      </c>
    </row>
    <row r="15741" spans="1:7" x14ac:dyDescent="0.25">
      <c r="A15741">
        <v>46</v>
      </c>
      <c r="B15741" t="s">
        <v>15611</v>
      </c>
      <c r="C15741">
        <v>8783557</v>
      </c>
      <c r="E15741" t="s">
        <v>8</v>
      </c>
      <c r="F15741" t="s">
        <v>15238</v>
      </c>
      <c r="G15741">
        <v>1</v>
      </c>
    </row>
    <row r="15742" spans="1:7" x14ac:dyDescent="0.25">
      <c r="A15742">
        <v>46</v>
      </c>
      <c r="B15742" t="s">
        <v>15611</v>
      </c>
      <c r="C15742">
        <v>1633</v>
      </c>
      <c r="D15742" t="str">
        <f>"0887-3828"</f>
        <v>0887-3828</v>
      </c>
      <c r="E15742" t="s">
        <v>8</v>
      </c>
      <c r="F15742" t="s">
        <v>15745</v>
      </c>
      <c r="G15742">
        <v>1</v>
      </c>
    </row>
    <row r="15743" spans="1:7" x14ac:dyDescent="0.25">
      <c r="A15743">
        <v>46</v>
      </c>
      <c r="B15743" t="s">
        <v>15611</v>
      </c>
      <c r="C15743">
        <v>4729</v>
      </c>
      <c r="D15743" t="str">
        <f>"0094-9930"</f>
        <v>0094-9930</v>
      </c>
      <c r="E15743" t="s">
        <v>8</v>
      </c>
      <c r="F15743" t="s">
        <v>15746</v>
      </c>
      <c r="G15743">
        <v>1</v>
      </c>
    </row>
    <row r="15744" spans="1:7" x14ac:dyDescent="0.25">
      <c r="A15744">
        <v>46</v>
      </c>
      <c r="B15744" t="s">
        <v>15611</v>
      </c>
      <c r="C15744">
        <v>15967</v>
      </c>
      <c r="D15744" t="str">
        <f>"0748-4658"</f>
        <v>0748-4658</v>
      </c>
      <c r="E15744" t="s">
        <v>8</v>
      </c>
      <c r="F15744" t="s">
        <v>15747</v>
      </c>
      <c r="G15744">
        <v>1</v>
      </c>
    </row>
    <row r="15745" spans="1:7" x14ac:dyDescent="0.25">
      <c r="A15745">
        <v>46</v>
      </c>
      <c r="B15745" t="s">
        <v>15611</v>
      </c>
      <c r="C15745">
        <v>6454</v>
      </c>
      <c r="D15745" t="str">
        <f>"0022-4502"</f>
        <v>0022-4502</v>
      </c>
      <c r="E15745" t="s">
        <v>8</v>
      </c>
      <c r="F15745" t="s">
        <v>15748</v>
      </c>
      <c r="G15745">
        <v>1</v>
      </c>
    </row>
    <row r="15746" spans="1:7" x14ac:dyDescent="0.25">
      <c r="A15746">
        <v>46</v>
      </c>
      <c r="B15746" t="s">
        <v>15611</v>
      </c>
      <c r="C15746">
        <v>11034</v>
      </c>
      <c r="D15746" t="str">
        <f>"0022-4650"</f>
        <v>0022-4650</v>
      </c>
      <c r="E15746" t="s">
        <v>8</v>
      </c>
      <c r="F15746" t="s">
        <v>15749</v>
      </c>
      <c r="G15746">
        <v>1</v>
      </c>
    </row>
    <row r="15747" spans="1:7" x14ac:dyDescent="0.25">
      <c r="A15747">
        <v>46</v>
      </c>
      <c r="B15747" t="s">
        <v>15611</v>
      </c>
      <c r="C15747">
        <v>8581</v>
      </c>
      <c r="E15747" t="s">
        <v>8</v>
      </c>
      <c r="F15747" t="s">
        <v>15750</v>
      </c>
      <c r="G15747">
        <v>1</v>
      </c>
    </row>
    <row r="15748" spans="1:7" x14ac:dyDescent="0.25">
      <c r="A15748">
        <v>46</v>
      </c>
      <c r="B15748" t="s">
        <v>15611</v>
      </c>
      <c r="C15748">
        <v>658</v>
      </c>
      <c r="D15748" t="str">
        <f>"0021-9142"</f>
        <v>0021-9142</v>
      </c>
      <c r="E15748" t="s">
        <v>8</v>
      </c>
      <c r="F15748" t="s">
        <v>15751</v>
      </c>
      <c r="G15748">
        <v>1</v>
      </c>
    </row>
    <row r="15749" spans="1:7" x14ac:dyDescent="0.25">
      <c r="A15749">
        <v>46</v>
      </c>
      <c r="B15749" t="s">
        <v>15611</v>
      </c>
      <c r="C15749">
        <v>27450</v>
      </c>
      <c r="D15749" t="str">
        <f>"1678-5878"</f>
        <v>1678-5878</v>
      </c>
      <c r="E15749" t="s">
        <v>8</v>
      </c>
      <c r="F15749" t="s">
        <v>15752</v>
      </c>
      <c r="G15749">
        <v>1</v>
      </c>
    </row>
    <row r="15750" spans="1:7" x14ac:dyDescent="0.25">
      <c r="A15750">
        <v>46</v>
      </c>
      <c r="B15750" t="s">
        <v>15611</v>
      </c>
      <c r="C15750">
        <v>33841</v>
      </c>
      <c r="D15750" t="str">
        <f>"0334-8938"</f>
        <v>0334-8938</v>
      </c>
      <c r="E15750" t="s">
        <v>8</v>
      </c>
      <c r="F15750" t="s">
        <v>15753</v>
      </c>
      <c r="G15750">
        <v>1</v>
      </c>
    </row>
    <row r="15751" spans="1:7" x14ac:dyDescent="0.25">
      <c r="A15751">
        <v>46</v>
      </c>
      <c r="B15751" t="s">
        <v>15611</v>
      </c>
      <c r="C15751">
        <v>7501</v>
      </c>
      <c r="D15751" t="str">
        <f>"0740-3224"</f>
        <v>0740-3224</v>
      </c>
      <c r="E15751" t="s">
        <v>8</v>
      </c>
      <c r="F15751" t="s">
        <v>15754</v>
      </c>
      <c r="G15751">
        <v>1</v>
      </c>
    </row>
    <row r="15752" spans="1:7" x14ac:dyDescent="0.25">
      <c r="A15752">
        <v>46</v>
      </c>
      <c r="B15752" t="s">
        <v>15611</v>
      </c>
      <c r="C15752">
        <v>10115</v>
      </c>
      <c r="D15752" t="str">
        <f>"0149-5739"</f>
        <v>0149-5739</v>
      </c>
      <c r="E15752" t="s">
        <v>8</v>
      </c>
      <c r="F15752" t="s">
        <v>15755</v>
      </c>
      <c r="G15752">
        <v>1</v>
      </c>
    </row>
    <row r="15753" spans="1:7" x14ac:dyDescent="0.25">
      <c r="A15753">
        <v>46</v>
      </c>
      <c r="B15753" t="s">
        <v>15611</v>
      </c>
      <c r="C15753">
        <v>13172</v>
      </c>
      <c r="D15753" t="str">
        <f>"0892-7057"</f>
        <v>0892-7057</v>
      </c>
      <c r="E15753" t="s">
        <v>8</v>
      </c>
      <c r="F15753" t="s">
        <v>15756</v>
      </c>
      <c r="G15753">
        <v>1</v>
      </c>
    </row>
    <row r="15754" spans="1:7" x14ac:dyDescent="0.25">
      <c r="A15754">
        <v>46</v>
      </c>
      <c r="B15754" t="s">
        <v>15611</v>
      </c>
      <c r="C15754">
        <v>2831</v>
      </c>
      <c r="D15754" t="str">
        <f>"0742-4787"</f>
        <v>0742-4787</v>
      </c>
      <c r="E15754" t="s">
        <v>8</v>
      </c>
      <c r="F15754" t="s">
        <v>15757</v>
      </c>
      <c r="G15754">
        <v>1</v>
      </c>
    </row>
    <row r="15755" spans="1:7" x14ac:dyDescent="0.25">
      <c r="A15755">
        <v>46</v>
      </c>
      <c r="B15755" t="s">
        <v>15611</v>
      </c>
      <c r="C15755">
        <v>15746</v>
      </c>
      <c r="D15755" t="str">
        <f>"0889-504X"</f>
        <v>0889-504X</v>
      </c>
      <c r="E15755" t="s">
        <v>8</v>
      </c>
      <c r="F15755" t="s">
        <v>15758</v>
      </c>
      <c r="G15755">
        <v>1</v>
      </c>
    </row>
    <row r="15756" spans="1:7" x14ac:dyDescent="0.25">
      <c r="A15756">
        <v>46</v>
      </c>
      <c r="B15756" t="s">
        <v>15611</v>
      </c>
      <c r="C15756">
        <v>12496</v>
      </c>
      <c r="E15756" t="s">
        <v>8</v>
      </c>
      <c r="F15756" t="s">
        <v>15759</v>
      </c>
      <c r="G15756">
        <v>1</v>
      </c>
    </row>
    <row r="15757" spans="1:7" x14ac:dyDescent="0.25">
      <c r="A15757">
        <v>46</v>
      </c>
      <c r="B15757" t="s">
        <v>15611</v>
      </c>
      <c r="C15757">
        <v>10391</v>
      </c>
      <c r="D15757" t="str">
        <f>"1048-9002"</f>
        <v>1048-9002</v>
      </c>
      <c r="E15757" t="s">
        <v>8</v>
      </c>
      <c r="F15757" t="s">
        <v>15760</v>
      </c>
      <c r="G15757">
        <v>1</v>
      </c>
    </row>
    <row r="15758" spans="1:7" x14ac:dyDescent="0.25">
      <c r="A15758">
        <v>46</v>
      </c>
      <c r="B15758" t="s">
        <v>15611</v>
      </c>
      <c r="C15758">
        <v>8606</v>
      </c>
      <c r="D15758" t="str">
        <f>"1077-5463"</f>
        <v>1077-5463</v>
      </c>
      <c r="E15758" t="s">
        <v>8</v>
      </c>
      <c r="F15758" t="s">
        <v>15761</v>
      </c>
      <c r="G15758">
        <v>1</v>
      </c>
    </row>
    <row r="15759" spans="1:7" x14ac:dyDescent="0.25">
      <c r="A15759">
        <v>46</v>
      </c>
      <c r="B15759" t="s">
        <v>15611</v>
      </c>
      <c r="C15759">
        <v>12760</v>
      </c>
      <c r="D15759" t="str">
        <f>"0167-6105"</f>
        <v>0167-6105</v>
      </c>
      <c r="E15759" t="s">
        <v>8</v>
      </c>
      <c r="F15759" t="s">
        <v>15762</v>
      </c>
      <c r="G15759">
        <v>1</v>
      </c>
    </row>
    <row r="15760" spans="1:7" x14ac:dyDescent="0.25">
      <c r="A15760">
        <v>46</v>
      </c>
      <c r="B15760" t="s">
        <v>15611</v>
      </c>
      <c r="C15760">
        <v>27201</v>
      </c>
      <c r="D15760" t="str">
        <f>"1679-7817"</f>
        <v>1679-7817</v>
      </c>
      <c r="E15760" t="s">
        <v>8</v>
      </c>
      <c r="F15760" t="s">
        <v>15763</v>
      </c>
      <c r="G15760">
        <v>1</v>
      </c>
    </row>
    <row r="15761" spans="1:7" x14ac:dyDescent="0.25">
      <c r="A15761">
        <v>46</v>
      </c>
      <c r="B15761" t="s">
        <v>15611</v>
      </c>
      <c r="C15761">
        <v>7714490</v>
      </c>
      <c r="D15761" t="str">
        <f>"2075-4442"</f>
        <v>2075-4442</v>
      </c>
      <c r="E15761" t="s">
        <v>8</v>
      </c>
      <c r="F15761" t="s">
        <v>15764</v>
      </c>
      <c r="G15761">
        <v>1</v>
      </c>
    </row>
    <row r="15762" spans="1:7" x14ac:dyDescent="0.25">
      <c r="A15762">
        <v>46</v>
      </c>
      <c r="B15762" t="s">
        <v>15611</v>
      </c>
      <c r="C15762">
        <v>11484</v>
      </c>
      <c r="D15762" t="str">
        <f>"0932-8092"</f>
        <v>0932-8092</v>
      </c>
      <c r="E15762" t="s">
        <v>8</v>
      </c>
      <c r="F15762" t="s">
        <v>15765</v>
      </c>
      <c r="G15762">
        <v>1</v>
      </c>
    </row>
    <row r="15763" spans="1:7" x14ac:dyDescent="0.25">
      <c r="A15763">
        <v>46</v>
      </c>
      <c r="B15763" t="s">
        <v>15611</v>
      </c>
      <c r="C15763">
        <v>7758059</v>
      </c>
      <c r="D15763" t="str">
        <f>"2080-8208"</f>
        <v>2080-8208</v>
      </c>
      <c r="E15763" t="s">
        <v>8</v>
      </c>
      <c r="F15763" t="s">
        <v>15766</v>
      </c>
      <c r="G15763">
        <v>1</v>
      </c>
    </row>
    <row r="15764" spans="1:7" x14ac:dyDescent="0.25">
      <c r="A15764">
        <v>46</v>
      </c>
      <c r="B15764" t="s">
        <v>15611</v>
      </c>
      <c r="C15764">
        <v>7746230</v>
      </c>
      <c r="D15764" t="str">
        <f>"2265-4224"</f>
        <v>2265-4224</v>
      </c>
      <c r="E15764" t="s">
        <v>8</v>
      </c>
      <c r="F15764" t="s">
        <v>15767</v>
      </c>
      <c r="G15764">
        <v>1</v>
      </c>
    </row>
    <row r="15765" spans="1:7" x14ac:dyDescent="0.25">
      <c r="A15765">
        <v>46</v>
      </c>
      <c r="B15765" t="s">
        <v>15611</v>
      </c>
      <c r="C15765">
        <v>2134</v>
      </c>
      <c r="D15765" t="str">
        <f>"0025-6455"</f>
        <v>0025-6455</v>
      </c>
      <c r="E15765" t="s">
        <v>8</v>
      </c>
      <c r="F15765" t="s">
        <v>15768</v>
      </c>
      <c r="G15765">
        <v>1</v>
      </c>
    </row>
    <row r="15766" spans="1:7" x14ac:dyDescent="0.25">
      <c r="A15766">
        <v>46</v>
      </c>
      <c r="B15766" t="s">
        <v>15611</v>
      </c>
      <c r="C15766">
        <v>14128</v>
      </c>
      <c r="D15766" t="str">
        <f>"0025-6501"</f>
        <v>0025-6501</v>
      </c>
      <c r="E15766" t="s">
        <v>8</v>
      </c>
      <c r="F15766" t="s">
        <v>15769</v>
      </c>
      <c r="G15766">
        <v>1</v>
      </c>
    </row>
    <row r="15767" spans="1:7" x14ac:dyDescent="0.25">
      <c r="A15767">
        <v>46</v>
      </c>
      <c r="B15767" t="s">
        <v>15611</v>
      </c>
      <c r="C15767">
        <v>8101</v>
      </c>
      <c r="D15767" t="str">
        <f>"2257-7777"</f>
        <v>2257-7777</v>
      </c>
      <c r="E15767" t="s">
        <v>8</v>
      </c>
      <c r="F15767" t="s">
        <v>15770</v>
      </c>
      <c r="G15767">
        <v>1</v>
      </c>
    </row>
    <row r="15768" spans="1:7" x14ac:dyDescent="0.25">
      <c r="A15768">
        <v>46</v>
      </c>
      <c r="B15768" t="s">
        <v>15611</v>
      </c>
      <c r="C15768">
        <v>3076</v>
      </c>
      <c r="D15768" t="str">
        <f>"1539-7734"</f>
        <v>1539-7734</v>
      </c>
      <c r="E15768" t="s">
        <v>8</v>
      </c>
      <c r="F15768" t="s">
        <v>15771</v>
      </c>
      <c r="G15768">
        <v>1</v>
      </c>
    </row>
    <row r="15769" spans="1:7" x14ac:dyDescent="0.25">
      <c r="A15769">
        <v>46</v>
      </c>
      <c r="B15769" t="s">
        <v>15611</v>
      </c>
      <c r="C15769">
        <v>9196</v>
      </c>
      <c r="D15769" t="str">
        <f>"0191-5665"</f>
        <v>0191-5665</v>
      </c>
      <c r="E15769" t="s">
        <v>8</v>
      </c>
      <c r="F15769" t="s">
        <v>15772</v>
      </c>
      <c r="G15769">
        <v>1</v>
      </c>
    </row>
    <row r="15770" spans="1:7" x14ac:dyDescent="0.25">
      <c r="A15770">
        <v>46</v>
      </c>
      <c r="B15770" t="s">
        <v>15611</v>
      </c>
      <c r="C15770">
        <v>845</v>
      </c>
      <c r="D15770" t="str">
        <f>"0093-6413"</f>
        <v>0093-6413</v>
      </c>
      <c r="E15770" t="s">
        <v>8</v>
      </c>
      <c r="F15770" t="s">
        <v>15773</v>
      </c>
      <c r="G15770">
        <v>1</v>
      </c>
    </row>
    <row r="15771" spans="1:7" x14ac:dyDescent="0.25">
      <c r="A15771">
        <v>46</v>
      </c>
      <c r="B15771" t="s">
        <v>15611</v>
      </c>
      <c r="C15771">
        <v>16289</v>
      </c>
      <c r="D15771" t="str">
        <f>"0957-4158"</f>
        <v>0957-4158</v>
      </c>
      <c r="E15771" t="s">
        <v>8</v>
      </c>
      <c r="F15771" t="s">
        <v>15774</v>
      </c>
      <c r="G15771">
        <v>1</v>
      </c>
    </row>
    <row r="15772" spans="1:7" x14ac:dyDescent="0.25">
      <c r="A15772">
        <v>46</v>
      </c>
      <c r="B15772" t="s">
        <v>15611</v>
      </c>
      <c r="C15772">
        <v>16419</v>
      </c>
      <c r="D15772" t="str">
        <f>"0332-7353"</f>
        <v>0332-7353</v>
      </c>
      <c r="E15772" t="s">
        <v>8</v>
      </c>
      <c r="F15772" t="s">
        <v>15775</v>
      </c>
      <c r="G15772">
        <v>1</v>
      </c>
    </row>
    <row r="15773" spans="1:7" x14ac:dyDescent="0.25">
      <c r="A15773">
        <v>46</v>
      </c>
      <c r="B15773" t="s">
        <v>15611</v>
      </c>
      <c r="C15773">
        <v>11005</v>
      </c>
      <c r="D15773" t="str">
        <f>"1040-7790"</f>
        <v>1040-7790</v>
      </c>
      <c r="E15773" t="s">
        <v>8</v>
      </c>
      <c r="F15773" t="s">
        <v>15776</v>
      </c>
      <c r="G15773">
        <v>1</v>
      </c>
    </row>
    <row r="15774" spans="1:7" x14ac:dyDescent="0.25">
      <c r="A15774">
        <v>46</v>
      </c>
      <c r="B15774" t="s">
        <v>15611</v>
      </c>
      <c r="C15774">
        <v>2231</v>
      </c>
      <c r="D15774" t="str">
        <f>"0030-770X"</f>
        <v>0030-770X</v>
      </c>
      <c r="E15774" t="s">
        <v>8</v>
      </c>
      <c r="F15774" t="s">
        <v>15777</v>
      </c>
      <c r="G15774">
        <v>1</v>
      </c>
    </row>
    <row r="15775" spans="1:7" x14ac:dyDescent="0.25">
      <c r="A15775">
        <v>46</v>
      </c>
      <c r="B15775" t="s">
        <v>15611</v>
      </c>
      <c r="C15775">
        <v>2558</v>
      </c>
      <c r="D15775" t="str">
        <f>"1364-503X"</f>
        <v>1364-503X</v>
      </c>
      <c r="E15775" t="s">
        <v>8</v>
      </c>
      <c r="F15775" t="s">
        <v>15778</v>
      </c>
      <c r="G15775">
        <v>1</v>
      </c>
    </row>
    <row r="15776" spans="1:7" x14ac:dyDescent="0.25">
      <c r="A15776">
        <v>46</v>
      </c>
      <c r="B15776" t="s">
        <v>15611</v>
      </c>
      <c r="C15776">
        <v>17347</v>
      </c>
      <c r="D15776" t="str">
        <f>"1862-6254"</f>
        <v>1862-6254</v>
      </c>
      <c r="E15776" t="s">
        <v>8</v>
      </c>
      <c r="F15776" t="s">
        <v>15779</v>
      </c>
      <c r="G15776">
        <v>1</v>
      </c>
    </row>
    <row r="15777" spans="1:7" x14ac:dyDescent="0.25">
      <c r="A15777">
        <v>46</v>
      </c>
      <c r="B15777" t="s">
        <v>15611</v>
      </c>
      <c r="C15777">
        <v>14276</v>
      </c>
      <c r="D15777" t="str">
        <f>"1070-6631"</f>
        <v>1070-6631</v>
      </c>
      <c r="E15777" t="s">
        <v>8</v>
      </c>
      <c r="F15777" t="s">
        <v>15780</v>
      </c>
      <c r="G15777">
        <v>1</v>
      </c>
    </row>
    <row r="15778" spans="1:7" x14ac:dyDescent="0.25">
      <c r="A15778">
        <v>46</v>
      </c>
      <c r="B15778" t="s">
        <v>15611</v>
      </c>
      <c r="C15778">
        <v>15031</v>
      </c>
      <c r="D15778" t="str">
        <f>"0032-3861"</f>
        <v>0032-3861</v>
      </c>
      <c r="E15778" t="s">
        <v>8</v>
      </c>
      <c r="F15778" t="s">
        <v>15781</v>
      </c>
      <c r="G15778">
        <v>1</v>
      </c>
    </row>
    <row r="15779" spans="1:7" x14ac:dyDescent="0.25">
      <c r="A15779">
        <v>46</v>
      </c>
      <c r="B15779" t="s">
        <v>15611</v>
      </c>
      <c r="C15779">
        <v>11880</v>
      </c>
      <c r="D15779" t="str">
        <f>"0032-5899"</f>
        <v>0032-5899</v>
      </c>
      <c r="E15779" t="s">
        <v>8</v>
      </c>
      <c r="F15779" t="s">
        <v>15782</v>
      </c>
      <c r="G15779">
        <v>1</v>
      </c>
    </row>
    <row r="15780" spans="1:7" x14ac:dyDescent="0.25">
      <c r="A15780">
        <v>46</v>
      </c>
      <c r="B15780" t="s">
        <v>15611</v>
      </c>
      <c r="C15780">
        <v>15369</v>
      </c>
      <c r="D15780" t="str">
        <f>"0954-4054"</f>
        <v>0954-4054</v>
      </c>
      <c r="E15780" t="s">
        <v>8</v>
      </c>
      <c r="F15780" t="s">
        <v>15783</v>
      </c>
      <c r="G15780">
        <v>1</v>
      </c>
    </row>
    <row r="15781" spans="1:7" x14ac:dyDescent="0.25">
      <c r="A15781">
        <v>46</v>
      </c>
      <c r="B15781" t="s">
        <v>15611</v>
      </c>
      <c r="C15781">
        <v>15079</v>
      </c>
      <c r="D15781" t="str">
        <f>"0954-4062"</f>
        <v>0954-4062</v>
      </c>
      <c r="E15781" t="s">
        <v>8</v>
      </c>
      <c r="F15781" t="s">
        <v>15784</v>
      </c>
      <c r="G15781">
        <v>1</v>
      </c>
    </row>
    <row r="15782" spans="1:7" x14ac:dyDescent="0.25">
      <c r="A15782">
        <v>46</v>
      </c>
      <c r="B15782" t="s">
        <v>15611</v>
      </c>
      <c r="C15782">
        <v>9456</v>
      </c>
      <c r="D15782" t="str">
        <f>"0954-4070"</f>
        <v>0954-4070</v>
      </c>
      <c r="E15782" t="s">
        <v>8</v>
      </c>
      <c r="F15782" t="s">
        <v>15785</v>
      </c>
      <c r="G15782">
        <v>1</v>
      </c>
    </row>
    <row r="15783" spans="1:7" x14ac:dyDescent="0.25">
      <c r="A15783">
        <v>46</v>
      </c>
      <c r="B15783" t="s">
        <v>15611</v>
      </c>
      <c r="C15783">
        <v>6171</v>
      </c>
      <c r="D15783" t="str">
        <f>"0954-4089"</f>
        <v>0954-4089</v>
      </c>
      <c r="E15783" t="s">
        <v>8</v>
      </c>
      <c r="F15783" t="s">
        <v>15786</v>
      </c>
      <c r="G15783">
        <v>1</v>
      </c>
    </row>
    <row r="15784" spans="1:7" x14ac:dyDescent="0.25">
      <c r="A15784">
        <v>46</v>
      </c>
      <c r="B15784" t="s">
        <v>15611</v>
      </c>
      <c r="C15784">
        <v>13938</v>
      </c>
      <c r="D15784" t="str">
        <f>"0954-4100"</f>
        <v>0954-4100</v>
      </c>
      <c r="E15784" t="s">
        <v>8</v>
      </c>
      <c r="F15784" t="s">
        <v>15787</v>
      </c>
      <c r="G15784">
        <v>1</v>
      </c>
    </row>
    <row r="15785" spans="1:7" x14ac:dyDescent="0.25">
      <c r="A15785">
        <v>46</v>
      </c>
      <c r="B15785" t="s">
        <v>15611</v>
      </c>
      <c r="C15785">
        <v>13671</v>
      </c>
      <c r="D15785" t="str">
        <f>"1350-6501"</f>
        <v>1350-6501</v>
      </c>
      <c r="E15785" t="s">
        <v>8</v>
      </c>
      <c r="F15785" t="s">
        <v>15788</v>
      </c>
      <c r="G15785">
        <v>1</v>
      </c>
    </row>
    <row r="15786" spans="1:7" x14ac:dyDescent="0.25">
      <c r="A15786">
        <v>46</v>
      </c>
      <c r="B15786" t="s">
        <v>15611</v>
      </c>
      <c r="C15786">
        <v>636</v>
      </c>
      <c r="D15786" t="str">
        <f>"1464-4193"</f>
        <v>1464-4193</v>
      </c>
      <c r="E15786" t="s">
        <v>8</v>
      </c>
      <c r="F15786" t="s">
        <v>15789</v>
      </c>
      <c r="G15786">
        <v>1</v>
      </c>
    </row>
    <row r="15787" spans="1:7" x14ac:dyDescent="0.25">
      <c r="A15787">
        <v>46</v>
      </c>
      <c r="B15787" t="s">
        <v>15611</v>
      </c>
      <c r="C15787">
        <v>11934</v>
      </c>
      <c r="D15787" t="str">
        <f>"1364-5021"</f>
        <v>1364-5021</v>
      </c>
      <c r="E15787" t="s">
        <v>8</v>
      </c>
      <c r="F15787" t="s">
        <v>15790</v>
      </c>
      <c r="G15787">
        <v>1</v>
      </c>
    </row>
    <row r="15788" spans="1:7" x14ac:dyDescent="0.25">
      <c r="A15788">
        <v>46</v>
      </c>
      <c r="B15788" t="s">
        <v>15611</v>
      </c>
      <c r="C15788">
        <v>180176</v>
      </c>
      <c r="E15788" t="s">
        <v>8</v>
      </c>
      <c r="F15788" t="s">
        <v>15791</v>
      </c>
      <c r="G15788">
        <v>1</v>
      </c>
    </row>
    <row r="15789" spans="1:7" x14ac:dyDescent="0.25">
      <c r="A15789">
        <v>46</v>
      </c>
      <c r="B15789" t="s">
        <v>15611</v>
      </c>
      <c r="C15789">
        <v>10113</v>
      </c>
      <c r="D15789" t="str">
        <f>"0376-0421"</f>
        <v>0376-0421</v>
      </c>
      <c r="E15789" t="s">
        <v>8</v>
      </c>
      <c r="F15789" t="s">
        <v>15792</v>
      </c>
      <c r="G15789">
        <v>1</v>
      </c>
    </row>
    <row r="15790" spans="1:7" x14ac:dyDescent="0.25">
      <c r="A15790">
        <v>46</v>
      </c>
      <c r="B15790" t="s">
        <v>15611</v>
      </c>
      <c r="C15790">
        <v>13108</v>
      </c>
      <c r="D15790" t="str">
        <f>"0263-5747"</f>
        <v>0263-5747</v>
      </c>
      <c r="E15790" t="s">
        <v>8</v>
      </c>
      <c r="F15790" t="s">
        <v>15793</v>
      </c>
      <c r="G15790">
        <v>1</v>
      </c>
    </row>
    <row r="15791" spans="1:7" x14ac:dyDescent="0.25">
      <c r="A15791">
        <v>46</v>
      </c>
      <c r="B15791" t="s">
        <v>15611</v>
      </c>
      <c r="C15791">
        <v>7791</v>
      </c>
      <c r="D15791" t="str">
        <f>"1362-1718"</f>
        <v>1362-1718</v>
      </c>
      <c r="E15791" t="s">
        <v>8</v>
      </c>
      <c r="F15791" t="s">
        <v>15794</v>
      </c>
      <c r="G15791">
        <v>1</v>
      </c>
    </row>
    <row r="15792" spans="1:7" x14ac:dyDescent="0.25">
      <c r="A15792">
        <v>46</v>
      </c>
      <c r="B15792" t="s">
        <v>15611</v>
      </c>
      <c r="C15792">
        <v>1424</v>
      </c>
      <c r="D15792" t="str">
        <f>"1744-5302"</f>
        <v>1744-5302</v>
      </c>
      <c r="E15792" t="s">
        <v>8</v>
      </c>
      <c r="F15792" t="s">
        <v>15795</v>
      </c>
      <c r="G15792">
        <v>1</v>
      </c>
    </row>
    <row r="15793" spans="1:7" x14ac:dyDescent="0.25">
      <c r="A15793">
        <v>46</v>
      </c>
      <c r="B15793" t="s">
        <v>15611</v>
      </c>
      <c r="C15793">
        <v>5500</v>
      </c>
      <c r="D15793" t="str">
        <f>"1070-9622"</f>
        <v>1070-9622</v>
      </c>
      <c r="E15793" t="s">
        <v>8</v>
      </c>
      <c r="F15793" t="s">
        <v>15796</v>
      </c>
      <c r="G15793">
        <v>1</v>
      </c>
    </row>
    <row r="15794" spans="1:7" x14ac:dyDescent="0.25">
      <c r="A15794">
        <v>46</v>
      </c>
      <c r="B15794" t="s">
        <v>15611</v>
      </c>
      <c r="C15794">
        <v>9932</v>
      </c>
      <c r="D15794" t="str">
        <f>"0964-1726"</f>
        <v>0964-1726</v>
      </c>
      <c r="E15794" t="s">
        <v>8</v>
      </c>
      <c r="F15794" t="s">
        <v>15797</v>
      </c>
      <c r="G15794">
        <v>1</v>
      </c>
    </row>
    <row r="15795" spans="1:7" x14ac:dyDescent="0.25">
      <c r="A15795">
        <v>46</v>
      </c>
      <c r="B15795" t="s">
        <v>15611</v>
      </c>
      <c r="C15795">
        <v>15212</v>
      </c>
      <c r="D15795" t="str">
        <f>"1532-8546"</f>
        <v>1532-8546</v>
      </c>
      <c r="E15795" t="s">
        <v>8</v>
      </c>
      <c r="F15795" t="s">
        <v>15798</v>
      </c>
      <c r="G15795">
        <v>1</v>
      </c>
    </row>
    <row r="15796" spans="1:7" x14ac:dyDescent="0.25">
      <c r="A15796">
        <v>46</v>
      </c>
      <c r="B15796" t="s">
        <v>15611</v>
      </c>
      <c r="C15796">
        <v>8062</v>
      </c>
      <c r="D15796" t="str">
        <f>"0039-2103"</f>
        <v>0039-2103</v>
      </c>
      <c r="E15796" t="s">
        <v>8</v>
      </c>
      <c r="F15796" t="s">
        <v>15799</v>
      </c>
      <c r="G15796">
        <v>1</v>
      </c>
    </row>
    <row r="15797" spans="1:7" x14ac:dyDescent="0.25">
      <c r="A15797">
        <v>46</v>
      </c>
      <c r="B15797" t="s">
        <v>15611</v>
      </c>
      <c r="C15797">
        <v>17880</v>
      </c>
      <c r="D15797" t="str">
        <f>"1545-2255"</f>
        <v>1545-2255</v>
      </c>
      <c r="E15797" t="s">
        <v>8</v>
      </c>
      <c r="F15797" t="s">
        <v>15800</v>
      </c>
      <c r="G15797">
        <v>1</v>
      </c>
    </row>
    <row r="15798" spans="1:7" x14ac:dyDescent="0.25">
      <c r="A15798">
        <v>46</v>
      </c>
      <c r="B15798" t="s">
        <v>15611</v>
      </c>
      <c r="C15798">
        <v>16672</v>
      </c>
      <c r="D15798" t="str">
        <f>"0749-6036"</f>
        <v>0749-6036</v>
      </c>
      <c r="E15798" t="s">
        <v>8</v>
      </c>
      <c r="F15798" t="s">
        <v>15801</v>
      </c>
      <c r="G15798">
        <v>1</v>
      </c>
    </row>
    <row r="15799" spans="1:7" x14ac:dyDescent="0.25">
      <c r="A15799">
        <v>46</v>
      </c>
      <c r="B15799" t="s">
        <v>15611</v>
      </c>
      <c r="C15799">
        <v>1503</v>
      </c>
      <c r="D15799" t="str">
        <f>"0257-8972"</f>
        <v>0257-8972</v>
      </c>
      <c r="E15799" t="s">
        <v>8</v>
      </c>
      <c r="F15799" t="s">
        <v>15802</v>
      </c>
      <c r="G15799">
        <v>1</v>
      </c>
    </row>
    <row r="15800" spans="1:7" x14ac:dyDescent="0.25">
      <c r="A15800">
        <v>46</v>
      </c>
      <c r="B15800" t="s">
        <v>15611</v>
      </c>
      <c r="C15800">
        <v>7742</v>
      </c>
      <c r="D15800" t="str">
        <f>"1063-7842"</f>
        <v>1063-7842</v>
      </c>
      <c r="E15800" t="s">
        <v>8</v>
      </c>
      <c r="F15800" t="s">
        <v>15803</v>
      </c>
      <c r="G15800">
        <v>1</v>
      </c>
    </row>
    <row r="15801" spans="1:7" x14ac:dyDescent="0.25">
      <c r="A15801">
        <v>46</v>
      </c>
      <c r="B15801" t="s">
        <v>15611</v>
      </c>
      <c r="C15801">
        <v>9023</v>
      </c>
      <c r="D15801" t="str">
        <f>"1063-7850"</f>
        <v>1063-7850</v>
      </c>
      <c r="E15801" t="s">
        <v>8</v>
      </c>
      <c r="F15801" t="s">
        <v>15804</v>
      </c>
      <c r="G15801">
        <v>1</v>
      </c>
    </row>
    <row r="15802" spans="1:7" x14ac:dyDescent="0.25">
      <c r="A15802">
        <v>46</v>
      </c>
      <c r="B15802" t="s">
        <v>15611</v>
      </c>
      <c r="C15802">
        <v>13374</v>
      </c>
      <c r="D15802" t="str">
        <f>"0232-3869"</f>
        <v>0232-3869</v>
      </c>
      <c r="E15802" t="s">
        <v>8</v>
      </c>
      <c r="F15802" t="s">
        <v>15805</v>
      </c>
      <c r="G15802">
        <v>1</v>
      </c>
    </row>
    <row r="15803" spans="1:7" x14ac:dyDescent="0.25">
      <c r="A15803">
        <v>46</v>
      </c>
      <c r="B15803" t="s">
        <v>15611</v>
      </c>
      <c r="C15803">
        <v>7546</v>
      </c>
      <c r="D15803" t="str">
        <f>"0001-9240"</f>
        <v>0001-9240</v>
      </c>
      <c r="E15803" t="s">
        <v>8</v>
      </c>
      <c r="F15803" t="s">
        <v>15806</v>
      </c>
      <c r="G15803">
        <v>1</v>
      </c>
    </row>
    <row r="15804" spans="1:7" x14ac:dyDescent="0.25">
      <c r="A15804">
        <v>46</v>
      </c>
      <c r="B15804" t="s">
        <v>15611</v>
      </c>
      <c r="C15804">
        <v>10350</v>
      </c>
      <c r="D15804" t="str">
        <f>"1364-0461"</f>
        <v>1364-0461</v>
      </c>
      <c r="E15804" t="s">
        <v>8</v>
      </c>
      <c r="F15804" t="s">
        <v>15807</v>
      </c>
      <c r="G15804">
        <v>1</v>
      </c>
    </row>
    <row r="15805" spans="1:7" x14ac:dyDescent="0.25">
      <c r="A15805">
        <v>46</v>
      </c>
      <c r="B15805" t="s">
        <v>15611</v>
      </c>
      <c r="C15805">
        <v>6631</v>
      </c>
      <c r="D15805" t="str">
        <f>"0309-3247"</f>
        <v>0309-3247</v>
      </c>
      <c r="E15805" t="s">
        <v>8</v>
      </c>
      <c r="F15805" t="s">
        <v>15808</v>
      </c>
      <c r="G15805">
        <v>1</v>
      </c>
    </row>
    <row r="15806" spans="1:7" x14ac:dyDescent="0.25">
      <c r="A15806">
        <v>46</v>
      </c>
      <c r="B15806" t="s">
        <v>15611</v>
      </c>
      <c r="C15806">
        <v>11169</v>
      </c>
      <c r="D15806" t="str">
        <f>"0935-4964"</f>
        <v>0935-4964</v>
      </c>
      <c r="E15806" t="s">
        <v>8</v>
      </c>
      <c r="F15806" t="s">
        <v>15809</v>
      </c>
      <c r="G15806">
        <v>1</v>
      </c>
    </row>
    <row r="15807" spans="1:7" x14ac:dyDescent="0.25">
      <c r="A15807">
        <v>46</v>
      </c>
      <c r="B15807" t="s">
        <v>15611</v>
      </c>
      <c r="C15807">
        <v>4069</v>
      </c>
      <c r="D15807" t="str">
        <f>"0263-8231"</f>
        <v>0263-8231</v>
      </c>
      <c r="E15807" t="s">
        <v>8</v>
      </c>
      <c r="F15807" t="s">
        <v>15810</v>
      </c>
      <c r="G15807">
        <v>1</v>
      </c>
    </row>
    <row r="15808" spans="1:7" x14ac:dyDescent="0.25">
      <c r="A15808">
        <v>46</v>
      </c>
      <c r="B15808" t="s">
        <v>15611</v>
      </c>
      <c r="C15808">
        <v>7064</v>
      </c>
      <c r="D15808" t="str">
        <f>"1003-6326"</f>
        <v>1003-6326</v>
      </c>
      <c r="E15808" t="s">
        <v>8</v>
      </c>
      <c r="F15808" t="s">
        <v>15811</v>
      </c>
      <c r="G15808">
        <v>1</v>
      </c>
    </row>
    <row r="15809" spans="1:7" x14ac:dyDescent="0.25">
      <c r="A15809">
        <v>46</v>
      </c>
      <c r="B15809" t="s">
        <v>15611</v>
      </c>
      <c r="C15809">
        <v>12139</v>
      </c>
      <c r="D15809" t="str">
        <f>"0315-8977"</f>
        <v>0315-8977</v>
      </c>
      <c r="E15809" t="s">
        <v>8</v>
      </c>
      <c r="F15809" t="s">
        <v>15812</v>
      </c>
      <c r="G15809">
        <v>1</v>
      </c>
    </row>
    <row r="15810" spans="1:7" x14ac:dyDescent="0.25">
      <c r="A15810">
        <v>46</v>
      </c>
      <c r="B15810" t="s">
        <v>15611</v>
      </c>
      <c r="C15810">
        <v>1119</v>
      </c>
      <c r="D15810" t="str">
        <f>"0549-3811"</f>
        <v>0549-3811</v>
      </c>
      <c r="E15810" t="s">
        <v>8</v>
      </c>
      <c r="F15810" t="s">
        <v>15813</v>
      </c>
      <c r="G15810">
        <v>1</v>
      </c>
    </row>
    <row r="15811" spans="1:7" x14ac:dyDescent="0.25">
      <c r="A15811">
        <v>46</v>
      </c>
      <c r="B15811" t="s">
        <v>15611</v>
      </c>
      <c r="C15811">
        <v>17112</v>
      </c>
      <c r="D15811" t="str">
        <f>"1545-858X"</f>
        <v>1545-858X</v>
      </c>
      <c r="E15811" t="s">
        <v>8</v>
      </c>
      <c r="F15811" t="s">
        <v>15814</v>
      </c>
      <c r="G15811">
        <v>1</v>
      </c>
    </row>
    <row r="15812" spans="1:7" x14ac:dyDescent="0.25">
      <c r="A15812">
        <v>46</v>
      </c>
      <c r="B15812" t="s">
        <v>15611</v>
      </c>
      <c r="C15812">
        <v>4070</v>
      </c>
      <c r="D15812" t="str">
        <f>"1040-2004"</f>
        <v>1040-2004</v>
      </c>
      <c r="E15812" t="s">
        <v>8</v>
      </c>
      <c r="F15812" t="s">
        <v>15815</v>
      </c>
      <c r="G15812">
        <v>1</v>
      </c>
    </row>
    <row r="15813" spans="1:7" x14ac:dyDescent="0.25">
      <c r="A15813">
        <v>46</v>
      </c>
      <c r="B15813" t="s">
        <v>15611</v>
      </c>
      <c r="C15813">
        <v>6941</v>
      </c>
      <c r="D15813" t="str">
        <f>"0886-7798"</f>
        <v>0886-7798</v>
      </c>
      <c r="E15813" t="s">
        <v>8</v>
      </c>
      <c r="F15813" t="s">
        <v>15816</v>
      </c>
      <c r="G15813">
        <v>1</v>
      </c>
    </row>
    <row r="15814" spans="1:7" x14ac:dyDescent="0.25">
      <c r="A15814">
        <v>46</v>
      </c>
      <c r="B15814" t="s">
        <v>15611</v>
      </c>
      <c r="C15814">
        <v>1888</v>
      </c>
      <c r="D15814" t="str">
        <f>"0042-3114"</f>
        <v>0042-3114</v>
      </c>
      <c r="E15814" t="s">
        <v>8</v>
      </c>
      <c r="F15814" t="s">
        <v>15817</v>
      </c>
      <c r="G15814">
        <v>1</v>
      </c>
    </row>
    <row r="15815" spans="1:7" x14ac:dyDescent="0.25">
      <c r="A15815">
        <v>46</v>
      </c>
      <c r="B15815" t="s">
        <v>15611</v>
      </c>
      <c r="C15815">
        <v>9460</v>
      </c>
      <c r="D15815" t="str">
        <f>"1745-5030"</f>
        <v>1745-5030</v>
      </c>
      <c r="E15815" t="s">
        <v>8</v>
      </c>
      <c r="F15815" t="s">
        <v>15818</v>
      </c>
      <c r="G15815">
        <v>1</v>
      </c>
    </row>
    <row r="15816" spans="1:7" x14ac:dyDescent="0.25">
      <c r="A15816">
        <v>46</v>
      </c>
      <c r="B15816" t="s">
        <v>15611</v>
      </c>
      <c r="C15816">
        <v>23045</v>
      </c>
      <c r="D15816" t="str">
        <f>"0043-2288"</f>
        <v>0043-2288</v>
      </c>
      <c r="E15816" t="s">
        <v>8</v>
      </c>
      <c r="F15816" t="s">
        <v>15819</v>
      </c>
      <c r="G15816">
        <v>1</v>
      </c>
    </row>
    <row r="15817" spans="1:7" x14ac:dyDescent="0.25">
      <c r="A15817">
        <v>46</v>
      </c>
      <c r="B15817" t="s">
        <v>15611</v>
      </c>
      <c r="C15817">
        <v>11605</v>
      </c>
      <c r="D15817" t="str">
        <f>"0043-2296"</f>
        <v>0043-2296</v>
      </c>
      <c r="E15817" t="s">
        <v>8</v>
      </c>
      <c r="F15817" t="s">
        <v>15820</v>
      </c>
      <c r="G15817">
        <v>1</v>
      </c>
    </row>
    <row r="15818" spans="1:7" x14ac:dyDescent="0.25">
      <c r="A15818">
        <v>46</v>
      </c>
      <c r="B15818" t="s">
        <v>15611</v>
      </c>
      <c r="C15818">
        <v>7798</v>
      </c>
      <c r="D15818" t="str">
        <f>"0309-524X"</f>
        <v>0309-524X</v>
      </c>
      <c r="E15818" t="s">
        <v>8</v>
      </c>
      <c r="F15818" t="s">
        <v>15821</v>
      </c>
      <c r="G15818">
        <v>1</v>
      </c>
    </row>
    <row r="15819" spans="1:7" x14ac:dyDescent="0.25">
      <c r="A15819">
        <v>46</v>
      </c>
      <c r="B15819" t="s">
        <v>15611</v>
      </c>
      <c r="C15819">
        <v>935</v>
      </c>
      <c r="D15819" t="str">
        <f>"0044-2267"</f>
        <v>0044-2267</v>
      </c>
      <c r="E15819" t="s">
        <v>8</v>
      </c>
      <c r="F15819" t="s">
        <v>15822</v>
      </c>
      <c r="G15819">
        <v>1</v>
      </c>
    </row>
    <row r="15820" spans="1:7" x14ac:dyDescent="0.25">
      <c r="A15820">
        <v>47</v>
      </c>
      <c r="B15820" t="s">
        <v>15823</v>
      </c>
      <c r="C15820">
        <v>13530</v>
      </c>
      <c r="D15820" t="str">
        <f>"0169-7439"</f>
        <v>0169-7439</v>
      </c>
      <c r="E15820" t="s">
        <v>8</v>
      </c>
      <c r="F15820" t="s">
        <v>15824</v>
      </c>
      <c r="G15820">
        <v>2</v>
      </c>
    </row>
    <row r="15821" spans="1:7" x14ac:dyDescent="0.25">
      <c r="A15821">
        <v>47</v>
      </c>
      <c r="B15821" t="s">
        <v>15823</v>
      </c>
      <c r="C15821">
        <v>1623</v>
      </c>
      <c r="D15821" t="str">
        <f>"1040-8398"</f>
        <v>1040-8398</v>
      </c>
      <c r="E15821" t="s">
        <v>8</v>
      </c>
      <c r="F15821" t="s">
        <v>15825</v>
      </c>
      <c r="G15821">
        <v>2</v>
      </c>
    </row>
    <row r="15822" spans="1:7" x14ac:dyDescent="0.25">
      <c r="A15822">
        <v>47</v>
      </c>
      <c r="B15822" t="s">
        <v>15823</v>
      </c>
      <c r="C15822">
        <v>6684</v>
      </c>
      <c r="D15822" t="str">
        <f>"1040-841X"</f>
        <v>1040-841X</v>
      </c>
      <c r="E15822" t="s">
        <v>8</v>
      </c>
      <c r="F15822" t="s">
        <v>15826</v>
      </c>
      <c r="G15822">
        <v>2</v>
      </c>
    </row>
    <row r="15823" spans="1:7" x14ac:dyDescent="0.25">
      <c r="A15823">
        <v>47</v>
      </c>
      <c r="B15823" t="s">
        <v>15823</v>
      </c>
      <c r="C15823">
        <v>13476</v>
      </c>
      <c r="D15823" t="str">
        <f>"0308-8146"</f>
        <v>0308-8146</v>
      </c>
      <c r="E15823" t="s">
        <v>8</v>
      </c>
      <c r="F15823" t="s">
        <v>15827</v>
      </c>
      <c r="G15823">
        <v>2</v>
      </c>
    </row>
    <row r="15824" spans="1:7" x14ac:dyDescent="0.25">
      <c r="A15824">
        <v>47</v>
      </c>
      <c r="B15824" t="s">
        <v>15823</v>
      </c>
      <c r="C15824">
        <v>3902</v>
      </c>
      <c r="D15824" t="str">
        <f>"0956-7135"</f>
        <v>0956-7135</v>
      </c>
      <c r="E15824" t="s">
        <v>8</v>
      </c>
      <c r="F15824" t="s">
        <v>15828</v>
      </c>
      <c r="G15824">
        <v>2</v>
      </c>
    </row>
    <row r="15825" spans="1:7" x14ac:dyDescent="0.25">
      <c r="A15825">
        <v>47</v>
      </c>
      <c r="B15825" t="s">
        <v>15823</v>
      </c>
      <c r="C15825">
        <v>13518</v>
      </c>
      <c r="D15825" t="str">
        <f>"0268-005X"</f>
        <v>0268-005X</v>
      </c>
      <c r="E15825" t="s">
        <v>8</v>
      </c>
      <c r="F15825" t="s">
        <v>15829</v>
      </c>
      <c r="G15825">
        <v>2</v>
      </c>
    </row>
    <row r="15826" spans="1:7" x14ac:dyDescent="0.25">
      <c r="A15826">
        <v>47</v>
      </c>
      <c r="B15826" t="s">
        <v>15823</v>
      </c>
      <c r="C15826">
        <v>10582</v>
      </c>
      <c r="D15826" t="str">
        <f>"0950-3293"</f>
        <v>0950-3293</v>
      </c>
      <c r="E15826" t="s">
        <v>8</v>
      </c>
      <c r="F15826" t="s">
        <v>15830</v>
      </c>
      <c r="G15826">
        <v>2</v>
      </c>
    </row>
    <row r="15827" spans="1:7" x14ac:dyDescent="0.25">
      <c r="A15827">
        <v>47</v>
      </c>
      <c r="B15827" t="s">
        <v>15823</v>
      </c>
      <c r="C15827">
        <v>757</v>
      </c>
      <c r="D15827" t="str">
        <f>"0958-6946"</f>
        <v>0958-6946</v>
      </c>
      <c r="E15827" t="s">
        <v>8</v>
      </c>
      <c r="F15827" t="s">
        <v>15831</v>
      </c>
      <c r="G15827">
        <v>2</v>
      </c>
    </row>
    <row r="15828" spans="1:7" x14ac:dyDescent="0.25">
      <c r="A15828">
        <v>47</v>
      </c>
      <c r="B15828" t="s">
        <v>15823</v>
      </c>
      <c r="C15828">
        <v>2792</v>
      </c>
      <c r="D15828" t="str">
        <f>"0168-1605"</f>
        <v>0168-1605</v>
      </c>
      <c r="E15828" t="s">
        <v>8</v>
      </c>
      <c r="F15828" t="s">
        <v>15832</v>
      </c>
      <c r="G15828">
        <v>2</v>
      </c>
    </row>
    <row r="15829" spans="1:7" x14ac:dyDescent="0.25">
      <c r="A15829">
        <v>47</v>
      </c>
      <c r="B15829" t="s">
        <v>15823</v>
      </c>
      <c r="C15829">
        <v>7658</v>
      </c>
      <c r="D15829" t="str">
        <f>"0021-8561"</f>
        <v>0021-8561</v>
      </c>
      <c r="E15829" t="s">
        <v>8</v>
      </c>
      <c r="F15829" t="s">
        <v>15833</v>
      </c>
      <c r="G15829">
        <v>2</v>
      </c>
    </row>
    <row r="15830" spans="1:7" x14ac:dyDescent="0.25">
      <c r="A15830">
        <v>47</v>
      </c>
      <c r="B15830" t="s">
        <v>15823</v>
      </c>
      <c r="C15830">
        <v>10794</v>
      </c>
      <c r="D15830" t="str">
        <f>"0309-1740"</f>
        <v>0309-1740</v>
      </c>
      <c r="E15830" t="s">
        <v>8</v>
      </c>
      <c r="F15830" t="s">
        <v>15834</v>
      </c>
      <c r="G15830">
        <v>2</v>
      </c>
    </row>
    <row r="15831" spans="1:7" x14ac:dyDescent="0.25">
      <c r="A15831">
        <v>47</v>
      </c>
      <c r="B15831" t="s">
        <v>15823</v>
      </c>
      <c r="C15831">
        <v>17735</v>
      </c>
      <c r="D15831" t="str">
        <f>"1573-3882"</f>
        <v>1573-3882</v>
      </c>
      <c r="E15831" t="s">
        <v>8</v>
      </c>
      <c r="F15831" t="s">
        <v>15835</v>
      </c>
      <c r="G15831">
        <v>2</v>
      </c>
    </row>
    <row r="15832" spans="1:7" x14ac:dyDescent="0.25">
      <c r="A15832">
        <v>47</v>
      </c>
      <c r="B15832" t="s">
        <v>15823</v>
      </c>
      <c r="C15832">
        <v>660</v>
      </c>
      <c r="D15832" t="str">
        <f>"1613-4125"</f>
        <v>1613-4125</v>
      </c>
      <c r="E15832" t="s">
        <v>8</v>
      </c>
      <c r="F15832" t="s">
        <v>15836</v>
      </c>
      <c r="G15832">
        <v>2</v>
      </c>
    </row>
    <row r="15833" spans="1:7" x14ac:dyDescent="0.25">
      <c r="A15833">
        <v>47</v>
      </c>
      <c r="B15833" t="s">
        <v>15823</v>
      </c>
      <c r="C15833">
        <v>5668</v>
      </c>
      <c r="D15833" t="str">
        <f>"1467-7881"</f>
        <v>1467-7881</v>
      </c>
      <c r="E15833" t="s">
        <v>8</v>
      </c>
      <c r="F15833" t="s">
        <v>15837</v>
      </c>
      <c r="G15833">
        <v>2</v>
      </c>
    </row>
    <row r="15834" spans="1:7" x14ac:dyDescent="0.25">
      <c r="A15834">
        <v>47</v>
      </c>
      <c r="B15834" t="s">
        <v>15823</v>
      </c>
      <c r="C15834">
        <v>11984</v>
      </c>
      <c r="D15834" t="str">
        <f>"0002-9165"</f>
        <v>0002-9165</v>
      </c>
      <c r="E15834" t="s">
        <v>8</v>
      </c>
      <c r="F15834" t="s">
        <v>15838</v>
      </c>
      <c r="G15834">
        <v>2</v>
      </c>
    </row>
    <row r="15835" spans="1:7" x14ac:dyDescent="0.25">
      <c r="A15835">
        <v>47</v>
      </c>
      <c r="B15835" t="s">
        <v>15823</v>
      </c>
      <c r="C15835">
        <v>1614</v>
      </c>
      <c r="D15835" t="str">
        <f>"0022-3166"</f>
        <v>0022-3166</v>
      </c>
      <c r="E15835" t="s">
        <v>8</v>
      </c>
      <c r="F15835" t="s">
        <v>15839</v>
      </c>
      <c r="G15835">
        <v>2</v>
      </c>
    </row>
    <row r="15836" spans="1:7" x14ac:dyDescent="0.25">
      <c r="A15836">
        <v>47</v>
      </c>
      <c r="B15836" t="s">
        <v>15823</v>
      </c>
      <c r="C15836">
        <v>15039</v>
      </c>
      <c r="D15836" t="str">
        <f>"0924-2244"</f>
        <v>0924-2244</v>
      </c>
      <c r="E15836" t="s">
        <v>8</v>
      </c>
      <c r="F15836" t="s">
        <v>15840</v>
      </c>
      <c r="G15836">
        <v>2</v>
      </c>
    </row>
    <row r="15837" spans="1:7" x14ac:dyDescent="0.25">
      <c r="A15837">
        <v>47</v>
      </c>
      <c r="B15837" t="s">
        <v>15823</v>
      </c>
      <c r="C15837">
        <v>6854</v>
      </c>
      <c r="D15837" t="str">
        <f>"0139-3006"</f>
        <v>0139-3006</v>
      </c>
      <c r="E15837" t="s">
        <v>8</v>
      </c>
      <c r="F15837" t="s">
        <v>15841</v>
      </c>
      <c r="G15837">
        <v>1</v>
      </c>
    </row>
    <row r="15838" spans="1:7" x14ac:dyDescent="0.25">
      <c r="A15838">
        <v>47</v>
      </c>
      <c r="B15838" t="s">
        <v>15823</v>
      </c>
      <c r="C15838">
        <v>6348</v>
      </c>
      <c r="D15838" t="str">
        <f>"0724-6145"</f>
        <v>0724-6145</v>
      </c>
      <c r="E15838" t="s">
        <v>15</v>
      </c>
      <c r="F15838" t="s">
        <v>15842</v>
      </c>
      <c r="G15838">
        <v>1</v>
      </c>
    </row>
    <row r="15839" spans="1:7" x14ac:dyDescent="0.25">
      <c r="A15839">
        <v>47</v>
      </c>
      <c r="B15839" t="s">
        <v>15823</v>
      </c>
      <c r="C15839">
        <v>16932</v>
      </c>
      <c r="D15839" t="str">
        <f>"0065-2318"</f>
        <v>0065-2318</v>
      </c>
      <c r="E15839" t="s">
        <v>15</v>
      </c>
      <c r="F15839" t="s">
        <v>15843</v>
      </c>
      <c r="G15839">
        <v>1</v>
      </c>
    </row>
    <row r="15840" spans="1:7" x14ac:dyDescent="0.25">
      <c r="A15840">
        <v>47</v>
      </c>
      <c r="B15840" t="s">
        <v>15823</v>
      </c>
      <c r="C15840">
        <v>2027</v>
      </c>
      <c r="D15840" t="str">
        <f>"1722-6996"</f>
        <v>1722-6996</v>
      </c>
      <c r="E15840" t="s">
        <v>8</v>
      </c>
      <c r="F15840" t="s">
        <v>15844</v>
      </c>
      <c r="G15840">
        <v>1</v>
      </c>
    </row>
    <row r="15841" spans="1:7" x14ac:dyDescent="0.25">
      <c r="A15841">
        <v>47</v>
      </c>
      <c r="B15841" t="s">
        <v>15823</v>
      </c>
      <c r="C15841">
        <v>1985</v>
      </c>
      <c r="D15841" t="str">
        <f>"1075-9964"</f>
        <v>1075-9964</v>
      </c>
      <c r="E15841" t="s">
        <v>8</v>
      </c>
      <c r="F15841" t="s">
        <v>15845</v>
      </c>
      <c r="G15841">
        <v>1</v>
      </c>
    </row>
    <row r="15842" spans="1:7" x14ac:dyDescent="0.25">
      <c r="A15842">
        <v>47</v>
      </c>
      <c r="B15842" t="s">
        <v>15823</v>
      </c>
      <c r="C15842">
        <v>4434</v>
      </c>
      <c r="D15842" t="str">
        <f>"0003-2697"</f>
        <v>0003-2697</v>
      </c>
      <c r="E15842" t="s">
        <v>8</v>
      </c>
      <c r="F15842" t="s">
        <v>15846</v>
      </c>
      <c r="G15842">
        <v>1</v>
      </c>
    </row>
    <row r="15843" spans="1:7" x14ac:dyDescent="0.25">
      <c r="A15843">
        <v>47</v>
      </c>
      <c r="B15843" t="s">
        <v>15823</v>
      </c>
      <c r="C15843">
        <v>1138</v>
      </c>
      <c r="D15843" t="str">
        <f>"0250-6807"</f>
        <v>0250-6807</v>
      </c>
      <c r="E15843" t="s">
        <v>8</v>
      </c>
      <c r="F15843" t="s">
        <v>15847</v>
      </c>
      <c r="G15843">
        <v>1</v>
      </c>
    </row>
    <row r="15844" spans="1:7" x14ac:dyDescent="0.25">
      <c r="A15844">
        <v>47</v>
      </c>
      <c r="B15844" t="s">
        <v>15823</v>
      </c>
      <c r="C15844">
        <v>13385</v>
      </c>
      <c r="D15844" t="str">
        <f>"0066-4804"</f>
        <v>0066-4804</v>
      </c>
      <c r="E15844" t="s">
        <v>8</v>
      </c>
      <c r="F15844" t="s">
        <v>15848</v>
      </c>
      <c r="G15844">
        <v>1</v>
      </c>
    </row>
    <row r="15845" spans="1:7" x14ac:dyDescent="0.25">
      <c r="A15845">
        <v>47</v>
      </c>
      <c r="B15845" t="s">
        <v>15823</v>
      </c>
      <c r="C15845">
        <v>10319</v>
      </c>
      <c r="D15845" t="str">
        <f>"0195-6663"</f>
        <v>0195-6663</v>
      </c>
      <c r="E15845" t="s">
        <v>8</v>
      </c>
      <c r="F15845" t="s">
        <v>15849</v>
      </c>
      <c r="G15845">
        <v>1</v>
      </c>
    </row>
    <row r="15846" spans="1:7" x14ac:dyDescent="0.25">
      <c r="A15846">
        <v>47</v>
      </c>
      <c r="B15846" t="s">
        <v>15823</v>
      </c>
      <c r="C15846">
        <v>15613</v>
      </c>
      <c r="D15846" t="str">
        <f>"0175-7598"</f>
        <v>0175-7598</v>
      </c>
      <c r="E15846" t="s">
        <v>8</v>
      </c>
      <c r="F15846" t="s">
        <v>15850</v>
      </c>
      <c r="G15846">
        <v>1</v>
      </c>
    </row>
    <row r="15847" spans="1:7" x14ac:dyDescent="0.25">
      <c r="A15847">
        <v>47</v>
      </c>
      <c r="B15847" t="s">
        <v>15823</v>
      </c>
      <c r="C15847">
        <v>7092</v>
      </c>
      <c r="D15847" t="str">
        <f>"0003-7028"</f>
        <v>0003-7028</v>
      </c>
      <c r="E15847" t="s">
        <v>8</v>
      </c>
      <c r="F15847" t="s">
        <v>15851</v>
      </c>
      <c r="G15847">
        <v>1</v>
      </c>
    </row>
    <row r="15848" spans="1:7" x14ac:dyDescent="0.25">
      <c r="A15848">
        <v>47</v>
      </c>
      <c r="B15848" t="s">
        <v>15823</v>
      </c>
      <c r="C15848">
        <v>5289</v>
      </c>
      <c r="D15848" t="str">
        <f>"0004-0622"</f>
        <v>0004-0622</v>
      </c>
      <c r="E15848" t="s">
        <v>8</v>
      </c>
      <c r="F15848" t="s">
        <v>15852</v>
      </c>
      <c r="G15848">
        <v>1</v>
      </c>
    </row>
    <row r="15849" spans="1:7" x14ac:dyDescent="0.25">
      <c r="A15849">
        <v>47</v>
      </c>
      <c r="B15849" t="s">
        <v>15823</v>
      </c>
      <c r="C15849">
        <v>10167</v>
      </c>
      <c r="D15849" t="str">
        <f>"0964-7058"</f>
        <v>0964-7058</v>
      </c>
      <c r="E15849" t="s">
        <v>8</v>
      </c>
      <c r="F15849" t="s">
        <v>15853</v>
      </c>
      <c r="G15849">
        <v>1</v>
      </c>
    </row>
    <row r="15850" spans="1:7" x14ac:dyDescent="0.25">
      <c r="A15850">
        <v>47</v>
      </c>
      <c r="B15850" t="s">
        <v>15823</v>
      </c>
      <c r="C15850">
        <v>15768</v>
      </c>
      <c r="D15850" t="str">
        <f>"1322-7130"</f>
        <v>1322-7130</v>
      </c>
      <c r="E15850" t="s">
        <v>8</v>
      </c>
      <c r="F15850" t="s">
        <v>15854</v>
      </c>
      <c r="G15850">
        <v>1</v>
      </c>
    </row>
    <row r="15851" spans="1:7" x14ac:dyDescent="0.25">
      <c r="A15851">
        <v>47</v>
      </c>
      <c r="B15851" t="s">
        <v>15823</v>
      </c>
      <c r="C15851">
        <v>8767160</v>
      </c>
      <c r="E15851" t="s">
        <v>8</v>
      </c>
      <c r="F15851" t="s">
        <v>15855</v>
      </c>
      <c r="G15851">
        <v>1</v>
      </c>
    </row>
    <row r="15852" spans="1:7" x14ac:dyDescent="0.25">
      <c r="A15852">
        <v>47</v>
      </c>
      <c r="B15852" t="s">
        <v>15823</v>
      </c>
      <c r="C15852">
        <v>8384</v>
      </c>
      <c r="D15852" t="str">
        <f>"1024-2422"</f>
        <v>1024-2422</v>
      </c>
      <c r="E15852" t="s">
        <v>8</v>
      </c>
      <c r="F15852" t="s">
        <v>15856</v>
      </c>
      <c r="G15852">
        <v>1</v>
      </c>
    </row>
    <row r="15853" spans="1:7" x14ac:dyDescent="0.25">
      <c r="A15853">
        <v>47</v>
      </c>
      <c r="B15853" t="s">
        <v>15823</v>
      </c>
      <c r="C15853">
        <v>4261</v>
      </c>
      <c r="D15853" t="str">
        <f>"1369-703X"</f>
        <v>1369-703X</v>
      </c>
      <c r="E15853" t="s">
        <v>8</v>
      </c>
      <c r="F15853" t="s">
        <v>15857</v>
      </c>
      <c r="G15853">
        <v>1</v>
      </c>
    </row>
    <row r="15854" spans="1:7" x14ac:dyDescent="0.25">
      <c r="A15854">
        <v>47</v>
      </c>
      <c r="B15854" t="s">
        <v>15823</v>
      </c>
      <c r="C15854">
        <v>6878</v>
      </c>
      <c r="D15854" t="str">
        <f>"0163-4984"</f>
        <v>0163-4984</v>
      </c>
      <c r="E15854" t="s">
        <v>8</v>
      </c>
      <c r="F15854" t="s">
        <v>15858</v>
      </c>
      <c r="G15854">
        <v>1</v>
      </c>
    </row>
    <row r="15855" spans="1:7" x14ac:dyDescent="0.25">
      <c r="A15855">
        <v>47</v>
      </c>
      <c r="B15855" t="s">
        <v>15823</v>
      </c>
      <c r="C15855">
        <v>7297</v>
      </c>
      <c r="D15855" t="str">
        <f>"0006-3592"</f>
        <v>0006-3592</v>
      </c>
      <c r="E15855" t="s">
        <v>8</v>
      </c>
      <c r="F15855" t="s">
        <v>15859</v>
      </c>
      <c r="G15855">
        <v>1</v>
      </c>
    </row>
    <row r="15856" spans="1:7" x14ac:dyDescent="0.25">
      <c r="A15856">
        <v>47</v>
      </c>
      <c r="B15856" t="s">
        <v>15823</v>
      </c>
      <c r="C15856">
        <v>26242</v>
      </c>
      <c r="D15856" t="str">
        <f>"1860-6768"</f>
        <v>1860-6768</v>
      </c>
      <c r="E15856" t="s">
        <v>8</v>
      </c>
      <c r="F15856" t="s">
        <v>15860</v>
      </c>
      <c r="G15856">
        <v>1</v>
      </c>
    </row>
    <row r="15857" spans="1:7" x14ac:dyDescent="0.25">
      <c r="A15857">
        <v>47</v>
      </c>
      <c r="B15857" t="s">
        <v>15823</v>
      </c>
      <c r="C15857">
        <v>13191</v>
      </c>
      <c r="D15857" t="str">
        <f>"8756-7938"</f>
        <v>8756-7938</v>
      </c>
      <c r="E15857" t="s">
        <v>8</v>
      </c>
      <c r="F15857" t="s">
        <v>15861</v>
      </c>
      <c r="G15857">
        <v>1</v>
      </c>
    </row>
    <row r="15858" spans="1:7" x14ac:dyDescent="0.25">
      <c r="A15858">
        <v>47</v>
      </c>
      <c r="B15858" t="s">
        <v>15823</v>
      </c>
      <c r="C15858">
        <v>642</v>
      </c>
      <c r="D15858" t="str">
        <f>"0007-070X"</f>
        <v>0007-070X</v>
      </c>
      <c r="E15858" t="s">
        <v>8</v>
      </c>
      <c r="F15858" t="s">
        <v>15862</v>
      </c>
      <c r="G15858">
        <v>1</v>
      </c>
    </row>
    <row r="15859" spans="1:7" x14ac:dyDescent="0.25">
      <c r="A15859">
        <v>47</v>
      </c>
      <c r="B15859" t="s">
        <v>15823</v>
      </c>
      <c r="C15859">
        <v>9224</v>
      </c>
      <c r="D15859" t="str">
        <f>"1486-3847"</f>
        <v>1486-3847</v>
      </c>
      <c r="E15859" t="s">
        <v>8</v>
      </c>
      <c r="F15859" t="s">
        <v>15863</v>
      </c>
      <c r="G15859">
        <v>1</v>
      </c>
    </row>
    <row r="15860" spans="1:7" x14ac:dyDescent="0.25">
      <c r="A15860">
        <v>47</v>
      </c>
      <c r="B15860" t="s">
        <v>15823</v>
      </c>
      <c r="C15860">
        <v>12588</v>
      </c>
      <c r="D15860" t="str">
        <f>"0008-6215"</f>
        <v>0008-6215</v>
      </c>
      <c r="E15860" t="s">
        <v>8</v>
      </c>
      <c r="F15860" t="s">
        <v>15864</v>
      </c>
      <c r="G15860">
        <v>1</v>
      </c>
    </row>
    <row r="15861" spans="1:7" x14ac:dyDescent="0.25">
      <c r="A15861">
        <v>47</v>
      </c>
      <c r="B15861" t="s">
        <v>15823</v>
      </c>
      <c r="C15861">
        <v>6052</v>
      </c>
      <c r="D15861" t="str">
        <f>"0146-6283"</f>
        <v>0146-6283</v>
      </c>
      <c r="E15861" t="s">
        <v>8</v>
      </c>
      <c r="F15861" t="s">
        <v>15865</v>
      </c>
      <c r="G15861">
        <v>1</v>
      </c>
    </row>
    <row r="15862" spans="1:7" x14ac:dyDescent="0.25">
      <c r="A15862">
        <v>47</v>
      </c>
      <c r="B15862" t="s">
        <v>15823</v>
      </c>
      <c r="C15862">
        <v>2817</v>
      </c>
      <c r="D15862" t="str">
        <f>"0379-864X"</f>
        <v>0379-864X</v>
      </c>
      <c r="E15862" t="s">
        <v>8</v>
      </c>
      <c r="F15862" t="s">
        <v>15866</v>
      </c>
      <c r="G15862">
        <v>1</v>
      </c>
    </row>
    <row r="15863" spans="1:7" x14ac:dyDescent="0.25">
      <c r="A15863">
        <v>47</v>
      </c>
      <c r="B15863" t="s">
        <v>15823</v>
      </c>
      <c r="C15863">
        <v>24794</v>
      </c>
      <c r="D15863" t="str">
        <f>"1936-5802"</f>
        <v>1936-5802</v>
      </c>
      <c r="E15863" t="s">
        <v>8</v>
      </c>
      <c r="F15863" t="s">
        <v>15867</v>
      </c>
      <c r="G15863">
        <v>1</v>
      </c>
    </row>
    <row r="15864" spans="1:7" x14ac:dyDescent="0.25">
      <c r="A15864">
        <v>47</v>
      </c>
      <c r="B15864" t="s">
        <v>15823</v>
      </c>
      <c r="C15864">
        <v>17003</v>
      </c>
      <c r="D15864" t="str">
        <f>"1541-4337"</f>
        <v>1541-4337</v>
      </c>
      <c r="E15864" t="s">
        <v>8</v>
      </c>
      <c r="F15864" t="s">
        <v>15868</v>
      </c>
      <c r="G15864">
        <v>1</v>
      </c>
    </row>
    <row r="15865" spans="1:7" x14ac:dyDescent="0.25">
      <c r="A15865">
        <v>47</v>
      </c>
      <c r="B15865" t="s">
        <v>15823</v>
      </c>
      <c r="C15865">
        <v>7317</v>
      </c>
      <c r="D15865" t="str">
        <f>"0168-1699"</f>
        <v>0168-1699</v>
      </c>
      <c r="E15865" t="s">
        <v>8</v>
      </c>
      <c r="F15865" t="s">
        <v>15869</v>
      </c>
      <c r="G15865">
        <v>1</v>
      </c>
    </row>
    <row r="15866" spans="1:7" x14ac:dyDescent="0.25">
      <c r="A15866">
        <v>47</v>
      </c>
      <c r="B15866" t="s">
        <v>15823</v>
      </c>
      <c r="C15866">
        <v>8059</v>
      </c>
      <c r="D15866" t="str">
        <f>"0010-8545"</f>
        <v>0010-8545</v>
      </c>
      <c r="E15866" t="s">
        <v>8</v>
      </c>
      <c r="F15866" t="s">
        <v>15870</v>
      </c>
      <c r="G15866">
        <v>1</v>
      </c>
    </row>
    <row r="15867" spans="1:7" x14ac:dyDescent="0.25">
      <c r="A15867">
        <v>47</v>
      </c>
      <c r="B15867" t="s">
        <v>15823</v>
      </c>
      <c r="C15867">
        <v>14622</v>
      </c>
      <c r="D15867" t="str">
        <f>"0738-8551"</f>
        <v>0738-8551</v>
      </c>
      <c r="E15867" t="s">
        <v>8</v>
      </c>
      <c r="F15867" t="s">
        <v>15871</v>
      </c>
      <c r="G15867">
        <v>1</v>
      </c>
    </row>
    <row r="15868" spans="1:7" x14ac:dyDescent="0.25">
      <c r="A15868">
        <v>47</v>
      </c>
      <c r="B15868" t="s">
        <v>15823</v>
      </c>
      <c r="C15868">
        <v>1542</v>
      </c>
      <c r="D15868" t="str">
        <f>"1045-4403"</f>
        <v>1045-4403</v>
      </c>
      <c r="E15868" t="s">
        <v>8</v>
      </c>
      <c r="F15868" t="s">
        <v>15872</v>
      </c>
      <c r="G15868">
        <v>1</v>
      </c>
    </row>
    <row r="15869" spans="1:7" x14ac:dyDescent="0.25">
      <c r="A15869">
        <v>47</v>
      </c>
      <c r="B15869" t="s">
        <v>15823</v>
      </c>
      <c r="C15869">
        <v>8782783</v>
      </c>
      <c r="E15869" t="s">
        <v>8</v>
      </c>
      <c r="F15869" t="s">
        <v>15873</v>
      </c>
      <c r="G15869">
        <v>1</v>
      </c>
    </row>
    <row r="15870" spans="1:7" x14ac:dyDescent="0.25">
      <c r="A15870">
        <v>47</v>
      </c>
      <c r="B15870" t="s">
        <v>15823</v>
      </c>
      <c r="C15870">
        <v>14177</v>
      </c>
      <c r="D15870" t="str">
        <f>"1363-1950"</f>
        <v>1363-1950</v>
      </c>
      <c r="E15870" t="s">
        <v>8</v>
      </c>
      <c r="F15870" t="s">
        <v>15874</v>
      </c>
      <c r="G15870">
        <v>1</v>
      </c>
    </row>
    <row r="15871" spans="1:7" x14ac:dyDescent="0.25">
      <c r="A15871">
        <v>47</v>
      </c>
      <c r="B15871" t="s">
        <v>15823</v>
      </c>
      <c r="C15871">
        <v>17442</v>
      </c>
      <c r="D15871" t="str">
        <f>"1212-1800"</f>
        <v>1212-1800</v>
      </c>
      <c r="E15871" t="s">
        <v>8</v>
      </c>
      <c r="F15871" t="s">
        <v>15875</v>
      </c>
      <c r="G15871">
        <v>1</v>
      </c>
    </row>
    <row r="15872" spans="1:7" x14ac:dyDescent="0.25">
      <c r="A15872">
        <v>47</v>
      </c>
      <c r="B15872" t="s">
        <v>15823</v>
      </c>
      <c r="C15872">
        <v>8079</v>
      </c>
      <c r="D15872" t="str">
        <f>"1958-5586"</f>
        <v>1958-5586</v>
      </c>
      <c r="E15872" t="s">
        <v>8</v>
      </c>
      <c r="F15872" t="s">
        <v>15876</v>
      </c>
      <c r="G15872">
        <v>1</v>
      </c>
    </row>
    <row r="15873" spans="1:7" x14ac:dyDescent="0.25">
      <c r="A15873">
        <v>47</v>
      </c>
      <c r="B15873" t="s">
        <v>15823</v>
      </c>
      <c r="C15873">
        <v>100</v>
      </c>
      <c r="D15873" t="str">
        <f>"0012-0413"</f>
        <v>0012-0413</v>
      </c>
      <c r="E15873" t="s">
        <v>8</v>
      </c>
      <c r="F15873" t="s">
        <v>15877</v>
      </c>
      <c r="G15873">
        <v>1</v>
      </c>
    </row>
    <row r="15874" spans="1:7" x14ac:dyDescent="0.25">
      <c r="A15874">
        <v>47</v>
      </c>
      <c r="B15874" t="s">
        <v>15823</v>
      </c>
      <c r="C15874">
        <v>6456</v>
      </c>
      <c r="D15874" t="str">
        <f>"0015-363X"</f>
        <v>0015-363X</v>
      </c>
      <c r="E15874" t="s">
        <v>8</v>
      </c>
      <c r="F15874" t="s">
        <v>15878</v>
      </c>
      <c r="G15874">
        <v>1</v>
      </c>
    </row>
    <row r="15875" spans="1:7" x14ac:dyDescent="0.25">
      <c r="A15875">
        <v>47</v>
      </c>
      <c r="B15875" t="s">
        <v>15823</v>
      </c>
      <c r="C15875">
        <v>12440</v>
      </c>
      <c r="D15875" t="str">
        <f>"0367-0244"</f>
        <v>0367-0244</v>
      </c>
      <c r="E15875" t="s">
        <v>8</v>
      </c>
      <c r="F15875" t="s">
        <v>15879</v>
      </c>
      <c r="G15875">
        <v>1</v>
      </c>
    </row>
    <row r="15876" spans="1:7" x14ac:dyDescent="0.25">
      <c r="A15876">
        <v>47</v>
      </c>
      <c r="B15876" t="s">
        <v>15823</v>
      </c>
      <c r="C15876">
        <v>3039</v>
      </c>
      <c r="D15876" t="str">
        <f>"0141-0229"</f>
        <v>0141-0229</v>
      </c>
      <c r="E15876" t="s">
        <v>8</v>
      </c>
      <c r="F15876" t="s">
        <v>15880</v>
      </c>
      <c r="G15876">
        <v>1</v>
      </c>
    </row>
    <row r="15877" spans="1:7" x14ac:dyDescent="0.25">
      <c r="A15877">
        <v>47</v>
      </c>
      <c r="B15877" t="s">
        <v>15823</v>
      </c>
      <c r="C15877">
        <v>3897</v>
      </c>
      <c r="D15877" t="str">
        <f>"0174-0008"</f>
        <v>0174-0008</v>
      </c>
      <c r="E15877" t="s">
        <v>8</v>
      </c>
      <c r="F15877" t="s">
        <v>15881</v>
      </c>
      <c r="G15877">
        <v>1</v>
      </c>
    </row>
    <row r="15878" spans="1:7" x14ac:dyDescent="0.25">
      <c r="A15878">
        <v>47</v>
      </c>
      <c r="B15878" t="s">
        <v>15823</v>
      </c>
      <c r="C15878">
        <v>9472</v>
      </c>
      <c r="D15878" t="str">
        <f>"1438-2377"</f>
        <v>1438-2377</v>
      </c>
      <c r="E15878" t="s">
        <v>8</v>
      </c>
      <c r="F15878" t="s">
        <v>15882</v>
      </c>
      <c r="G15878">
        <v>1</v>
      </c>
    </row>
    <row r="15879" spans="1:7" x14ac:dyDescent="0.25">
      <c r="A15879">
        <v>47</v>
      </c>
      <c r="B15879" t="s">
        <v>15823</v>
      </c>
      <c r="C15879">
        <v>3497</v>
      </c>
      <c r="D15879" t="str">
        <f>"0954-3007"</f>
        <v>0954-3007</v>
      </c>
      <c r="E15879" t="s">
        <v>8</v>
      </c>
      <c r="F15879" t="s">
        <v>15883</v>
      </c>
      <c r="G15879">
        <v>1</v>
      </c>
    </row>
    <row r="15880" spans="1:7" x14ac:dyDescent="0.25">
      <c r="A15880">
        <v>47</v>
      </c>
      <c r="B15880" t="s">
        <v>15823</v>
      </c>
      <c r="C15880">
        <v>135</v>
      </c>
      <c r="D15880" t="str">
        <f>"1438-7697"</f>
        <v>1438-7697</v>
      </c>
      <c r="E15880" t="s">
        <v>8</v>
      </c>
      <c r="F15880" t="s">
        <v>15884</v>
      </c>
      <c r="G15880">
        <v>1</v>
      </c>
    </row>
    <row r="15881" spans="1:7" x14ac:dyDescent="0.25">
      <c r="A15881">
        <v>47</v>
      </c>
      <c r="B15881" t="s">
        <v>15823</v>
      </c>
      <c r="C15881">
        <v>2937</v>
      </c>
      <c r="D15881" t="str">
        <f>"1436-6207"</f>
        <v>1436-6207</v>
      </c>
      <c r="E15881" t="s">
        <v>8</v>
      </c>
      <c r="F15881" t="s">
        <v>15885</v>
      </c>
      <c r="G15881">
        <v>1</v>
      </c>
    </row>
    <row r="15882" spans="1:7" x14ac:dyDescent="0.25">
      <c r="A15882">
        <v>47</v>
      </c>
      <c r="B15882" t="s">
        <v>15823</v>
      </c>
      <c r="C15882">
        <v>2487</v>
      </c>
      <c r="D15882" t="str">
        <f>"0932-4739"</f>
        <v>0932-4739</v>
      </c>
      <c r="E15882" t="s">
        <v>8</v>
      </c>
      <c r="F15882" t="s">
        <v>15886</v>
      </c>
      <c r="G15882">
        <v>1</v>
      </c>
    </row>
    <row r="15883" spans="1:7" x14ac:dyDescent="0.25">
      <c r="A15883">
        <v>47</v>
      </c>
      <c r="B15883" t="s">
        <v>15823</v>
      </c>
      <c r="C15883">
        <v>14990</v>
      </c>
      <c r="D15883" t="str">
        <f>"0168-6496"</f>
        <v>0168-6496</v>
      </c>
      <c r="E15883" t="s">
        <v>8</v>
      </c>
      <c r="F15883" t="s">
        <v>15887</v>
      </c>
      <c r="G15883">
        <v>1</v>
      </c>
    </row>
    <row r="15884" spans="1:7" x14ac:dyDescent="0.25">
      <c r="A15884">
        <v>47</v>
      </c>
      <c r="B15884" t="s">
        <v>15823</v>
      </c>
      <c r="C15884">
        <v>12962</v>
      </c>
      <c r="D15884" t="str">
        <f>"0882-5734"</f>
        <v>0882-5734</v>
      </c>
      <c r="E15884" t="s">
        <v>8</v>
      </c>
      <c r="F15884" t="s">
        <v>15888</v>
      </c>
      <c r="G15884">
        <v>1</v>
      </c>
    </row>
    <row r="15885" spans="1:7" x14ac:dyDescent="0.25">
      <c r="A15885">
        <v>47</v>
      </c>
      <c r="B15885" t="s">
        <v>15823</v>
      </c>
      <c r="C15885">
        <v>58357</v>
      </c>
      <c r="D15885" t="str">
        <f>"0179-2415"</f>
        <v>0179-2415</v>
      </c>
      <c r="E15885" t="s">
        <v>8</v>
      </c>
      <c r="F15885" t="s">
        <v>15889</v>
      </c>
      <c r="G15885">
        <v>1</v>
      </c>
    </row>
    <row r="15886" spans="1:7" x14ac:dyDescent="0.25">
      <c r="A15886">
        <v>47</v>
      </c>
      <c r="B15886" t="s">
        <v>15823</v>
      </c>
      <c r="C15886">
        <v>7758202</v>
      </c>
      <c r="D15886" t="str">
        <f>"2042-6496"</f>
        <v>2042-6496</v>
      </c>
      <c r="E15886" t="s">
        <v>8</v>
      </c>
      <c r="F15886" t="s">
        <v>15890</v>
      </c>
      <c r="G15886">
        <v>1</v>
      </c>
    </row>
    <row r="15887" spans="1:7" x14ac:dyDescent="0.25">
      <c r="A15887">
        <v>47</v>
      </c>
      <c r="B15887" t="s">
        <v>15823</v>
      </c>
      <c r="C15887">
        <v>27633</v>
      </c>
      <c r="D15887" t="str">
        <f>"1654-6628"</f>
        <v>1654-6628</v>
      </c>
      <c r="E15887" t="s">
        <v>8</v>
      </c>
      <c r="F15887" t="s">
        <v>15891</v>
      </c>
      <c r="G15887">
        <v>1</v>
      </c>
    </row>
    <row r="15888" spans="1:7" x14ac:dyDescent="0.25">
      <c r="A15888">
        <v>47</v>
      </c>
      <c r="B15888" t="s">
        <v>15823</v>
      </c>
      <c r="C15888">
        <v>8615</v>
      </c>
      <c r="D15888" t="str">
        <f>"0265-203X"</f>
        <v>0265-203X</v>
      </c>
      <c r="E15888" t="s">
        <v>8</v>
      </c>
      <c r="F15888" t="s">
        <v>15892</v>
      </c>
      <c r="G15888">
        <v>1</v>
      </c>
    </row>
    <row r="15889" spans="1:7" x14ac:dyDescent="0.25">
      <c r="A15889">
        <v>47</v>
      </c>
      <c r="B15889" t="s">
        <v>15823</v>
      </c>
      <c r="C15889">
        <v>25691</v>
      </c>
      <c r="D15889" t="str">
        <f>"1936-9751"</f>
        <v>1936-9751</v>
      </c>
      <c r="E15889" t="s">
        <v>8</v>
      </c>
      <c r="F15889" t="s">
        <v>15893</v>
      </c>
      <c r="G15889">
        <v>1</v>
      </c>
    </row>
    <row r="15890" spans="1:7" x14ac:dyDescent="0.25">
      <c r="A15890">
        <v>47</v>
      </c>
      <c r="B15890" t="s">
        <v>15823</v>
      </c>
      <c r="C15890">
        <v>8134</v>
      </c>
      <c r="D15890" t="str">
        <f>"0954-0105"</f>
        <v>0954-0105</v>
      </c>
      <c r="E15890" t="s">
        <v>8</v>
      </c>
      <c r="F15890" t="s">
        <v>15894</v>
      </c>
      <c r="G15890">
        <v>1</v>
      </c>
    </row>
    <row r="15891" spans="1:7" x14ac:dyDescent="0.25">
      <c r="A15891">
        <v>47</v>
      </c>
      <c r="B15891" t="s">
        <v>15823</v>
      </c>
      <c r="C15891">
        <v>20617</v>
      </c>
      <c r="D15891" t="str">
        <f>"1935-5130"</f>
        <v>1935-5130</v>
      </c>
      <c r="E15891" t="s">
        <v>8</v>
      </c>
      <c r="F15891" t="s">
        <v>15895</v>
      </c>
      <c r="G15891">
        <v>1</v>
      </c>
    </row>
    <row r="15892" spans="1:7" x14ac:dyDescent="0.25">
      <c r="A15892">
        <v>47</v>
      </c>
      <c r="B15892" t="s">
        <v>15823</v>
      </c>
      <c r="C15892">
        <v>7909</v>
      </c>
      <c r="D15892" t="str">
        <f>"0960-3085"</f>
        <v>0960-3085</v>
      </c>
      <c r="E15892" t="s">
        <v>8</v>
      </c>
      <c r="F15892" t="s">
        <v>15896</v>
      </c>
      <c r="G15892">
        <v>1</v>
      </c>
    </row>
    <row r="15893" spans="1:7" x14ac:dyDescent="0.25">
      <c r="A15893">
        <v>47</v>
      </c>
      <c r="B15893" t="s">
        <v>15823</v>
      </c>
      <c r="C15893">
        <v>12392</v>
      </c>
      <c r="D15893" t="str">
        <f>"0278-6915"</f>
        <v>0278-6915</v>
      </c>
      <c r="E15893" t="s">
        <v>8</v>
      </c>
      <c r="F15893" t="s">
        <v>15897</v>
      </c>
      <c r="G15893">
        <v>1</v>
      </c>
    </row>
    <row r="15894" spans="1:7" x14ac:dyDescent="0.25">
      <c r="A15894">
        <v>47</v>
      </c>
      <c r="B15894" t="s">
        <v>15823</v>
      </c>
      <c r="C15894">
        <v>16348</v>
      </c>
      <c r="D15894" t="str">
        <f>"0740-9710"</f>
        <v>0740-9710</v>
      </c>
      <c r="E15894" t="s">
        <v>8</v>
      </c>
      <c r="F15894" t="s">
        <v>15898</v>
      </c>
      <c r="G15894">
        <v>1</v>
      </c>
    </row>
    <row r="15895" spans="1:7" x14ac:dyDescent="0.25">
      <c r="A15895">
        <v>47</v>
      </c>
      <c r="B15895" t="s">
        <v>15823</v>
      </c>
      <c r="C15895">
        <v>10083</v>
      </c>
      <c r="D15895" t="str">
        <f>"0379-5721"</f>
        <v>0379-5721</v>
      </c>
      <c r="E15895" t="s">
        <v>8</v>
      </c>
      <c r="F15895" t="s">
        <v>15899</v>
      </c>
      <c r="G15895">
        <v>1</v>
      </c>
    </row>
    <row r="15896" spans="1:7" x14ac:dyDescent="0.25">
      <c r="A15896">
        <v>47</v>
      </c>
      <c r="B15896" t="s">
        <v>15823</v>
      </c>
      <c r="C15896">
        <v>8782522</v>
      </c>
      <c r="D15896" t="str">
        <f>"2405-6766"</f>
        <v>2405-6766</v>
      </c>
      <c r="E15896" t="s">
        <v>8</v>
      </c>
      <c r="F15896" t="s">
        <v>15900</v>
      </c>
      <c r="G15896">
        <v>1</v>
      </c>
    </row>
    <row r="15897" spans="1:7" x14ac:dyDescent="0.25">
      <c r="A15897">
        <v>47</v>
      </c>
      <c r="B15897" t="s">
        <v>15823</v>
      </c>
      <c r="C15897">
        <v>17303</v>
      </c>
      <c r="D15897" t="str">
        <f>"1557-1858"</f>
        <v>1557-1858</v>
      </c>
      <c r="E15897" t="s">
        <v>8</v>
      </c>
      <c r="F15897" t="s">
        <v>15901</v>
      </c>
      <c r="G15897">
        <v>1</v>
      </c>
    </row>
    <row r="15898" spans="1:7" x14ac:dyDescent="0.25">
      <c r="A15898">
        <v>47</v>
      </c>
      <c r="B15898" t="s">
        <v>15823</v>
      </c>
      <c r="C15898">
        <v>5475</v>
      </c>
      <c r="D15898" t="str">
        <f>"0890-5436"</f>
        <v>0890-5436</v>
      </c>
      <c r="E15898" t="s">
        <v>8</v>
      </c>
      <c r="F15898" t="s">
        <v>15902</v>
      </c>
      <c r="G15898">
        <v>1</v>
      </c>
    </row>
    <row r="15899" spans="1:7" x14ac:dyDescent="0.25">
      <c r="A15899">
        <v>47</v>
      </c>
      <c r="B15899" t="s">
        <v>15823</v>
      </c>
      <c r="C15899">
        <v>12113</v>
      </c>
      <c r="D15899" t="str">
        <f>"0963-9969"</f>
        <v>0963-9969</v>
      </c>
      <c r="E15899" t="s">
        <v>8</v>
      </c>
      <c r="F15899" t="s">
        <v>15903</v>
      </c>
      <c r="G15899">
        <v>1</v>
      </c>
    </row>
    <row r="15900" spans="1:7" x14ac:dyDescent="0.25">
      <c r="A15900">
        <v>47</v>
      </c>
      <c r="B15900" t="s">
        <v>15823</v>
      </c>
      <c r="C15900">
        <v>14489</v>
      </c>
      <c r="D15900" t="str">
        <f>"8755-9129"</f>
        <v>8755-9129</v>
      </c>
      <c r="E15900" t="s">
        <v>8</v>
      </c>
      <c r="F15900" t="s">
        <v>15904</v>
      </c>
      <c r="G15900">
        <v>1</v>
      </c>
    </row>
    <row r="15901" spans="1:7" x14ac:dyDescent="0.25">
      <c r="A15901">
        <v>47</v>
      </c>
      <c r="B15901" t="s">
        <v>15823</v>
      </c>
      <c r="C15901">
        <v>14615</v>
      </c>
      <c r="D15901" t="str">
        <f>"1226-7708"</f>
        <v>1226-7708</v>
      </c>
      <c r="E15901" t="s">
        <v>8</v>
      </c>
      <c r="F15901" t="s">
        <v>15905</v>
      </c>
      <c r="G15901">
        <v>1</v>
      </c>
    </row>
    <row r="15902" spans="1:7" x14ac:dyDescent="0.25">
      <c r="A15902">
        <v>47</v>
      </c>
      <c r="B15902" t="s">
        <v>15823</v>
      </c>
      <c r="C15902">
        <v>13100</v>
      </c>
      <c r="D15902" t="str">
        <f>"1082-0132"</f>
        <v>1082-0132</v>
      </c>
      <c r="E15902" t="s">
        <v>8</v>
      </c>
      <c r="F15902" t="s">
        <v>15906</v>
      </c>
      <c r="G15902">
        <v>1</v>
      </c>
    </row>
    <row r="15903" spans="1:7" x14ac:dyDescent="0.25">
      <c r="A15903">
        <v>47</v>
      </c>
      <c r="B15903" t="s">
        <v>15823</v>
      </c>
      <c r="C15903">
        <v>11464</v>
      </c>
      <c r="D15903" t="str">
        <f>"1344-6606"</f>
        <v>1344-6606</v>
      </c>
      <c r="E15903" t="s">
        <v>8</v>
      </c>
      <c r="F15903" t="s">
        <v>15907</v>
      </c>
      <c r="G15903">
        <v>1</v>
      </c>
    </row>
    <row r="15904" spans="1:7" x14ac:dyDescent="0.25">
      <c r="A15904">
        <v>47</v>
      </c>
      <c r="B15904" t="s">
        <v>15823</v>
      </c>
      <c r="C15904">
        <v>7755176</v>
      </c>
      <c r="D15904" t="str">
        <f>"2213-3291"</f>
        <v>2213-3291</v>
      </c>
      <c r="E15904" t="s">
        <v>8</v>
      </c>
      <c r="F15904" t="s">
        <v>15908</v>
      </c>
      <c r="G15904">
        <v>1</v>
      </c>
    </row>
    <row r="15905" spans="1:7" x14ac:dyDescent="0.25">
      <c r="A15905">
        <v>47</v>
      </c>
      <c r="B15905" t="s">
        <v>15823</v>
      </c>
      <c r="C15905">
        <v>11608</v>
      </c>
      <c r="D15905" t="str">
        <f>"0015-6639"</f>
        <v>0015-6639</v>
      </c>
      <c r="E15905" t="s">
        <v>8</v>
      </c>
      <c r="F15905" t="s">
        <v>15909</v>
      </c>
      <c r="G15905">
        <v>1</v>
      </c>
    </row>
    <row r="15906" spans="1:7" x14ac:dyDescent="0.25">
      <c r="A15906">
        <v>47</v>
      </c>
      <c r="B15906" t="s">
        <v>15823</v>
      </c>
      <c r="C15906">
        <v>16907</v>
      </c>
      <c r="D15906" t="str">
        <f>"1330-9862"</f>
        <v>1330-9862</v>
      </c>
      <c r="E15906" t="s">
        <v>8</v>
      </c>
      <c r="F15906" t="s">
        <v>15910</v>
      </c>
      <c r="G15906">
        <v>1</v>
      </c>
    </row>
    <row r="15907" spans="1:7" x14ac:dyDescent="0.25">
      <c r="A15907">
        <v>47</v>
      </c>
      <c r="B15907" t="s">
        <v>15823</v>
      </c>
      <c r="C15907">
        <v>7744241</v>
      </c>
      <c r="E15907" t="s">
        <v>8</v>
      </c>
      <c r="F15907" t="s">
        <v>15911</v>
      </c>
      <c r="G15907">
        <v>1</v>
      </c>
    </row>
    <row r="15908" spans="1:7" x14ac:dyDescent="0.25">
      <c r="A15908">
        <v>47</v>
      </c>
      <c r="B15908" t="s">
        <v>15823</v>
      </c>
      <c r="C15908">
        <v>8764446</v>
      </c>
      <c r="E15908" t="s">
        <v>8</v>
      </c>
      <c r="F15908" t="s">
        <v>15912</v>
      </c>
      <c r="G15908">
        <v>1</v>
      </c>
    </row>
    <row r="15909" spans="1:7" x14ac:dyDescent="0.25">
      <c r="A15909">
        <v>47</v>
      </c>
      <c r="B15909" t="s">
        <v>15823</v>
      </c>
      <c r="C15909">
        <v>1912</v>
      </c>
      <c r="D15909" t="str">
        <f>"0017-3495"</f>
        <v>0017-3495</v>
      </c>
      <c r="E15909" t="s">
        <v>8</v>
      </c>
      <c r="F15909" t="s">
        <v>15913</v>
      </c>
      <c r="G15909">
        <v>1</v>
      </c>
    </row>
    <row r="15910" spans="1:7" x14ac:dyDescent="0.25">
      <c r="A15910">
        <v>47</v>
      </c>
      <c r="B15910" t="s">
        <v>15823</v>
      </c>
      <c r="C15910">
        <v>7704719</v>
      </c>
      <c r="D15910" t="str">
        <f>"2042-7913"</f>
        <v>2042-7913</v>
      </c>
      <c r="E15910" t="s">
        <v>8</v>
      </c>
      <c r="F15910" t="s">
        <v>15914</v>
      </c>
      <c r="G15910">
        <v>1</v>
      </c>
    </row>
    <row r="15911" spans="1:7" x14ac:dyDescent="0.25">
      <c r="A15911">
        <v>47</v>
      </c>
      <c r="B15911" t="s">
        <v>15823</v>
      </c>
      <c r="C15911">
        <v>23008</v>
      </c>
      <c r="D15911" t="str">
        <f>"1550-9087"</f>
        <v>1550-9087</v>
      </c>
      <c r="E15911" t="s">
        <v>8</v>
      </c>
      <c r="F15911" t="s">
        <v>15915</v>
      </c>
      <c r="G15911">
        <v>1</v>
      </c>
    </row>
    <row r="15912" spans="1:7" x14ac:dyDescent="0.25">
      <c r="A15912">
        <v>47</v>
      </c>
      <c r="B15912" t="s">
        <v>15823</v>
      </c>
      <c r="C15912">
        <v>6400</v>
      </c>
      <c r="D15912" t="str">
        <f>"1466-8564"</f>
        <v>1466-8564</v>
      </c>
      <c r="E15912" t="s">
        <v>8</v>
      </c>
      <c r="F15912" t="s">
        <v>15916</v>
      </c>
      <c r="G15912">
        <v>1</v>
      </c>
    </row>
    <row r="15913" spans="1:7" x14ac:dyDescent="0.25">
      <c r="A15913">
        <v>47</v>
      </c>
      <c r="B15913" t="s">
        <v>15823</v>
      </c>
      <c r="C15913">
        <v>9902</v>
      </c>
      <c r="D15913" t="str">
        <f>"0300-9831"</f>
        <v>0300-9831</v>
      </c>
      <c r="E15913" t="s">
        <v>8</v>
      </c>
      <c r="F15913" t="s">
        <v>15917</v>
      </c>
      <c r="G15913">
        <v>1</v>
      </c>
    </row>
    <row r="15914" spans="1:7" x14ac:dyDescent="0.25">
      <c r="A15914">
        <v>47</v>
      </c>
      <c r="B15914" t="s">
        <v>15823</v>
      </c>
      <c r="C15914">
        <v>9777</v>
      </c>
      <c r="D15914" t="str">
        <f>"1364-727X"</f>
        <v>1364-727X</v>
      </c>
      <c r="E15914" t="s">
        <v>8</v>
      </c>
      <c r="F15914" t="s">
        <v>15918</v>
      </c>
      <c r="G15914">
        <v>1</v>
      </c>
    </row>
    <row r="15915" spans="1:7" x14ac:dyDescent="0.25">
      <c r="A15915">
        <v>47</v>
      </c>
      <c r="B15915" t="s">
        <v>15823</v>
      </c>
      <c r="C15915">
        <v>2612</v>
      </c>
      <c r="D15915" t="str">
        <f>"1094-2912"</f>
        <v>1094-2912</v>
      </c>
      <c r="E15915" t="s">
        <v>8</v>
      </c>
      <c r="F15915" t="s">
        <v>15919</v>
      </c>
      <c r="G15915">
        <v>1</v>
      </c>
    </row>
    <row r="15916" spans="1:7" x14ac:dyDescent="0.25">
      <c r="A15916">
        <v>47</v>
      </c>
      <c r="B15916" t="s">
        <v>15823</v>
      </c>
      <c r="C15916">
        <v>15821</v>
      </c>
      <c r="D15916" t="str">
        <f>"0950-5423"</f>
        <v>0950-5423</v>
      </c>
      <c r="E15916" t="s">
        <v>8</v>
      </c>
      <c r="F15916" t="s">
        <v>15920</v>
      </c>
      <c r="G15916">
        <v>1</v>
      </c>
    </row>
    <row r="15917" spans="1:7" x14ac:dyDescent="0.25">
      <c r="A15917">
        <v>47</v>
      </c>
      <c r="B15917" t="s">
        <v>15823</v>
      </c>
      <c r="C15917">
        <v>7207</v>
      </c>
      <c r="D15917" t="str">
        <f>"0963-7486"</f>
        <v>0963-7486</v>
      </c>
      <c r="E15917" t="s">
        <v>8</v>
      </c>
      <c r="F15917" t="s">
        <v>15921</v>
      </c>
      <c r="G15917">
        <v>1</v>
      </c>
    </row>
    <row r="15918" spans="1:7" x14ac:dyDescent="0.25">
      <c r="A15918">
        <v>47</v>
      </c>
      <c r="B15918" t="s">
        <v>15823</v>
      </c>
      <c r="C15918">
        <v>15348</v>
      </c>
      <c r="D15918" t="str">
        <f>"0020-8841"</f>
        <v>0020-8841</v>
      </c>
      <c r="E15918" t="s">
        <v>8</v>
      </c>
      <c r="F15918" t="s">
        <v>15922</v>
      </c>
      <c r="G15918">
        <v>1</v>
      </c>
    </row>
    <row r="15919" spans="1:7" x14ac:dyDescent="0.25">
      <c r="A15919">
        <v>47</v>
      </c>
      <c r="B15919" t="s">
        <v>15823</v>
      </c>
      <c r="C15919">
        <v>4648</v>
      </c>
      <c r="D15919" t="str">
        <f>"1120-1770"</f>
        <v>1120-1770</v>
      </c>
      <c r="E15919" t="s">
        <v>8</v>
      </c>
      <c r="F15919" t="s">
        <v>15923</v>
      </c>
      <c r="G15919">
        <v>1</v>
      </c>
    </row>
    <row r="15920" spans="1:7" x14ac:dyDescent="0.25">
      <c r="A15920">
        <v>47</v>
      </c>
      <c r="B15920" t="s">
        <v>15823</v>
      </c>
      <c r="C15920">
        <v>13173</v>
      </c>
      <c r="D15920" t="str">
        <f>"1151-0285"</f>
        <v>1151-0285</v>
      </c>
      <c r="E15920" t="s">
        <v>8</v>
      </c>
      <c r="F15920" t="s">
        <v>15924</v>
      </c>
      <c r="G15920">
        <v>1</v>
      </c>
    </row>
    <row r="15921" spans="1:7" x14ac:dyDescent="0.25">
      <c r="A15921">
        <v>47</v>
      </c>
      <c r="B15921" t="s">
        <v>15823</v>
      </c>
      <c r="C15921">
        <v>16557</v>
      </c>
      <c r="D15921" t="str">
        <f>"1060-3271"</f>
        <v>1060-3271</v>
      </c>
      <c r="E15921" t="s">
        <v>8</v>
      </c>
      <c r="F15921" t="s">
        <v>15925</v>
      </c>
      <c r="G15921">
        <v>1</v>
      </c>
    </row>
    <row r="15922" spans="1:7" x14ac:dyDescent="0.25">
      <c r="A15922">
        <v>47</v>
      </c>
      <c r="B15922" t="s">
        <v>15823</v>
      </c>
      <c r="C15922">
        <v>16525</v>
      </c>
      <c r="D15922" t="str">
        <f>"1049-8850"</f>
        <v>1049-8850</v>
      </c>
      <c r="E15922" t="s">
        <v>8</v>
      </c>
      <c r="F15922" t="s">
        <v>15926</v>
      </c>
      <c r="G15922">
        <v>1</v>
      </c>
    </row>
    <row r="15923" spans="1:7" x14ac:dyDescent="0.25">
      <c r="A15923">
        <v>47</v>
      </c>
      <c r="B15923" t="s">
        <v>15823</v>
      </c>
      <c r="C15923">
        <v>13682</v>
      </c>
      <c r="D15923" t="str">
        <f>"0021-9193"</f>
        <v>0021-9193</v>
      </c>
      <c r="E15923" t="s">
        <v>8</v>
      </c>
      <c r="F15923" t="s">
        <v>15927</v>
      </c>
      <c r="G15923">
        <v>1</v>
      </c>
    </row>
    <row r="15924" spans="1:7" x14ac:dyDescent="0.25">
      <c r="A15924">
        <v>47</v>
      </c>
      <c r="B15924" t="s">
        <v>15823</v>
      </c>
      <c r="C15924">
        <v>3056</v>
      </c>
      <c r="D15924" t="str">
        <f>"0883-9115"</f>
        <v>0883-9115</v>
      </c>
      <c r="E15924" t="s">
        <v>8</v>
      </c>
      <c r="F15924" t="s">
        <v>15928</v>
      </c>
      <c r="G15924">
        <v>1</v>
      </c>
    </row>
    <row r="15925" spans="1:7" x14ac:dyDescent="0.25">
      <c r="A15925">
        <v>47</v>
      </c>
      <c r="B15925" t="s">
        <v>15823</v>
      </c>
      <c r="C15925">
        <v>5065</v>
      </c>
      <c r="D15925" t="str">
        <f>"0733-5210"</f>
        <v>0733-5210</v>
      </c>
      <c r="E15925" t="s">
        <v>8</v>
      </c>
      <c r="F15925" t="s">
        <v>15929</v>
      </c>
      <c r="G15925">
        <v>1</v>
      </c>
    </row>
    <row r="15926" spans="1:7" x14ac:dyDescent="0.25">
      <c r="A15926">
        <v>47</v>
      </c>
      <c r="B15926" t="s">
        <v>15823</v>
      </c>
      <c r="C15926">
        <v>11082</v>
      </c>
      <c r="D15926" t="str">
        <f>"0886-9383"</f>
        <v>0886-9383</v>
      </c>
      <c r="E15926" t="s">
        <v>8</v>
      </c>
      <c r="F15926" t="s">
        <v>15930</v>
      </c>
      <c r="G15926">
        <v>1</v>
      </c>
    </row>
    <row r="15927" spans="1:7" x14ac:dyDescent="0.25">
      <c r="A15927">
        <v>47</v>
      </c>
      <c r="B15927" t="s">
        <v>15823</v>
      </c>
      <c r="C15927">
        <v>11845</v>
      </c>
      <c r="D15927" t="str">
        <f>"0912-0009"</f>
        <v>0912-0009</v>
      </c>
      <c r="E15927" t="s">
        <v>8</v>
      </c>
      <c r="F15927" t="s">
        <v>15931</v>
      </c>
      <c r="G15927">
        <v>1</v>
      </c>
    </row>
    <row r="15928" spans="1:7" x14ac:dyDescent="0.25">
      <c r="A15928">
        <v>47</v>
      </c>
      <c r="B15928" t="s">
        <v>15823</v>
      </c>
      <c r="C15928">
        <v>8562</v>
      </c>
      <c r="D15928" t="str">
        <f>"1542-8052"</f>
        <v>1542-8052</v>
      </c>
      <c r="E15928" t="s">
        <v>8</v>
      </c>
      <c r="F15928" t="s">
        <v>15932</v>
      </c>
      <c r="G15928">
        <v>1</v>
      </c>
    </row>
    <row r="15929" spans="1:7" x14ac:dyDescent="0.25">
      <c r="A15929">
        <v>47</v>
      </c>
      <c r="B15929" t="s">
        <v>15823</v>
      </c>
      <c r="C15929">
        <v>2386</v>
      </c>
      <c r="D15929" t="str">
        <f>"0022-0299"</f>
        <v>0022-0299</v>
      </c>
      <c r="E15929" t="s">
        <v>8</v>
      </c>
      <c r="F15929" t="s">
        <v>15933</v>
      </c>
      <c r="G15929">
        <v>1</v>
      </c>
    </row>
    <row r="15930" spans="1:7" x14ac:dyDescent="0.25">
      <c r="A15930">
        <v>47</v>
      </c>
      <c r="B15930" t="s">
        <v>15823</v>
      </c>
      <c r="C15930">
        <v>25044</v>
      </c>
      <c r="D15930" t="str">
        <f>"1939-0211"</f>
        <v>1939-0211</v>
      </c>
      <c r="E15930" t="s">
        <v>8</v>
      </c>
      <c r="F15930" t="s">
        <v>15934</v>
      </c>
      <c r="G15930">
        <v>1</v>
      </c>
    </row>
    <row r="15931" spans="1:7" x14ac:dyDescent="0.25">
      <c r="A15931">
        <v>47</v>
      </c>
      <c r="B15931" t="s">
        <v>15823</v>
      </c>
      <c r="C15931">
        <v>13529</v>
      </c>
      <c r="D15931" t="str">
        <f>"1041-2905"</f>
        <v>1041-2905</v>
      </c>
      <c r="E15931" t="s">
        <v>8</v>
      </c>
      <c r="F15931" t="s">
        <v>15935</v>
      </c>
      <c r="G15931">
        <v>1</v>
      </c>
    </row>
    <row r="15932" spans="1:7" x14ac:dyDescent="0.25">
      <c r="A15932">
        <v>47</v>
      </c>
      <c r="B15932" t="s">
        <v>15823</v>
      </c>
      <c r="C15932">
        <v>9184</v>
      </c>
      <c r="D15932" t="str">
        <f>"1021-9498"</f>
        <v>1021-9498</v>
      </c>
      <c r="E15932" t="s">
        <v>8</v>
      </c>
      <c r="F15932" t="s">
        <v>15936</v>
      </c>
      <c r="G15932">
        <v>1</v>
      </c>
    </row>
    <row r="15933" spans="1:7" x14ac:dyDescent="0.25">
      <c r="A15933">
        <v>47</v>
      </c>
      <c r="B15933" t="s">
        <v>15823</v>
      </c>
      <c r="C15933">
        <v>3270</v>
      </c>
      <c r="D15933" t="str">
        <f>"0145-8884"</f>
        <v>0145-8884</v>
      </c>
      <c r="E15933" t="s">
        <v>8</v>
      </c>
      <c r="F15933" t="s">
        <v>15937</v>
      </c>
      <c r="G15933">
        <v>1</v>
      </c>
    </row>
    <row r="15934" spans="1:7" x14ac:dyDescent="0.25">
      <c r="A15934">
        <v>47</v>
      </c>
      <c r="B15934" t="s">
        <v>15823</v>
      </c>
      <c r="C15934">
        <v>10704</v>
      </c>
      <c r="D15934" t="str">
        <f>"0889-1575"</f>
        <v>0889-1575</v>
      </c>
      <c r="E15934" t="s">
        <v>8</v>
      </c>
      <c r="F15934" t="s">
        <v>15938</v>
      </c>
      <c r="G15934">
        <v>1</v>
      </c>
    </row>
    <row r="15935" spans="1:7" x14ac:dyDescent="0.25">
      <c r="A15935">
        <v>47</v>
      </c>
      <c r="B15935" t="s">
        <v>15823</v>
      </c>
      <c r="C15935">
        <v>3305</v>
      </c>
      <c r="D15935" t="str">
        <f>"0260-8774"</f>
        <v>0260-8774</v>
      </c>
      <c r="E15935" t="s">
        <v>8</v>
      </c>
      <c r="F15935" t="s">
        <v>15939</v>
      </c>
      <c r="G15935">
        <v>1</v>
      </c>
    </row>
    <row r="15936" spans="1:7" x14ac:dyDescent="0.25">
      <c r="A15936">
        <v>47</v>
      </c>
      <c r="B15936" t="s">
        <v>15823</v>
      </c>
      <c r="C15936">
        <v>23381</v>
      </c>
      <c r="D15936" t="str">
        <f>"2193-4126"</f>
        <v>2193-4126</v>
      </c>
      <c r="E15936" t="s">
        <v>8</v>
      </c>
      <c r="F15936" t="s">
        <v>15940</v>
      </c>
      <c r="G15936">
        <v>1</v>
      </c>
    </row>
    <row r="15937" spans="1:7" x14ac:dyDescent="0.25">
      <c r="A15937">
        <v>47</v>
      </c>
      <c r="B15937" t="s">
        <v>15823</v>
      </c>
      <c r="C15937">
        <v>10695</v>
      </c>
      <c r="D15937" t="str">
        <f>"0145-8876"</f>
        <v>0145-8876</v>
      </c>
      <c r="E15937" t="s">
        <v>8</v>
      </c>
      <c r="F15937" t="s">
        <v>15941</v>
      </c>
      <c r="G15937">
        <v>1</v>
      </c>
    </row>
    <row r="15938" spans="1:7" x14ac:dyDescent="0.25">
      <c r="A15938">
        <v>47</v>
      </c>
      <c r="B15938" t="s">
        <v>15823</v>
      </c>
      <c r="C15938">
        <v>903</v>
      </c>
      <c r="D15938" t="str">
        <f>"0145-8892"</f>
        <v>0145-8892</v>
      </c>
      <c r="E15938" t="s">
        <v>8</v>
      </c>
      <c r="F15938" t="s">
        <v>15942</v>
      </c>
      <c r="G15938">
        <v>1</v>
      </c>
    </row>
    <row r="15939" spans="1:7" x14ac:dyDescent="0.25">
      <c r="A15939">
        <v>47</v>
      </c>
      <c r="B15939" t="s">
        <v>15823</v>
      </c>
      <c r="C15939">
        <v>1516</v>
      </c>
      <c r="D15939" t="str">
        <f>"0362-028X"</f>
        <v>0362-028X</v>
      </c>
      <c r="E15939" t="s">
        <v>8</v>
      </c>
      <c r="F15939" t="s">
        <v>15943</v>
      </c>
      <c r="G15939">
        <v>1</v>
      </c>
    </row>
    <row r="15940" spans="1:7" x14ac:dyDescent="0.25">
      <c r="A15940">
        <v>47</v>
      </c>
      <c r="B15940" t="s">
        <v>15823</v>
      </c>
      <c r="C15940">
        <v>12337</v>
      </c>
      <c r="D15940" t="str">
        <f>"0146-9428"</f>
        <v>0146-9428</v>
      </c>
      <c r="E15940" t="s">
        <v>8</v>
      </c>
      <c r="F15940" t="s">
        <v>15944</v>
      </c>
      <c r="G15940">
        <v>1</v>
      </c>
    </row>
    <row r="15941" spans="1:7" x14ac:dyDescent="0.25">
      <c r="A15941">
        <v>47</v>
      </c>
      <c r="B15941" t="s">
        <v>15823</v>
      </c>
      <c r="C15941">
        <v>3615</v>
      </c>
      <c r="D15941" t="str">
        <f>"0149-6085"</f>
        <v>0149-6085</v>
      </c>
      <c r="E15941" t="s">
        <v>8</v>
      </c>
      <c r="F15941" t="s">
        <v>15945</v>
      </c>
      <c r="G15941">
        <v>1</v>
      </c>
    </row>
    <row r="15942" spans="1:7" x14ac:dyDescent="0.25">
      <c r="A15942">
        <v>47</v>
      </c>
      <c r="B15942" t="s">
        <v>15823</v>
      </c>
      <c r="C15942">
        <v>10372</v>
      </c>
      <c r="D15942" t="str">
        <f>"0003-925X"</f>
        <v>0003-925X</v>
      </c>
      <c r="E15942" t="s">
        <v>8</v>
      </c>
      <c r="F15942" t="s">
        <v>15946</v>
      </c>
      <c r="G15942">
        <v>1</v>
      </c>
    </row>
    <row r="15943" spans="1:7" x14ac:dyDescent="0.25">
      <c r="A15943">
        <v>47</v>
      </c>
      <c r="B15943" t="s">
        <v>15823</v>
      </c>
      <c r="C15943">
        <v>15935</v>
      </c>
      <c r="D15943" t="str">
        <f>"0022-1147"</f>
        <v>0022-1147</v>
      </c>
      <c r="E15943" t="s">
        <v>8</v>
      </c>
      <c r="F15943" t="s">
        <v>15947</v>
      </c>
      <c r="G15943">
        <v>1</v>
      </c>
    </row>
    <row r="15944" spans="1:7" x14ac:dyDescent="0.25">
      <c r="A15944">
        <v>47</v>
      </c>
      <c r="B15944" t="s">
        <v>15823</v>
      </c>
      <c r="C15944">
        <v>8743</v>
      </c>
      <c r="D15944" t="str">
        <f>"0022-1155"</f>
        <v>0022-1155</v>
      </c>
      <c r="E15944" t="s">
        <v>8</v>
      </c>
      <c r="F15944" t="s">
        <v>15948</v>
      </c>
      <c r="G15944">
        <v>1</v>
      </c>
    </row>
    <row r="15945" spans="1:7" x14ac:dyDescent="0.25">
      <c r="A15945">
        <v>47</v>
      </c>
      <c r="B15945" t="s">
        <v>15823</v>
      </c>
      <c r="C15945">
        <v>6169642</v>
      </c>
      <c r="D15945" t="str">
        <f>"1756-4646"</f>
        <v>1756-4646</v>
      </c>
      <c r="E15945" t="s">
        <v>8</v>
      </c>
      <c r="F15945" t="s">
        <v>15949</v>
      </c>
      <c r="G15945">
        <v>1</v>
      </c>
    </row>
    <row r="15946" spans="1:7" x14ac:dyDescent="0.25">
      <c r="A15946">
        <v>47</v>
      </c>
      <c r="B15946" t="s">
        <v>15823</v>
      </c>
      <c r="C15946">
        <v>1075</v>
      </c>
      <c r="D15946" t="str">
        <f>"0952-3871"</f>
        <v>0952-3871</v>
      </c>
      <c r="E15946" t="s">
        <v>8</v>
      </c>
      <c r="F15946" t="s">
        <v>15950</v>
      </c>
      <c r="G15946">
        <v>1</v>
      </c>
    </row>
    <row r="15947" spans="1:7" x14ac:dyDescent="0.25">
      <c r="A15947">
        <v>47</v>
      </c>
      <c r="B15947" t="s">
        <v>15823</v>
      </c>
      <c r="C15947">
        <v>16008</v>
      </c>
      <c r="D15947" t="str">
        <f>"1096-620X"</f>
        <v>1096-620X</v>
      </c>
      <c r="E15947" t="s">
        <v>8</v>
      </c>
      <c r="F15947" t="s">
        <v>15951</v>
      </c>
      <c r="G15947">
        <v>1</v>
      </c>
    </row>
    <row r="15948" spans="1:7" x14ac:dyDescent="0.25">
      <c r="A15948">
        <v>47</v>
      </c>
      <c r="B15948" t="s">
        <v>15823</v>
      </c>
      <c r="C15948">
        <v>8769229</v>
      </c>
      <c r="D15948" t="str">
        <f>"2352-3859"</f>
        <v>2352-3859</v>
      </c>
      <c r="E15948" t="s">
        <v>8</v>
      </c>
      <c r="F15948" t="s">
        <v>15952</v>
      </c>
      <c r="G15948">
        <v>1</v>
      </c>
    </row>
    <row r="15949" spans="1:7" x14ac:dyDescent="0.25">
      <c r="A15949">
        <v>47</v>
      </c>
      <c r="B15949" t="s">
        <v>15823</v>
      </c>
      <c r="C15949">
        <v>1655</v>
      </c>
      <c r="D15949" t="str">
        <f>"2155-1197"</f>
        <v>2155-1197</v>
      </c>
      <c r="E15949" t="s">
        <v>8</v>
      </c>
      <c r="F15949" t="s">
        <v>15953</v>
      </c>
      <c r="G15949">
        <v>1</v>
      </c>
    </row>
    <row r="15950" spans="1:7" x14ac:dyDescent="0.25">
      <c r="A15950">
        <v>47</v>
      </c>
      <c r="B15950" t="s">
        <v>15823</v>
      </c>
      <c r="C15950">
        <v>12846</v>
      </c>
      <c r="D15950" t="str">
        <f>"1279-7707"</f>
        <v>1279-7707</v>
      </c>
      <c r="E15950" t="s">
        <v>8</v>
      </c>
      <c r="F15950" t="s">
        <v>15954</v>
      </c>
      <c r="G15950">
        <v>1</v>
      </c>
    </row>
    <row r="15951" spans="1:7" x14ac:dyDescent="0.25">
      <c r="A15951">
        <v>47</v>
      </c>
      <c r="B15951" t="s">
        <v>15823</v>
      </c>
      <c r="C15951">
        <v>7729343</v>
      </c>
      <c r="E15951" t="s">
        <v>8</v>
      </c>
      <c r="F15951" t="s">
        <v>15955</v>
      </c>
      <c r="G15951">
        <v>1</v>
      </c>
    </row>
    <row r="15952" spans="1:7" x14ac:dyDescent="0.25">
      <c r="A15952">
        <v>47</v>
      </c>
      <c r="B15952" t="s">
        <v>15823</v>
      </c>
      <c r="C15952">
        <v>8301</v>
      </c>
      <c r="D15952" t="str">
        <f>"0301-4800"</f>
        <v>0301-4800</v>
      </c>
      <c r="E15952" t="s">
        <v>8</v>
      </c>
      <c r="F15952" t="s">
        <v>15956</v>
      </c>
      <c r="G15952">
        <v>1</v>
      </c>
    </row>
    <row r="15953" spans="1:7" x14ac:dyDescent="0.25">
      <c r="A15953">
        <v>47</v>
      </c>
      <c r="B15953" t="s">
        <v>15823</v>
      </c>
      <c r="C15953">
        <v>4301</v>
      </c>
      <c r="D15953" t="str">
        <f>"1051-2276"</f>
        <v>1051-2276</v>
      </c>
      <c r="E15953" t="s">
        <v>8</v>
      </c>
      <c r="F15953" t="s">
        <v>15957</v>
      </c>
      <c r="G15953">
        <v>1</v>
      </c>
    </row>
    <row r="15954" spans="1:7" x14ac:dyDescent="0.25">
      <c r="A15954">
        <v>47</v>
      </c>
      <c r="B15954" t="s">
        <v>15823</v>
      </c>
      <c r="C15954">
        <v>15472</v>
      </c>
      <c r="D15954" t="str">
        <f>"0887-8250"</f>
        <v>0887-8250</v>
      </c>
      <c r="E15954" t="s">
        <v>8</v>
      </c>
      <c r="F15954" t="s">
        <v>15958</v>
      </c>
      <c r="G15954">
        <v>1</v>
      </c>
    </row>
    <row r="15955" spans="1:7" x14ac:dyDescent="0.25">
      <c r="A15955">
        <v>47</v>
      </c>
      <c r="B15955" t="s">
        <v>15823</v>
      </c>
      <c r="C15955">
        <v>14549</v>
      </c>
      <c r="D15955" t="str">
        <f>"0022-4901"</f>
        <v>0022-4901</v>
      </c>
      <c r="E15955" t="s">
        <v>8</v>
      </c>
      <c r="F15955" t="s">
        <v>15959</v>
      </c>
      <c r="G15955">
        <v>1</v>
      </c>
    </row>
    <row r="15956" spans="1:7" x14ac:dyDescent="0.25">
      <c r="A15956">
        <v>47</v>
      </c>
      <c r="B15956" t="s">
        <v>15823</v>
      </c>
      <c r="C15956">
        <v>16355</v>
      </c>
      <c r="D15956" t="str">
        <f>"2212-2672"</f>
        <v>2212-2672</v>
      </c>
      <c r="E15956" t="s">
        <v>8</v>
      </c>
      <c r="F15956" t="s">
        <v>15960</v>
      </c>
      <c r="G15956">
        <v>1</v>
      </c>
    </row>
    <row r="15957" spans="1:7" x14ac:dyDescent="0.25">
      <c r="A15957">
        <v>47</v>
      </c>
      <c r="B15957" t="s">
        <v>15823</v>
      </c>
      <c r="C15957">
        <v>7662</v>
      </c>
      <c r="D15957" t="str">
        <f>"0731-5724"</f>
        <v>0731-5724</v>
      </c>
      <c r="E15957" t="s">
        <v>8</v>
      </c>
      <c r="F15957" t="s">
        <v>15961</v>
      </c>
      <c r="G15957">
        <v>1</v>
      </c>
    </row>
    <row r="15958" spans="1:7" x14ac:dyDescent="0.25">
      <c r="A15958">
        <v>47</v>
      </c>
      <c r="B15958" t="s">
        <v>15823</v>
      </c>
      <c r="C15958">
        <v>14603</v>
      </c>
      <c r="D15958" t="str">
        <f>"0361-0470"</f>
        <v>0361-0470</v>
      </c>
      <c r="E15958" t="s">
        <v>8</v>
      </c>
      <c r="F15958" t="s">
        <v>15962</v>
      </c>
      <c r="G15958">
        <v>1</v>
      </c>
    </row>
    <row r="15959" spans="1:7" x14ac:dyDescent="0.25">
      <c r="A15959">
        <v>47</v>
      </c>
      <c r="B15959" t="s">
        <v>15823</v>
      </c>
      <c r="C15959">
        <v>6380</v>
      </c>
      <c r="D15959" t="str">
        <f>"0046-9750"</f>
        <v>0046-9750</v>
      </c>
      <c r="E15959" t="s">
        <v>8</v>
      </c>
      <c r="F15959" t="s">
        <v>15963</v>
      </c>
      <c r="G15959">
        <v>1</v>
      </c>
    </row>
    <row r="15960" spans="1:7" x14ac:dyDescent="0.25">
      <c r="A15960">
        <v>47</v>
      </c>
      <c r="B15960" t="s">
        <v>15823</v>
      </c>
      <c r="C15960">
        <v>12504</v>
      </c>
      <c r="D15960" t="str">
        <f>"0022-5142"</f>
        <v>0022-5142</v>
      </c>
      <c r="E15960" t="s">
        <v>8</v>
      </c>
      <c r="F15960" t="s">
        <v>15964</v>
      </c>
      <c r="G15960">
        <v>1</v>
      </c>
    </row>
    <row r="15961" spans="1:7" x14ac:dyDescent="0.25">
      <c r="A15961">
        <v>47</v>
      </c>
      <c r="B15961" t="s">
        <v>15823</v>
      </c>
      <c r="C15961">
        <v>8676</v>
      </c>
      <c r="D15961" t="str">
        <f>"0023-6438"</f>
        <v>0023-6438</v>
      </c>
      <c r="E15961" t="s">
        <v>8</v>
      </c>
      <c r="F15961" t="s">
        <v>15965</v>
      </c>
      <c r="G15961">
        <v>1</v>
      </c>
    </row>
    <row r="15962" spans="1:7" x14ac:dyDescent="0.25">
      <c r="A15962">
        <v>47</v>
      </c>
      <c r="B15962" t="s">
        <v>15823</v>
      </c>
      <c r="C15962">
        <v>3266</v>
      </c>
      <c r="D15962" t="str">
        <f>"0024-4201"</f>
        <v>0024-4201</v>
      </c>
      <c r="E15962" t="s">
        <v>8</v>
      </c>
      <c r="F15962" t="s">
        <v>15966</v>
      </c>
      <c r="G15962">
        <v>1</v>
      </c>
    </row>
    <row r="15963" spans="1:7" x14ac:dyDescent="0.25">
      <c r="A15963">
        <v>47</v>
      </c>
      <c r="B15963" t="s">
        <v>15823</v>
      </c>
      <c r="C15963">
        <v>2283</v>
      </c>
      <c r="D15963" t="str">
        <f>"1210-3306"</f>
        <v>1210-3306</v>
      </c>
      <c r="E15963" t="s">
        <v>8</v>
      </c>
      <c r="F15963" t="s">
        <v>15967</v>
      </c>
      <c r="G15963">
        <v>1</v>
      </c>
    </row>
    <row r="15964" spans="1:7" x14ac:dyDescent="0.25">
      <c r="A15964">
        <v>47</v>
      </c>
      <c r="B15964" t="s">
        <v>15823</v>
      </c>
      <c r="C15964">
        <v>10467</v>
      </c>
      <c r="D15964" t="str">
        <f>"1740-8695"</f>
        <v>1740-8695</v>
      </c>
      <c r="E15964" t="s">
        <v>8</v>
      </c>
      <c r="F15964" t="s">
        <v>15968</v>
      </c>
      <c r="G15964">
        <v>1</v>
      </c>
    </row>
    <row r="15965" spans="1:7" x14ac:dyDescent="0.25">
      <c r="A15965">
        <v>47</v>
      </c>
      <c r="B15965" t="s">
        <v>15823</v>
      </c>
      <c r="C15965">
        <v>7714420</v>
      </c>
      <c r="D15965" t="str">
        <f>"2218-1989"</f>
        <v>2218-1989</v>
      </c>
      <c r="E15965" t="s">
        <v>8</v>
      </c>
      <c r="F15965" t="s">
        <v>15969</v>
      </c>
      <c r="G15965">
        <v>1</v>
      </c>
    </row>
    <row r="15966" spans="1:7" x14ac:dyDescent="0.25">
      <c r="A15966">
        <v>47</v>
      </c>
      <c r="B15966" t="s">
        <v>15823</v>
      </c>
      <c r="C15966">
        <v>8783852</v>
      </c>
      <c r="E15966" t="s">
        <v>8</v>
      </c>
      <c r="F15966" t="s">
        <v>15970</v>
      </c>
      <c r="G15966">
        <v>1</v>
      </c>
    </row>
    <row r="15967" spans="1:7" x14ac:dyDescent="0.25">
      <c r="A15967">
        <v>47</v>
      </c>
      <c r="B15967" t="s">
        <v>15823</v>
      </c>
      <c r="C15967">
        <v>351</v>
      </c>
      <c r="D15967" t="str">
        <f>"1341-027X"</f>
        <v>1341-027X</v>
      </c>
      <c r="E15967" t="s">
        <v>8</v>
      </c>
      <c r="F15967" t="s">
        <v>15971</v>
      </c>
      <c r="G15967">
        <v>1</v>
      </c>
    </row>
    <row r="15968" spans="1:7" x14ac:dyDescent="0.25">
      <c r="A15968">
        <v>47</v>
      </c>
      <c r="B15968" t="s">
        <v>15823</v>
      </c>
      <c r="C15968">
        <v>8783354</v>
      </c>
      <c r="E15968" t="s">
        <v>8</v>
      </c>
      <c r="F15968" t="s">
        <v>15972</v>
      </c>
      <c r="G15968">
        <v>1</v>
      </c>
    </row>
    <row r="15969" spans="1:7" x14ac:dyDescent="0.25">
      <c r="A15969">
        <v>47</v>
      </c>
      <c r="B15969" t="s">
        <v>15823</v>
      </c>
      <c r="C15969">
        <v>17623</v>
      </c>
      <c r="D15969" t="str">
        <f>"0212-1611"</f>
        <v>0212-1611</v>
      </c>
      <c r="E15969" t="s">
        <v>8</v>
      </c>
      <c r="F15969" t="s">
        <v>15973</v>
      </c>
      <c r="G15969">
        <v>1</v>
      </c>
    </row>
    <row r="15970" spans="1:7" x14ac:dyDescent="0.25">
      <c r="A15970">
        <v>47</v>
      </c>
      <c r="B15970" t="s">
        <v>15823</v>
      </c>
      <c r="C15970">
        <v>10287</v>
      </c>
      <c r="D15970" t="str">
        <f>"0899-9007"</f>
        <v>0899-9007</v>
      </c>
      <c r="E15970" t="s">
        <v>8</v>
      </c>
      <c r="F15970" t="s">
        <v>15974</v>
      </c>
      <c r="G15970">
        <v>1</v>
      </c>
    </row>
    <row r="15971" spans="1:7" x14ac:dyDescent="0.25">
      <c r="A15971">
        <v>47</v>
      </c>
      <c r="B15971" t="s">
        <v>15823</v>
      </c>
      <c r="C15971">
        <v>15837</v>
      </c>
      <c r="E15971" t="s">
        <v>8</v>
      </c>
      <c r="F15971" t="s">
        <v>15975</v>
      </c>
      <c r="G15971">
        <v>1</v>
      </c>
    </row>
    <row r="15972" spans="1:7" x14ac:dyDescent="0.25">
      <c r="A15972">
        <v>47</v>
      </c>
      <c r="B15972" t="s">
        <v>15823</v>
      </c>
      <c r="C15972">
        <v>15588</v>
      </c>
      <c r="D15972" t="str">
        <f>"0163-5581"</f>
        <v>0163-5581</v>
      </c>
      <c r="E15972" t="s">
        <v>8</v>
      </c>
      <c r="F15972" t="s">
        <v>15976</v>
      </c>
      <c r="G15972">
        <v>1</v>
      </c>
    </row>
    <row r="15973" spans="1:7" x14ac:dyDescent="0.25">
      <c r="A15973">
        <v>47</v>
      </c>
      <c r="B15973" t="s">
        <v>15823</v>
      </c>
      <c r="C15973">
        <v>20919</v>
      </c>
      <c r="D15973" t="str">
        <f>"1446-6368"</f>
        <v>1446-6368</v>
      </c>
      <c r="E15973" t="s">
        <v>8</v>
      </c>
      <c r="F15973" t="s">
        <v>15977</v>
      </c>
      <c r="G15973">
        <v>1</v>
      </c>
    </row>
    <row r="15974" spans="1:7" x14ac:dyDescent="0.25">
      <c r="A15974">
        <v>47</v>
      </c>
      <c r="B15974" t="s">
        <v>15823</v>
      </c>
      <c r="C15974">
        <v>3540</v>
      </c>
      <c r="D15974" t="str">
        <f>"1471-9827"</f>
        <v>1471-9827</v>
      </c>
      <c r="E15974" t="s">
        <v>8</v>
      </c>
      <c r="F15974" t="s">
        <v>15978</v>
      </c>
      <c r="G15974">
        <v>1</v>
      </c>
    </row>
    <row r="15975" spans="1:7" x14ac:dyDescent="0.25">
      <c r="A15975">
        <v>47</v>
      </c>
      <c r="B15975" t="s">
        <v>15823</v>
      </c>
      <c r="C15975">
        <v>14534</v>
      </c>
      <c r="E15975" t="s">
        <v>8</v>
      </c>
      <c r="F15975" t="s">
        <v>15979</v>
      </c>
      <c r="G15975">
        <v>1</v>
      </c>
    </row>
    <row r="15976" spans="1:7" x14ac:dyDescent="0.25">
      <c r="A15976">
        <v>47</v>
      </c>
      <c r="B15976" t="s">
        <v>15823</v>
      </c>
      <c r="C15976">
        <v>4375</v>
      </c>
      <c r="D15976" t="str">
        <f>"0271-5317"</f>
        <v>0271-5317</v>
      </c>
      <c r="E15976" t="s">
        <v>8</v>
      </c>
      <c r="F15976" t="s">
        <v>15980</v>
      </c>
      <c r="G15976">
        <v>1</v>
      </c>
    </row>
    <row r="15977" spans="1:7" x14ac:dyDescent="0.25">
      <c r="A15977">
        <v>47</v>
      </c>
      <c r="B15977" t="s">
        <v>15823</v>
      </c>
      <c r="C15977">
        <v>7226</v>
      </c>
      <c r="D15977" t="str">
        <f>"0954-4224"</f>
        <v>0954-4224</v>
      </c>
      <c r="E15977" t="s">
        <v>8</v>
      </c>
      <c r="F15977" t="s">
        <v>15981</v>
      </c>
      <c r="G15977">
        <v>1</v>
      </c>
    </row>
    <row r="15978" spans="1:7" x14ac:dyDescent="0.25">
      <c r="A15978">
        <v>47</v>
      </c>
      <c r="B15978" t="s">
        <v>15823</v>
      </c>
      <c r="C15978">
        <v>6216</v>
      </c>
      <c r="D15978" t="str">
        <f>"0029-6643"</f>
        <v>0029-6643</v>
      </c>
      <c r="E15978" t="s">
        <v>8</v>
      </c>
      <c r="F15978" t="s">
        <v>15982</v>
      </c>
      <c r="G15978">
        <v>1</v>
      </c>
    </row>
    <row r="15979" spans="1:7" x14ac:dyDescent="0.25">
      <c r="A15979">
        <v>47</v>
      </c>
      <c r="B15979" t="s">
        <v>15823</v>
      </c>
      <c r="C15979">
        <v>5919</v>
      </c>
      <c r="D15979" t="str">
        <f>"0939-4753"</f>
        <v>0939-4753</v>
      </c>
      <c r="E15979" t="s">
        <v>8</v>
      </c>
      <c r="F15979" t="s">
        <v>15983</v>
      </c>
      <c r="G15979">
        <v>1</v>
      </c>
    </row>
    <row r="15980" spans="1:7" x14ac:dyDescent="0.25">
      <c r="A15980">
        <v>47</v>
      </c>
      <c r="B15980" t="s">
        <v>15823</v>
      </c>
      <c r="C15980">
        <v>1290</v>
      </c>
      <c r="D15980" t="str">
        <f>"1028-415X"</f>
        <v>1028-415X</v>
      </c>
      <c r="E15980" t="s">
        <v>8</v>
      </c>
      <c r="F15980" t="s">
        <v>15984</v>
      </c>
      <c r="G15980">
        <v>1</v>
      </c>
    </row>
    <row r="15981" spans="1:7" x14ac:dyDescent="0.25">
      <c r="A15981">
        <v>47</v>
      </c>
      <c r="B15981" t="s">
        <v>15823</v>
      </c>
      <c r="C15981">
        <v>11361</v>
      </c>
      <c r="D15981" t="str">
        <f>"0894-3214"</f>
        <v>0894-3214</v>
      </c>
      <c r="E15981" t="s">
        <v>8</v>
      </c>
      <c r="F15981" t="s">
        <v>15985</v>
      </c>
      <c r="G15981">
        <v>1</v>
      </c>
    </row>
    <row r="15982" spans="1:7" x14ac:dyDescent="0.25">
      <c r="A15982">
        <v>47</v>
      </c>
      <c r="B15982" t="s">
        <v>15823</v>
      </c>
      <c r="C15982">
        <v>13586</v>
      </c>
      <c r="D15982" t="str">
        <f>"0921-9668"</f>
        <v>0921-9668</v>
      </c>
      <c r="E15982" t="s">
        <v>8</v>
      </c>
      <c r="F15982" t="s">
        <v>15986</v>
      </c>
      <c r="G15982">
        <v>1</v>
      </c>
    </row>
    <row r="15983" spans="1:7" x14ac:dyDescent="0.25">
      <c r="A15983">
        <v>47</v>
      </c>
      <c r="B15983" t="s">
        <v>15823</v>
      </c>
      <c r="C15983">
        <v>18555</v>
      </c>
      <c r="D15983" t="str">
        <f>"0902-5057"</f>
        <v>0902-5057</v>
      </c>
      <c r="E15983" t="s">
        <v>8</v>
      </c>
      <c r="F15983" t="s">
        <v>15987</v>
      </c>
      <c r="G15983">
        <v>1</v>
      </c>
    </row>
    <row r="15984" spans="1:7" x14ac:dyDescent="0.25">
      <c r="A15984">
        <v>47</v>
      </c>
      <c r="B15984" t="s">
        <v>15823</v>
      </c>
      <c r="C15984">
        <v>10602</v>
      </c>
      <c r="D15984" t="str">
        <f>"1230-0322"</f>
        <v>1230-0322</v>
      </c>
      <c r="E15984" t="s">
        <v>8</v>
      </c>
      <c r="F15984" t="s">
        <v>15988</v>
      </c>
      <c r="G15984">
        <v>1</v>
      </c>
    </row>
    <row r="15985" spans="1:7" x14ac:dyDescent="0.25">
      <c r="A15985">
        <v>47</v>
      </c>
      <c r="B15985" t="s">
        <v>15823</v>
      </c>
      <c r="C15985">
        <v>567</v>
      </c>
      <c r="D15985" t="str">
        <f>"0925-5214"</f>
        <v>0925-5214</v>
      </c>
      <c r="E15985" t="s">
        <v>8</v>
      </c>
      <c r="F15985" t="s">
        <v>15989</v>
      </c>
      <c r="G15985">
        <v>1</v>
      </c>
    </row>
    <row r="15986" spans="1:7" x14ac:dyDescent="0.25">
      <c r="A15986">
        <v>47</v>
      </c>
      <c r="B15986" t="s">
        <v>15823</v>
      </c>
      <c r="C15986">
        <v>11354</v>
      </c>
      <c r="D15986" t="str">
        <f>"1359-5113"</f>
        <v>1359-5113</v>
      </c>
      <c r="E15986" t="s">
        <v>8</v>
      </c>
      <c r="F15986" t="s">
        <v>15990</v>
      </c>
      <c r="G15986">
        <v>1</v>
      </c>
    </row>
    <row r="15987" spans="1:7" x14ac:dyDescent="0.25">
      <c r="A15987">
        <v>47</v>
      </c>
      <c r="B15987" t="s">
        <v>15823</v>
      </c>
      <c r="C15987">
        <v>11395</v>
      </c>
      <c r="D15987" t="str">
        <f>"1368-9800"</f>
        <v>1368-9800</v>
      </c>
      <c r="E15987" t="s">
        <v>8</v>
      </c>
      <c r="F15987" t="s">
        <v>15991</v>
      </c>
      <c r="G15987">
        <v>1</v>
      </c>
    </row>
    <row r="15988" spans="1:7" x14ac:dyDescent="0.25">
      <c r="A15988">
        <v>47</v>
      </c>
      <c r="B15988" t="s">
        <v>15823</v>
      </c>
      <c r="C15988">
        <v>3356</v>
      </c>
      <c r="D15988" t="str">
        <f>"0015-6426"</f>
        <v>0015-6426</v>
      </c>
      <c r="E15988" t="s">
        <v>8</v>
      </c>
      <c r="F15988" t="s">
        <v>15992</v>
      </c>
      <c r="G15988">
        <v>1</v>
      </c>
    </row>
    <row r="15989" spans="1:7" x14ac:dyDescent="0.25">
      <c r="A15989">
        <v>47</v>
      </c>
      <c r="B15989" t="s">
        <v>15823</v>
      </c>
      <c r="C15989">
        <v>10253</v>
      </c>
      <c r="D15989" t="str">
        <f>"0038-9056"</f>
        <v>0038-9056</v>
      </c>
      <c r="E15989" t="s">
        <v>8</v>
      </c>
      <c r="F15989" t="s">
        <v>15993</v>
      </c>
      <c r="G15989">
        <v>1</v>
      </c>
    </row>
    <row r="15990" spans="1:7" x14ac:dyDescent="0.25">
      <c r="A15990">
        <v>47</v>
      </c>
      <c r="B15990" t="s">
        <v>15823</v>
      </c>
      <c r="C15990">
        <v>2984</v>
      </c>
      <c r="D15990" t="str">
        <f>"0007-1145"</f>
        <v>0007-1145</v>
      </c>
      <c r="E15990" t="s">
        <v>8</v>
      </c>
      <c r="F15990" t="s">
        <v>15994</v>
      </c>
      <c r="G15990">
        <v>1</v>
      </c>
    </row>
    <row r="15991" spans="1:7" x14ac:dyDescent="0.25">
      <c r="A15991">
        <v>47</v>
      </c>
      <c r="B15991" t="s">
        <v>15823</v>
      </c>
      <c r="C15991">
        <v>2250</v>
      </c>
      <c r="D15991" t="str">
        <f>"0955-2863"</f>
        <v>0955-2863</v>
      </c>
      <c r="E15991" t="s">
        <v>8</v>
      </c>
      <c r="F15991" t="s">
        <v>15995</v>
      </c>
      <c r="G15991">
        <v>1</v>
      </c>
    </row>
    <row r="15992" spans="1:7" x14ac:dyDescent="0.25">
      <c r="A15992">
        <v>47</v>
      </c>
      <c r="B15992" t="s">
        <v>15823</v>
      </c>
      <c r="C15992">
        <v>8782947</v>
      </c>
      <c r="D15992" t="str">
        <f>"0300-0923"</f>
        <v>0300-0923</v>
      </c>
      <c r="E15992" t="s">
        <v>15</v>
      </c>
      <c r="F15992" t="s">
        <v>15996</v>
      </c>
      <c r="G15992">
        <v>1</v>
      </c>
    </row>
    <row r="15993" spans="1:7" x14ac:dyDescent="0.25">
      <c r="A15993">
        <v>47</v>
      </c>
      <c r="B15993" t="s">
        <v>15823</v>
      </c>
      <c r="C15993">
        <v>19980</v>
      </c>
      <c r="D15993" t="str">
        <f>"0084-2230"</f>
        <v>0084-2230</v>
      </c>
      <c r="E15993" t="s">
        <v>15</v>
      </c>
      <c r="F15993" t="s">
        <v>15997</v>
      </c>
      <c r="G15993">
        <v>1</v>
      </c>
    </row>
    <row r="15994" spans="1:7" x14ac:dyDescent="0.25">
      <c r="A15994">
        <v>47</v>
      </c>
      <c r="B15994" t="s">
        <v>15823</v>
      </c>
      <c r="C15994">
        <v>6417</v>
      </c>
      <c r="D15994" t="str">
        <f>"0344-8657"</f>
        <v>0344-8657</v>
      </c>
      <c r="E15994" t="s">
        <v>8</v>
      </c>
      <c r="F15994" t="s">
        <v>15998</v>
      </c>
      <c r="G15994">
        <v>1</v>
      </c>
    </row>
    <row r="15995" spans="1:7" x14ac:dyDescent="0.25">
      <c r="A15995">
        <v>48</v>
      </c>
      <c r="B15995" t="s">
        <v>15999</v>
      </c>
      <c r="C15995">
        <v>12830</v>
      </c>
      <c r="D15995" t="str">
        <f>"0003-4819"</f>
        <v>0003-4819</v>
      </c>
      <c r="E15995" t="s">
        <v>8</v>
      </c>
      <c r="F15995" t="s">
        <v>16000</v>
      </c>
      <c r="G15995">
        <v>3</v>
      </c>
    </row>
    <row r="15996" spans="1:7" x14ac:dyDescent="0.25">
      <c r="A15996">
        <v>48</v>
      </c>
      <c r="B15996" t="s">
        <v>15999</v>
      </c>
      <c r="C15996">
        <v>10460</v>
      </c>
      <c r="D15996" t="str">
        <f>"1535-6108"</f>
        <v>1535-6108</v>
      </c>
      <c r="E15996" t="s">
        <v>8</v>
      </c>
      <c r="F15996" t="s">
        <v>16001</v>
      </c>
      <c r="G15996">
        <v>3</v>
      </c>
    </row>
    <row r="15997" spans="1:7" x14ac:dyDescent="0.25">
      <c r="A15997">
        <v>48</v>
      </c>
      <c r="B15997" t="s">
        <v>15999</v>
      </c>
      <c r="C15997">
        <v>9987</v>
      </c>
      <c r="D15997" t="str">
        <f>"1074-7613"</f>
        <v>1074-7613</v>
      </c>
      <c r="E15997" t="s">
        <v>8</v>
      </c>
      <c r="F15997" t="s">
        <v>16002</v>
      </c>
      <c r="G15997">
        <v>3</v>
      </c>
    </row>
    <row r="15998" spans="1:7" x14ac:dyDescent="0.25">
      <c r="A15998">
        <v>48</v>
      </c>
      <c r="B15998" t="s">
        <v>15999</v>
      </c>
      <c r="C15998">
        <v>6208</v>
      </c>
      <c r="D15998" t="str">
        <f>"0098-7484"</f>
        <v>0098-7484</v>
      </c>
      <c r="E15998" t="s">
        <v>8</v>
      </c>
      <c r="F15998" t="s">
        <v>16003</v>
      </c>
      <c r="G15998">
        <v>3</v>
      </c>
    </row>
    <row r="15999" spans="1:7" x14ac:dyDescent="0.25">
      <c r="A15999">
        <v>48</v>
      </c>
      <c r="B15999" t="s">
        <v>15999</v>
      </c>
      <c r="C15999">
        <v>16284</v>
      </c>
      <c r="D15999" t="str">
        <f>"1078-8956"</f>
        <v>1078-8956</v>
      </c>
      <c r="E15999" t="s">
        <v>8</v>
      </c>
      <c r="F15999" t="s">
        <v>16004</v>
      </c>
      <c r="G15999">
        <v>3</v>
      </c>
    </row>
    <row r="16000" spans="1:7" x14ac:dyDescent="0.25">
      <c r="A16000">
        <v>48</v>
      </c>
      <c r="B16000" t="s">
        <v>15999</v>
      </c>
      <c r="C16000">
        <v>985</v>
      </c>
      <c r="E16000" t="s">
        <v>8</v>
      </c>
      <c r="F16000" t="s">
        <v>16005</v>
      </c>
      <c r="G16000">
        <v>3</v>
      </c>
    </row>
    <row r="16001" spans="1:7" x14ac:dyDescent="0.25">
      <c r="A16001">
        <v>48</v>
      </c>
      <c r="B16001" t="s">
        <v>15999</v>
      </c>
      <c r="C16001">
        <v>10255</v>
      </c>
      <c r="D16001" t="str">
        <f>"0140-6736"</f>
        <v>0140-6736</v>
      </c>
      <c r="E16001" t="s">
        <v>8</v>
      </c>
      <c r="F16001" t="s">
        <v>16006</v>
      </c>
      <c r="G16001">
        <v>3</v>
      </c>
    </row>
    <row r="16002" spans="1:7" x14ac:dyDescent="0.25">
      <c r="A16002">
        <v>48</v>
      </c>
      <c r="B16002" t="s">
        <v>15999</v>
      </c>
      <c r="C16002">
        <v>10364</v>
      </c>
      <c r="D16002" t="str">
        <f>"0028-4793"</f>
        <v>0028-4793</v>
      </c>
      <c r="E16002" t="s">
        <v>8</v>
      </c>
      <c r="F16002" t="s">
        <v>16007</v>
      </c>
      <c r="G16002">
        <v>3</v>
      </c>
    </row>
    <row r="16003" spans="1:7" x14ac:dyDescent="0.25">
      <c r="A16003">
        <v>48</v>
      </c>
      <c r="B16003" t="s">
        <v>15999</v>
      </c>
      <c r="C16003">
        <v>11182</v>
      </c>
      <c r="D16003" t="str">
        <f>"0065-2776"</f>
        <v>0065-2776</v>
      </c>
      <c r="E16003" t="s">
        <v>15</v>
      </c>
      <c r="F16003" t="s">
        <v>16008</v>
      </c>
      <c r="G16003">
        <v>2</v>
      </c>
    </row>
    <row r="16004" spans="1:7" x14ac:dyDescent="0.25">
      <c r="A16004">
        <v>48</v>
      </c>
      <c r="B16004" t="s">
        <v>15999</v>
      </c>
      <c r="C16004">
        <v>4051</v>
      </c>
      <c r="D16004" t="str">
        <f>"0923-7534"</f>
        <v>0923-7534</v>
      </c>
      <c r="E16004" t="s">
        <v>8</v>
      </c>
      <c r="F16004" t="s">
        <v>16009</v>
      </c>
      <c r="G16004">
        <v>2</v>
      </c>
    </row>
    <row r="16005" spans="1:7" x14ac:dyDescent="0.25">
      <c r="A16005">
        <v>48</v>
      </c>
      <c r="B16005" t="s">
        <v>15999</v>
      </c>
      <c r="C16005">
        <v>12273</v>
      </c>
      <c r="D16005" t="str">
        <f>"0003-4967"</f>
        <v>0003-4967</v>
      </c>
      <c r="E16005" t="s">
        <v>8</v>
      </c>
      <c r="F16005" t="s">
        <v>16010</v>
      </c>
      <c r="G16005">
        <v>2</v>
      </c>
    </row>
    <row r="16006" spans="1:7" x14ac:dyDescent="0.25">
      <c r="A16006">
        <v>48</v>
      </c>
      <c r="B16006" t="s">
        <v>15999</v>
      </c>
      <c r="C16006">
        <v>11533</v>
      </c>
      <c r="D16006" t="str">
        <f>"0732-0582"</f>
        <v>0732-0582</v>
      </c>
      <c r="E16006" t="s">
        <v>8</v>
      </c>
      <c r="F16006" t="s">
        <v>16011</v>
      </c>
      <c r="G16006">
        <v>2</v>
      </c>
    </row>
    <row r="16007" spans="1:7" x14ac:dyDescent="0.25">
      <c r="A16007">
        <v>48</v>
      </c>
      <c r="B16007" t="s">
        <v>15999</v>
      </c>
      <c r="C16007">
        <v>7741</v>
      </c>
      <c r="D16007" t="str">
        <f>"0066-4219"</f>
        <v>0066-4219</v>
      </c>
      <c r="E16007" t="s">
        <v>8</v>
      </c>
      <c r="F16007" t="s">
        <v>16012</v>
      </c>
      <c r="G16007">
        <v>2</v>
      </c>
    </row>
    <row r="16008" spans="1:7" x14ac:dyDescent="0.25">
      <c r="A16008">
        <v>48</v>
      </c>
      <c r="B16008" t="s">
        <v>15999</v>
      </c>
      <c r="C16008">
        <v>8781957</v>
      </c>
      <c r="E16008" t="s">
        <v>8</v>
      </c>
      <c r="F16008" t="s">
        <v>16013</v>
      </c>
      <c r="G16008">
        <v>2</v>
      </c>
    </row>
    <row r="16009" spans="1:7" x14ac:dyDescent="0.25">
      <c r="A16009">
        <v>48</v>
      </c>
      <c r="B16009" t="s">
        <v>15999</v>
      </c>
      <c r="C16009">
        <v>15248</v>
      </c>
      <c r="D16009" t="str">
        <f>"0006-4971"</f>
        <v>0006-4971</v>
      </c>
      <c r="E16009" t="s">
        <v>8</v>
      </c>
      <c r="F16009" t="s">
        <v>16014</v>
      </c>
      <c r="G16009">
        <v>2</v>
      </c>
    </row>
    <row r="16010" spans="1:7" x14ac:dyDescent="0.25">
      <c r="A16010">
        <v>48</v>
      </c>
      <c r="B16010" t="s">
        <v>15999</v>
      </c>
      <c r="C16010">
        <v>11811</v>
      </c>
      <c r="D16010" t="str">
        <f>"0268-960X"</f>
        <v>0268-960X</v>
      </c>
      <c r="E16010" t="s">
        <v>8</v>
      </c>
      <c r="F16010" t="s">
        <v>16015</v>
      </c>
      <c r="G16010">
        <v>2</v>
      </c>
    </row>
    <row r="16011" spans="1:7" x14ac:dyDescent="0.25">
      <c r="A16011">
        <v>48</v>
      </c>
      <c r="B16011" t="s">
        <v>15999</v>
      </c>
      <c r="C16011">
        <v>16987</v>
      </c>
      <c r="D16011" t="str">
        <f>"0167-7659"</f>
        <v>0167-7659</v>
      </c>
      <c r="E16011" t="s">
        <v>8</v>
      </c>
      <c r="F16011" t="s">
        <v>16016</v>
      </c>
      <c r="G16011">
        <v>2</v>
      </c>
    </row>
    <row r="16012" spans="1:7" x14ac:dyDescent="0.25">
      <c r="A16012">
        <v>48</v>
      </c>
      <c r="B16012" t="s">
        <v>15999</v>
      </c>
      <c r="C16012">
        <v>6081</v>
      </c>
      <c r="D16012" t="str">
        <f>"0008-5472"</f>
        <v>0008-5472</v>
      </c>
      <c r="E16012" t="s">
        <v>8</v>
      </c>
      <c r="F16012" t="s">
        <v>16017</v>
      </c>
      <c r="G16012">
        <v>2</v>
      </c>
    </row>
    <row r="16013" spans="1:7" x14ac:dyDescent="0.25">
      <c r="A16013">
        <v>48</v>
      </c>
      <c r="B16013" t="s">
        <v>15999</v>
      </c>
      <c r="C16013">
        <v>9476</v>
      </c>
      <c r="D16013" t="str">
        <f>"0009-7322"</f>
        <v>0009-7322</v>
      </c>
      <c r="E16013" t="s">
        <v>8</v>
      </c>
      <c r="F16013" t="s">
        <v>16018</v>
      </c>
      <c r="G16013">
        <v>2</v>
      </c>
    </row>
    <row r="16014" spans="1:7" x14ac:dyDescent="0.25">
      <c r="A16014">
        <v>48</v>
      </c>
      <c r="B16014" t="s">
        <v>15999</v>
      </c>
      <c r="C16014">
        <v>16286</v>
      </c>
      <c r="D16014" t="str">
        <f>"0009-7330"</f>
        <v>0009-7330</v>
      </c>
      <c r="E16014" t="s">
        <v>8</v>
      </c>
      <c r="F16014" t="s">
        <v>16019</v>
      </c>
      <c r="G16014">
        <v>2</v>
      </c>
    </row>
    <row r="16015" spans="1:7" x14ac:dyDescent="0.25">
      <c r="A16015">
        <v>48</v>
      </c>
      <c r="B16015" t="s">
        <v>15999</v>
      </c>
      <c r="C16015">
        <v>6525</v>
      </c>
      <c r="D16015" t="str">
        <f>"1078-0432"</f>
        <v>1078-0432</v>
      </c>
      <c r="E16015" t="s">
        <v>8</v>
      </c>
      <c r="F16015" t="s">
        <v>16020</v>
      </c>
      <c r="G16015">
        <v>2</v>
      </c>
    </row>
    <row r="16016" spans="1:7" x14ac:dyDescent="0.25">
      <c r="A16016">
        <v>48</v>
      </c>
      <c r="B16016" t="s">
        <v>15999</v>
      </c>
      <c r="C16016">
        <v>3818</v>
      </c>
      <c r="D16016" t="str">
        <f>"1058-4838"</f>
        <v>1058-4838</v>
      </c>
      <c r="E16016" t="s">
        <v>8</v>
      </c>
      <c r="F16016" t="s">
        <v>16021</v>
      </c>
      <c r="G16016">
        <v>2</v>
      </c>
    </row>
    <row r="16017" spans="1:7" x14ac:dyDescent="0.25">
      <c r="A16017">
        <v>48</v>
      </c>
      <c r="B16017" t="s">
        <v>15999</v>
      </c>
      <c r="C16017">
        <v>7046</v>
      </c>
      <c r="D16017" t="str">
        <f>"0893-8512"</f>
        <v>0893-8512</v>
      </c>
      <c r="E16017" t="s">
        <v>8</v>
      </c>
      <c r="F16017" t="s">
        <v>16022</v>
      </c>
      <c r="G16017">
        <v>2</v>
      </c>
    </row>
    <row r="16018" spans="1:7" x14ac:dyDescent="0.25">
      <c r="A16018">
        <v>48</v>
      </c>
      <c r="B16018" t="s">
        <v>15999</v>
      </c>
      <c r="C16018">
        <v>1577</v>
      </c>
      <c r="D16018" t="str">
        <f>"1361-6137"</f>
        <v>1361-6137</v>
      </c>
      <c r="E16018" t="s">
        <v>8</v>
      </c>
      <c r="F16018" t="s">
        <v>16023</v>
      </c>
      <c r="G16018">
        <v>2</v>
      </c>
    </row>
    <row r="16019" spans="1:7" x14ac:dyDescent="0.25">
      <c r="A16019">
        <v>48</v>
      </c>
      <c r="B16019" t="s">
        <v>15999</v>
      </c>
      <c r="C16019">
        <v>9741</v>
      </c>
      <c r="D16019" t="str">
        <f>"0952-7915"</f>
        <v>0952-7915</v>
      </c>
      <c r="E16019" t="s">
        <v>8</v>
      </c>
      <c r="F16019" t="s">
        <v>16024</v>
      </c>
      <c r="G16019">
        <v>2</v>
      </c>
    </row>
    <row r="16020" spans="1:7" x14ac:dyDescent="0.25">
      <c r="A16020">
        <v>48</v>
      </c>
      <c r="B16020" t="s">
        <v>15999</v>
      </c>
      <c r="C16020">
        <v>7458</v>
      </c>
      <c r="D16020" t="str">
        <f>"0012-1797"</f>
        <v>0012-1797</v>
      </c>
      <c r="E16020" t="s">
        <v>8</v>
      </c>
      <c r="F16020" t="s">
        <v>16025</v>
      </c>
      <c r="G16020">
        <v>2</v>
      </c>
    </row>
    <row r="16021" spans="1:7" x14ac:dyDescent="0.25">
      <c r="A16021">
        <v>48</v>
      </c>
      <c r="B16021" t="s">
        <v>15999</v>
      </c>
      <c r="C16021">
        <v>2723</v>
      </c>
      <c r="D16021" t="str">
        <f>"0149-5992"</f>
        <v>0149-5992</v>
      </c>
      <c r="E16021" t="s">
        <v>8</v>
      </c>
      <c r="F16021" t="s">
        <v>16026</v>
      </c>
      <c r="G16021">
        <v>2</v>
      </c>
    </row>
    <row r="16022" spans="1:7" x14ac:dyDescent="0.25">
      <c r="A16022">
        <v>48</v>
      </c>
      <c r="B16022" t="s">
        <v>15999</v>
      </c>
      <c r="C16022">
        <v>5369</v>
      </c>
      <c r="D16022" t="str">
        <f>"1080-6040"</f>
        <v>1080-6040</v>
      </c>
      <c r="E16022" t="s">
        <v>8</v>
      </c>
      <c r="F16022" t="s">
        <v>16027</v>
      </c>
      <c r="G16022">
        <v>2</v>
      </c>
    </row>
    <row r="16023" spans="1:7" x14ac:dyDescent="0.25">
      <c r="A16023">
        <v>48</v>
      </c>
      <c r="B16023" t="s">
        <v>15999</v>
      </c>
      <c r="C16023">
        <v>10221</v>
      </c>
      <c r="D16023" t="str">
        <f>"0163-769X"</f>
        <v>0163-769X</v>
      </c>
      <c r="E16023" t="s">
        <v>8</v>
      </c>
      <c r="F16023" t="s">
        <v>16028</v>
      </c>
      <c r="G16023">
        <v>2</v>
      </c>
    </row>
    <row r="16024" spans="1:7" x14ac:dyDescent="0.25">
      <c r="A16024">
        <v>48</v>
      </c>
      <c r="B16024" t="s">
        <v>15999</v>
      </c>
      <c r="C16024">
        <v>5175</v>
      </c>
      <c r="D16024" t="str">
        <f>"0195-668X"</f>
        <v>0195-668X</v>
      </c>
      <c r="E16024" t="s">
        <v>8</v>
      </c>
      <c r="F16024" t="s">
        <v>16029</v>
      </c>
      <c r="G16024">
        <v>2</v>
      </c>
    </row>
    <row r="16025" spans="1:7" x14ac:dyDescent="0.25">
      <c r="A16025">
        <v>48</v>
      </c>
      <c r="B16025" t="s">
        <v>15999</v>
      </c>
      <c r="C16025">
        <v>11057</v>
      </c>
      <c r="D16025" t="str">
        <f>"0017-5749"</f>
        <v>0017-5749</v>
      </c>
      <c r="E16025" t="s">
        <v>8</v>
      </c>
      <c r="F16025" t="s">
        <v>16030</v>
      </c>
      <c r="G16025">
        <v>2</v>
      </c>
    </row>
    <row r="16026" spans="1:7" x14ac:dyDescent="0.25">
      <c r="A16026">
        <v>48</v>
      </c>
      <c r="B16026" t="s">
        <v>15999</v>
      </c>
      <c r="C16026">
        <v>5030</v>
      </c>
      <c r="D16026" t="str">
        <f>"0270-9139"</f>
        <v>0270-9139</v>
      </c>
      <c r="E16026" t="s">
        <v>8</v>
      </c>
      <c r="F16026" t="s">
        <v>16031</v>
      </c>
      <c r="G16026">
        <v>2</v>
      </c>
    </row>
    <row r="16027" spans="1:7" x14ac:dyDescent="0.25">
      <c r="A16027">
        <v>48</v>
      </c>
      <c r="B16027" t="s">
        <v>15999</v>
      </c>
      <c r="C16027">
        <v>9449</v>
      </c>
      <c r="D16027" t="str">
        <f>"0194-911X"</f>
        <v>0194-911X</v>
      </c>
      <c r="E16027" t="s">
        <v>8</v>
      </c>
      <c r="F16027" t="s">
        <v>16032</v>
      </c>
      <c r="G16027">
        <v>2</v>
      </c>
    </row>
    <row r="16028" spans="1:7" x14ac:dyDescent="0.25">
      <c r="A16028">
        <v>48</v>
      </c>
      <c r="B16028" t="s">
        <v>15999</v>
      </c>
      <c r="C16028">
        <v>12118</v>
      </c>
      <c r="D16028" t="str">
        <f>"2168-6106"</f>
        <v>2168-6106</v>
      </c>
      <c r="E16028" t="s">
        <v>8</v>
      </c>
      <c r="F16028" t="s">
        <v>16033</v>
      </c>
      <c r="G16028">
        <v>2</v>
      </c>
    </row>
    <row r="16029" spans="1:7" x14ac:dyDescent="0.25">
      <c r="A16029">
        <v>48</v>
      </c>
      <c r="B16029" t="s">
        <v>15999</v>
      </c>
      <c r="C16029">
        <v>10063</v>
      </c>
      <c r="D16029" t="str">
        <f>"0884-0431"</f>
        <v>0884-0431</v>
      </c>
      <c r="E16029" t="s">
        <v>8</v>
      </c>
      <c r="F16029" t="s">
        <v>16034</v>
      </c>
      <c r="G16029">
        <v>2</v>
      </c>
    </row>
    <row r="16030" spans="1:7" x14ac:dyDescent="0.25">
      <c r="A16030">
        <v>48</v>
      </c>
      <c r="B16030" t="s">
        <v>15999</v>
      </c>
      <c r="C16030">
        <v>926</v>
      </c>
      <c r="D16030" t="str">
        <f>"0021-972X"</f>
        <v>0021-972X</v>
      </c>
      <c r="E16030" t="s">
        <v>8</v>
      </c>
      <c r="F16030" t="s">
        <v>16035</v>
      </c>
      <c r="G16030">
        <v>2</v>
      </c>
    </row>
    <row r="16031" spans="1:7" x14ac:dyDescent="0.25">
      <c r="A16031">
        <v>48</v>
      </c>
      <c r="B16031" t="s">
        <v>15999</v>
      </c>
      <c r="C16031">
        <v>11781</v>
      </c>
      <c r="D16031" t="str">
        <f>"0021-9738"</f>
        <v>0021-9738</v>
      </c>
      <c r="E16031" t="s">
        <v>8</v>
      </c>
      <c r="F16031" t="s">
        <v>16036</v>
      </c>
      <c r="G16031">
        <v>2</v>
      </c>
    </row>
    <row r="16032" spans="1:7" x14ac:dyDescent="0.25">
      <c r="A16032">
        <v>48</v>
      </c>
      <c r="B16032" t="s">
        <v>15999</v>
      </c>
      <c r="C16032">
        <v>1700</v>
      </c>
      <c r="D16032" t="str">
        <f>"0732-183X"</f>
        <v>0732-183X</v>
      </c>
      <c r="E16032" t="s">
        <v>8</v>
      </c>
      <c r="F16032" t="s">
        <v>16037</v>
      </c>
      <c r="G16032">
        <v>2</v>
      </c>
    </row>
    <row r="16033" spans="1:7" x14ac:dyDescent="0.25">
      <c r="A16033">
        <v>48</v>
      </c>
      <c r="B16033" t="s">
        <v>15999</v>
      </c>
      <c r="C16033">
        <v>2998</v>
      </c>
      <c r="D16033" t="str">
        <f>"0168-8278"</f>
        <v>0168-8278</v>
      </c>
      <c r="E16033" t="s">
        <v>8</v>
      </c>
      <c r="F16033" t="s">
        <v>16038</v>
      </c>
      <c r="G16033">
        <v>2</v>
      </c>
    </row>
    <row r="16034" spans="1:7" x14ac:dyDescent="0.25">
      <c r="A16034">
        <v>48</v>
      </c>
      <c r="B16034" t="s">
        <v>15999</v>
      </c>
      <c r="C16034">
        <v>4841</v>
      </c>
      <c r="D16034" t="str">
        <f>"0954-6820"</f>
        <v>0954-6820</v>
      </c>
      <c r="E16034" t="s">
        <v>8</v>
      </c>
      <c r="F16034" t="s">
        <v>16039</v>
      </c>
      <c r="G16034">
        <v>2</v>
      </c>
    </row>
    <row r="16035" spans="1:7" x14ac:dyDescent="0.25">
      <c r="A16035">
        <v>48</v>
      </c>
      <c r="B16035" t="s">
        <v>15999</v>
      </c>
      <c r="C16035">
        <v>11063</v>
      </c>
      <c r="D16035" t="str">
        <f>"0735-1097"</f>
        <v>0735-1097</v>
      </c>
      <c r="E16035" t="s">
        <v>8</v>
      </c>
      <c r="F16035" t="s">
        <v>16040</v>
      </c>
      <c r="G16035">
        <v>2</v>
      </c>
    </row>
    <row r="16036" spans="1:7" x14ac:dyDescent="0.25">
      <c r="A16036">
        <v>48</v>
      </c>
      <c r="B16036" t="s">
        <v>15999</v>
      </c>
      <c r="C16036">
        <v>2610</v>
      </c>
      <c r="D16036" t="str">
        <f>"1046-6673"</f>
        <v>1046-6673</v>
      </c>
      <c r="E16036" t="s">
        <v>8</v>
      </c>
      <c r="F16036" t="s">
        <v>16041</v>
      </c>
      <c r="G16036">
        <v>2</v>
      </c>
    </row>
    <row r="16037" spans="1:7" x14ac:dyDescent="0.25">
      <c r="A16037">
        <v>48</v>
      </c>
      <c r="B16037" t="s">
        <v>15999</v>
      </c>
      <c r="C16037">
        <v>3969</v>
      </c>
      <c r="D16037" t="str">
        <f>"0027-8874"</f>
        <v>0027-8874</v>
      </c>
      <c r="E16037" t="s">
        <v>8</v>
      </c>
      <c r="F16037" t="s">
        <v>16042</v>
      </c>
      <c r="G16037">
        <v>2</v>
      </c>
    </row>
    <row r="16038" spans="1:7" x14ac:dyDescent="0.25">
      <c r="A16038">
        <v>48</v>
      </c>
      <c r="B16038" t="s">
        <v>15999</v>
      </c>
      <c r="C16038">
        <v>4308</v>
      </c>
      <c r="D16038" t="str">
        <f>"0887-6924"</f>
        <v>0887-6924</v>
      </c>
      <c r="E16038" t="s">
        <v>8</v>
      </c>
      <c r="F16038" t="s">
        <v>16043</v>
      </c>
      <c r="G16038">
        <v>2</v>
      </c>
    </row>
    <row r="16039" spans="1:7" x14ac:dyDescent="0.25">
      <c r="A16039">
        <v>48</v>
      </c>
      <c r="B16039" t="s">
        <v>15999</v>
      </c>
      <c r="C16039">
        <v>12515</v>
      </c>
      <c r="D16039" t="str">
        <f>"1474-175X"</f>
        <v>1474-175X</v>
      </c>
      <c r="E16039" t="s">
        <v>8</v>
      </c>
      <c r="F16039" t="s">
        <v>16044</v>
      </c>
      <c r="G16039">
        <v>2</v>
      </c>
    </row>
    <row r="16040" spans="1:7" x14ac:dyDescent="0.25">
      <c r="A16040">
        <v>48</v>
      </c>
      <c r="B16040" t="s">
        <v>15999</v>
      </c>
      <c r="C16040">
        <v>15352</v>
      </c>
      <c r="D16040" t="str">
        <f>"1759-5002"</f>
        <v>1759-5002</v>
      </c>
      <c r="E16040" t="s">
        <v>8</v>
      </c>
      <c r="F16040" t="s">
        <v>16045</v>
      </c>
      <c r="G16040">
        <v>2</v>
      </c>
    </row>
    <row r="16041" spans="1:7" x14ac:dyDescent="0.25">
      <c r="A16041">
        <v>48</v>
      </c>
      <c r="B16041" t="s">
        <v>15999</v>
      </c>
      <c r="C16041">
        <v>10087</v>
      </c>
      <c r="D16041" t="str">
        <f>"1759-4774"</f>
        <v>1759-4774</v>
      </c>
      <c r="E16041" t="s">
        <v>8</v>
      </c>
      <c r="F16041" t="s">
        <v>16046</v>
      </c>
      <c r="G16041">
        <v>2</v>
      </c>
    </row>
    <row r="16042" spans="1:7" x14ac:dyDescent="0.25">
      <c r="A16042">
        <v>48</v>
      </c>
      <c r="B16042" t="s">
        <v>15999</v>
      </c>
      <c r="C16042">
        <v>17840</v>
      </c>
      <c r="D16042" t="str">
        <f>"1759-5029"</f>
        <v>1759-5029</v>
      </c>
      <c r="E16042" t="s">
        <v>8</v>
      </c>
      <c r="F16042" t="s">
        <v>16047</v>
      </c>
      <c r="G16042">
        <v>2</v>
      </c>
    </row>
    <row r="16043" spans="1:7" x14ac:dyDescent="0.25">
      <c r="A16043">
        <v>48</v>
      </c>
      <c r="B16043" t="s">
        <v>15999</v>
      </c>
      <c r="C16043">
        <v>6214929</v>
      </c>
      <c r="D16043" t="str">
        <f>"1759-5045"</f>
        <v>1759-5045</v>
      </c>
      <c r="E16043" t="s">
        <v>8</v>
      </c>
      <c r="F16043" t="s">
        <v>16048</v>
      </c>
      <c r="G16043">
        <v>2</v>
      </c>
    </row>
    <row r="16044" spans="1:7" x14ac:dyDescent="0.25">
      <c r="A16044">
        <v>48</v>
      </c>
      <c r="B16044" t="s">
        <v>15999</v>
      </c>
      <c r="C16044">
        <v>11599</v>
      </c>
      <c r="D16044" t="str">
        <f>"1474-1733"</f>
        <v>1474-1733</v>
      </c>
      <c r="E16044" t="s">
        <v>8</v>
      </c>
      <c r="F16044" t="s">
        <v>16049</v>
      </c>
      <c r="G16044">
        <v>2</v>
      </c>
    </row>
    <row r="16045" spans="1:7" x14ac:dyDescent="0.25">
      <c r="A16045">
        <v>48</v>
      </c>
      <c r="B16045" t="s">
        <v>15999</v>
      </c>
      <c r="C16045">
        <v>17320</v>
      </c>
      <c r="D16045" t="str">
        <f>"1759-5061"</f>
        <v>1759-5061</v>
      </c>
      <c r="E16045" t="s">
        <v>8</v>
      </c>
      <c r="F16045" t="s">
        <v>16050</v>
      </c>
      <c r="G16045">
        <v>2</v>
      </c>
    </row>
    <row r="16046" spans="1:7" x14ac:dyDescent="0.25">
      <c r="A16046">
        <v>48</v>
      </c>
      <c r="B16046" t="s">
        <v>15999</v>
      </c>
      <c r="C16046">
        <v>9957</v>
      </c>
      <c r="D16046" t="str">
        <f>"1759-4790"</f>
        <v>1759-4790</v>
      </c>
      <c r="E16046" t="s">
        <v>8</v>
      </c>
      <c r="F16046" t="s">
        <v>16051</v>
      </c>
      <c r="G16046">
        <v>2</v>
      </c>
    </row>
    <row r="16047" spans="1:7" x14ac:dyDescent="0.25">
      <c r="A16047">
        <v>48</v>
      </c>
      <c r="B16047" t="s">
        <v>15999</v>
      </c>
      <c r="C16047">
        <v>7537268</v>
      </c>
      <c r="D16047" t="str">
        <f>"1549-1277"</f>
        <v>1549-1277</v>
      </c>
      <c r="E16047" t="s">
        <v>8</v>
      </c>
      <c r="F16047" t="s">
        <v>16052</v>
      </c>
      <c r="G16047">
        <v>2</v>
      </c>
    </row>
    <row r="16048" spans="1:7" x14ac:dyDescent="0.25">
      <c r="A16048">
        <v>48</v>
      </c>
      <c r="B16048" t="s">
        <v>15999</v>
      </c>
      <c r="C16048">
        <v>5155</v>
      </c>
      <c r="D16048" t="str">
        <f>"0002-9270"</f>
        <v>0002-9270</v>
      </c>
      <c r="E16048" t="s">
        <v>8</v>
      </c>
      <c r="F16048" t="s">
        <v>16053</v>
      </c>
      <c r="G16048">
        <v>2</v>
      </c>
    </row>
    <row r="16049" spans="1:7" x14ac:dyDescent="0.25">
      <c r="A16049">
        <v>48</v>
      </c>
      <c r="B16049" t="s">
        <v>15999</v>
      </c>
      <c r="C16049">
        <v>11102</v>
      </c>
      <c r="D16049" t="str">
        <f>"0903-1936"</f>
        <v>0903-1936</v>
      </c>
      <c r="E16049" t="s">
        <v>8</v>
      </c>
      <c r="F16049" t="s">
        <v>16054</v>
      </c>
      <c r="G16049">
        <v>2</v>
      </c>
    </row>
    <row r="16050" spans="1:7" x14ac:dyDescent="0.25">
      <c r="A16050">
        <v>48</v>
      </c>
      <c r="B16050" t="s">
        <v>15999</v>
      </c>
      <c r="C16050">
        <v>10617</v>
      </c>
      <c r="D16050" t="str">
        <f>"1473-3099"</f>
        <v>1473-3099</v>
      </c>
      <c r="E16050" t="s">
        <v>8</v>
      </c>
      <c r="F16050" t="s">
        <v>16055</v>
      </c>
      <c r="G16050">
        <v>2</v>
      </c>
    </row>
    <row r="16051" spans="1:7" x14ac:dyDescent="0.25">
      <c r="A16051">
        <v>48</v>
      </c>
      <c r="B16051" t="s">
        <v>15999</v>
      </c>
      <c r="C16051">
        <v>16971</v>
      </c>
      <c r="D16051" t="str">
        <f>"1470-2045 "</f>
        <v xml:space="preserve">1470-2045 </v>
      </c>
      <c r="E16051" t="s">
        <v>8</v>
      </c>
      <c r="F16051" t="s">
        <v>16056</v>
      </c>
      <c r="G16051">
        <v>2</v>
      </c>
    </row>
    <row r="16052" spans="1:7" x14ac:dyDescent="0.25">
      <c r="A16052">
        <v>48</v>
      </c>
      <c r="B16052" t="s">
        <v>15999</v>
      </c>
      <c r="C16052">
        <v>15628</v>
      </c>
      <c r="D16052" t="str">
        <f>"0040-6376"</f>
        <v>0040-6376</v>
      </c>
      <c r="E16052" t="s">
        <v>8</v>
      </c>
      <c r="F16052" t="s">
        <v>16057</v>
      </c>
      <c r="G16052">
        <v>2</v>
      </c>
    </row>
    <row r="16053" spans="1:7" x14ac:dyDescent="0.25">
      <c r="A16053">
        <v>48</v>
      </c>
      <c r="B16053" t="s">
        <v>15999</v>
      </c>
      <c r="C16053">
        <v>7691</v>
      </c>
      <c r="D16053" t="str">
        <f>"1043-2760"</f>
        <v>1043-2760</v>
      </c>
      <c r="E16053" t="s">
        <v>8</v>
      </c>
      <c r="F16053" t="s">
        <v>16058</v>
      </c>
      <c r="G16053">
        <v>2</v>
      </c>
    </row>
    <row r="16054" spans="1:7" x14ac:dyDescent="0.25">
      <c r="A16054">
        <v>48</v>
      </c>
      <c r="B16054" t="s">
        <v>15999</v>
      </c>
      <c r="C16054">
        <v>15559</v>
      </c>
      <c r="D16054" t="str">
        <f>"1471-4906"</f>
        <v>1471-4906</v>
      </c>
      <c r="E16054" t="s">
        <v>8</v>
      </c>
      <c r="F16054" t="s">
        <v>16059</v>
      </c>
      <c r="G16054">
        <v>2</v>
      </c>
    </row>
    <row r="16055" spans="1:7" x14ac:dyDescent="0.25">
      <c r="A16055">
        <v>48</v>
      </c>
      <c r="B16055" t="s">
        <v>15999</v>
      </c>
      <c r="C16055">
        <v>8781972</v>
      </c>
      <c r="D16055" t="str">
        <f>"2366-004X"</f>
        <v>2366-004X</v>
      </c>
      <c r="E16055" t="s">
        <v>8</v>
      </c>
      <c r="F16055" t="s">
        <v>16060</v>
      </c>
      <c r="G16055">
        <v>1</v>
      </c>
    </row>
    <row r="16056" spans="1:7" x14ac:dyDescent="0.25">
      <c r="A16056">
        <v>48</v>
      </c>
      <c r="B16056" t="s">
        <v>15999</v>
      </c>
      <c r="C16056">
        <v>7349</v>
      </c>
      <c r="D16056" t="str">
        <f>"0940-5429"</f>
        <v>0940-5429</v>
      </c>
      <c r="E16056" t="s">
        <v>8</v>
      </c>
      <c r="F16056" t="s">
        <v>16061</v>
      </c>
      <c r="G16056">
        <v>1</v>
      </c>
    </row>
    <row r="16057" spans="1:7" x14ac:dyDescent="0.25">
      <c r="A16057">
        <v>48</v>
      </c>
      <c r="B16057" t="s">
        <v>15999</v>
      </c>
      <c r="C16057">
        <v>13162</v>
      </c>
      <c r="D16057" t="str">
        <f>"0001-5792"</f>
        <v>0001-5792</v>
      </c>
      <c r="E16057" t="s">
        <v>8</v>
      </c>
      <c r="F16057" t="s">
        <v>16062</v>
      </c>
      <c r="G16057">
        <v>1</v>
      </c>
    </row>
    <row r="16058" spans="1:7" x14ac:dyDescent="0.25">
      <c r="A16058">
        <v>48</v>
      </c>
      <c r="B16058" t="s">
        <v>15999</v>
      </c>
      <c r="C16058">
        <v>5685</v>
      </c>
      <c r="D16058" t="str">
        <f>"0284-186X"</f>
        <v>0284-186X</v>
      </c>
      <c r="E16058" t="s">
        <v>8</v>
      </c>
      <c r="F16058" t="s">
        <v>16063</v>
      </c>
      <c r="G16058">
        <v>1</v>
      </c>
    </row>
    <row r="16059" spans="1:7" x14ac:dyDescent="0.25">
      <c r="A16059">
        <v>48</v>
      </c>
      <c r="B16059" t="s">
        <v>15999</v>
      </c>
      <c r="C16059">
        <v>1999</v>
      </c>
      <c r="D16059" t="str">
        <f>"1748-2941"</f>
        <v>1748-2941</v>
      </c>
      <c r="E16059" t="s">
        <v>8</v>
      </c>
      <c r="F16059" t="s">
        <v>16064</v>
      </c>
      <c r="G16059">
        <v>1</v>
      </c>
    </row>
    <row r="16060" spans="1:7" x14ac:dyDescent="0.25">
      <c r="A16060">
        <v>48</v>
      </c>
      <c r="B16060" t="s">
        <v>15999</v>
      </c>
      <c r="C16060">
        <v>7480</v>
      </c>
      <c r="D16060" t="str">
        <f>"0065-230X"</f>
        <v>0065-230X</v>
      </c>
      <c r="E16060" t="s">
        <v>15</v>
      </c>
      <c r="F16060" t="s">
        <v>16065</v>
      </c>
      <c r="G16060">
        <v>1</v>
      </c>
    </row>
    <row r="16061" spans="1:7" x14ac:dyDescent="0.25">
      <c r="A16061">
        <v>48</v>
      </c>
      <c r="B16061" t="s">
        <v>15999</v>
      </c>
      <c r="C16061">
        <v>18111</v>
      </c>
      <c r="D16061" t="str">
        <f>"1548-5595"</f>
        <v>1548-5595</v>
      </c>
      <c r="E16061" t="s">
        <v>8</v>
      </c>
      <c r="F16061" t="s">
        <v>16066</v>
      </c>
      <c r="G16061">
        <v>1</v>
      </c>
    </row>
    <row r="16062" spans="1:7" x14ac:dyDescent="0.25">
      <c r="A16062">
        <v>48</v>
      </c>
      <c r="B16062" t="s">
        <v>15999</v>
      </c>
      <c r="C16062">
        <v>2194</v>
      </c>
      <c r="D16062" t="str">
        <f>"1594-0667"</f>
        <v>1594-0667</v>
      </c>
      <c r="E16062" t="s">
        <v>8</v>
      </c>
      <c r="F16062" t="s">
        <v>16067</v>
      </c>
      <c r="G16062">
        <v>1</v>
      </c>
    </row>
    <row r="16063" spans="1:7" x14ac:dyDescent="0.25">
      <c r="A16063">
        <v>48</v>
      </c>
      <c r="B16063" t="s">
        <v>15999</v>
      </c>
      <c r="C16063">
        <v>7837</v>
      </c>
      <c r="D16063" t="str">
        <f>"0269-9370"</f>
        <v>0269-9370</v>
      </c>
      <c r="E16063" t="s">
        <v>8</v>
      </c>
      <c r="F16063" t="s">
        <v>16068</v>
      </c>
      <c r="G16063">
        <v>1</v>
      </c>
    </row>
    <row r="16064" spans="1:7" x14ac:dyDescent="0.25">
      <c r="A16064">
        <v>48</v>
      </c>
      <c r="B16064" t="s">
        <v>15999</v>
      </c>
      <c r="C16064">
        <v>12855</v>
      </c>
      <c r="D16064" t="str">
        <f>"1139-6121"</f>
        <v>1139-6121</v>
      </c>
      <c r="E16064" t="s">
        <v>8</v>
      </c>
      <c r="F16064" t="s">
        <v>16069</v>
      </c>
      <c r="G16064">
        <v>1</v>
      </c>
    </row>
    <row r="16065" spans="1:7" x14ac:dyDescent="0.25">
      <c r="A16065">
        <v>48</v>
      </c>
      <c r="B16065" t="s">
        <v>15999</v>
      </c>
      <c r="C16065">
        <v>3086</v>
      </c>
      <c r="D16065" t="str">
        <f>"0105-4538"</f>
        <v>0105-4538</v>
      </c>
      <c r="E16065" t="s">
        <v>8</v>
      </c>
      <c r="F16065" t="s">
        <v>16070</v>
      </c>
      <c r="G16065">
        <v>1</v>
      </c>
    </row>
    <row r="16066" spans="1:7" x14ac:dyDescent="0.25">
      <c r="A16066">
        <v>48</v>
      </c>
      <c r="B16066" t="s">
        <v>15999</v>
      </c>
      <c r="C16066">
        <v>11742</v>
      </c>
      <c r="D16066" t="str">
        <f>"0002-8703"</f>
        <v>0002-8703</v>
      </c>
      <c r="E16066" t="s">
        <v>8</v>
      </c>
      <c r="F16066" t="s">
        <v>16071</v>
      </c>
      <c r="G16066">
        <v>1</v>
      </c>
    </row>
    <row r="16067" spans="1:7" x14ac:dyDescent="0.25">
      <c r="A16067">
        <v>48</v>
      </c>
      <c r="B16067" t="s">
        <v>15999</v>
      </c>
      <c r="C16067">
        <v>123615</v>
      </c>
      <c r="E16067" t="s">
        <v>8</v>
      </c>
      <c r="F16067" t="s">
        <v>16072</v>
      </c>
      <c r="G16067">
        <v>1</v>
      </c>
    </row>
    <row r="16068" spans="1:7" x14ac:dyDescent="0.25">
      <c r="A16068">
        <v>48</v>
      </c>
      <c r="B16068" t="s">
        <v>15999</v>
      </c>
      <c r="C16068">
        <v>16412</v>
      </c>
      <c r="D16068" t="str">
        <f>"0277-3732"</f>
        <v>0277-3732</v>
      </c>
      <c r="E16068" t="s">
        <v>8</v>
      </c>
      <c r="F16068" t="s">
        <v>16073</v>
      </c>
      <c r="G16068">
        <v>1</v>
      </c>
    </row>
    <row r="16069" spans="1:7" x14ac:dyDescent="0.25">
      <c r="A16069">
        <v>48</v>
      </c>
      <c r="B16069" t="s">
        <v>15999</v>
      </c>
      <c r="C16069">
        <v>821</v>
      </c>
      <c r="D16069" t="str">
        <f>"0361-8609"</f>
        <v>0361-8609</v>
      </c>
      <c r="E16069" t="s">
        <v>8</v>
      </c>
      <c r="F16069" t="s">
        <v>16074</v>
      </c>
      <c r="G16069">
        <v>1</v>
      </c>
    </row>
    <row r="16070" spans="1:7" x14ac:dyDescent="0.25">
      <c r="A16070">
        <v>48</v>
      </c>
      <c r="B16070" t="s">
        <v>15999</v>
      </c>
      <c r="C16070">
        <v>10988</v>
      </c>
      <c r="D16070" t="str">
        <f>"0895-7061"</f>
        <v>0895-7061</v>
      </c>
      <c r="E16070" t="s">
        <v>8</v>
      </c>
      <c r="F16070" t="s">
        <v>16075</v>
      </c>
      <c r="G16070">
        <v>1</v>
      </c>
    </row>
    <row r="16071" spans="1:7" x14ac:dyDescent="0.25">
      <c r="A16071">
        <v>48</v>
      </c>
      <c r="B16071" t="s">
        <v>15999</v>
      </c>
      <c r="C16071">
        <v>292</v>
      </c>
      <c r="D16071" t="str">
        <f>"0196-6553"</f>
        <v>0196-6553</v>
      </c>
      <c r="E16071" t="s">
        <v>8</v>
      </c>
      <c r="F16071" t="s">
        <v>16076</v>
      </c>
      <c r="G16071">
        <v>1</v>
      </c>
    </row>
    <row r="16072" spans="1:7" x14ac:dyDescent="0.25">
      <c r="A16072">
        <v>48</v>
      </c>
      <c r="B16072" t="s">
        <v>15999</v>
      </c>
      <c r="C16072">
        <v>11496</v>
      </c>
      <c r="D16072" t="str">
        <f>"0272-6386"</f>
        <v>0272-6386</v>
      </c>
      <c r="E16072" t="s">
        <v>8</v>
      </c>
      <c r="F16072" t="s">
        <v>16077</v>
      </c>
      <c r="G16072">
        <v>1</v>
      </c>
    </row>
    <row r="16073" spans="1:7" x14ac:dyDescent="0.25">
      <c r="A16073">
        <v>48</v>
      </c>
      <c r="B16073" t="s">
        <v>15999</v>
      </c>
      <c r="C16073">
        <v>15887</v>
      </c>
      <c r="D16073" t="str">
        <f>"0250-8095"</f>
        <v>0250-8095</v>
      </c>
      <c r="E16073" t="s">
        <v>8</v>
      </c>
      <c r="F16073" t="s">
        <v>16078</v>
      </c>
      <c r="G16073">
        <v>1</v>
      </c>
    </row>
    <row r="16074" spans="1:7" x14ac:dyDescent="0.25">
      <c r="A16074">
        <v>48</v>
      </c>
      <c r="B16074" t="s">
        <v>15999</v>
      </c>
      <c r="C16074">
        <v>4156</v>
      </c>
      <c r="D16074" t="str">
        <f>"0002-9629"</f>
        <v>0002-9629</v>
      </c>
      <c r="E16074" t="s">
        <v>8</v>
      </c>
      <c r="F16074" t="s">
        <v>16079</v>
      </c>
      <c r="G16074">
        <v>1</v>
      </c>
    </row>
    <row r="16075" spans="1:7" x14ac:dyDescent="0.25">
      <c r="A16075">
        <v>48</v>
      </c>
      <c r="B16075" t="s">
        <v>15999</v>
      </c>
      <c r="C16075">
        <v>3898</v>
      </c>
      <c r="D16075" t="str">
        <f>"0003-3197"</f>
        <v>0003-3197</v>
      </c>
      <c r="E16075" t="s">
        <v>8</v>
      </c>
      <c r="F16075" t="s">
        <v>16080</v>
      </c>
      <c r="G16075">
        <v>1</v>
      </c>
    </row>
    <row r="16076" spans="1:7" x14ac:dyDescent="0.25">
      <c r="A16076">
        <v>48</v>
      </c>
      <c r="B16076" t="s">
        <v>15999</v>
      </c>
      <c r="C16076">
        <v>15055</v>
      </c>
      <c r="D16076" t="str">
        <f>"1081-1206"</f>
        <v>1081-1206</v>
      </c>
      <c r="E16076" t="s">
        <v>8</v>
      </c>
      <c r="F16076" t="s">
        <v>16081</v>
      </c>
      <c r="G16076">
        <v>1</v>
      </c>
    </row>
    <row r="16077" spans="1:7" x14ac:dyDescent="0.25">
      <c r="A16077">
        <v>48</v>
      </c>
      <c r="B16077" t="s">
        <v>15999</v>
      </c>
      <c r="C16077">
        <v>79</v>
      </c>
      <c r="E16077" t="s">
        <v>8</v>
      </c>
      <c r="F16077" t="s">
        <v>16082</v>
      </c>
      <c r="G16077">
        <v>1</v>
      </c>
    </row>
    <row r="16078" spans="1:7" x14ac:dyDescent="0.25">
      <c r="A16078">
        <v>48</v>
      </c>
      <c r="B16078" t="s">
        <v>15999</v>
      </c>
      <c r="C16078">
        <v>2267</v>
      </c>
      <c r="D16078" t="str">
        <f>"0939-5555"</f>
        <v>0939-5555</v>
      </c>
      <c r="E16078" t="s">
        <v>8</v>
      </c>
      <c r="F16078" t="s">
        <v>16083</v>
      </c>
      <c r="G16078">
        <v>1</v>
      </c>
    </row>
    <row r="16079" spans="1:7" x14ac:dyDescent="0.25">
      <c r="A16079">
        <v>48</v>
      </c>
      <c r="B16079" t="s">
        <v>15999</v>
      </c>
      <c r="C16079">
        <v>84389</v>
      </c>
      <c r="D16079" t="str">
        <f>"1665-2681"</f>
        <v>1665-2681</v>
      </c>
      <c r="E16079" t="s">
        <v>8</v>
      </c>
      <c r="F16079" t="s">
        <v>16084</v>
      </c>
      <c r="G16079">
        <v>1</v>
      </c>
    </row>
    <row r="16080" spans="1:7" x14ac:dyDescent="0.25">
      <c r="A16080">
        <v>48</v>
      </c>
      <c r="B16080" t="s">
        <v>15999</v>
      </c>
      <c r="C16080">
        <v>942</v>
      </c>
      <c r="D16080" t="str">
        <f>"0785-3890"</f>
        <v>0785-3890</v>
      </c>
      <c r="E16080" t="s">
        <v>8</v>
      </c>
      <c r="F16080" t="s">
        <v>16085</v>
      </c>
      <c r="G16080">
        <v>1</v>
      </c>
    </row>
    <row r="16081" spans="1:7" x14ac:dyDescent="0.25">
      <c r="A16081">
        <v>48</v>
      </c>
      <c r="B16081" t="s">
        <v>15999</v>
      </c>
      <c r="C16081">
        <v>16515</v>
      </c>
      <c r="D16081" t="str">
        <f>"0250-7005"</f>
        <v>0250-7005</v>
      </c>
      <c r="E16081" t="s">
        <v>8</v>
      </c>
      <c r="F16081" t="s">
        <v>16086</v>
      </c>
      <c r="G16081">
        <v>1</v>
      </c>
    </row>
    <row r="16082" spans="1:7" x14ac:dyDescent="0.25">
      <c r="A16082">
        <v>48</v>
      </c>
      <c r="B16082" t="s">
        <v>15999</v>
      </c>
      <c r="C16082">
        <v>14449</v>
      </c>
      <c r="D16082" t="str">
        <f>"1359-6535"</f>
        <v>1359-6535</v>
      </c>
      <c r="E16082" t="s">
        <v>8</v>
      </c>
      <c r="F16082" t="s">
        <v>16087</v>
      </c>
      <c r="G16082">
        <v>1</v>
      </c>
    </row>
    <row r="16083" spans="1:7" x14ac:dyDescent="0.25">
      <c r="A16083">
        <v>48</v>
      </c>
      <c r="B16083" t="s">
        <v>15999</v>
      </c>
      <c r="C16083">
        <v>4025</v>
      </c>
      <c r="D16083" t="str">
        <f>"0167-4943"</f>
        <v>0167-4943</v>
      </c>
      <c r="E16083" t="s">
        <v>8</v>
      </c>
      <c r="F16083" t="s">
        <v>16088</v>
      </c>
      <c r="G16083">
        <v>1</v>
      </c>
    </row>
    <row r="16084" spans="1:7" x14ac:dyDescent="0.25">
      <c r="A16084">
        <v>48</v>
      </c>
      <c r="B16084" t="s">
        <v>15999</v>
      </c>
      <c r="C16084">
        <v>5132</v>
      </c>
      <c r="D16084" t="str">
        <f>"0188-4409"</f>
        <v>0188-4409</v>
      </c>
      <c r="E16084" t="s">
        <v>8</v>
      </c>
      <c r="F16084" t="s">
        <v>16089</v>
      </c>
      <c r="G16084">
        <v>1</v>
      </c>
    </row>
    <row r="16085" spans="1:7" x14ac:dyDescent="0.25">
      <c r="A16085">
        <v>48</v>
      </c>
      <c r="B16085" t="s">
        <v>15999</v>
      </c>
      <c r="C16085">
        <v>15107</v>
      </c>
      <c r="D16085" t="str">
        <f>"1079-5642"</f>
        <v>1079-5642</v>
      </c>
      <c r="E16085" t="s">
        <v>8</v>
      </c>
      <c r="F16085" t="s">
        <v>16090</v>
      </c>
      <c r="G16085">
        <v>1</v>
      </c>
    </row>
    <row r="16086" spans="1:7" x14ac:dyDescent="0.25">
      <c r="A16086">
        <v>48</v>
      </c>
      <c r="B16086" t="s">
        <v>15999</v>
      </c>
      <c r="C16086">
        <v>7697244</v>
      </c>
      <c r="D16086" t="str">
        <f>"2151-464X"</f>
        <v>2151-464X</v>
      </c>
      <c r="E16086" t="s">
        <v>8</v>
      </c>
      <c r="F16086" t="s">
        <v>16091</v>
      </c>
      <c r="G16086">
        <v>1</v>
      </c>
    </row>
    <row r="16087" spans="1:7" x14ac:dyDescent="0.25">
      <c r="A16087">
        <v>48</v>
      </c>
      <c r="B16087" t="s">
        <v>15999</v>
      </c>
      <c r="C16087">
        <v>8692</v>
      </c>
      <c r="D16087" t="str">
        <f>"1478-6354"</f>
        <v>1478-6354</v>
      </c>
      <c r="E16087" t="s">
        <v>8</v>
      </c>
      <c r="F16087" t="s">
        <v>16092</v>
      </c>
      <c r="G16087">
        <v>1</v>
      </c>
    </row>
    <row r="16088" spans="1:7" x14ac:dyDescent="0.25">
      <c r="A16088">
        <v>48</v>
      </c>
      <c r="B16088" t="s">
        <v>15999</v>
      </c>
      <c r="C16088">
        <v>5544</v>
      </c>
      <c r="D16088" t="str">
        <f>"0933-7946"</f>
        <v>0933-7946</v>
      </c>
      <c r="E16088" t="s">
        <v>8</v>
      </c>
      <c r="F16088" t="s">
        <v>16093</v>
      </c>
      <c r="G16088">
        <v>1</v>
      </c>
    </row>
    <row r="16089" spans="1:7" x14ac:dyDescent="0.25">
      <c r="A16089">
        <v>48</v>
      </c>
      <c r="B16089" t="s">
        <v>15999</v>
      </c>
      <c r="C16089">
        <v>8849</v>
      </c>
      <c r="D16089" t="str">
        <f>"1008-682X"</f>
        <v>1008-682X</v>
      </c>
      <c r="E16089" t="s">
        <v>8</v>
      </c>
      <c r="F16089" t="s">
        <v>16094</v>
      </c>
      <c r="G16089">
        <v>1</v>
      </c>
    </row>
    <row r="16090" spans="1:7" x14ac:dyDescent="0.25">
      <c r="A16090">
        <v>48</v>
      </c>
      <c r="B16090" t="s">
        <v>15999</v>
      </c>
      <c r="C16090">
        <v>3528</v>
      </c>
      <c r="D16090" t="str">
        <f>"0021-9150"</f>
        <v>0021-9150</v>
      </c>
      <c r="E16090" t="s">
        <v>8</v>
      </c>
      <c r="F16090" t="s">
        <v>16095</v>
      </c>
      <c r="G16090">
        <v>1</v>
      </c>
    </row>
    <row r="16091" spans="1:7" x14ac:dyDescent="0.25">
      <c r="A16091">
        <v>48</v>
      </c>
      <c r="B16091" t="s">
        <v>15999</v>
      </c>
      <c r="C16091">
        <v>14718</v>
      </c>
      <c r="D16091" t="str">
        <f>"1567-5688"</f>
        <v>1567-5688</v>
      </c>
      <c r="E16091" t="s">
        <v>8</v>
      </c>
      <c r="F16091" t="s">
        <v>16096</v>
      </c>
      <c r="G16091">
        <v>1</v>
      </c>
    </row>
    <row r="16092" spans="1:7" x14ac:dyDescent="0.25">
      <c r="A16092">
        <v>48</v>
      </c>
      <c r="B16092" t="s">
        <v>15999</v>
      </c>
      <c r="C16092">
        <v>15264</v>
      </c>
      <c r="D16092" t="str">
        <f>"0891-6934"</f>
        <v>0891-6934</v>
      </c>
      <c r="E16092" t="s">
        <v>8</v>
      </c>
      <c r="F16092" t="s">
        <v>16097</v>
      </c>
      <c r="G16092">
        <v>1</v>
      </c>
    </row>
    <row r="16093" spans="1:7" x14ac:dyDescent="0.25">
      <c r="A16093">
        <v>48</v>
      </c>
      <c r="B16093" t="s">
        <v>15999</v>
      </c>
      <c r="C16093">
        <v>10563</v>
      </c>
      <c r="D16093" t="str">
        <f>"1568-9972"</f>
        <v>1568-9972</v>
      </c>
      <c r="E16093" t="s">
        <v>8</v>
      </c>
      <c r="F16093" t="s">
        <v>16098</v>
      </c>
      <c r="G16093">
        <v>1</v>
      </c>
    </row>
    <row r="16094" spans="1:7" x14ac:dyDescent="0.25">
      <c r="A16094">
        <v>48</v>
      </c>
      <c r="B16094" t="s">
        <v>15999</v>
      </c>
      <c r="C16094">
        <v>2257</v>
      </c>
      <c r="D16094" t="str">
        <f>"0300-8428"</f>
        <v>0300-8428</v>
      </c>
      <c r="E16094" t="s">
        <v>8</v>
      </c>
      <c r="F16094" t="s">
        <v>16099</v>
      </c>
      <c r="G16094">
        <v>1</v>
      </c>
    </row>
    <row r="16095" spans="1:7" x14ac:dyDescent="0.25">
      <c r="A16095">
        <v>48</v>
      </c>
      <c r="B16095" t="s">
        <v>15999</v>
      </c>
      <c r="C16095">
        <v>4170</v>
      </c>
      <c r="D16095" t="str">
        <f>"1521-690X"</f>
        <v>1521-690X</v>
      </c>
      <c r="E16095" t="s">
        <v>8</v>
      </c>
      <c r="F16095" t="s">
        <v>16100</v>
      </c>
      <c r="G16095">
        <v>1</v>
      </c>
    </row>
    <row r="16096" spans="1:7" x14ac:dyDescent="0.25">
      <c r="A16096">
        <v>48</v>
      </c>
      <c r="B16096" t="s">
        <v>15999</v>
      </c>
      <c r="C16096">
        <v>5898</v>
      </c>
      <c r="D16096" t="str">
        <f>"1521-6918"</f>
        <v>1521-6918</v>
      </c>
      <c r="E16096" t="s">
        <v>8</v>
      </c>
      <c r="F16096" t="s">
        <v>16101</v>
      </c>
      <c r="G16096">
        <v>1</v>
      </c>
    </row>
    <row r="16097" spans="1:7" x14ac:dyDescent="0.25">
      <c r="A16097">
        <v>48</v>
      </c>
      <c r="B16097" t="s">
        <v>15999</v>
      </c>
      <c r="C16097">
        <v>174</v>
      </c>
      <c r="D16097" t="str">
        <f>"1521-6926"</f>
        <v>1521-6926</v>
      </c>
      <c r="E16097" t="s">
        <v>8</v>
      </c>
      <c r="F16097" t="s">
        <v>16102</v>
      </c>
      <c r="G16097">
        <v>1</v>
      </c>
    </row>
    <row r="16098" spans="1:7" x14ac:dyDescent="0.25">
      <c r="A16098">
        <v>48</v>
      </c>
      <c r="B16098" t="s">
        <v>15999</v>
      </c>
      <c r="C16098">
        <v>6643</v>
      </c>
      <c r="D16098" t="str">
        <f>"1521-6942"</f>
        <v>1521-6942</v>
      </c>
      <c r="E16098" t="s">
        <v>8</v>
      </c>
      <c r="F16098" t="s">
        <v>16103</v>
      </c>
      <c r="G16098">
        <v>1</v>
      </c>
    </row>
    <row r="16099" spans="1:7" x14ac:dyDescent="0.25">
      <c r="A16099">
        <v>48</v>
      </c>
      <c r="B16099" t="s">
        <v>15999</v>
      </c>
      <c r="C16099">
        <v>139733</v>
      </c>
      <c r="D16099" t="str">
        <f>"0906-5407"</f>
        <v>0906-5407</v>
      </c>
      <c r="E16099" t="s">
        <v>8</v>
      </c>
      <c r="F16099" t="s">
        <v>16104</v>
      </c>
      <c r="G16099">
        <v>1</v>
      </c>
    </row>
    <row r="16100" spans="1:7" x14ac:dyDescent="0.25">
      <c r="A16100">
        <v>48</v>
      </c>
      <c r="B16100" t="s">
        <v>15999</v>
      </c>
      <c r="C16100">
        <v>5297</v>
      </c>
      <c r="D16100" t="str">
        <f>"1389-5729"</f>
        <v>1389-5729</v>
      </c>
      <c r="E16100" t="s">
        <v>8</v>
      </c>
      <c r="F16100" t="s">
        <v>16105</v>
      </c>
      <c r="G16100">
        <v>1</v>
      </c>
    </row>
    <row r="16101" spans="1:7" x14ac:dyDescent="0.25">
      <c r="A16101">
        <v>48</v>
      </c>
      <c r="B16101" t="s">
        <v>15999</v>
      </c>
      <c r="C16101">
        <v>7702229</v>
      </c>
      <c r="D16101" t="str">
        <f>"2214-0247"</f>
        <v>2214-0247</v>
      </c>
      <c r="E16101" t="s">
        <v>8</v>
      </c>
      <c r="F16101" t="s">
        <v>16106</v>
      </c>
      <c r="G16101">
        <v>1</v>
      </c>
    </row>
    <row r="16102" spans="1:7" x14ac:dyDescent="0.25">
      <c r="A16102">
        <v>48</v>
      </c>
      <c r="B16102" t="s">
        <v>15999</v>
      </c>
      <c r="C16102">
        <v>17137</v>
      </c>
      <c r="D16102" t="str">
        <f>"1752-0363"</f>
        <v>1752-0363</v>
      </c>
      <c r="E16102" t="s">
        <v>8</v>
      </c>
      <c r="F16102" t="s">
        <v>16107</v>
      </c>
      <c r="G16102">
        <v>1</v>
      </c>
    </row>
    <row r="16103" spans="1:7" x14ac:dyDescent="0.25">
      <c r="A16103">
        <v>48</v>
      </c>
      <c r="B16103" t="s">
        <v>15999</v>
      </c>
      <c r="C16103">
        <v>16798</v>
      </c>
      <c r="D16103" t="str">
        <f>"1079-9796"</f>
        <v>1079-9796</v>
      </c>
      <c r="E16103" t="s">
        <v>8</v>
      </c>
      <c r="F16103" t="s">
        <v>16108</v>
      </c>
      <c r="G16103">
        <v>1</v>
      </c>
    </row>
    <row r="16104" spans="1:7" x14ac:dyDescent="0.25">
      <c r="A16104">
        <v>48</v>
      </c>
      <c r="B16104" t="s">
        <v>15999</v>
      </c>
      <c r="C16104">
        <v>6816</v>
      </c>
      <c r="D16104" t="str">
        <f>"0957-5235"</f>
        <v>0957-5235</v>
      </c>
      <c r="E16104" t="s">
        <v>8</v>
      </c>
      <c r="F16104" t="s">
        <v>16109</v>
      </c>
      <c r="G16104">
        <v>1</v>
      </c>
    </row>
    <row r="16105" spans="1:7" x14ac:dyDescent="0.25">
      <c r="A16105">
        <v>48</v>
      </c>
      <c r="B16105" t="s">
        <v>15999</v>
      </c>
      <c r="C16105">
        <v>3031</v>
      </c>
      <c r="D16105" t="str">
        <f>"0803-7051"</f>
        <v>0803-7051</v>
      </c>
      <c r="E16105" t="s">
        <v>8</v>
      </c>
      <c r="F16105" t="s">
        <v>16110</v>
      </c>
      <c r="G16105">
        <v>1</v>
      </c>
    </row>
    <row r="16106" spans="1:7" x14ac:dyDescent="0.25">
      <c r="A16106">
        <v>48</v>
      </c>
      <c r="B16106" t="s">
        <v>15999</v>
      </c>
      <c r="C16106">
        <v>16174</v>
      </c>
      <c r="D16106" t="str">
        <f>"1359-5237"</f>
        <v>1359-5237</v>
      </c>
      <c r="E16106" t="s">
        <v>8</v>
      </c>
      <c r="F16106" t="s">
        <v>16111</v>
      </c>
      <c r="G16106">
        <v>1</v>
      </c>
    </row>
    <row r="16107" spans="1:7" x14ac:dyDescent="0.25">
      <c r="A16107">
        <v>48</v>
      </c>
      <c r="B16107" t="s">
        <v>15999</v>
      </c>
      <c r="C16107">
        <v>5131</v>
      </c>
      <c r="E16107" t="s">
        <v>8</v>
      </c>
      <c r="F16107" t="s">
        <v>16112</v>
      </c>
      <c r="G16107">
        <v>1</v>
      </c>
    </row>
    <row r="16108" spans="1:7" x14ac:dyDescent="0.25">
      <c r="A16108">
        <v>48</v>
      </c>
      <c r="B16108" t="s">
        <v>15999</v>
      </c>
      <c r="C16108">
        <v>4188</v>
      </c>
      <c r="E16108" t="s">
        <v>8</v>
      </c>
      <c r="F16108" t="s">
        <v>16113</v>
      </c>
      <c r="G16108">
        <v>1</v>
      </c>
    </row>
    <row r="16109" spans="1:7" x14ac:dyDescent="0.25">
      <c r="A16109">
        <v>48</v>
      </c>
      <c r="B16109" t="s">
        <v>15999</v>
      </c>
      <c r="C16109">
        <v>9793</v>
      </c>
      <c r="E16109" t="s">
        <v>8</v>
      </c>
      <c r="F16109" t="s">
        <v>16114</v>
      </c>
      <c r="G16109">
        <v>1</v>
      </c>
    </row>
    <row r="16110" spans="1:7" x14ac:dyDescent="0.25">
      <c r="A16110">
        <v>48</v>
      </c>
      <c r="B16110" t="s">
        <v>15999</v>
      </c>
      <c r="C16110">
        <v>3104</v>
      </c>
      <c r="E16110" t="s">
        <v>8</v>
      </c>
      <c r="F16110" t="s">
        <v>16115</v>
      </c>
      <c r="G16110">
        <v>1</v>
      </c>
    </row>
    <row r="16111" spans="1:7" x14ac:dyDescent="0.25">
      <c r="A16111">
        <v>48</v>
      </c>
      <c r="B16111" t="s">
        <v>15999</v>
      </c>
      <c r="C16111">
        <v>9148</v>
      </c>
      <c r="E16111" t="s">
        <v>8</v>
      </c>
      <c r="F16111" t="s">
        <v>16116</v>
      </c>
      <c r="G16111">
        <v>1</v>
      </c>
    </row>
    <row r="16112" spans="1:7" x14ac:dyDescent="0.25">
      <c r="A16112">
        <v>48</v>
      </c>
      <c r="B16112" t="s">
        <v>15999</v>
      </c>
      <c r="C16112">
        <v>1683</v>
      </c>
      <c r="E16112" t="s">
        <v>8</v>
      </c>
      <c r="F16112" t="s">
        <v>16117</v>
      </c>
      <c r="G16112">
        <v>1</v>
      </c>
    </row>
    <row r="16113" spans="1:7" x14ac:dyDescent="0.25">
      <c r="A16113">
        <v>48</v>
      </c>
      <c r="B16113" t="s">
        <v>15999</v>
      </c>
      <c r="C16113">
        <v>7603</v>
      </c>
      <c r="E16113" t="s">
        <v>8</v>
      </c>
      <c r="F16113" t="s">
        <v>16118</v>
      </c>
      <c r="G16113">
        <v>1</v>
      </c>
    </row>
    <row r="16114" spans="1:7" x14ac:dyDescent="0.25">
      <c r="A16114">
        <v>48</v>
      </c>
      <c r="B16114" t="s">
        <v>15999</v>
      </c>
      <c r="C16114">
        <v>1975</v>
      </c>
      <c r="E16114" t="s">
        <v>8</v>
      </c>
      <c r="F16114" t="s">
        <v>16119</v>
      </c>
      <c r="G16114">
        <v>1</v>
      </c>
    </row>
    <row r="16115" spans="1:7" x14ac:dyDescent="0.25">
      <c r="A16115">
        <v>48</v>
      </c>
      <c r="B16115" t="s">
        <v>15999</v>
      </c>
      <c r="C16115">
        <v>2026</v>
      </c>
      <c r="E16115" t="s">
        <v>8</v>
      </c>
      <c r="F16115" t="s">
        <v>16120</v>
      </c>
      <c r="G16115">
        <v>1</v>
      </c>
    </row>
    <row r="16116" spans="1:7" x14ac:dyDescent="0.25">
      <c r="A16116">
        <v>48</v>
      </c>
      <c r="B16116" t="s">
        <v>15999</v>
      </c>
      <c r="C16116">
        <v>4568</v>
      </c>
      <c r="E16116" t="s">
        <v>8</v>
      </c>
      <c r="F16116" t="s">
        <v>16121</v>
      </c>
      <c r="G16116">
        <v>1</v>
      </c>
    </row>
    <row r="16117" spans="1:7" x14ac:dyDescent="0.25">
      <c r="A16117">
        <v>48</v>
      </c>
      <c r="B16117" t="s">
        <v>15999</v>
      </c>
      <c r="C16117">
        <v>275</v>
      </c>
      <c r="E16117" t="s">
        <v>8</v>
      </c>
      <c r="F16117" t="s">
        <v>16122</v>
      </c>
      <c r="G16117">
        <v>1</v>
      </c>
    </row>
    <row r="16118" spans="1:7" x14ac:dyDescent="0.25">
      <c r="A16118">
        <v>48</v>
      </c>
      <c r="B16118" t="s">
        <v>15999</v>
      </c>
      <c r="C16118">
        <v>13779</v>
      </c>
      <c r="E16118" t="s">
        <v>8</v>
      </c>
      <c r="F16118" t="s">
        <v>16123</v>
      </c>
      <c r="G16118">
        <v>1</v>
      </c>
    </row>
    <row r="16119" spans="1:7" x14ac:dyDescent="0.25">
      <c r="A16119">
        <v>48</v>
      </c>
      <c r="B16119" t="s">
        <v>15999</v>
      </c>
      <c r="C16119">
        <v>8783229</v>
      </c>
      <c r="E16119" t="s">
        <v>8</v>
      </c>
      <c r="F16119" t="s">
        <v>16124</v>
      </c>
      <c r="G16119">
        <v>1</v>
      </c>
    </row>
    <row r="16120" spans="1:7" x14ac:dyDescent="0.25">
      <c r="A16120">
        <v>48</v>
      </c>
      <c r="B16120" t="s">
        <v>15999</v>
      </c>
      <c r="C16120">
        <v>7706360</v>
      </c>
      <c r="D16120" t="str">
        <f>"2045-435X"</f>
        <v>2045-435X</v>
      </c>
      <c r="E16120" t="s">
        <v>8</v>
      </c>
      <c r="F16120" t="s">
        <v>16125</v>
      </c>
      <c r="G16120">
        <v>1</v>
      </c>
    </row>
    <row r="16121" spans="1:7" x14ac:dyDescent="0.25">
      <c r="A16121">
        <v>48</v>
      </c>
      <c r="B16121" t="s">
        <v>15999</v>
      </c>
      <c r="C16121">
        <v>5104</v>
      </c>
      <c r="D16121" t="str">
        <f>"8756-3282"</f>
        <v>8756-3282</v>
      </c>
      <c r="E16121" t="s">
        <v>8</v>
      </c>
      <c r="F16121" t="s">
        <v>16126</v>
      </c>
      <c r="G16121">
        <v>1</v>
      </c>
    </row>
    <row r="16122" spans="1:7" x14ac:dyDescent="0.25">
      <c r="A16122">
        <v>48</v>
      </c>
      <c r="B16122" t="s">
        <v>15999</v>
      </c>
      <c r="C16122">
        <v>10048</v>
      </c>
      <c r="D16122" t="str">
        <f>"0268-3369"</f>
        <v>0268-3369</v>
      </c>
      <c r="E16122" t="s">
        <v>8</v>
      </c>
      <c r="F16122" t="s">
        <v>16127</v>
      </c>
      <c r="G16122">
        <v>1</v>
      </c>
    </row>
    <row r="16123" spans="1:7" x14ac:dyDescent="0.25">
      <c r="A16123">
        <v>48</v>
      </c>
      <c r="B16123" t="s">
        <v>15999</v>
      </c>
      <c r="C16123">
        <v>7751366</v>
      </c>
      <c r="D16123" t="str">
        <f>"2095-4700"</f>
        <v>2095-4700</v>
      </c>
      <c r="E16123" t="s">
        <v>8</v>
      </c>
      <c r="F16123" t="s">
        <v>16128</v>
      </c>
      <c r="G16123">
        <v>1</v>
      </c>
    </row>
    <row r="16124" spans="1:7" x14ac:dyDescent="0.25">
      <c r="A16124">
        <v>48</v>
      </c>
      <c r="B16124" t="s">
        <v>15999</v>
      </c>
      <c r="C16124">
        <v>5968</v>
      </c>
      <c r="D16124" t="str">
        <f>"1465-5411"</f>
        <v>1465-5411</v>
      </c>
      <c r="E16124" t="s">
        <v>8</v>
      </c>
      <c r="F16124" t="s">
        <v>16129</v>
      </c>
      <c r="G16124">
        <v>1</v>
      </c>
    </row>
    <row r="16125" spans="1:7" x14ac:dyDescent="0.25">
      <c r="A16125">
        <v>48</v>
      </c>
      <c r="B16125" t="s">
        <v>15999</v>
      </c>
      <c r="C16125">
        <v>14944</v>
      </c>
      <c r="D16125" t="str">
        <f>"0167-6806"</f>
        <v>0167-6806</v>
      </c>
      <c r="E16125" t="s">
        <v>8</v>
      </c>
      <c r="F16125" t="s">
        <v>16130</v>
      </c>
      <c r="G16125">
        <v>1</v>
      </c>
    </row>
    <row r="16126" spans="1:7" x14ac:dyDescent="0.25">
      <c r="A16126">
        <v>48</v>
      </c>
      <c r="B16126" t="s">
        <v>15999</v>
      </c>
      <c r="C16126">
        <v>15450</v>
      </c>
      <c r="D16126" t="str">
        <f>"0007-0920"</f>
        <v>0007-0920</v>
      </c>
      <c r="E16126" t="s">
        <v>8</v>
      </c>
      <c r="F16126" t="s">
        <v>16131</v>
      </c>
      <c r="G16126">
        <v>1</v>
      </c>
    </row>
    <row r="16127" spans="1:7" x14ac:dyDescent="0.25">
      <c r="A16127">
        <v>48</v>
      </c>
      <c r="B16127" t="s">
        <v>15999</v>
      </c>
      <c r="C16127">
        <v>8783230</v>
      </c>
      <c r="E16127" t="s">
        <v>8</v>
      </c>
      <c r="F16127" t="s">
        <v>16132</v>
      </c>
      <c r="G16127">
        <v>1</v>
      </c>
    </row>
    <row r="16128" spans="1:7" x14ac:dyDescent="0.25">
      <c r="A16128">
        <v>48</v>
      </c>
      <c r="B16128" t="s">
        <v>15999</v>
      </c>
      <c r="C16128">
        <v>3795</v>
      </c>
      <c r="D16128" t="str">
        <f>"0007-1048"</f>
        <v>0007-1048</v>
      </c>
      <c r="E16128" t="s">
        <v>8</v>
      </c>
      <c r="F16128" t="s">
        <v>16133</v>
      </c>
      <c r="G16128">
        <v>1</v>
      </c>
    </row>
    <row r="16129" spans="1:7" x14ac:dyDescent="0.25">
      <c r="A16129">
        <v>48</v>
      </c>
      <c r="B16129" t="s">
        <v>15999</v>
      </c>
      <c r="C16129">
        <v>13463</v>
      </c>
      <c r="D16129" t="str">
        <f>"0007-1420"</f>
        <v>0007-1420</v>
      </c>
      <c r="E16129" t="s">
        <v>8</v>
      </c>
      <c r="F16129" t="s">
        <v>16134</v>
      </c>
      <c r="G16129">
        <v>1</v>
      </c>
    </row>
    <row r="16130" spans="1:7" x14ac:dyDescent="0.25">
      <c r="A16130">
        <v>48</v>
      </c>
      <c r="B16130" t="s">
        <v>15999</v>
      </c>
      <c r="C16130">
        <v>1394</v>
      </c>
      <c r="D16130" t="str">
        <f>"0828-282X"</f>
        <v>0828-282X</v>
      </c>
      <c r="E16130" t="s">
        <v>8</v>
      </c>
      <c r="F16130" t="s">
        <v>16135</v>
      </c>
      <c r="G16130">
        <v>1</v>
      </c>
    </row>
    <row r="16131" spans="1:7" x14ac:dyDescent="0.25">
      <c r="A16131">
        <v>48</v>
      </c>
      <c r="B16131" t="s">
        <v>15999</v>
      </c>
      <c r="C16131">
        <v>8782448</v>
      </c>
      <c r="D16131" t="str">
        <f>"2291-2789"</f>
        <v>2291-2789</v>
      </c>
      <c r="E16131" t="s">
        <v>8</v>
      </c>
      <c r="F16131" t="s">
        <v>16136</v>
      </c>
      <c r="G16131">
        <v>1</v>
      </c>
    </row>
    <row r="16132" spans="1:7" x14ac:dyDescent="0.25">
      <c r="A16132">
        <v>48</v>
      </c>
      <c r="B16132" t="s">
        <v>15999</v>
      </c>
      <c r="C16132">
        <v>2714</v>
      </c>
      <c r="D16132" t="str">
        <f>"0008-543X"</f>
        <v>0008-543X</v>
      </c>
      <c r="E16132" t="s">
        <v>8</v>
      </c>
      <c r="F16132" t="s">
        <v>16137</v>
      </c>
      <c r="G16132">
        <v>1</v>
      </c>
    </row>
    <row r="16133" spans="1:7" x14ac:dyDescent="0.25">
      <c r="A16133">
        <v>48</v>
      </c>
      <c r="B16133" t="s">
        <v>15999</v>
      </c>
      <c r="C16133">
        <v>13499</v>
      </c>
      <c r="D16133" t="str">
        <f>"1538-4047"</f>
        <v>1538-4047</v>
      </c>
      <c r="E16133" t="s">
        <v>8</v>
      </c>
      <c r="F16133" t="s">
        <v>16138</v>
      </c>
      <c r="G16133">
        <v>1</v>
      </c>
    </row>
    <row r="16134" spans="1:7" x14ac:dyDescent="0.25">
      <c r="A16134">
        <v>48</v>
      </c>
      <c r="B16134" t="s">
        <v>15999</v>
      </c>
      <c r="C16134">
        <v>14115</v>
      </c>
      <c r="E16134" t="s">
        <v>8</v>
      </c>
      <c r="F16134" t="s">
        <v>16139</v>
      </c>
      <c r="G16134">
        <v>1</v>
      </c>
    </row>
    <row r="16135" spans="1:7" x14ac:dyDescent="0.25">
      <c r="A16135">
        <v>48</v>
      </c>
      <c r="B16135" t="s">
        <v>15999</v>
      </c>
      <c r="C16135">
        <v>6055878</v>
      </c>
      <c r="D16135" t="str">
        <f>"1877-7821"</f>
        <v>1877-7821</v>
      </c>
      <c r="E16135" t="s">
        <v>8</v>
      </c>
      <c r="F16135" t="s">
        <v>16140</v>
      </c>
      <c r="G16135">
        <v>1</v>
      </c>
    </row>
    <row r="16136" spans="1:7" x14ac:dyDescent="0.25">
      <c r="A16136">
        <v>48</v>
      </c>
      <c r="B16136" t="s">
        <v>15999</v>
      </c>
      <c r="C16136">
        <v>12100</v>
      </c>
      <c r="D16136" t="str">
        <f>"0929-1903"</f>
        <v>0929-1903</v>
      </c>
      <c r="E16136" t="s">
        <v>8</v>
      </c>
      <c r="F16136" t="s">
        <v>16141</v>
      </c>
      <c r="G16136">
        <v>1</v>
      </c>
    </row>
    <row r="16137" spans="1:7" x14ac:dyDescent="0.25">
      <c r="A16137">
        <v>48</v>
      </c>
      <c r="B16137" t="s">
        <v>15999</v>
      </c>
      <c r="C16137">
        <v>14515</v>
      </c>
      <c r="D16137" t="str">
        <f>"0165-4608"</f>
        <v>0165-4608</v>
      </c>
      <c r="E16137" t="s">
        <v>8</v>
      </c>
      <c r="F16137" t="s">
        <v>16142</v>
      </c>
      <c r="G16137">
        <v>1</v>
      </c>
    </row>
    <row r="16138" spans="1:7" x14ac:dyDescent="0.25">
      <c r="A16138">
        <v>48</v>
      </c>
      <c r="B16138" t="s">
        <v>15999</v>
      </c>
      <c r="C16138">
        <v>15802</v>
      </c>
      <c r="D16138" t="str">
        <f>"1109-6535"</f>
        <v>1109-6535</v>
      </c>
      <c r="E16138" t="s">
        <v>8</v>
      </c>
      <c r="F16138" t="s">
        <v>16143</v>
      </c>
      <c r="G16138">
        <v>1</v>
      </c>
    </row>
    <row r="16139" spans="1:7" x14ac:dyDescent="0.25">
      <c r="A16139">
        <v>48</v>
      </c>
      <c r="B16139" t="s">
        <v>15999</v>
      </c>
      <c r="C16139">
        <v>45408</v>
      </c>
      <c r="D16139" t="str">
        <f>"1740-5025"</f>
        <v>1740-5025</v>
      </c>
      <c r="E16139" t="s">
        <v>8</v>
      </c>
      <c r="F16139" t="s">
        <v>16144</v>
      </c>
      <c r="G16139">
        <v>1</v>
      </c>
    </row>
    <row r="16140" spans="1:7" x14ac:dyDescent="0.25">
      <c r="A16140">
        <v>48</v>
      </c>
      <c r="B16140" t="s">
        <v>15999</v>
      </c>
      <c r="C16140">
        <v>7107</v>
      </c>
      <c r="D16140" t="str">
        <f>"0735-7907"</f>
        <v>0735-7907</v>
      </c>
      <c r="E16140" t="s">
        <v>8</v>
      </c>
      <c r="F16140" t="s">
        <v>16145</v>
      </c>
      <c r="G16140">
        <v>1</v>
      </c>
    </row>
    <row r="16141" spans="1:7" x14ac:dyDescent="0.25">
      <c r="A16141">
        <v>48</v>
      </c>
      <c r="B16141" t="s">
        <v>15999</v>
      </c>
      <c r="C16141">
        <v>806</v>
      </c>
      <c r="D16141" t="str">
        <f>"0304-3835"</f>
        <v>0304-3835</v>
      </c>
      <c r="E16141" t="s">
        <v>8</v>
      </c>
      <c r="F16141" t="s">
        <v>16146</v>
      </c>
      <c r="G16141">
        <v>1</v>
      </c>
    </row>
    <row r="16142" spans="1:7" x14ac:dyDescent="0.25">
      <c r="A16142">
        <v>48</v>
      </c>
      <c r="B16142" t="s">
        <v>15999</v>
      </c>
      <c r="C16142">
        <v>7727516</v>
      </c>
      <c r="E16142" t="s">
        <v>8</v>
      </c>
      <c r="F16142" t="s">
        <v>16147</v>
      </c>
      <c r="G16142">
        <v>1</v>
      </c>
    </row>
    <row r="16143" spans="1:7" x14ac:dyDescent="0.25">
      <c r="A16143">
        <v>48</v>
      </c>
      <c r="B16143" t="s">
        <v>15999</v>
      </c>
      <c r="C16143">
        <v>98251</v>
      </c>
      <c r="D16143" t="str">
        <f>"1940-6207"</f>
        <v>1940-6207</v>
      </c>
      <c r="E16143" t="s">
        <v>8</v>
      </c>
      <c r="F16143" t="s">
        <v>16148</v>
      </c>
      <c r="G16143">
        <v>1</v>
      </c>
    </row>
    <row r="16144" spans="1:7" x14ac:dyDescent="0.25">
      <c r="A16144">
        <v>48</v>
      </c>
      <c r="B16144" t="s">
        <v>15999</v>
      </c>
      <c r="C16144">
        <v>7352051</v>
      </c>
      <c r="D16144" t="str">
        <f>"1347-9032"</f>
        <v>1347-9032</v>
      </c>
      <c r="E16144" t="s">
        <v>8</v>
      </c>
      <c r="F16144" t="s">
        <v>16149</v>
      </c>
      <c r="G16144">
        <v>1</v>
      </c>
    </row>
    <row r="16145" spans="1:7" x14ac:dyDescent="0.25">
      <c r="A16145">
        <v>48</v>
      </c>
      <c r="B16145" t="s">
        <v>15999</v>
      </c>
      <c r="C16145">
        <v>1061</v>
      </c>
      <c r="D16145" t="str">
        <f>"0305-7372"</f>
        <v>0305-7372</v>
      </c>
      <c r="E16145" t="s">
        <v>8</v>
      </c>
      <c r="F16145" t="s">
        <v>16150</v>
      </c>
      <c r="G16145">
        <v>1</v>
      </c>
    </row>
    <row r="16146" spans="1:7" x14ac:dyDescent="0.25">
      <c r="A16146">
        <v>48</v>
      </c>
      <c r="B16146" t="s">
        <v>15999</v>
      </c>
      <c r="C16146">
        <v>14557</v>
      </c>
      <c r="D16146" t="str">
        <f>"0008-6312"</f>
        <v>0008-6312</v>
      </c>
      <c r="E16146" t="s">
        <v>8</v>
      </c>
      <c r="F16146" t="s">
        <v>16151</v>
      </c>
      <c r="G16146">
        <v>1</v>
      </c>
    </row>
    <row r="16147" spans="1:7" x14ac:dyDescent="0.25">
      <c r="A16147">
        <v>48</v>
      </c>
      <c r="B16147" t="s">
        <v>15999</v>
      </c>
      <c r="C16147">
        <v>17534</v>
      </c>
      <c r="D16147" t="str">
        <f>"0733-8651"</f>
        <v>0733-8651</v>
      </c>
      <c r="E16147" t="s">
        <v>8</v>
      </c>
      <c r="F16147" t="s">
        <v>16152</v>
      </c>
      <c r="G16147">
        <v>1</v>
      </c>
    </row>
    <row r="16148" spans="1:7" x14ac:dyDescent="0.25">
      <c r="A16148">
        <v>48</v>
      </c>
      <c r="B16148" t="s">
        <v>15999</v>
      </c>
      <c r="C16148">
        <v>4305</v>
      </c>
      <c r="D16148" t="str">
        <f>"1061-5377"</f>
        <v>1061-5377</v>
      </c>
      <c r="E16148" t="s">
        <v>8</v>
      </c>
      <c r="F16148" t="s">
        <v>16153</v>
      </c>
      <c r="G16148">
        <v>1</v>
      </c>
    </row>
    <row r="16149" spans="1:7" x14ac:dyDescent="0.25">
      <c r="A16149">
        <v>48</v>
      </c>
      <c r="B16149" t="s">
        <v>15999</v>
      </c>
      <c r="C16149">
        <v>3548</v>
      </c>
      <c r="D16149" t="str">
        <f>"1047-9511"</f>
        <v>1047-9511</v>
      </c>
      <c r="E16149" t="s">
        <v>8</v>
      </c>
      <c r="F16149" t="s">
        <v>16154</v>
      </c>
      <c r="G16149">
        <v>1</v>
      </c>
    </row>
    <row r="16150" spans="1:7" x14ac:dyDescent="0.25">
      <c r="A16150">
        <v>48</v>
      </c>
      <c r="B16150" t="s">
        <v>15999</v>
      </c>
      <c r="C16150">
        <v>5879</v>
      </c>
      <c r="E16150" t="s">
        <v>8</v>
      </c>
      <c r="F16150" t="s">
        <v>16155</v>
      </c>
      <c r="G16150">
        <v>1</v>
      </c>
    </row>
    <row r="16151" spans="1:7" x14ac:dyDescent="0.25">
      <c r="A16151">
        <v>48</v>
      </c>
      <c r="B16151" t="s">
        <v>15999</v>
      </c>
      <c r="C16151">
        <v>7749638</v>
      </c>
      <c r="D16151" t="str">
        <f>"2162-6898"</f>
        <v>2162-6898</v>
      </c>
      <c r="E16151" t="s">
        <v>8</v>
      </c>
      <c r="F16151" t="s">
        <v>16156</v>
      </c>
      <c r="G16151">
        <v>1</v>
      </c>
    </row>
    <row r="16152" spans="1:7" x14ac:dyDescent="0.25">
      <c r="A16152">
        <v>48</v>
      </c>
      <c r="B16152" t="s">
        <v>15999</v>
      </c>
      <c r="C16152">
        <v>10724</v>
      </c>
      <c r="D16152" t="str">
        <f>"0008-6363"</f>
        <v>0008-6363</v>
      </c>
      <c r="E16152" t="s">
        <v>8</v>
      </c>
      <c r="F16152" t="s">
        <v>16157</v>
      </c>
      <c r="G16152">
        <v>1</v>
      </c>
    </row>
    <row r="16153" spans="1:7" x14ac:dyDescent="0.25">
      <c r="A16153">
        <v>48</v>
      </c>
      <c r="B16153" t="s">
        <v>15999</v>
      </c>
      <c r="C16153">
        <v>3935</v>
      </c>
      <c r="D16153" t="str">
        <f>"1553-8389"</f>
        <v>1553-8389</v>
      </c>
      <c r="E16153" t="s">
        <v>8</v>
      </c>
      <c r="F16153" t="s">
        <v>16158</v>
      </c>
      <c r="G16153">
        <v>1</v>
      </c>
    </row>
    <row r="16154" spans="1:7" x14ac:dyDescent="0.25">
      <c r="A16154">
        <v>48</v>
      </c>
      <c r="B16154" t="s">
        <v>15999</v>
      </c>
      <c r="C16154">
        <v>14035</v>
      </c>
      <c r="D16154" t="str">
        <f>"1530-7905"</f>
        <v>1530-7905</v>
      </c>
      <c r="E16154" t="s">
        <v>8</v>
      </c>
      <c r="F16154" t="s">
        <v>16159</v>
      </c>
      <c r="G16154">
        <v>1</v>
      </c>
    </row>
    <row r="16155" spans="1:7" x14ac:dyDescent="0.25">
      <c r="A16155">
        <v>48</v>
      </c>
      <c r="B16155" t="s">
        <v>15999</v>
      </c>
      <c r="C16155">
        <v>3952</v>
      </c>
      <c r="E16155" t="s">
        <v>8</v>
      </c>
      <c r="F16155" t="s">
        <v>16160</v>
      </c>
      <c r="G16155">
        <v>1</v>
      </c>
    </row>
    <row r="16156" spans="1:7" x14ac:dyDescent="0.25">
      <c r="A16156">
        <v>48</v>
      </c>
      <c r="B16156" t="s">
        <v>15999</v>
      </c>
      <c r="C16156">
        <v>4778</v>
      </c>
      <c r="D16156" t="str">
        <f>"1522-1946"</f>
        <v>1522-1946</v>
      </c>
      <c r="E16156" t="s">
        <v>8</v>
      </c>
      <c r="F16156" t="s">
        <v>16161</v>
      </c>
      <c r="G16156">
        <v>1</v>
      </c>
    </row>
    <row r="16157" spans="1:7" x14ac:dyDescent="0.25">
      <c r="A16157">
        <v>48</v>
      </c>
      <c r="B16157" t="s">
        <v>15999</v>
      </c>
      <c r="C16157">
        <v>27929</v>
      </c>
      <c r="E16157" t="s">
        <v>8</v>
      </c>
      <c r="F16157" t="s">
        <v>16162</v>
      </c>
      <c r="G16157">
        <v>1</v>
      </c>
    </row>
    <row r="16158" spans="1:7" x14ac:dyDescent="0.25">
      <c r="A16158">
        <v>48</v>
      </c>
      <c r="B16158" t="s">
        <v>15999</v>
      </c>
      <c r="C16158">
        <v>8769590</v>
      </c>
      <c r="D16158" t="str">
        <f>"2352-345X"</f>
        <v>2352-345X</v>
      </c>
      <c r="E16158" t="s">
        <v>8</v>
      </c>
      <c r="F16158" t="s">
        <v>16163</v>
      </c>
      <c r="G16158">
        <v>1</v>
      </c>
    </row>
    <row r="16159" spans="1:7" x14ac:dyDescent="0.25">
      <c r="A16159">
        <v>48</v>
      </c>
      <c r="B16159" t="s">
        <v>15999</v>
      </c>
      <c r="C16159">
        <v>7753738</v>
      </c>
      <c r="D16159" t="str">
        <f>"2211-3428"</f>
        <v>2211-3428</v>
      </c>
      <c r="E16159" t="s">
        <v>8</v>
      </c>
      <c r="F16159" t="s">
        <v>16164</v>
      </c>
      <c r="G16159">
        <v>1</v>
      </c>
    </row>
    <row r="16160" spans="1:7" x14ac:dyDescent="0.25">
      <c r="A16160">
        <v>48</v>
      </c>
      <c r="B16160" t="s">
        <v>15999</v>
      </c>
      <c r="C16160">
        <v>1879</v>
      </c>
      <c r="D16160" t="str">
        <f>"0009-3157"</f>
        <v>0009-3157</v>
      </c>
      <c r="E16160" t="s">
        <v>8</v>
      </c>
      <c r="F16160" t="s">
        <v>16165</v>
      </c>
      <c r="G16160">
        <v>1</v>
      </c>
    </row>
    <row r="16161" spans="1:7" x14ac:dyDescent="0.25">
      <c r="A16161">
        <v>48</v>
      </c>
      <c r="B16161" t="s">
        <v>15999</v>
      </c>
      <c r="C16161">
        <v>13661</v>
      </c>
      <c r="D16161" t="str">
        <f>"0012-3692"</f>
        <v>0012-3692</v>
      </c>
      <c r="E16161" t="s">
        <v>8</v>
      </c>
      <c r="F16161" t="s">
        <v>16166</v>
      </c>
      <c r="G16161">
        <v>1</v>
      </c>
    </row>
    <row r="16162" spans="1:7" x14ac:dyDescent="0.25">
      <c r="A16162">
        <v>48</v>
      </c>
      <c r="B16162" t="s">
        <v>15999</v>
      </c>
      <c r="C16162">
        <v>14548</v>
      </c>
      <c r="D16162" t="str">
        <f>"0366-6999"</f>
        <v>0366-6999</v>
      </c>
      <c r="E16162" t="s">
        <v>8</v>
      </c>
      <c r="F16162" t="s">
        <v>16167</v>
      </c>
      <c r="G16162">
        <v>1</v>
      </c>
    </row>
    <row r="16163" spans="1:7" x14ac:dyDescent="0.25">
      <c r="A16163">
        <v>48</v>
      </c>
      <c r="B16163" t="s">
        <v>15999</v>
      </c>
      <c r="C16163">
        <v>3849</v>
      </c>
      <c r="D16163" t="str">
        <f>"1346-9843"</f>
        <v>1346-9843</v>
      </c>
      <c r="E16163" t="s">
        <v>8</v>
      </c>
      <c r="F16163" t="s">
        <v>16168</v>
      </c>
      <c r="G16163">
        <v>1</v>
      </c>
    </row>
    <row r="16164" spans="1:7" x14ac:dyDescent="0.25">
      <c r="A16164">
        <v>48</v>
      </c>
      <c r="B16164" t="s">
        <v>15999</v>
      </c>
      <c r="C16164">
        <v>125766</v>
      </c>
      <c r="D16164" t="str">
        <f>"1941-3149"</f>
        <v>1941-3149</v>
      </c>
      <c r="E16164" t="s">
        <v>8</v>
      </c>
      <c r="F16164" t="s">
        <v>16169</v>
      </c>
      <c r="G16164">
        <v>1</v>
      </c>
    </row>
    <row r="16165" spans="1:7" x14ac:dyDescent="0.25">
      <c r="A16165">
        <v>48</v>
      </c>
      <c r="B16165" t="s">
        <v>15999</v>
      </c>
      <c r="C16165">
        <v>6064411</v>
      </c>
      <c r="D16165" t="str">
        <f>"1942-325X"</f>
        <v>1942-325X</v>
      </c>
      <c r="E16165" t="s">
        <v>8</v>
      </c>
      <c r="F16165" t="s">
        <v>16170</v>
      </c>
      <c r="G16165">
        <v>1</v>
      </c>
    </row>
    <row r="16166" spans="1:7" x14ac:dyDescent="0.25">
      <c r="A16166">
        <v>48</v>
      </c>
      <c r="B16166" t="s">
        <v>15999</v>
      </c>
      <c r="C16166">
        <v>7660145</v>
      </c>
      <c r="D16166" t="str">
        <f>"1941-7705"</f>
        <v>1941-7705</v>
      </c>
      <c r="E16166" t="s">
        <v>8</v>
      </c>
      <c r="F16166" t="s">
        <v>16171</v>
      </c>
      <c r="G16166">
        <v>1</v>
      </c>
    </row>
    <row r="16167" spans="1:7" x14ac:dyDescent="0.25">
      <c r="A16167">
        <v>48</v>
      </c>
      <c r="B16167" t="s">
        <v>15999</v>
      </c>
      <c r="C16167">
        <v>107686</v>
      </c>
      <c r="D16167" t="str">
        <f>"1941-3289"</f>
        <v>1941-3289</v>
      </c>
      <c r="E16167" t="s">
        <v>8</v>
      </c>
      <c r="F16167" t="s">
        <v>16172</v>
      </c>
      <c r="G16167">
        <v>1</v>
      </c>
    </row>
    <row r="16168" spans="1:7" x14ac:dyDescent="0.25">
      <c r="A16168">
        <v>48</v>
      </c>
      <c r="B16168" t="s">
        <v>15999</v>
      </c>
      <c r="C16168">
        <v>16391</v>
      </c>
      <c r="D16168" t="str">
        <f>"0891-1150"</f>
        <v>0891-1150</v>
      </c>
      <c r="E16168" t="s">
        <v>8</v>
      </c>
      <c r="F16168" t="s">
        <v>16173</v>
      </c>
      <c r="G16168">
        <v>1</v>
      </c>
    </row>
    <row r="16169" spans="1:7" x14ac:dyDescent="0.25">
      <c r="A16169">
        <v>48</v>
      </c>
      <c r="B16169" t="s">
        <v>15999</v>
      </c>
      <c r="C16169">
        <v>16312</v>
      </c>
      <c r="D16169" t="str">
        <f>"0897-3806"</f>
        <v>0897-3806</v>
      </c>
      <c r="E16169" t="s">
        <v>8</v>
      </c>
      <c r="F16169" t="s">
        <v>16174</v>
      </c>
      <c r="G16169">
        <v>1</v>
      </c>
    </row>
    <row r="16170" spans="1:7" x14ac:dyDescent="0.25">
      <c r="A16170">
        <v>48</v>
      </c>
      <c r="B16170" t="s">
        <v>15999</v>
      </c>
      <c r="C16170">
        <v>580</v>
      </c>
      <c r="D16170" t="str">
        <f>"1076-0296"</f>
        <v>1076-0296</v>
      </c>
      <c r="E16170" t="s">
        <v>8</v>
      </c>
      <c r="F16170" t="s">
        <v>16175</v>
      </c>
      <c r="G16170">
        <v>1</v>
      </c>
    </row>
    <row r="16171" spans="1:7" x14ac:dyDescent="0.25">
      <c r="A16171">
        <v>48</v>
      </c>
      <c r="B16171" t="s">
        <v>15999</v>
      </c>
      <c r="C16171">
        <v>6253</v>
      </c>
      <c r="D16171" t="str">
        <f>"0954-7894"</f>
        <v>0954-7894</v>
      </c>
      <c r="E16171" t="s">
        <v>8</v>
      </c>
      <c r="F16171" t="s">
        <v>16176</v>
      </c>
      <c r="G16171">
        <v>1</v>
      </c>
    </row>
    <row r="16172" spans="1:7" x14ac:dyDescent="0.25">
      <c r="A16172">
        <v>48</v>
      </c>
      <c r="B16172" t="s">
        <v>15999</v>
      </c>
      <c r="C16172">
        <v>7360</v>
      </c>
      <c r="D16172" t="str">
        <f>"1064-1963"</f>
        <v>1064-1963</v>
      </c>
      <c r="E16172" t="s">
        <v>8</v>
      </c>
      <c r="F16172" t="s">
        <v>16177</v>
      </c>
      <c r="G16172">
        <v>1</v>
      </c>
    </row>
    <row r="16173" spans="1:7" x14ac:dyDescent="0.25">
      <c r="A16173">
        <v>48</v>
      </c>
      <c r="B16173" t="s">
        <v>15999</v>
      </c>
      <c r="C16173">
        <v>16610</v>
      </c>
      <c r="D16173" t="str">
        <f>"0009-9104"</f>
        <v>0009-9104</v>
      </c>
      <c r="E16173" t="s">
        <v>8</v>
      </c>
      <c r="F16173" t="s">
        <v>16178</v>
      </c>
      <c r="G16173">
        <v>1</v>
      </c>
    </row>
    <row r="16174" spans="1:7" x14ac:dyDescent="0.25">
      <c r="A16174">
        <v>48</v>
      </c>
      <c r="B16174" t="s">
        <v>15999</v>
      </c>
      <c r="C16174">
        <v>16886</v>
      </c>
      <c r="D16174" t="str">
        <f>"1591-8890"</f>
        <v>1591-8890</v>
      </c>
      <c r="E16174" t="s">
        <v>8</v>
      </c>
      <c r="F16174" t="s">
        <v>16179</v>
      </c>
      <c r="G16174">
        <v>1</v>
      </c>
    </row>
    <row r="16175" spans="1:7" x14ac:dyDescent="0.25">
      <c r="A16175">
        <v>48</v>
      </c>
      <c r="B16175" t="s">
        <v>15999</v>
      </c>
      <c r="C16175">
        <v>10654</v>
      </c>
      <c r="D16175" t="str">
        <f>"0262-0898"</f>
        <v>0262-0898</v>
      </c>
      <c r="E16175" t="s">
        <v>8</v>
      </c>
      <c r="F16175" t="s">
        <v>16180</v>
      </c>
      <c r="G16175">
        <v>1</v>
      </c>
    </row>
    <row r="16176" spans="1:7" x14ac:dyDescent="0.25">
      <c r="A16176">
        <v>48</v>
      </c>
      <c r="B16176" t="s">
        <v>15999</v>
      </c>
      <c r="C16176">
        <v>13860</v>
      </c>
      <c r="D16176" t="str">
        <f>"1342-1751"</f>
        <v>1342-1751</v>
      </c>
      <c r="E16176" t="s">
        <v>8</v>
      </c>
      <c r="F16176" t="s">
        <v>16181</v>
      </c>
      <c r="G16176">
        <v>1</v>
      </c>
    </row>
    <row r="16177" spans="1:7" x14ac:dyDescent="0.25">
      <c r="A16177">
        <v>48</v>
      </c>
      <c r="B16177" t="s">
        <v>15999</v>
      </c>
      <c r="C16177">
        <v>13282</v>
      </c>
      <c r="D16177" t="str">
        <f>"0392-856X"</f>
        <v>0392-856X</v>
      </c>
      <c r="E16177" t="s">
        <v>8</v>
      </c>
      <c r="F16177" t="s">
        <v>16182</v>
      </c>
      <c r="G16177">
        <v>1</v>
      </c>
    </row>
    <row r="16178" spans="1:7" x14ac:dyDescent="0.25">
      <c r="A16178">
        <v>48</v>
      </c>
      <c r="B16178" t="s">
        <v>15999</v>
      </c>
      <c r="C16178">
        <v>7719421</v>
      </c>
      <c r="E16178" t="s">
        <v>8</v>
      </c>
      <c r="F16178" t="s">
        <v>16183</v>
      </c>
      <c r="G16178">
        <v>1</v>
      </c>
    </row>
    <row r="16179" spans="1:7" x14ac:dyDescent="0.25">
      <c r="A16179">
        <v>48</v>
      </c>
      <c r="B16179" t="s">
        <v>15999</v>
      </c>
      <c r="C16179">
        <v>7744767</v>
      </c>
      <c r="D16179" t="str">
        <f>"2281-5872"</f>
        <v>2281-5872</v>
      </c>
      <c r="E16179" t="s">
        <v>8</v>
      </c>
      <c r="F16179" t="s">
        <v>16184</v>
      </c>
      <c r="G16179">
        <v>1</v>
      </c>
    </row>
    <row r="16180" spans="1:7" x14ac:dyDescent="0.25">
      <c r="A16180">
        <v>48</v>
      </c>
      <c r="B16180" t="s">
        <v>15999</v>
      </c>
      <c r="C16180">
        <v>19301</v>
      </c>
      <c r="D16180" t="str">
        <f>"1699-048X"</f>
        <v>1699-048X</v>
      </c>
      <c r="E16180" t="s">
        <v>8</v>
      </c>
      <c r="F16180" t="s">
        <v>16185</v>
      </c>
      <c r="G16180">
        <v>1</v>
      </c>
    </row>
    <row r="16181" spans="1:7" x14ac:dyDescent="0.25">
      <c r="A16181">
        <v>48</v>
      </c>
      <c r="B16181" t="s">
        <v>15999</v>
      </c>
      <c r="C16181">
        <v>18156</v>
      </c>
      <c r="D16181" t="str">
        <f>"1526-8209"</f>
        <v>1526-8209</v>
      </c>
      <c r="E16181" t="s">
        <v>8</v>
      </c>
      <c r="F16181" t="s">
        <v>16186</v>
      </c>
      <c r="G16181">
        <v>1</v>
      </c>
    </row>
    <row r="16182" spans="1:7" x14ac:dyDescent="0.25">
      <c r="A16182">
        <v>48</v>
      </c>
      <c r="B16182" t="s">
        <v>15999</v>
      </c>
      <c r="C16182">
        <v>6278</v>
      </c>
      <c r="D16182" t="str">
        <f>"0160-9289"</f>
        <v>0160-9289</v>
      </c>
      <c r="E16182" t="s">
        <v>8</v>
      </c>
      <c r="F16182" t="s">
        <v>16187</v>
      </c>
      <c r="G16182">
        <v>1</v>
      </c>
    </row>
    <row r="16183" spans="1:7" x14ac:dyDescent="0.25">
      <c r="A16183">
        <v>48</v>
      </c>
      <c r="B16183" t="s">
        <v>15999</v>
      </c>
      <c r="C16183">
        <v>4935</v>
      </c>
      <c r="D16183" t="str">
        <f>"1534-6501"</f>
        <v>1534-6501</v>
      </c>
      <c r="E16183" t="s">
        <v>8</v>
      </c>
      <c r="F16183" t="s">
        <v>16188</v>
      </c>
      <c r="G16183">
        <v>1</v>
      </c>
    </row>
    <row r="16184" spans="1:7" x14ac:dyDescent="0.25">
      <c r="A16184">
        <v>48</v>
      </c>
      <c r="B16184" t="s">
        <v>15999</v>
      </c>
      <c r="C16184">
        <v>44199</v>
      </c>
      <c r="D16184" t="str">
        <f>"1724-8914"</f>
        <v>1724-8914</v>
      </c>
      <c r="E16184" t="s">
        <v>8</v>
      </c>
      <c r="F16184" t="s">
        <v>16189</v>
      </c>
      <c r="G16184">
        <v>1</v>
      </c>
    </row>
    <row r="16185" spans="1:7" x14ac:dyDescent="0.25">
      <c r="A16185">
        <v>48</v>
      </c>
      <c r="B16185" t="s">
        <v>15999</v>
      </c>
      <c r="C16185">
        <v>15571</v>
      </c>
      <c r="D16185" t="str">
        <f>"0300-0664"</f>
        <v>0300-0664</v>
      </c>
      <c r="E16185" t="s">
        <v>8</v>
      </c>
      <c r="F16185" t="s">
        <v>16190</v>
      </c>
      <c r="G16185">
        <v>1</v>
      </c>
    </row>
    <row r="16186" spans="1:7" x14ac:dyDescent="0.25">
      <c r="A16186">
        <v>48</v>
      </c>
      <c r="B16186" t="s">
        <v>15999</v>
      </c>
      <c r="C16186">
        <v>6065803</v>
      </c>
      <c r="E16186" t="s">
        <v>8</v>
      </c>
      <c r="F16186" t="s">
        <v>16191</v>
      </c>
      <c r="G16186">
        <v>1</v>
      </c>
    </row>
    <row r="16187" spans="1:7" x14ac:dyDescent="0.25">
      <c r="A16187">
        <v>48</v>
      </c>
      <c r="B16187" t="s">
        <v>15999</v>
      </c>
      <c r="C16187">
        <v>13132</v>
      </c>
      <c r="D16187" t="str">
        <f>"1542-3565"</f>
        <v>1542-3565</v>
      </c>
      <c r="E16187" t="s">
        <v>8</v>
      </c>
      <c r="F16187" t="s">
        <v>16192</v>
      </c>
      <c r="G16187">
        <v>1</v>
      </c>
    </row>
    <row r="16188" spans="1:7" x14ac:dyDescent="0.25">
      <c r="A16188">
        <v>48</v>
      </c>
      <c r="B16188" t="s">
        <v>15999</v>
      </c>
      <c r="C16188">
        <v>11047</v>
      </c>
      <c r="D16188" t="str">
        <f>"0731-7115"</f>
        <v>0731-7115</v>
      </c>
      <c r="E16188" t="s">
        <v>8</v>
      </c>
      <c r="F16188" t="s">
        <v>16193</v>
      </c>
      <c r="G16188">
        <v>1</v>
      </c>
    </row>
    <row r="16189" spans="1:7" x14ac:dyDescent="0.25">
      <c r="A16189">
        <v>48</v>
      </c>
      <c r="B16189" t="s">
        <v>15999</v>
      </c>
      <c r="C16189">
        <v>6881</v>
      </c>
      <c r="D16189" t="str">
        <f>"1386-0291"</f>
        <v>1386-0291</v>
      </c>
      <c r="E16189" t="s">
        <v>8</v>
      </c>
      <c r="F16189" t="s">
        <v>16194</v>
      </c>
      <c r="G16189">
        <v>1</v>
      </c>
    </row>
    <row r="16190" spans="1:7" x14ac:dyDescent="0.25">
      <c r="A16190">
        <v>48</v>
      </c>
      <c r="B16190" t="s">
        <v>15999</v>
      </c>
      <c r="C16190">
        <v>15458</v>
      </c>
      <c r="D16190" t="str">
        <f>"1521-6616"</f>
        <v>1521-6616</v>
      </c>
      <c r="E16190" t="s">
        <v>8</v>
      </c>
      <c r="F16190" t="s">
        <v>16195</v>
      </c>
      <c r="G16190">
        <v>1</v>
      </c>
    </row>
    <row r="16191" spans="1:7" x14ac:dyDescent="0.25">
      <c r="A16191">
        <v>48</v>
      </c>
      <c r="B16191" t="s">
        <v>15999</v>
      </c>
      <c r="C16191">
        <v>154122</v>
      </c>
      <c r="E16191" t="s">
        <v>8</v>
      </c>
      <c r="F16191" t="s">
        <v>16196</v>
      </c>
      <c r="G16191">
        <v>1</v>
      </c>
    </row>
    <row r="16192" spans="1:7" x14ac:dyDescent="0.25">
      <c r="A16192">
        <v>48</v>
      </c>
      <c r="B16192" t="s">
        <v>15999</v>
      </c>
      <c r="C16192">
        <v>16330</v>
      </c>
      <c r="D16192" t="str">
        <f>"1555-9041"</f>
        <v>1555-9041</v>
      </c>
      <c r="E16192" t="s">
        <v>8</v>
      </c>
      <c r="F16192" t="s">
        <v>16197</v>
      </c>
      <c r="G16192">
        <v>1</v>
      </c>
    </row>
    <row r="16193" spans="1:7" x14ac:dyDescent="0.25">
      <c r="A16193">
        <v>48</v>
      </c>
      <c r="B16193" t="s">
        <v>15999</v>
      </c>
      <c r="C16193">
        <v>23146</v>
      </c>
      <c r="D16193" t="str">
        <f>"1092-1095"</f>
        <v>1092-1095</v>
      </c>
      <c r="E16193" t="s">
        <v>8</v>
      </c>
      <c r="F16193" t="s">
        <v>16198</v>
      </c>
      <c r="G16193">
        <v>1</v>
      </c>
    </row>
    <row r="16194" spans="1:7" x14ac:dyDescent="0.25">
      <c r="A16194">
        <v>48</v>
      </c>
      <c r="B16194" t="s">
        <v>15999</v>
      </c>
      <c r="C16194">
        <v>17241</v>
      </c>
      <c r="D16194" t="str">
        <f>"1525-7304"</f>
        <v>1525-7304</v>
      </c>
      <c r="E16194" t="s">
        <v>8</v>
      </c>
      <c r="F16194" t="s">
        <v>16199</v>
      </c>
      <c r="G16194">
        <v>1</v>
      </c>
    </row>
    <row r="16195" spans="1:7" x14ac:dyDescent="0.25">
      <c r="A16195">
        <v>48</v>
      </c>
      <c r="B16195" t="s">
        <v>15999</v>
      </c>
      <c r="C16195">
        <v>17222</v>
      </c>
      <c r="D16195" t="str">
        <f>"2152-2650"</f>
        <v>2152-2650</v>
      </c>
      <c r="E16195" t="s">
        <v>8</v>
      </c>
      <c r="F16195" t="s">
        <v>16200</v>
      </c>
      <c r="G16195">
        <v>1</v>
      </c>
    </row>
    <row r="16196" spans="1:7" x14ac:dyDescent="0.25">
      <c r="A16196">
        <v>48</v>
      </c>
      <c r="B16196" t="s">
        <v>15999</v>
      </c>
      <c r="C16196">
        <v>12542</v>
      </c>
      <c r="D16196" t="str">
        <f>"1470-2118"</f>
        <v>1470-2118</v>
      </c>
      <c r="E16196" t="s">
        <v>8</v>
      </c>
      <c r="F16196" t="s">
        <v>16201</v>
      </c>
      <c r="G16196">
        <v>1</v>
      </c>
    </row>
    <row r="16197" spans="1:7" x14ac:dyDescent="0.25">
      <c r="A16197">
        <v>48</v>
      </c>
      <c r="B16197" t="s">
        <v>15999</v>
      </c>
      <c r="C16197">
        <v>4147</v>
      </c>
      <c r="D16197" t="str">
        <f>"1198-743X"</f>
        <v>1198-743X</v>
      </c>
      <c r="E16197" t="s">
        <v>8</v>
      </c>
      <c r="F16197" t="s">
        <v>16202</v>
      </c>
      <c r="G16197">
        <v>1</v>
      </c>
    </row>
    <row r="16198" spans="1:7" x14ac:dyDescent="0.25">
      <c r="A16198">
        <v>48</v>
      </c>
      <c r="B16198" t="s">
        <v>15999</v>
      </c>
      <c r="C16198">
        <v>15499</v>
      </c>
      <c r="D16198" t="str">
        <f>"0301-0430"</f>
        <v>0301-0430</v>
      </c>
      <c r="E16198" t="s">
        <v>8</v>
      </c>
      <c r="F16198" t="s">
        <v>16203</v>
      </c>
      <c r="G16198">
        <v>1</v>
      </c>
    </row>
    <row r="16199" spans="1:7" x14ac:dyDescent="0.25">
      <c r="A16199">
        <v>48</v>
      </c>
      <c r="B16199" t="s">
        <v>15999</v>
      </c>
      <c r="C16199">
        <v>16652</v>
      </c>
      <c r="D16199" t="str">
        <f>"0936-6555"</f>
        <v>0936-6555</v>
      </c>
      <c r="E16199" t="s">
        <v>8</v>
      </c>
      <c r="F16199" t="s">
        <v>16204</v>
      </c>
      <c r="G16199">
        <v>1</v>
      </c>
    </row>
    <row r="16200" spans="1:7" x14ac:dyDescent="0.25">
      <c r="A16200">
        <v>48</v>
      </c>
      <c r="B16200" t="s">
        <v>15999</v>
      </c>
      <c r="C16200">
        <v>7739833</v>
      </c>
      <c r="D16200" t="str">
        <f>"2233-5250"</f>
        <v>2233-5250</v>
      </c>
      <c r="E16200" t="s">
        <v>8</v>
      </c>
      <c r="F16200" t="s">
        <v>16205</v>
      </c>
      <c r="G16200">
        <v>1</v>
      </c>
    </row>
    <row r="16201" spans="1:7" x14ac:dyDescent="0.25">
      <c r="A16201">
        <v>48</v>
      </c>
      <c r="B16201" t="s">
        <v>15999</v>
      </c>
      <c r="C16201">
        <v>13348</v>
      </c>
      <c r="D16201" t="str">
        <f>"1068-0640"</f>
        <v>1068-0640</v>
      </c>
      <c r="E16201" t="s">
        <v>8</v>
      </c>
      <c r="F16201" t="s">
        <v>16206</v>
      </c>
      <c r="G16201">
        <v>1</v>
      </c>
    </row>
    <row r="16202" spans="1:7" x14ac:dyDescent="0.25">
      <c r="A16202">
        <v>48</v>
      </c>
      <c r="B16202" t="s">
        <v>15999</v>
      </c>
      <c r="C16202">
        <v>1264</v>
      </c>
      <c r="D16202" t="str">
        <f>"1861-0684"</f>
        <v>1861-0684</v>
      </c>
      <c r="E16202" t="s">
        <v>8</v>
      </c>
      <c r="F16202" t="s">
        <v>16207</v>
      </c>
      <c r="G16202">
        <v>1</v>
      </c>
    </row>
    <row r="16203" spans="1:7" x14ac:dyDescent="0.25">
      <c r="A16203">
        <v>48</v>
      </c>
      <c r="B16203" t="s">
        <v>15999</v>
      </c>
      <c r="C16203">
        <v>7847</v>
      </c>
      <c r="D16203" t="str">
        <f>"1080-0549"</f>
        <v>1080-0549</v>
      </c>
      <c r="E16203" t="s">
        <v>8</v>
      </c>
      <c r="F16203" t="s">
        <v>16208</v>
      </c>
      <c r="G16203">
        <v>1</v>
      </c>
    </row>
    <row r="16204" spans="1:7" x14ac:dyDescent="0.25">
      <c r="A16204">
        <v>48</v>
      </c>
      <c r="B16204" t="s">
        <v>15999</v>
      </c>
      <c r="C16204">
        <v>11068</v>
      </c>
      <c r="D16204" t="str">
        <f>"0770-3198"</f>
        <v>0770-3198</v>
      </c>
      <c r="E16204" t="s">
        <v>8</v>
      </c>
      <c r="F16204" t="s">
        <v>16209</v>
      </c>
      <c r="G16204">
        <v>1</v>
      </c>
    </row>
    <row r="16205" spans="1:7" x14ac:dyDescent="0.25">
      <c r="A16205">
        <v>48</v>
      </c>
      <c r="B16205" t="s">
        <v>15999</v>
      </c>
      <c r="C16205">
        <v>7656</v>
      </c>
      <c r="D16205" t="str">
        <f>"1356-2622"</f>
        <v>1356-2622</v>
      </c>
      <c r="E16205" t="s">
        <v>8</v>
      </c>
      <c r="F16205" t="s">
        <v>16210</v>
      </c>
      <c r="G16205">
        <v>1</v>
      </c>
    </row>
    <row r="16206" spans="1:7" x14ac:dyDescent="0.25">
      <c r="A16206">
        <v>48</v>
      </c>
      <c r="B16206" t="s">
        <v>15999</v>
      </c>
      <c r="C16206">
        <v>16595</v>
      </c>
      <c r="D16206" t="str">
        <f>"0143-5221"</f>
        <v>0143-5221</v>
      </c>
      <c r="E16206" t="s">
        <v>8</v>
      </c>
      <c r="F16206" t="s">
        <v>16211</v>
      </c>
      <c r="G16206">
        <v>1</v>
      </c>
    </row>
    <row r="16207" spans="1:7" x14ac:dyDescent="0.25">
      <c r="A16207">
        <v>48</v>
      </c>
      <c r="B16207" t="s">
        <v>15999</v>
      </c>
      <c r="C16207">
        <v>5364</v>
      </c>
      <c r="D16207" t="str">
        <f>"2210-7401"</f>
        <v>2210-7401</v>
      </c>
      <c r="E16207" t="s">
        <v>8</v>
      </c>
      <c r="F16207" t="s">
        <v>16212</v>
      </c>
      <c r="G16207">
        <v>1</v>
      </c>
    </row>
    <row r="16208" spans="1:7" x14ac:dyDescent="0.25">
      <c r="A16208">
        <v>48</v>
      </c>
      <c r="B16208" t="s">
        <v>15999</v>
      </c>
      <c r="C16208">
        <v>11906</v>
      </c>
      <c r="D16208" t="str">
        <f>"0272-5231"</f>
        <v>0272-5231</v>
      </c>
      <c r="E16208" t="s">
        <v>8</v>
      </c>
      <c r="F16208" t="s">
        <v>16213</v>
      </c>
      <c r="G16208">
        <v>1</v>
      </c>
    </row>
    <row r="16209" spans="1:7" x14ac:dyDescent="0.25">
      <c r="A16209">
        <v>48</v>
      </c>
      <c r="B16209" t="s">
        <v>15999</v>
      </c>
      <c r="C16209">
        <v>5748</v>
      </c>
      <c r="D16209" t="str">
        <f>"0749-0690"</f>
        <v>0749-0690</v>
      </c>
      <c r="E16209" t="s">
        <v>8</v>
      </c>
      <c r="F16209" t="s">
        <v>16214</v>
      </c>
      <c r="G16209">
        <v>1</v>
      </c>
    </row>
    <row r="16210" spans="1:7" x14ac:dyDescent="0.25">
      <c r="A16210">
        <v>48</v>
      </c>
      <c r="B16210" t="s">
        <v>15999</v>
      </c>
      <c r="C16210">
        <v>22928</v>
      </c>
      <c r="D16210" t="str">
        <f>"1089-3261"</f>
        <v>1089-3261</v>
      </c>
      <c r="E16210" t="s">
        <v>8</v>
      </c>
      <c r="F16210" t="s">
        <v>16215</v>
      </c>
      <c r="G16210">
        <v>1</v>
      </c>
    </row>
    <row r="16211" spans="1:7" x14ac:dyDescent="0.25">
      <c r="A16211">
        <v>48</v>
      </c>
      <c r="B16211" t="s">
        <v>15999</v>
      </c>
      <c r="C16211">
        <v>16275</v>
      </c>
      <c r="D16211" t="str">
        <f>"0820-3946"</f>
        <v>0820-3946</v>
      </c>
      <c r="E16211" t="s">
        <v>8</v>
      </c>
      <c r="F16211" t="s">
        <v>16216</v>
      </c>
      <c r="G16211">
        <v>1</v>
      </c>
    </row>
    <row r="16212" spans="1:7" x14ac:dyDescent="0.25">
      <c r="A16212">
        <v>48</v>
      </c>
      <c r="B16212" t="s">
        <v>15999</v>
      </c>
      <c r="C16212">
        <v>14946</v>
      </c>
      <c r="D16212" t="str">
        <f>"0174-2442"</f>
        <v>0174-2442</v>
      </c>
      <c r="E16212" t="s">
        <v>8</v>
      </c>
      <c r="F16212" t="s">
        <v>16217</v>
      </c>
      <c r="G16212">
        <v>1</v>
      </c>
    </row>
    <row r="16213" spans="1:7" x14ac:dyDescent="0.25">
      <c r="A16213">
        <v>48</v>
      </c>
      <c r="B16213" t="s">
        <v>15999</v>
      </c>
      <c r="C16213">
        <v>10969</v>
      </c>
      <c r="D16213" t="str">
        <f>"1462-8910"</f>
        <v>1462-8910</v>
      </c>
      <c r="E16213" t="s">
        <v>8</v>
      </c>
      <c r="F16213" t="s">
        <v>16218</v>
      </c>
      <c r="G16213">
        <v>1</v>
      </c>
    </row>
    <row r="16214" spans="1:7" x14ac:dyDescent="0.25">
      <c r="A16214">
        <v>48</v>
      </c>
      <c r="B16214" t="s">
        <v>15999</v>
      </c>
      <c r="C16214">
        <v>8783821</v>
      </c>
      <c r="E16214" t="s">
        <v>15</v>
      </c>
      <c r="F16214" t="s">
        <v>16219</v>
      </c>
      <c r="G16214">
        <v>1</v>
      </c>
    </row>
    <row r="16215" spans="1:7" x14ac:dyDescent="0.25">
      <c r="A16215">
        <v>48</v>
      </c>
      <c r="B16215" t="s">
        <v>15999</v>
      </c>
      <c r="C16215">
        <v>16114</v>
      </c>
      <c r="D16215" t="str">
        <f>"0914-3505"</f>
        <v>0914-3505</v>
      </c>
      <c r="E16215" t="s">
        <v>8</v>
      </c>
      <c r="F16215" t="s">
        <v>16220</v>
      </c>
      <c r="G16215">
        <v>1</v>
      </c>
    </row>
    <row r="16216" spans="1:7" x14ac:dyDescent="0.25">
      <c r="A16216">
        <v>48</v>
      </c>
      <c r="B16216" t="s">
        <v>15999</v>
      </c>
      <c r="C16216">
        <v>23807</v>
      </c>
      <c r="D16216" t="str">
        <f>"1747-079X"</f>
        <v>1747-079X</v>
      </c>
      <c r="E16216" t="s">
        <v>8</v>
      </c>
      <c r="F16216" t="s">
        <v>16221</v>
      </c>
      <c r="G16216">
        <v>1</v>
      </c>
    </row>
    <row r="16217" spans="1:7" x14ac:dyDescent="0.25">
      <c r="A16217">
        <v>48</v>
      </c>
      <c r="B16217" t="s">
        <v>15999</v>
      </c>
      <c r="C16217">
        <v>8016</v>
      </c>
      <c r="D16217" t="str">
        <f>"0302-5144"</f>
        <v>0302-5144</v>
      </c>
      <c r="E16217" t="s">
        <v>15</v>
      </c>
      <c r="F16217" t="s">
        <v>16222</v>
      </c>
      <c r="G16217">
        <v>1</v>
      </c>
    </row>
    <row r="16218" spans="1:7" x14ac:dyDescent="0.25">
      <c r="A16218">
        <v>48</v>
      </c>
      <c r="B16218" t="s">
        <v>15999</v>
      </c>
      <c r="C16218">
        <v>950</v>
      </c>
      <c r="D16218" t="str">
        <f>"0954-6928"</f>
        <v>0954-6928</v>
      </c>
      <c r="E16218" t="s">
        <v>8</v>
      </c>
      <c r="F16218" t="s">
        <v>16223</v>
      </c>
      <c r="G16218">
        <v>1</v>
      </c>
    </row>
    <row r="16219" spans="1:7" x14ac:dyDescent="0.25">
      <c r="A16219">
        <v>48</v>
      </c>
      <c r="B16219" t="s">
        <v>15999</v>
      </c>
      <c r="C16219">
        <v>14200</v>
      </c>
      <c r="D16219" t="str">
        <f>"1535-282X"</f>
        <v>1535-282X</v>
      </c>
      <c r="E16219" t="s">
        <v>8</v>
      </c>
      <c r="F16219" t="s">
        <v>16224</v>
      </c>
      <c r="G16219">
        <v>1</v>
      </c>
    </row>
    <row r="16220" spans="1:7" x14ac:dyDescent="0.25">
      <c r="A16220">
        <v>48</v>
      </c>
      <c r="B16220" t="s">
        <v>15999</v>
      </c>
      <c r="C16220">
        <v>4888</v>
      </c>
      <c r="D16220" t="str">
        <f>"1040-8401"</f>
        <v>1040-8401</v>
      </c>
      <c r="E16220" t="s">
        <v>8</v>
      </c>
      <c r="F16220" t="s">
        <v>16225</v>
      </c>
      <c r="G16220">
        <v>1</v>
      </c>
    </row>
    <row r="16221" spans="1:7" x14ac:dyDescent="0.25">
      <c r="A16221">
        <v>48</v>
      </c>
      <c r="B16221" t="s">
        <v>15999</v>
      </c>
      <c r="C16221">
        <v>16721</v>
      </c>
      <c r="D16221" t="str">
        <f>"1040-8428"</f>
        <v>1040-8428</v>
      </c>
      <c r="E16221" t="s">
        <v>8</v>
      </c>
      <c r="F16221" t="s">
        <v>16226</v>
      </c>
      <c r="G16221">
        <v>1</v>
      </c>
    </row>
    <row r="16222" spans="1:7" x14ac:dyDescent="0.25">
      <c r="A16222">
        <v>48</v>
      </c>
      <c r="B16222" t="s">
        <v>15999</v>
      </c>
      <c r="C16222">
        <v>4763</v>
      </c>
      <c r="D16222" t="str">
        <f>"1529-7322"</f>
        <v>1529-7322</v>
      </c>
      <c r="E16222" t="s">
        <v>8</v>
      </c>
      <c r="F16222" t="s">
        <v>16227</v>
      </c>
      <c r="G16222">
        <v>1</v>
      </c>
    </row>
    <row r="16223" spans="1:7" x14ac:dyDescent="0.25">
      <c r="A16223">
        <v>48</v>
      </c>
      <c r="B16223" t="s">
        <v>15999</v>
      </c>
      <c r="C16223">
        <v>1117</v>
      </c>
      <c r="D16223" t="str">
        <f>"1523-3804"</f>
        <v>1523-3804</v>
      </c>
      <c r="E16223" t="s">
        <v>8</v>
      </c>
      <c r="F16223" t="s">
        <v>16228</v>
      </c>
      <c r="G16223">
        <v>1</v>
      </c>
    </row>
    <row r="16224" spans="1:7" x14ac:dyDescent="0.25">
      <c r="A16224">
        <v>48</v>
      </c>
      <c r="B16224" t="s">
        <v>15999</v>
      </c>
      <c r="C16224">
        <v>10429</v>
      </c>
      <c r="D16224" t="str">
        <f>"1523-3782"</f>
        <v>1523-3782</v>
      </c>
      <c r="E16224" t="s">
        <v>8</v>
      </c>
      <c r="F16224" t="s">
        <v>16229</v>
      </c>
      <c r="G16224">
        <v>1</v>
      </c>
    </row>
    <row r="16225" spans="1:7" x14ac:dyDescent="0.25">
      <c r="A16225">
        <v>48</v>
      </c>
      <c r="B16225" t="s">
        <v>15999</v>
      </c>
      <c r="C16225">
        <v>9631</v>
      </c>
      <c r="D16225" t="str">
        <f>"1534-4827"</f>
        <v>1534-4827</v>
      </c>
      <c r="E16225" t="s">
        <v>8</v>
      </c>
      <c r="F16225" t="s">
        <v>16230</v>
      </c>
      <c r="G16225">
        <v>1</v>
      </c>
    </row>
    <row r="16226" spans="1:7" x14ac:dyDescent="0.25">
      <c r="A16226">
        <v>48</v>
      </c>
      <c r="B16226" t="s">
        <v>15999</v>
      </c>
      <c r="C16226">
        <v>20700</v>
      </c>
      <c r="D16226" t="str">
        <f>"1573-3998"</f>
        <v>1573-3998</v>
      </c>
      <c r="E16226" t="s">
        <v>8</v>
      </c>
      <c r="F16226" t="s">
        <v>16231</v>
      </c>
      <c r="G16226">
        <v>1</v>
      </c>
    </row>
    <row r="16227" spans="1:7" x14ac:dyDescent="0.25">
      <c r="A16227">
        <v>48</v>
      </c>
      <c r="B16227" t="s">
        <v>15999</v>
      </c>
      <c r="C16227">
        <v>2976</v>
      </c>
      <c r="D16227" t="str">
        <f>"1534-312X"</f>
        <v>1534-312X</v>
      </c>
      <c r="E16227" t="s">
        <v>8</v>
      </c>
      <c r="F16227" t="s">
        <v>16232</v>
      </c>
      <c r="G16227">
        <v>1</v>
      </c>
    </row>
    <row r="16228" spans="1:7" x14ac:dyDescent="0.25">
      <c r="A16228">
        <v>48</v>
      </c>
      <c r="B16228" t="s">
        <v>15999</v>
      </c>
      <c r="C16228">
        <v>1277</v>
      </c>
      <c r="D16228" t="str">
        <f>"1570-162X"</f>
        <v>1570-162X</v>
      </c>
      <c r="E16228" t="s">
        <v>8</v>
      </c>
      <c r="F16228" t="s">
        <v>16233</v>
      </c>
      <c r="G16228">
        <v>1</v>
      </c>
    </row>
    <row r="16229" spans="1:7" x14ac:dyDescent="0.25">
      <c r="A16229">
        <v>48</v>
      </c>
      <c r="B16229" t="s">
        <v>15999</v>
      </c>
      <c r="C16229">
        <v>16303</v>
      </c>
      <c r="D16229" t="str">
        <f>"1522-6417"</f>
        <v>1522-6417</v>
      </c>
      <c r="E16229" t="s">
        <v>8</v>
      </c>
      <c r="F16229" t="s">
        <v>16234</v>
      </c>
      <c r="G16229">
        <v>1</v>
      </c>
    </row>
    <row r="16230" spans="1:7" x14ac:dyDescent="0.25">
      <c r="A16230">
        <v>48</v>
      </c>
      <c r="B16230" t="s">
        <v>15999</v>
      </c>
      <c r="C16230">
        <v>4393</v>
      </c>
      <c r="D16230" t="str">
        <f>"1523-3847"</f>
        <v>1523-3847</v>
      </c>
      <c r="E16230" t="s">
        <v>8</v>
      </c>
      <c r="F16230" t="s">
        <v>16235</v>
      </c>
      <c r="G16230">
        <v>1</v>
      </c>
    </row>
    <row r="16231" spans="1:7" x14ac:dyDescent="0.25">
      <c r="A16231">
        <v>48</v>
      </c>
      <c r="B16231" t="s">
        <v>15999</v>
      </c>
      <c r="C16231">
        <v>1714</v>
      </c>
      <c r="D16231" t="str">
        <f>"1523-3790"</f>
        <v>1523-3790</v>
      </c>
      <c r="E16231" t="s">
        <v>8</v>
      </c>
      <c r="F16231" t="s">
        <v>16236</v>
      </c>
      <c r="G16231">
        <v>1</v>
      </c>
    </row>
    <row r="16232" spans="1:7" x14ac:dyDescent="0.25">
      <c r="A16232">
        <v>48</v>
      </c>
      <c r="B16232" t="s">
        <v>15999</v>
      </c>
      <c r="C16232">
        <v>12757</v>
      </c>
      <c r="D16232" t="str">
        <f>"1528-4050"</f>
        <v>1528-4050</v>
      </c>
      <c r="E16232" t="s">
        <v>8</v>
      </c>
      <c r="F16232" t="s">
        <v>16237</v>
      </c>
      <c r="G16232">
        <v>1</v>
      </c>
    </row>
    <row r="16233" spans="1:7" x14ac:dyDescent="0.25">
      <c r="A16233">
        <v>48</v>
      </c>
      <c r="B16233" t="s">
        <v>15999</v>
      </c>
      <c r="C16233">
        <v>2708</v>
      </c>
      <c r="D16233" t="str">
        <f>"0268-4705"</f>
        <v>0268-4705</v>
      </c>
      <c r="E16233" t="s">
        <v>8</v>
      </c>
      <c r="F16233" t="s">
        <v>16238</v>
      </c>
      <c r="G16233">
        <v>1</v>
      </c>
    </row>
    <row r="16234" spans="1:7" x14ac:dyDescent="0.25">
      <c r="A16234">
        <v>48</v>
      </c>
      <c r="B16234" t="s">
        <v>15999</v>
      </c>
      <c r="C16234">
        <v>3331</v>
      </c>
      <c r="D16234" t="str">
        <f>"1752-296X"</f>
        <v>1752-296X</v>
      </c>
      <c r="E16234" t="s">
        <v>8</v>
      </c>
      <c r="F16234" t="s">
        <v>16239</v>
      </c>
      <c r="G16234">
        <v>1</v>
      </c>
    </row>
    <row r="16235" spans="1:7" x14ac:dyDescent="0.25">
      <c r="A16235">
        <v>48</v>
      </c>
      <c r="B16235" t="s">
        <v>15999</v>
      </c>
      <c r="C16235">
        <v>3870</v>
      </c>
      <c r="D16235" t="str">
        <f>"0267-1379"</f>
        <v>0267-1379</v>
      </c>
      <c r="E16235" t="s">
        <v>8</v>
      </c>
      <c r="F16235" t="s">
        <v>16240</v>
      </c>
      <c r="G16235">
        <v>1</v>
      </c>
    </row>
    <row r="16236" spans="1:7" x14ac:dyDescent="0.25">
      <c r="A16236">
        <v>48</v>
      </c>
      <c r="B16236" t="s">
        <v>15999</v>
      </c>
      <c r="C16236">
        <v>4146</v>
      </c>
      <c r="D16236" t="str">
        <f>"1065-6251"</f>
        <v>1065-6251</v>
      </c>
      <c r="E16236" t="s">
        <v>8</v>
      </c>
      <c r="F16236" t="s">
        <v>16241</v>
      </c>
      <c r="G16236">
        <v>1</v>
      </c>
    </row>
    <row r="16237" spans="1:7" x14ac:dyDescent="0.25">
      <c r="A16237">
        <v>48</v>
      </c>
      <c r="B16237" t="s">
        <v>15999</v>
      </c>
      <c r="C16237">
        <v>14487</v>
      </c>
      <c r="D16237" t="str">
        <f>"0951-7375"</f>
        <v>0951-7375</v>
      </c>
      <c r="E16237" t="s">
        <v>8</v>
      </c>
      <c r="F16237" t="s">
        <v>16242</v>
      </c>
      <c r="G16237">
        <v>1</v>
      </c>
    </row>
    <row r="16238" spans="1:7" x14ac:dyDescent="0.25">
      <c r="A16238">
        <v>48</v>
      </c>
      <c r="B16238" t="s">
        <v>15999</v>
      </c>
      <c r="C16238">
        <v>4702</v>
      </c>
      <c r="D16238" t="str">
        <f>"1062-4821"</f>
        <v>1062-4821</v>
      </c>
      <c r="E16238" t="s">
        <v>8</v>
      </c>
      <c r="F16238" t="s">
        <v>16243</v>
      </c>
      <c r="G16238">
        <v>1</v>
      </c>
    </row>
    <row r="16239" spans="1:7" x14ac:dyDescent="0.25">
      <c r="A16239">
        <v>48</v>
      </c>
      <c r="B16239" t="s">
        <v>15999</v>
      </c>
      <c r="C16239">
        <v>11521</v>
      </c>
      <c r="D16239" t="str">
        <f>"1040-8746"</f>
        <v>1040-8746</v>
      </c>
      <c r="E16239" t="s">
        <v>8</v>
      </c>
      <c r="F16239" t="s">
        <v>16244</v>
      </c>
      <c r="G16239">
        <v>1</v>
      </c>
    </row>
    <row r="16240" spans="1:7" x14ac:dyDescent="0.25">
      <c r="A16240">
        <v>48</v>
      </c>
      <c r="B16240" t="s">
        <v>15999</v>
      </c>
      <c r="C16240">
        <v>13163</v>
      </c>
      <c r="D16240" t="str">
        <f>"1070-5287"</f>
        <v>1070-5287</v>
      </c>
      <c r="E16240" t="s">
        <v>8</v>
      </c>
      <c r="F16240" t="s">
        <v>16245</v>
      </c>
      <c r="G16240">
        <v>1</v>
      </c>
    </row>
    <row r="16241" spans="1:7" x14ac:dyDescent="0.25">
      <c r="A16241">
        <v>48</v>
      </c>
      <c r="B16241" t="s">
        <v>15999</v>
      </c>
      <c r="C16241">
        <v>4941</v>
      </c>
      <c r="D16241" t="str">
        <f>"1040-8711"</f>
        <v>1040-8711</v>
      </c>
      <c r="E16241" t="s">
        <v>8</v>
      </c>
      <c r="F16241" t="s">
        <v>16246</v>
      </c>
      <c r="G16241">
        <v>1</v>
      </c>
    </row>
    <row r="16242" spans="1:7" x14ac:dyDescent="0.25">
      <c r="A16242">
        <v>48</v>
      </c>
      <c r="B16242" t="s">
        <v>15999</v>
      </c>
      <c r="C16242">
        <v>76112</v>
      </c>
      <c r="D16242" t="str">
        <f>"1751-4258"</f>
        <v>1751-4258</v>
      </c>
      <c r="E16242" t="s">
        <v>8</v>
      </c>
      <c r="F16242" t="s">
        <v>16247</v>
      </c>
      <c r="G16242">
        <v>1</v>
      </c>
    </row>
    <row r="16243" spans="1:7" x14ac:dyDescent="0.25">
      <c r="A16243">
        <v>48</v>
      </c>
      <c r="B16243" t="s">
        <v>15999</v>
      </c>
      <c r="C16243">
        <v>16778</v>
      </c>
      <c r="D16243" t="str">
        <f>"0147-0272"</f>
        <v>0147-0272</v>
      </c>
      <c r="E16243" t="s">
        <v>8</v>
      </c>
      <c r="F16243" t="s">
        <v>16248</v>
      </c>
      <c r="G16243">
        <v>1</v>
      </c>
    </row>
    <row r="16244" spans="1:7" x14ac:dyDescent="0.25">
      <c r="A16244">
        <v>48</v>
      </c>
      <c r="B16244" t="s">
        <v>15999</v>
      </c>
      <c r="C16244">
        <v>4660</v>
      </c>
      <c r="D16244" t="str">
        <f>"0146-2806"</f>
        <v>0146-2806</v>
      </c>
      <c r="E16244" t="s">
        <v>8</v>
      </c>
      <c r="F16244" t="s">
        <v>16249</v>
      </c>
      <c r="G16244">
        <v>1</v>
      </c>
    </row>
    <row r="16245" spans="1:7" x14ac:dyDescent="0.25">
      <c r="A16245">
        <v>48</v>
      </c>
      <c r="B16245" t="s">
        <v>15999</v>
      </c>
      <c r="C16245">
        <v>15607</v>
      </c>
      <c r="D16245" t="str">
        <f>"1534-6307"</f>
        <v>1534-6307</v>
      </c>
      <c r="E16245" t="s">
        <v>8</v>
      </c>
      <c r="F16245" t="s">
        <v>16250</v>
      </c>
      <c r="G16245">
        <v>1</v>
      </c>
    </row>
    <row r="16246" spans="1:7" x14ac:dyDescent="0.25">
      <c r="A16246">
        <v>48</v>
      </c>
      <c r="B16246" t="s">
        <v>15999</v>
      </c>
      <c r="C16246">
        <v>13422</v>
      </c>
      <c r="D16246" t="str">
        <f>"1573-3971"</f>
        <v>1573-3971</v>
      </c>
      <c r="E16246" t="s">
        <v>8</v>
      </c>
      <c r="F16246" t="s">
        <v>16251</v>
      </c>
      <c r="G16246">
        <v>1</v>
      </c>
    </row>
    <row r="16247" spans="1:7" x14ac:dyDescent="0.25">
      <c r="A16247">
        <v>48</v>
      </c>
      <c r="B16247" t="s">
        <v>15999</v>
      </c>
      <c r="C16247">
        <v>15529</v>
      </c>
      <c r="D16247" t="str">
        <f>"1465-3249"</f>
        <v>1465-3249</v>
      </c>
      <c r="E16247" t="s">
        <v>8</v>
      </c>
      <c r="F16247" t="s">
        <v>16252</v>
      </c>
      <c r="G16247">
        <v>1</v>
      </c>
    </row>
    <row r="16248" spans="1:7" x14ac:dyDescent="0.25">
      <c r="A16248">
        <v>48</v>
      </c>
      <c r="B16248" t="s">
        <v>15999</v>
      </c>
      <c r="C16248">
        <v>13987</v>
      </c>
      <c r="D16248" t="str">
        <f>"2245-1919"</f>
        <v>2245-1919</v>
      </c>
      <c r="E16248" t="s">
        <v>8</v>
      </c>
      <c r="F16248" t="s">
        <v>16253</v>
      </c>
      <c r="G16248">
        <v>1</v>
      </c>
    </row>
    <row r="16249" spans="1:7" x14ac:dyDescent="0.25">
      <c r="A16249">
        <v>48</v>
      </c>
      <c r="B16249" t="s">
        <v>15999</v>
      </c>
      <c r="C16249">
        <v>15683</v>
      </c>
      <c r="D16249" t="str">
        <f>"1262-3636"</f>
        <v>1262-3636</v>
      </c>
      <c r="E16249" t="s">
        <v>8</v>
      </c>
      <c r="F16249" t="s">
        <v>16254</v>
      </c>
      <c r="G16249">
        <v>1</v>
      </c>
    </row>
    <row r="16250" spans="1:7" x14ac:dyDescent="0.25">
      <c r="A16250">
        <v>48</v>
      </c>
      <c r="B16250" t="s">
        <v>15999</v>
      </c>
      <c r="C16250">
        <v>59242</v>
      </c>
      <c r="D16250" t="str">
        <f>"1479-1641"</f>
        <v>1479-1641</v>
      </c>
      <c r="E16250" t="s">
        <v>8</v>
      </c>
      <c r="F16250" t="s">
        <v>16255</v>
      </c>
      <c r="G16250">
        <v>1</v>
      </c>
    </row>
    <row r="16251" spans="1:7" x14ac:dyDescent="0.25">
      <c r="A16251">
        <v>48</v>
      </c>
      <c r="B16251" t="s">
        <v>15999</v>
      </c>
      <c r="C16251">
        <v>113530</v>
      </c>
      <c r="D16251" t="str">
        <f>"1064-9131"</f>
        <v>1064-9131</v>
      </c>
      <c r="E16251" t="s">
        <v>8</v>
      </c>
      <c r="F16251" t="s">
        <v>16256</v>
      </c>
      <c r="G16251">
        <v>1</v>
      </c>
    </row>
    <row r="16252" spans="1:7" x14ac:dyDescent="0.25">
      <c r="A16252">
        <v>48</v>
      </c>
      <c r="B16252" t="s">
        <v>15999</v>
      </c>
      <c r="C16252">
        <v>12295</v>
      </c>
      <c r="D16252" t="str">
        <f>"0168-8227"</f>
        <v>0168-8227</v>
      </c>
      <c r="E16252" t="s">
        <v>8</v>
      </c>
      <c r="F16252" t="s">
        <v>16257</v>
      </c>
      <c r="G16252">
        <v>1</v>
      </c>
    </row>
    <row r="16253" spans="1:7" x14ac:dyDescent="0.25">
      <c r="A16253">
        <v>48</v>
      </c>
      <c r="B16253" t="s">
        <v>15999</v>
      </c>
      <c r="C16253">
        <v>9144</v>
      </c>
      <c r="D16253" t="str">
        <f>"1040-9165"</f>
        <v>1040-9165</v>
      </c>
      <c r="E16253" t="s">
        <v>8</v>
      </c>
      <c r="F16253" t="s">
        <v>16258</v>
      </c>
      <c r="G16253">
        <v>1</v>
      </c>
    </row>
    <row r="16254" spans="1:7" x14ac:dyDescent="0.25">
      <c r="A16254">
        <v>48</v>
      </c>
      <c r="B16254" t="s">
        <v>15999</v>
      </c>
      <c r="C16254">
        <v>13165</v>
      </c>
      <c r="D16254" t="str">
        <f>"1520-9156"</f>
        <v>1520-9156</v>
      </c>
      <c r="E16254" t="s">
        <v>8</v>
      </c>
      <c r="F16254" t="s">
        <v>16259</v>
      </c>
      <c r="G16254">
        <v>1</v>
      </c>
    </row>
    <row r="16255" spans="1:7" x14ac:dyDescent="0.25">
      <c r="A16255">
        <v>48</v>
      </c>
      <c r="B16255" t="s">
        <v>15999</v>
      </c>
      <c r="C16255">
        <v>14747</v>
      </c>
      <c r="D16255" t="str">
        <f>"1462-8902"</f>
        <v>1462-8902</v>
      </c>
      <c r="E16255" t="s">
        <v>8</v>
      </c>
      <c r="F16255" t="s">
        <v>16260</v>
      </c>
      <c r="G16255">
        <v>1</v>
      </c>
    </row>
    <row r="16256" spans="1:7" x14ac:dyDescent="0.25">
      <c r="A16256">
        <v>48</v>
      </c>
      <c r="B16256" t="s">
        <v>15999</v>
      </c>
      <c r="C16256">
        <v>12544</v>
      </c>
      <c r="D16256" t="str">
        <f>"1520-7552"</f>
        <v>1520-7552</v>
      </c>
      <c r="E16256" t="s">
        <v>8</v>
      </c>
      <c r="F16256" t="s">
        <v>16261</v>
      </c>
      <c r="G16256">
        <v>1</v>
      </c>
    </row>
    <row r="16257" spans="1:7" x14ac:dyDescent="0.25">
      <c r="A16257">
        <v>48</v>
      </c>
      <c r="B16257" t="s">
        <v>15999</v>
      </c>
      <c r="C16257">
        <v>6269</v>
      </c>
      <c r="D16257" t="str">
        <f>"0742-3071"</f>
        <v>0742-3071</v>
      </c>
      <c r="E16257" t="s">
        <v>8</v>
      </c>
      <c r="F16257" t="s">
        <v>16262</v>
      </c>
      <c r="G16257">
        <v>1</v>
      </c>
    </row>
    <row r="16258" spans="1:7" x14ac:dyDescent="0.25">
      <c r="A16258">
        <v>48</v>
      </c>
      <c r="B16258" t="s">
        <v>15999</v>
      </c>
      <c r="C16258">
        <v>15530</v>
      </c>
      <c r="D16258" t="str">
        <f>"0012-186X"</f>
        <v>0012-186X</v>
      </c>
      <c r="E16258" t="s">
        <v>8</v>
      </c>
      <c r="F16258" t="s">
        <v>16263</v>
      </c>
      <c r="G16258">
        <v>1</v>
      </c>
    </row>
    <row r="16259" spans="1:7" x14ac:dyDescent="0.25">
      <c r="A16259">
        <v>48</v>
      </c>
      <c r="B16259" t="s">
        <v>15999</v>
      </c>
      <c r="C16259">
        <v>6087255</v>
      </c>
      <c r="E16259" t="s">
        <v>8</v>
      </c>
      <c r="F16259" t="s">
        <v>16264</v>
      </c>
      <c r="G16259">
        <v>1</v>
      </c>
    </row>
    <row r="16260" spans="1:7" x14ac:dyDescent="0.25">
      <c r="A16260">
        <v>48</v>
      </c>
      <c r="B16260" t="s">
        <v>15999</v>
      </c>
      <c r="C16260">
        <v>8782740</v>
      </c>
      <c r="E16260" t="s">
        <v>8</v>
      </c>
      <c r="F16260" t="s">
        <v>16265</v>
      </c>
      <c r="G16260">
        <v>1</v>
      </c>
    </row>
    <row r="16261" spans="1:7" x14ac:dyDescent="0.25">
      <c r="A16261">
        <v>48</v>
      </c>
      <c r="B16261" t="s">
        <v>15999</v>
      </c>
      <c r="C16261">
        <v>12560</v>
      </c>
      <c r="D16261" t="str">
        <f>"0732-8893"</f>
        <v>0732-8893</v>
      </c>
      <c r="E16261" t="s">
        <v>8</v>
      </c>
      <c r="F16261" t="s">
        <v>16266</v>
      </c>
      <c r="G16261">
        <v>1</v>
      </c>
    </row>
    <row r="16262" spans="1:7" x14ac:dyDescent="0.25">
      <c r="A16262">
        <v>48</v>
      </c>
      <c r="B16262" t="s">
        <v>15999</v>
      </c>
      <c r="C16262">
        <v>14038</v>
      </c>
      <c r="D16262" t="str">
        <f>"0012-2823"</f>
        <v>0012-2823</v>
      </c>
      <c r="E16262" t="s">
        <v>8</v>
      </c>
      <c r="F16262" t="s">
        <v>16267</v>
      </c>
      <c r="G16262">
        <v>1</v>
      </c>
    </row>
    <row r="16263" spans="1:7" x14ac:dyDescent="0.25">
      <c r="A16263">
        <v>48</v>
      </c>
      <c r="B16263" t="s">
        <v>15999</v>
      </c>
      <c r="C16263">
        <v>10676</v>
      </c>
      <c r="D16263" t="str">
        <f>"1590-8658"</f>
        <v>1590-8658</v>
      </c>
      <c r="E16263" t="s">
        <v>8</v>
      </c>
      <c r="F16263" t="s">
        <v>16268</v>
      </c>
      <c r="G16263">
        <v>1</v>
      </c>
    </row>
    <row r="16264" spans="1:7" x14ac:dyDescent="0.25">
      <c r="A16264">
        <v>48</v>
      </c>
      <c r="B16264" t="s">
        <v>15999</v>
      </c>
      <c r="C16264">
        <v>7713</v>
      </c>
      <c r="D16264" t="str">
        <f>"0257-2753"</f>
        <v>0257-2753</v>
      </c>
      <c r="E16264" t="s">
        <v>8</v>
      </c>
      <c r="F16264" t="s">
        <v>16269</v>
      </c>
      <c r="G16264">
        <v>1</v>
      </c>
    </row>
    <row r="16265" spans="1:7" x14ac:dyDescent="0.25">
      <c r="A16265">
        <v>48</v>
      </c>
      <c r="B16265" t="s">
        <v>15999</v>
      </c>
      <c r="C16265">
        <v>11862</v>
      </c>
      <c r="D16265" t="str">
        <f>"0163-2116"</f>
        <v>0163-2116</v>
      </c>
      <c r="E16265" t="s">
        <v>8</v>
      </c>
      <c r="F16265" t="s">
        <v>16270</v>
      </c>
      <c r="G16265">
        <v>1</v>
      </c>
    </row>
    <row r="16266" spans="1:7" x14ac:dyDescent="0.25">
      <c r="A16266">
        <v>48</v>
      </c>
      <c r="B16266" t="s">
        <v>15999</v>
      </c>
      <c r="C16266">
        <v>9126</v>
      </c>
      <c r="D16266" t="str">
        <f>"0915-5635"</f>
        <v>0915-5635</v>
      </c>
      <c r="E16266" t="s">
        <v>8</v>
      </c>
      <c r="F16266" t="s">
        <v>16271</v>
      </c>
      <c r="G16266">
        <v>1</v>
      </c>
    </row>
    <row r="16267" spans="1:7" x14ac:dyDescent="0.25">
      <c r="A16267">
        <v>48</v>
      </c>
      <c r="B16267" t="s">
        <v>15999</v>
      </c>
      <c r="C16267">
        <v>122807</v>
      </c>
      <c r="D16267" t="str">
        <f>"1539-6509"</f>
        <v>1539-6509</v>
      </c>
      <c r="E16267" t="s">
        <v>8</v>
      </c>
      <c r="F16267" t="s">
        <v>16272</v>
      </c>
      <c r="G16267">
        <v>1</v>
      </c>
    </row>
    <row r="16268" spans="1:7" x14ac:dyDescent="0.25">
      <c r="A16268">
        <v>48</v>
      </c>
      <c r="B16268" t="s">
        <v>15999</v>
      </c>
      <c r="C16268">
        <v>6006</v>
      </c>
      <c r="D16268" t="str">
        <f>"0012-3706"</f>
        <v>0012-3706</v>
      </c>
      <c r="E16268" t="s">
        <v>8</v>
      </c>
      <c r="F16268" t="s">
        <v>16273</v>
      </c>
      <c r="G16268">
        <v>1</v>
      </c>
    </row>
    <row r="16269" spans="1:7" x14ac:dyDescent="0.25">
      <c r="A16269">
        <v>48</v>
      </c>
      <c r="B16269" t="s">
        <v>15999</v>
      </c>
      <c r="C16269">
        <v>8769223</v>
      </c>
      <c r="E16269" t="s">
        <v>8</v>
      </c>
      <c r="F16269" t="s">
        <v>16274</v>
      </c>
      <c r="G16269">
        <v>1</v>
      </c>
    </row>
    <row r="16270" spans="1:7" x14ac:dyDescent="0.25">
      <c r="A16270">
        <v>48</v>
      </c>
      <c r="B16270" t="s">
        <v>15999</v>
      </c>
      <c r="C16270">
        <v>8192</v>
      </c>
      <c r="D16270" t="str">
        <f>"0742-2822"</f>
        <v>0742-2822</v>
      </c>
      <c r="E16270" t="s">
        <v>8</v>
      </c>
      <c r="F16270" t="s">
        <v>16275</v>
      </c>
      <c r="G16270">
        <v>1</v>
      </c>
    </row>
    <row r="16271" spans="1:7" x14ac:dyDescent="0.25">
      <c r="A16271">
        <v>48</v>
      </c>
      <c r="B16271" t="s">
        <v>15999</v>
      </c>
      <c r="C16271">
        <v>14001</v>
      </c>
      <c r="D16271" t="str">
        <f>"1355-008X"</f>
        <v>1355-008X</v>
      </c>
      <c r="E16271" t="s">
        <v>8</v>
      </c>
      <c r="F16271" t="s">
        <v>16276</v>
      </c>
      <c r="G16271">
        <v>1</v>
      </c>
    </row>
    <row r="16272" spans="1:7" x14ac:dyDescent="0.25">
      <c r="A16272">
        <v>48</v>
      </c>
      <c r="B16272" t="s">
        <v>15999</v>
      </c>
      <c r="C16272">
        <v>11269</v>
      </c>
      <c r="D16272" t="str">
        <f>"0918-8959"</f>
        <v>0918-8959</v>
      </c>
      <c r="E16272" t="s">
        <v>8</v>
      </c>
      <c r="F16272" t="s">
        <v>16277</v>
      </c>
      <c r="G16272">
        <v>1</v>
      </c>
    </row>
    <row r="16273" spans="1:7" x14ac:dyDescent="0.25">
      <c r="A16273">
        <v>48</v>
      </c>
      <c r="B16273" t="s">
        <v>15999</v>
      </c>
      <c r="C16273">
        <v>16005</v>
      </c>
      <c r="D16273" t="str">
        <f>"1530-891X"</f>
        <v>1530-891X</v>
      </c>
      <c r="E16273" t="s">
        <v>8</v>
      </c>
      <c r="F16273" t="s">
        <v>16278</v>
      </c>
      <c r="G16273">
        <v>1</v>
      </c>
    </row>
    <row r="16274" spans="1:7" x14ac:dyDescent="0.25">
      <c r="A16274">
        <v>48</v>
      </c>
      <c r="B16274" t="s">
        <v>15999</v>
      </c>
      <c r="C16274">
        <v>12835</v>
      </c>
      <c r="D16274" t="str">
        <f>"0743-5800"</f>
        <v>0743-5800</v>
      </c>
      <c r="E16274" t="s">
        <v>8</v>
      </c>
      <c r="F16274" t="s">
        <v>16279</v>
      </c>
      <c r="G16274">
        <v>1</v>
      </c>
    </row>
    <row r="16275" spans="1:7" x14ac:dyDescent="0.25">
      <c r="A16275">
        <v>48</v>
      </c>
      <c r="B16275" t="s">
        <v>15999</v>
      </c>
      <c r="C16275">
        <v>9779</v>
      </c>
      <c r="D16275" t="str">
        <f>"0013-7227"</f>
        <v>0013-7227</v>
      </c>
      <c r="E16275" t="s">
        <v>8</v>
      </c>
      <c r="F16275" t="s">
        <v>16280</v>
      </c>
      <c r="G16275">
        <v>1</v>
      </c>
    </row>
    <row r="16276" spans="1:7" x14ac:dyDescent="0.25">
      <c r="A16276">
        <v>48</v>
      </c>
      <c r="B16276" t="s">
        <v>15999</v>
      </c>
      <c r="C16276">
        <v>13024</v>
      </c>
      <c r="D16276" t="str">
        <f>"0889-8529"</f>
        <v>0889-8529</v>
      </c>
      <c r="E16276" t="s">
        <v>8</v>
      </c>
      <c r="F16276" t="s">
        <v>16281</v>
      </c>
      <c r="G16276">
        <v>1</v>
      </c>
    </row>
    <row r="16277" spans="1:7" x14ac:dyDescent="0.25">
      <c r="A16277">
        <v>48</v>
      </c>
      <c r="B16277" t="s">
        <v>15999</v>
      </c>
      <c r="C16277">
        <v>9430</v>
      </c>
      <c r="D16277" t="str">
        <f>"0013-726X"</f>
        <v>0013-726X</v>
      </c>
      <c r="E16277" t="s">
        <v>8</v>
      </c>
      <c r="F16277" t="s">
        <v>16282</v>
      </c>
      <c r="G16277">
        <v>1</v>
      </c>
    </row>
    <row r="16278" spans="1:7" x14ac:dyDescent="0.25">
      <c r="A16278">
        <v>48</v>
      </c>
      <c r="B16278" t="s">
        <v>15999</v>
      </c>
      <c r="C16278">
        <v>4360</v>
      </c>
      <c r="D16278" t="str">
        <f>"0950-2688"</f>
        <v>0950-2688</v>
      </c>
      <c r="E16278" t="s">
        <v>8</v>
      </c>
      <c r="F16278" t="s">
        <v>16283</v>
      </c>
      <c r="G16278">
        <v>1</v>
      </c>
    </row>
    <row r="16279" spans="1:7" x14ac:dyDescent="0.25">
      <c r="A16279">
        <v>48</v>
      </c>
      <c r="B16279" t="s">
        <v>15999</v>
      </c>
      <c r="C16279">
        <v>8774231</v>
      </c>
      <c r="E16279" t="s">
        <v>8</v>
      </c>
      <c r="F16279" t="s">
        <v>16284</v>
      </c>
      <c r="G16279">
        <v>1</v>
      </c>
    </row>
    <row r="16280" spans="1:7" x14ac:dyDescent="0.25">
      <c r="A16280">
        <v>48</v>
      </c>
      <c r="B16280" t="s">
        <v>15999</v>
      </c>
      <c r="C16280">
        <v>13650</v>
      </c>
      <c r="D16280" t="str">
        <f>"1612-9059"</f>
        <v>1612-9059</v>
      </c>
      <c r="E16280" t="s">
        <v>8</v>
      </c>
      <c r="F16280" t="s">
        <v>16285</v>
      </c>
      <c r="G16280">
        <v>1</v>
      </c>
    </row>
    <row r="16281" spans="1:7" x14ac:dyDescent="0.25">
      <c r="A16281">
        <v>48</v>
      </c>
      <c r="B16281" t="s">
        <v>15999</v>
      </c>
      <c r="C16281">
        <v>14025</v>
      </c>
      <c r="D16281" t="str">
        <f>"1099-5129"</f>
        <v>1099-5129</v>
      </c>
      <c r="E16281" t="s">
        <v>8</v>
      </c>
      <c r="F16281" t="s">
        <v>16286</v>
      </c>
      <c r="G16281">
        <v>1</v>
      </c>
    </row>
    <row r="16282" spans="1:7" x14ac:dyDescent="0.25">
      <c r="A16282">
        <v>48</v>
      </c>
      <c r="B16282" t="s">
        <v>15999</v>
      </c>
      <c r="C16282">
        <v>8936</v>
      </c>
      <c r="D16282" t="str">
        <f>"2047-2404"</f>
        <v>2047-2404</v>
      </c>
      <c r="E16282" t="s">
        <v>8</v>
      </c>
      <c r="F16282" t="s">
        <v>16287</v>
      </c>
      <c r="G16282">
        <v>1</v>
      </c>
    </row>
    <row r="16283" spans="1:7" x14ac:dyDescent="0.25">
      <c r="A16283">
        <v>48</v>
      </c>
      <c r="B16283" t="s">
        <v>15999</v>
      </c>
      <c r="C16283">
        <v>1145</v>
      </c>
      <c r="D16283" t="str">
        <f>"1554-2815"</f>
        <v>1554-2815</v>
      </c>
      <c r="E16283" t="s">
        <v>8</v>
      </c>
      <c r="F16283" t="s">
        <v>16288</v>
      </c>
      <c r="G16283">
        <v>1</v>
      </c>
    </row>
    <row r="16284" spans="1:7" x14ac:dyDescent="0.25">
      <c r="A16284">
        <v>48</v>
      </c>
      <c r="B16284" t="s">
        <v>15999</v>
      </c>
      <c r="C16284">
        <v>16464</v>
      </c>
      <c r="D16284" t="str">
        <f>"0959-8049"</f>
        <v>0959-8049</v>
      </c>
      <c r="E16284" t="s">
        <v>8</v>
      </c>
      <c r="F16284" t="s">
        <v>16289</v>
      </c>
      <c r="G16284">
        <v>1</v>
      </c>
    </row>
    <row r="16285" spans="1:7" x14ac:dyDescent="0.25">
      <c r="A16285">
        <v>48</v>
      </c>
      <c r="B16285" t="s">
        <v>15999</v>
      </c>
      <c r="C16285">
        <v>14541</v>
      </c>
      <c r="D16285" t="str">
        <f>"0014-2972"</f>
        <v>0014-2972</v>
      </c>
      <c r="E16285" t="s">
        <v>8</v>
      </c>
      <c r="F16285" t="s">
        <v>16290</v>
      </c>
      <c r="G16285">
        <v>1</v>
      </c>
    </row>
    <row r="16286" spans="1:7" x14ac:dyDescent="0.25">
      <c r="A16286">
        <v>48</v>
      </c>
      <c r="B16286" t="s">
        <v>15999</v>
      </c>
      <c r="C16286">
        <v>9756</v>
      </c>
      <c r="D16286" t="str">
        <f>"0934-9723"</f>
        <v>0934-9723</v>
      </c>
      <c r="E16286" t="s">
        <v>8</v>
      </c>
      <c r="F16286" t="s">
        <v>16291</v>
      </c>
      <c r="G16286">
        <v>1</v>
      </c>
    </row>
    <row r="16287" spans="1:7" x14ac:dyDescent="0.25">
      <c r="A16287">
        <v>48</v>
      </c>
      <c r="B16287" t="s">
        <v>15999</v>
      </c>
      <c r="C16287">
        <v>1493</v>
      </c>
      <c r="D16287" t="str">
        <f>"0804-4643"</f>
        <v>0804-4643</v>
      </c>
      <c r="E16287" t="s">
        <v>8</v>
      </c>
      <c r="F16287" t="s">
        <v>16292</v>
      </c>
      <c r="G16287">
        <v>1</v>
      </c>
    </row>
    <row r="16288" spans="1:7" x14ac:dyDescent="0.25">
      <c r="A16288">
        <v>48</v>
      </c>
      <c r="B16288" t="s">
        <v>15999</v>
      </c>
      <c r="C16288">
        <v>9958</v>
      </c>
      <c r="D16288" t="str">
        <f>"0804-4635"</f>
        <v>0804-4635</v>
      </c>
      <c r="E16288" t="s">
        <v>8</v>
      </c>
      <c r="F16288" t="s">
        <v>16293</v>
      </c>
      <c r="G16288">
        <v>1</v>
      </c>
    </row>
    <row r="16289" spans="1:7" x14ac:dyDescent="0.25">
      <c r="A16289">
        <v>48</v>
      </c>
      <c r="B16289" t="s">
        <v>15999</v>
      </c>
      <c r="C16289">
        <v>2793</v>
      </c>
      <c r="D16289" t="str">
        <f>"0954-691X"</f>
        <v>0954-691X</v>
      </c>
      <c r="E16289" t="s">
        <v>8</v>
      </c>
      <c r="F16289" t="s">
        <v>16294</v>
      </c>
      <c r="G16289">
        <v>1</v>
      </c>
    </row>
    <row r="16290" spans="1:7" x14ac:dyDescent="0.25">
      <c r="A16290">
        <v>48</v>
      </c>
      <c r="B16290" t="s">
        <v>15999</v>
      </c>
      <c r="C16290">
        <v>9239</v>
      </c>
      <c r="D16290" t="str">
        <f>"0902-4441"</f>
        <v>0902-4441</v>
      </c>
      <c r="E16290" t="s">
        <v>8</v>
      </c>
      <c r="F16290" t="s">
        <v>16295</v>
      </c>
      <c r="G16290">
        <v>1</v>
      </c>
    </row>
    <row r="16291" spans="1:7" x14ac:dyDescent="0.25">
      <c r="A16291">
        <v>48</v>
      </c>
      <c r="B16291" t="s">
        <v>15999</v>
      </c>
      <c r="C16291">
        <v>1670</v>
      </c>
      <c r="D16291" t="str">
        <f>"1388-9842"</f>
        <v>1388-9842</v>
      </c>
      <c r="E16291" t="s">
        <v>8</v>
      </c>
      <c r="F16291" t="s">
        <v>16296</v>
      </c>
      <c r="G16291">
        <v>1</v>
      </c>
    </row>
    <row r="16292" spans="1:7" x14ac:dyDescent="0.25">
      <c r="A16292">
        <v>48</v>
      </c>
      <c r="B16292" t="s">
        <v>15999</v>
      </c>
      <c r="C16292">
        <v>8782741</v>
      </c>
      <c r="E16292" t="s">
        <v>8</v>
      </c>
      <c r="F16292" t="s">
        <v>16297</v>
      </c>
      <c r="G16292">
        <v>1</v>
      </c>
    </row>
    <row r="16293" spans="1:7" x14ac:dyDescent="0.25">
      <c r="A16293">
        <v>48</v>
      </c>
      <c r="B16293" t="s">
        <v>15999</v>
      </c>
      <c r="C16293">
        <v>15517</v>
      </c>
      <c r="D16293" t="str">
        <f>"0014-2980"</f>
        <v>0014-2980</v>
      </c>
      <c r="E16293" t="s">
        <v>8</v>
      </c>
      <c r="F16293" t="s">
        <v>16298</v>
      </c>
      <c r="G16293">
        <v>1</v>
      </c>
    </row>
    <row r="16294" spans="1:7" x14ac:dyDescent="0.25">
      <c r="A16294">
        <v>48</v>
      </c>
      <c r="B16294" t="s">
        <v>15999</v>
      </c>
      <c r="C16294">
        <v>2095</v>
      </c>
      <c r="D16294" t="str">
        <f>"0953-6205"</f>
        <v>0953-6205</v>
      </c>
      <c r="E16294" t="s">
        <v>8</v>
      </c>
      <c r="F16294" t="s">
        <v>16299</v>
      </c>
      <c r="G16294">
        <v>1</v>
      </c>
    </row>
    <row r="16295" spans="1:7" x14ac:dyDescent="0.25">
      <c r="A16295">
        <v>48</v>
      </c>
      <c r="B16295" t="s">
        <v>15999</v>
      </c>
      <c r="C16295">
        <v>4783</v>
      </c>
      <c r="D16295" t="str">
        <f>"0904-1850"</f>
        <v>0904-1850</v>
      </c>
      <c r="E16295" t="s">
        <v>15</v>
      </c>
      <c r="F16295" t="s">
        <v>16300</v>
      </c>
      <c r="G16295">
        <v>1</v>
      </c>
    </row>
    <row r="16296" spans="1:7" x14ac:dyDescent="0.25">
      <c r="A16296">
        <v>48</v>
      </c>
      <c r="B16296" t="s">
        <v>15999</v>
      </c>
      <c r="C16296">
        <v>5408</v>
      </c>
      <c r="D16296" t="str">
        <f>"0905-9180"</f>
        <v>0905-9180</v>
      </c>
      <c r="E16296" t="s">
        <v>8</v>
      </c>
      <c r="F16296" t="s">
        <v>16301</v>
      </c>
      <c r="G16296">
        <v>1</v>
      </c>
    </row>
    <row r="16297" spans="1:7" x14ac:dyDescent="0.25">
      <c r="A16297">
        <v>48</v>
      </c>
      <c r="B16297" t="s">
        <v>15999</v>
      </c>
      <c r="C16297">
        <v>7718315</v>
      </c>
      <c r="D16297" t="str">
        <f>"2235-0640"</f>
        <v>2235-0640</v>
      </c>
      <c r="E16297" t="s">
        <v>8</v>
      </c>
      <c r="F16297" t="s">
        <v>16302</v>
      </c>
      <c r="G16297">
        <v>1</v>
      </c>
    </row>
    <row r="16298" spans="1:7" x14ac:dyDescent="0.25">
      <c r="A16298">
        <v>48</v>
      </c>
      <c r="B16298" t="s">
        <v>15999</v>
      </c>
      <c r="C16298">
        <v>14639</v>
      </c>
      <c r="D16298" t="str">
        <f>"0947-7349"</f>
        <v>0947-7349</v>
      </c>
      <c r="E16298" t="s">
        <v>8</v>
      </c>
      <c r="F16298" t="s">
        <v>16303</v>
      </c>
      <c r="G16298">
        <v>1</v>
      </c>
    </row>
    <row r="16299" spans="1:7" x14ac:dyDescent="0.25">
      <c r="A16299">
        <v>48</v>
      </c>
      <c r="B16299" t="s">
        <v>15999</v>
      </c>
      <c r="C16299">
        <v>7767</v>
      </c>
      <c r="D16299" t="str">
        <f>"0301-472X"</f>
        <v>0301-472X</v>
      </c>
      <c r="E16299" t="s">
        <v>8</v>
      </c>
      <c r="F16299" t="s">
        <v>16304</v>
      </c>
      <c r="G16299">
        <v>1</v>
      </c>
    </row>
    <row r="16300" spans="1:7" x14ac:dyDescent="0.25">
      <c r="A16300">
        <v>48</v>
      </c>
      <c r="B16300" t="s">
        <v>15999</v>
      </c>
      <c r="C16300">
        <v>7730000</v>
      </c>
      <c r="E16300" t="s">
        <v>8</v>
      </c>
      <c r="F16300" t="s">
        <v>16305</v>
      </c>
      <c r="G16300">
        <v>1</v>
      </c>
    </row>
    <row r="16301" spans="1:7" x14ac:dyDescent="0.25">
      <c r="A16301">
        <v>48</v>
      </c>
      <c r="B16301" t="s">
        <v>15999</v>
      </c>
      <c r="C16301">
        <v>15023</v>
      </c>
      <c r="D16301" t="str">
        <f>"0190-2148"</f>
        <v>0190-2148</v>
      </c>
      <c r="E16301" t="s">
        <v>8</v>
      </c>
      <c r="F16301" t="s">
        <v>16306</v>
      </c>
      <c r="G16301">
        <v>1</v>
      </c>
    </row>
    <row r="16302" spans="1:7" x14ac:dyDescent="0.25">
      <c r="A16302">
        <v>48</v>
      </c>
      <c r="B16302" t="s">
        <v>15999</v>
      </c>
      <c r="C16302">
        <v>5678</v>
      </c>
      <c r="D16302" t="str">
        <f>"1812-9269"</f>
        <v>1812-9269</v>
      </c>
      <c r="E16302" t="s">
        <v>8</v>
      </c>
      <c r="F16302" t="s">
        <v>16307</v>
      </c>
      <c r="G16302">
        <v>1</v>
      </c>
    </row>
    <row r="16303" spans="1:7" x14ac:dyDescent="0.25">
      <c r="A16303">
        <v>48</v>
      </c>
      <c r="B16303" t="s">
        <v>15999</v>
      </c>
      <c r="C16303">
        <v>18651</v>
      </c>
      <c r="D16303" t="str">
        <f>"1477-9072"</f>
        <v>1477-9072</v>
      </c>
      <c r="E16303" t="s">
        <v>8</v>
      </c>
      <c r="F16303" t="s">
        <v>16308</v>
      </c>
      <c r="G16303">
        <v>1</v>
      </c>
    </row>
    <row r="16304" spans="1:7" x14ac:dyDescent="0.25">
      <c r="A16304">
        <v>48</v>
      </c>
      <c r="B16304" t="s">
        <v>15999</v>
      </c>
      <c r="C16304">
        <v>23371</v>
      </c>
      <c r="D16304" t="str">
        <f>"1747-4124"</f>
        <v>1747-4124</v>
      </c>
      <c r="E16304" t="s">
        <v>8</v>
      </c>
      <c r="F16304" t="s">
        <v>16309</v>
      </c>
      <c r="G16304">
        <v>1</v>
      </c>
    </row>
    <row r="16305" spans="1:7" x14ac:dyDescent="0.25">
      <c r="A16305">
        <v>48</v>
      </c>
      <c r="B16305" t="s">
        <v>15999</v>
      </c>
      <c r="C16305">
        <v>9883</v>
      </c>
      <c r="E16305" t="s">
        <v>8</v>
      </c>
      <c r="F16305" t="s">
        <v>16310</v>
      </c>
      <c r="G16305">
        <v>1</v>
      </c>
    </row>
    <row r="16306" spans="1:7" x14ac:dyDescent="0.25">
      <c r="A16306">
        <v>48</v>
      </c>
      <c r="B16306" t="s">
        <v>15999</v>
      </c>
      <c r="C16306">
        <v>7738431</v>
      </c>
      <c r="E16306" t="s">
        <v>8</v>
      </c>
      <c r="F16306" t="s">
        <v>16311</v>
      </c>
      <c r="G16306">
        <v>1</v>
      </c>
    </row>
    <row r="16307" spans="1:7" x14ac:dyDescent="0.25">
      <c r="A16307">
        <v>48</v>
      </c>
      <c r="B16307" t="s">
        <v>15999</v>
      </c>
      <c r="C16307">
        <v>8899</v>
      </c>
      <c r="D16307" t="str">
        <f>"0302-0665"</f>
        <v>0302-0665</v>
      </c>
      <c r="E16307" t="s">
        <v>15</v>
      </c>
      <c r="F16307" t="s">
        <v>16312</v>
      </c>
      <c r="G16307">
        <v>1</v>
      </c>
    </row>
    <row r="16308" spans="1:7" x14ac:dyDescent="0.25">
      <c r="A16308">
        <v>48</v>
      </c>
      <c r="B16308" t="s">
        <v>15999</v>
      </c>
      <c r="C16308">
        <v>11321</v>
      </c>
      <c r="D16308" t="str">
        <f>"0301-3073"</f>
        <v>0301-3073</v>
      </c>
      <c r="E16308" t="s">
        <v>15</v>
      </c>
      <c r="F16308" t="s">
        <v>16313</v>
      </c>
      <c r="G16308">
        <v>1</v>
      </c>
    </row>
    <row r="16309" spans="1:7" x14ac:dyDescent="0.25">
      <c r="A16309">
        <v>48</v>
      </c>
      <c r="B16309" t="s">
        <v>15999</v>
      </c>
      <c r="C16309">
        <v>26172</v>
      </c>
      <c r="D16309" t="str">
        <f>"1479-6694"</f>
        <v>1479-6694</v>
      </c>
      <c r="E16309" t="s">
        <v>8</v>
      </c>
      <c r="F16309" t="s">
        <v>16314</v>
      </c>
      <c r="G16309">
        <v>1</v>
      </c>
    </row>
    <row r="16310" spans="1:7" x14ac:dyDescent="0.25">
      <c r="A16310">
        <v>48</v>
      </c>
      <c r="B16310" t="s">
        <v>15999</v>
      </c>
      <c r="C16310">
        <v>7725427</v>
      </c>
      <c r="E16310" t="s">
        <v>8</v>
      </c>
      <c r="F16310" t="s">
        <v>16315</v>
      </c>
      <c r="G16310">
        <v>1</v>
      </c>
    </row>
    <row r="16311" spans="1:7" x14ac:dyDescent="0.25">
      <c r="A16311">
        <v>48</v>
      </c>
      <c r="B16311" t="s">
        <v>15999</v>
      </c>
      <c r="C16311">
        <v>9598</v>
      </c>
      <c r="D16311" t="str">
        <f>"1436-3291"</f>
        <v>1436-3291</v>
      </c>
      <c r="E16311" t="s">
        <v>8</v>
      </c>
      <c r="F16311" t="s">
        <v>16316</v>
      </c>
      <c r="G16311">
        <v>1</v>
      </c>
    </row>
    <row r="16312" spans="1:7" x14ac:dyDescent="0.25">
      <c r="A16312">
        <v>48</v>
      </c>
      <c r="B16312" t="s">
        <v>15999</v>
      </c>
      <c r="C16312">
        <v>8571</v>
      </c>
      <c r="D16312" t="str">
        <f>"0016-5085"</f>
        <v>0016-5085</v>
      </c>
      <c r="E16312" t="s">
        <v>8</v>
      </c>
      <c r="F16312" t="s">
        <v>16317</v>
      </c>
      <c r="G16312">
        <v>1</v>
      </c>
    </row>
    <row r="16313" spans="1:7" x14ac:dyDescent="0.25">
      <c r="A16313">
        <v>48</v>
      </c>
      <c r="B16313" t="s">
        <v>15999</v>
      </c>
      <c r="C16313">
        <v>3745</v>
      </c>
      <c r="D16313" t="str">
        <f>"0889-8553"</f>
        <v>0889-8553</v>
      </c>
      <c r="E16313" t="s">
        <v>8</v>
      </c>
      <c r="F16313" t="s">
        <v>16318</v>
      </c>
      <c r="G16313">
        <v>1</v>
      </c>
    </row>
    <row r="16314" spans="1:7" x14ac:dyDescent="0.25">
      <c r="A16314">
        <v>48</v>
      </c>
      <c r="B16314" t="s">
        <v>15999</v>
      </c>
      <c r="C16314">
        <v>23210</v>
      </c>
      <c r="D16314" t="str">
        <f>"1687-6121"</f>
        <v>1687-6121</v>
      </c>
      <c r="E16314" t="s">
        <v>8</v>
      </c>
      <c r="F16314" t="s">
        <v>16319</v>
      </c>
      <c r="G16314">
        <v>1</v>
      </c>
    </row>
    <row r="16315" spans="1:7" x14ac:dyDescent="0.25">
      <c r="A16315">
        <v>48</v>
      </c>
      <c r="B16315" t="s">
        <v>15999</v>
      </c>
      <c r="C16315">
        <v>8603</v>
      </c>
      <c r="D16315" t="str">
        <f>"0016-5107"</f>
        <v>0016-5107</v>
      </c>
      <c r="E16315" t="s">
        <v>8</v>
      </c>
      <c r="F16315" t="s">
        <v>16320</v>
      </c>
      <c r="G16315">
        <v>1</v>
      </c>
    </row>
    <row r="16316" spans="1:7" x14ac:dyDescent="0.25">
      <c r="A16316">
        <v>48</v>
      </c>
      <c r="B16316" t="s">
        <v>15999</v>
      </c>
      <c r="C16316">
        <v>154377</v>
      </c>
      <c r="D16316" t="str">
        <f>"1756-994X"</f>
        <v>1756-994X</v>
      </c>
      <c r="E16316" t="s">
        <v>8</v>
      </c>
      <c r="F16316" t="s">
        <v>16321</v>
      </c>
      <c r="G16316">
        <v>1</v>
      </c>
    </row>
    <row r="16317" spans="1:7" x14ac:dyDescent="0.25">
      <c r="A16317">
        <v>48</v>
      </c>
      <c r="B16317" t="s">
        <v>15999</v>
      </c>
      <c r="C16317">
        <v>612</v>
      </c>
      <c r="D16317" t="str">
        <f>"1444-1586"</f>
        <v>1444-1586</v>
      </c>
      <c r="E16317" t="s">
        <v>8</v>
      </c>
      <c r="F16317" t="s">
        <v>16322</v>
      </c>
      <c r="G16317">
        <v>1</v>
      </c>
    </row>
    <row r="16318" spans="1:7" x14ac:dyDescent="0.25">
      <c r="A16318">
        <v>48</v>
      </c>
      <c r="B16318" t="s">
        <v>15999</v>
      </c>
      <c r="C16318">
        <v>8629</v>
      </c>
      <c r="D16318" t="str">
        <f>"0734-0664"</f>
        <v>0734-0664</v>
      </c>
      <c r="E16318" t="s">
        <v>8</v>
      </c>
      <c r="F16318" t="s">
        <v>16323</v>
      </c>
      <c r="G16318">
        <v>1</v>
      </c>
    </row>
    <row r="16319" spans="1:7" x14ac:dyDescent="0.25">
      <c r="A16319">
        <v>48</v>
      </c>
      <c r="B16319" t="s">
        <v>15999</v>
      </c>
      <c r="C16319">
        <v>5943</v>
      </c>
      <c r="D16319" t="str">
        <f>"0304-324X"</f>
        <v>0304-324X</v>
      </c>
      <c r="E16319" t="s">
        <v>8</v>
      </c>
      <c r="F16319" t="s">
        <v>16324</v>
      </c>
      <c r="G16319">
        <v>1</v>
      </c>
    </row>
    <row r="16320" spans="1:7" x14ac:dyDescent="0.25">
      <c r="A16320">
        <v>48</v>
      </c>
      <c r="B16320" t="s">
        <v>15999</v>
      </c>
      <c r="C16320">
        <v>13900</v>
      </c>
      <c r="D16320" t="str">
        <f>"0390-6078"</f>
        <v>0390-6078</v>
      </c>
      <c r="E16320" t="s">
        <v>8</v>
      </c>
      <c r="F16320" t="s">
        <v>16325</v>
      </c>
      <c r="G16320">
        <v>1</v>
      </c>
    </row>
    <row r="16321" spans="1:7" x14ac:dyDescent="0.25">
      <c r="A16321">
        <v>48</v>
      </c>
      <c r="B16321" t="s">
        <v>15999</v>
      </c>
      <c r="C16321">
        <v>8557</v>
      </c>
      <c r="D16321" t="str">
        <f>"1351-8216"</f>
        <v>1351-8216</v>
      </c>
      <c r="E16321" t="s">
        <v>8</v>
      </c>
      <c r="F16321" t="s">
        <v>16326</v>
      </c>
      <c r="G16321">
        <v>1</v>
      </c>
    </row>
    <row r="16322" spans="1:7" x14ac:dyDescent="0.25">
      <c r="A16322">
        <v>48</v>
      </c>
      <c r="B16322" t="s">
        <v>15999</v>
      </c>
      <c r="C16322">
        <v>14872</v>
      </c>
      <c r="D16322" t="str">
        <f>"0720-9355"</f>
        <v>0720-9355</v>
      </c>
      <c r="E16322" t="s">
        <v>8</v>
      </c>
      <c r="F16322" t="s">
        <v>16327</v>
      </c>
      <c r="G16322">
        <v>1</v>
      </c>
    </row>
    <row r="16323" spans="1:7" x14ac:dyDescent="0.25">
      <c r="A16323">
        <v>48</v>
      </c>
      <c r="B16323" t="s">
        <v>15999</v>
      </c>
      <c r="C16323">
        <v>8783037</v>
      </c>
      <c r="E16323" t="s">
        <v>8</v>
      </c>
      <c r="F16323" t="s">
        <v>16328</v>
      </c>
      <c r="G16323">
        <v>1</v>
      </c>
    </row>
    <row r="16324" spans="1:7" x14ac:dyDescent="0.25">
      <c r="A16324">
        <v>48</v>
      </c>
      <c r="B16324" t="s">
        <v>15999</v>
      </c>
      <c r="C16324">
        <v>10829</v>
      </c>
      <c r="D16324" t="str">
        <f>"1355-6037"</f>
        <v>1355-6037</v>
      </c>
      <c r="E16324" t="s">
        <v>8</v>
      </c>
      <c r="F16324" t="s">
        <v>16329</v>
      </c>
      <c r="G16324">
        <v>1</v>
      </c>
    </row>
    <row r="16325" spans="1:7" x14ac:dyDescent="0.25">
      <c r="A16325">
        <v>48</v>
      </c>
      <c r="B16325" t="s">
        <v>15999</v>
      </c>
      <c r="C16325">
        <v>15664</v>
      </c>
      <c r="D16325" t="str">
        <f>"0147-9563"</f>
        <v>0147-9563</v>
      </c>
      <c r="E16325" t="s">
        <v>8</v>
      </c>
      <c r="F16325" t="s">
        <v>16330</v>
      </c>
      <c r="G16325">
        <v>1</v>
      </c>
    </row>
    <row r="16326" spans="1:7" x14ac:dyDescent="0.25">
      <c r="A16326">
        <v>48</v>
      </c>
      <c r="B16326" t="s">
        <v>15999</v>
      </c>
      <c r="C16326">
        <v>3522</v>
      </c>
      <c r="D16326" t="str">
        <f>"0910-8327"</f>
        <v>0910-8327</v>
      </c>
      <c r="E16326" t="s">
        <v>8</v>
      </c>
      <c r="F16326" t="s">
        <v>16331</v>
      </c>
      <c r="G16326">
        <v>1</v>
      </c>
    </row>
    <row r="16327" spans="1:7" x14ac:dyDescent="0.25">
      <c r="A16327">
        <v>48</v>
      </c>
      <c r="B16327" t="s">
        <v>15999</v>
      </c>
      <c r="C16327">
        <v>15763</v>
      </c>
      <c r="D16327" t="str">
        <f>"1382-4147"</f>
        <v>1382-4147</v>
      </c>
      <c r="E16327" t="s">
        <v>8</v>
      </c>
      <c r="F16327" t="s">
        <v>16332</v>
      </c>
      <c r="G16327">
        <v>1</v>
      </c>
    </row>
    <row r="16328" spans="1:7" x14ac:dyDescent="0.25">
      <c r="A16328">
        <v>48</v>
      </c>
      <c r="B16328" t="s">
        <v>15999</v>
      </c>
      <c r="C16328">
        <v>18095</v>
      </c>
      <c r="D16328" t="str">
        <f>"1547-5271"</f>
        <v>1547-5271</v>
      </c>
      <c r="E16328" t="s">
        <v>8</v>
      </c>
      <c r="F16328" t="s">
        <v>16333</v>
      </c>
      <c r="G16328">
        <v>1</v>
      </c>
    </row>
    <row r="16329" spans="1:7" x14ac:dyDescent="0.25">
      <c r="A16329">
        <v>48</v>
      </c>
      <c r="B16329" t="s">
        <v>15999</v>
      </c>
      <c r="C16329">
        <v>15756</v>
      </c>
      <c r="D16329" t="str">
        <f>"1443-9506"</f>
        <v>1443-9506</v>
      </c>
      <c r="E16329" t="s">
        <v>8</v>
      </c>
      <c r="F16329" t="s">
        <v>16334</v>
      </c>
      <c r="G16329">
        <v>1</v>
      </c>
    </row>
    <row r="16330" spans="1:7" x14ac:dyDescent="0.25">
      <c r="A16330">
        <v>48</v>
      </c>
      <c r="B16330" t="s">
        <v>15999</v>
      </c>
      <c r="C16330">
        <v>7242856</v>
      </c>
      <c r="D16330" t="str">
        <f>"1083-4389"</f>
        <v>1083-4389</v>
      </c>
      <c r="E16330" t="s">
        <v>8</v>
      </c>
      <c r="F16330" t="s">
        <v>16335</v>
      </c>
      <c r="G16330">
        <v>1</v>
      </c>
    </row>
    <row r="16331" spans="1:7" x14ac:dyDescent="0.25">
      <c r="A16331">
        <v>48</v>
      </c>
      <c r="B16331" t="s">
        <v>15999</v>
      </c>
      <c r="C16331">
        <v>7605362</v>
      </c>
      <c r="D16331" t="str">
        <f>"0278-0232"</f>
        <v>0278-0232</v>
      </c>
      <c r="E16331" t="s">
        <v>8</v>
      </c>
      <c r="F16331" t="s">
        <v>16336</v>
      </c>
      <c r="G16331">
        <v>1</v>
      </c>
    </row>
    <row r="16332" spans="1:7" x14ac:dyDescent="0.25">
      <c r="A16332">
        <v>48</v>
      </c>
      <c r="B16332" t="s">
        <v>15999</v>
      </c>
      <c r="C16332">
        <v>15791</v>
      </c>
      <c r="D16332" t="str">
        <f>"1264-7527"</f>
        <v>1264-7527</v>
      </c>
      <c r="E16332" t="s">
        <v>8</v>
      </c>
      <c r="F16332" t="s">
        <v>16337</v>
      </c>
      <c r="G16332">
        <v>1</v>
      </c>
    </row>
    <row r="16333" spans="1:7" x14ac:dyDescent="0.25">
      <c r="A16333">
        <v>48</v>
      </c>
      <c r="B16333" t="s">
        <v>15999</v>
      </c>
      <c r="C16333">
        <v>5045</v>
      </c>
      <c r="D16333" t="str">
        <f>"1024-5332"</f>
        <v>1024-5332</v>
      </c>
      <c r="E16333" t="s">
        <v>8</v>
      </c>
      <c r="F16333" t="s">
        <v>16338</v>
      </c>
      <c r="G16333">
        <v>1</v>
      </c>
    </row>
    <row r="16334" spans="1:7" x14ac:dyDescent="0.25">
      <c r="A16334">
        <v>48</v>
      </c>
      <c r="B16334" t="s">
        <v>15999</v>
      </c>
      <c r="C16334">
        <v>154417</v>
      </c>
      <c r="D16334" t="str">
        <f>"1658-3876"</f>
        <v>1658-3876</v>
      </c>
      <c r="E16334" t="s">
        <v>8</v>
      </c>
      <c r="F16334" t="s">
        <v>16339</v>
      </c>
      <c r="G16334">
        <v>1</v>
      </c>
    </row>
    <row r="16335" spans="1:7" x14ac:dyDescent="0.25">
      <c r="A16335">
        <v>48</v>
      </c>
      <c r="B16335" t="s">
        <v>15999</v>
      </c>
      <c r="C16335">
        <v>16029</v>
      </c>
      <c r="D16335" t="str">
        <f>"0889-8588"</f>
        <v>0889-8588</v>
      </c>
      <c r="E16335" t="s">
        <v>8</v>
      </c>
      <c r="F16335" t="s">
        <v>16340</v>
      </c>
      <c r="G16335">
        <v>1</v>
      </c>
    </row>
    <row r="16336" spans="1:7" x14ac:dyDescent="0.25">
      <c r="A16336">
        <v>48</v>
      </c>
      <c r="B16336" t="s">
        <v>15999</v>
      </c>
      <c r="C16336">
        <v>1043</v>
      </c>
      <c r="D16336" t="str">
        <f>"1492-7535"</f>
        <v>1492-7535</v>
      </c>
      <c r="E16336" t="s">
        <v>8</v>
      </c>
      <c r="F16336" t="s">
        <v>16341</v>
      </c>
      <c r="G16336">
        <v>1</v>
      </c>
    </row>
    <row r="16337" spans="1:7" x14ac:dyDescent="0.25">
      <c r="A16337">
        <v>48</v>
      </c>
      <c r="B16337" t="s">
        <v>15999</v>
      </c>
      <c r="C16337">
        <v>4767</v>
      </c>
      <c r="D16337" t="str">
        <f>"0363-0269"</f>
        <v>0363-0269</v>
      </c>
      <c r="E16337" t="s">
        <v>8</v>
      </c>
      <c r="F16337" t="s">
        <v>16342</v>
      </c>
      <c r="G16337">
        <v>1</v>
      </c>
    </row>
    <row r="16338" spans="1:7" x14ac:dyDescent="0.25">
      <c r="A16338">
        <v>48</v>
      </c>
      <c r="B16338" t="s">
        <v>15999</v>
      </c>
      <c r="C16338">
        <v>21282</v>
      </c>
      <c r="D16338" t="str">
        <f>"1936-0533"</f>
        <v>1936-0533</v>
      </c>
      <c r="E16338" t="s">
        <v>8</v>
      </c>
      <c r="F16338" t="s">
        <v>16343</v>
      </c>
      <c r="G16338">
        <v>1</v>
      </c>
    </row>
    <row r="16339" spans="1:7" x14ac:dyDescent="0.25">
      <c r="A16339">
        <v>48</v>
      </c>
      <c r="B16339" t="s">
        <v>15999</v>
      </c>
      <c r="C16339">
        <v>16544</v>
      </c>
      <c r="D16339" t="str">
        <f>"1386-6346"</f>
        <v>1386-6346</v>
      </c>
      <c r="E16339" t="s">
        <v>8</v>
      </c>
      <c r="F16339" t="s">
        <v>16344</v>
      </c>
      <c r="G16339">
        <v>1</v>
      </c>
    </row>
    <row r="16340" spans="1:7" x14ac:dyDescent="0.25">
      <c r="A16340">
        <v>48</v>
      </c>
      <c r="B16340" t="s">
        <v>15999</v>
      </c>
      <c r="C16340">
        <v>5723</v>
      </c>
      <c r="D16340" t="str">
        <f>"0340-9937"</f>
        <v>0340-9937</v>
      </c>
      <c r="E16340" t="s">
        <v>8</v>
      </c>
      <c r="F16340" t="s">
        <v>16345</v>
      </c>
      <c r="G16340">
        <v>1</v>
      </c>
    </row>
    <row r="16341" spans="1:7" x14ac:dyDescent="0.25">
      <c r="A16341">
        <v>48</v>
      </c>
      <c r="B16341" t="s">
        <v>15999</v>
      </c>
      <c r="C16341">
        <v>4214</v>
      </c>
      <c r="D16341" t="str">
        <f>"1528-4336"</f>
        <v>1528-4336</v>
      </c>
      <c r="E16341" t="s">
        <v>8</v>
      </c>
      <c r="F16341" t="s">
        <v>16346</v>
      </c>
      <c r="G16341">
        <v>1</v>
      </c>
    </row>
    <row r="16342" spans="1:7" x14ac:dyDescent="0.25">
      <c r="A16342">
        <v>48</v>
      </c>
      <c r="B16342" t="s">
        <v>15999</v>
      </c>
      <c r="C16342">
        <v>10813</v>
      </c>
      <c r="D16342" t="str">
        <f>"1464-2662"</f>
        <v>1464-2662</v>
      </c>
      <c r="E16342" t="s">
        <v>8</v>
      </c>
      <c r="F16342" t="s">
        <v>16347</v>
      </c>
      <c r="G16342">
        <v>1</v>
      </c>
    </row>
    <row r="16343" spans="1:7" x14ac:dyDescent="0.25">
      <c r="A16343">
        <v>48</v>
      </c>
      <c r="B16343" t="s">
        <v>15999</v>
      </c>
      <c r="C16343">
        <v>15240</v>
      </c>
      <c r="D16343" t="str">
        <f>"0018-5043"</f>
        <v>0018-5043</v>
      </c>
      <c r="E16343" t="s">
        <v>8</v>
      </c>
      <c r="F16343" t="s">
        <v>16348</v>
      </c>
      <c r="G16343">
        <v>1</v>
      </c>
    </row>
    <row r="16344" spans="1:7" x14ac:dyDescent="0.25">
      <c r="A16344">
        <v>48</v>
      </c>
      <c r="B16344" t="s">
        <v>15999</v>
      </c>
      <c r="C16344">
        <v>13805</v>
      </c>
      <c r="D16344" t="str">
        <f>"0018-506X"</f>
        <v>0018-506X</v>
      </c>
      <c r="E16344" t="s">
        <v>8</v>
      </c>
      <c r="F16344" t="s">
        <v>16349</v>
      </c>
      <c r="G16344">
        <v>1</v>
      </c>
    </row>
    <row r="16345" spans="1:7" x14ac:dyDescent="0.25">
      <c r="A16345">
        <v>48</v>
      </c>
      <c r="B16345" t="s">
        <v>15999</v>
      </c>
      <c r="C16345">
        <v>12420</v>
      </c>
      <c r="D16345" t="str">
        <f>"2154-8331"</f>
        <v>2154-8331</v>
      </c>
      <c r="E16345" t="s">
        <v>8</v>
      </c>
      <c r="F16345" t="s">
        <v>16350</v>
      </c>
      <c r="G16345">
        <v>1</v>
      </c>
    </row>
    <row r="16346" spans="1:7" x14ac:dyDescent="0.25">
      <c r="A16346">
        <v>48</v>
      </c>
      <c r="B16346" t="s">
        <v>15999</v>
      </c>
      <c r="C16346">
        <v>13710</v>
      </c>
      <c r="D16346" t="str">
        <f>"0916-9636"</f>
        <v>0916-9636</v>
      </c>
      <c r="E16346" t="s">
        <v>8</v>
      </c>
      <c r="F16346" t="s">
        <v>16351</v>
      </c>
      <c r="G16346">
        <v>1</v>
      </c>
    </row>
    <row r="16347" spans="1:7" x14ac:dyDescent="0.25">
      <c r="A16347">
        <v>48</v>
      </c>
      <c r="B16347" t="s">
        <v>15999</v>
      </c>
      <c r="C16347">
        <v>16735</v>
      </c>
      <c r="D16347" t="str">
        <f>"0093-7711"</f>
        <v>0093-7711</v>
      </c>
      <c r="E16347" t="s">
        <v>8</v>
      </c>
      <c r="F16347" t="s">
        <v>16352</v>
      </c>
      <c r="G16347">
        <v>1</v>
      </c>
    </row>
    <row r="16348" spans="1:7" x14ac:dyDescent="0.25">
      <c r="A16348">
        <v>48</v>
      </c>
      <c r="B16348" t="s">
        <v>15999</v>
      </c>
      <c r="C16348">
        <v>10976</v>
      </c>
      <c r="D16348" t="str">
        <f>"0889-8561"</f>
        <v>0889-8561</v>
      </c>
      <c r="E16348" t="s">
        <v>8</v>
      </c>
      <c r="F16348" t="s">
        <v>16353</v>
      </c>
      <c r="G16348">
        <v>1</v>
      </c>
    </row>
    <row r="16349" spans="1:7" x14ac:dyDescent="0.25">
      <c r="A16349">
        <v>48</v>
      </c>
      <c r="B16349" t="s">
        <v>15999</v>
      </c>
      <c r="C16349">
        <v>14473</v>
      </c>
      <c r="D16349" t="str">
        <f>"0254-8860"</f>
        <v>0254-8860</v>
      </c>
      <c r="E16349" t="s">
        <v>8</v>
      </c>
      <c r="F16349" t="s">
        <v>16354</v>
      </c>
      <c r="G16349">
        <v>1</v>
      </c>
    </row>
    <row r="16350" spans="1:7" x14ac:dyDescent="0.25">
      <c r="A16350">
        <v>48</v>
      </c>
      <c r="B16350" t="s">
        <v>15999</v>
      </c>
      <c r="C16350">
        <v>16790</v>
      </c>
      <c r="D16350" t="str">
        <f>"0899-823X"</f>
        <v>0899-823X</v>
      </c>
      <c r="E16350" t="s">
        <v>8</v>
      </c>
      <c r="F16350" t="s">
        <v>16355</v>
      </c>
      <c r="G16350">
        <v>1</v>
      </c>
    </row>
    <row r="16351" spans="1:7" x14ac:dyDescent="0.25">
      <c r="A16351">
        <v>48</v>
      </c>
      <c r="B16351" t="s">
        <v>15999</v>
      </c>
      <c r="C16351">
        <v>12045</v>
      </c>
      <c r="D16351" t="str">
        <f>"0300-8126"</f>
        <v>0300-8126</v>
      </c>
      <c r="E16351" t="s">
        <v>8</v>
      </c>
      <c r="F16351" t="s">
        <v>16356</v>
      </c>
      <c r="G16351">
        <v>1</v>
      </c>
    </row>
    <row r="16352" spans="1:7" x14ac:dyDescent="0.25">
      <c r="A16352">
        <v>48</v>
      </c>
      <c r="B16352" t="s">
        <v>15999</v>
      </c>
      <c r="C16352">
        <v>252</v>
      </c>
      <c r="D16352" t="str">
        <f>"0891-5520"</f>
        <v>0891-5520</v>
      </c>
      <c r="E16352" t="s">
        <v>8</v>
      </c>
      <c r="F16352" t="s">
        <v>16357</v>
      </c>
      <c r="G16352">
        <v>1</v>
      </c>
    </row>
    <row r="16353" spans="1:7" x14ac:dyDescent="0.25">
      <c r="A16353">
        <v>48</v>
      </c>
      <c r="B16353" t="s">
        <v>15999</v>
      </c>
      <c r="C16353">
        <v>13449</v>
      </c>
      <c r="D16353" t="str">
        <f>"2374-4235"</f>
        <v>2374-4235</v>
      </c>
      <c r="E16353" t="s">
        <v>8</v>
      </c>
      <c r="F16353" t="s">
        <v>16358</v>
      </c>
      <c r="G16353">
        <v>1</v>
      </c>
    </row>
    <row r="16354" spans="1:7" x14ac:dyDescent="0.25">
      <c r="A16354">
        <v>48</v>
      </c>
      <c r="B16354" t="s">
        <v>15999</v>
      </c>
      <c r="C16354">
        <v>356</v>
      </c>
      <c r="D16354" t="str">
        <f>"1056-9103"</f>
        <v>1056-9103</v>
      </c>
      <c r="E16354" t="s">
        <v>8</v>
      </c>
      <c r="F16354" t="s">
        <v>16359</v>
      </c>
      <c r="G16354">
        <v>1</v>
      </c>
    </row>
    <row r="16355" spans="1:7" x14ac:dyDescent="0.25">
      <c r="A16355">
        <v>48</v>
      </c>
      <c r="B16355" t="s">
        <v>15999</v>
      </c>
      <c r="C16355">
        <v>7744782</v>
      </c>
      <c r="D16355" t="str">
        <f>"2049-9957"</f>
        <v>2049-9957</v>
      </c>
      <c r="E16355" t="s">
        <v>8</v>
      </c>
      <c r="F16355" t="s">
        <v>16360</v>
      </c>
      <c r="G16355">
        <v>1</v>
      </c>
    </row>
    <row r="16356" spans="1:7" x14ac:dyDescent="0.25">
      <c r="A16356">
        <v>48</v>
      </c>
      <c r="B16356" t="s">
        <v>15999</v>
      </c>
      <c r="C16356">
        <v>1356</v>
      </c>
      <c r="D16356" t="str">
        <f>"0360-3997"</f>
        <v>0360-3997</v>
      </c>
      <c r="E16356" t="s">
        <v>8</v>
      </c>
      <c r="F16356" t="s">
        <v>16361</v>
      </c>
      <c r="G16356">
        <v>1</v>
      </c>
    </row>
    <row r="16357" spans="1:7" x14ac:dyDescent="0.25">
      <c r="A16357">
        <v>48</v>
      </c>
      <c r="B16357" t="s">
        <v>15999</v>
      </c>
      <c r="C16357">
        <v>6373</v>
      </c>
      <c r="D16357" t="str">
        <f>"1023-3830"</f>
        <v>1023-3830</v>
      </c>
      <c r="E16357" t="s">
        <v>8</v>
      </c>
      <c r="F16357" t="s">
        <v>16362</v>
      </c>
      <c r="G16357">
        <v>1</v>
      </c>
    </row>
    <row r="16358" spans="1:7" x14ac:dyDescent="0.25">
      <c r="A16358">
        <v>48</v>
      </c>
      <c r="B16358" t="s">
        <v>15999</v>
      </c>
      <c r="C16358">
        <v>8473</v>
      </c>
      <c r="D16358" t="str">
        <f>"1444-0903"</f>
        <v>1444-0903</v>
      </c>
      <c r="E16358" t="s">
        <v>8</v>
      </c>
      <c r="F16358" t="s">
        <v>16363</v>
      </c>
      <c r="G16358">
        <v>1</v>
      </c>
    </row>
    <row r="16359" spans="1:7" x14ac:dyDescent="0.25">
      <c r="A16359">
        <v>48</v>
      </c>
      <c r="B16359" t="s">
        <v>15999</v>
      </c>
      <c r="C16359">
        <v>15276</v>
      </c>
      <c r="D16359" t="str">
        <f>"0392-9590"</f>
        <v>0392-9590</v>
      </c>
      <c r="E16359" t="s">
        <v>8</v>
      </c>
      <c r="F16359" t="s">
        <v>16364</v>
      </c>
      <c r="G16359">
        <v>1</v>
      </c>
    </row>
    <row r="16360" spans="1:7" x14ac:dyDescent="0.25">
      <c r="A16360">
        <v>48</v>
      </c>
      <c r="B16360" t="s">
        <v>15999</v>
      </c>
      <c r="C16360">
        <v>11401</v>
      </c>
      <c r="D16360" t="str">
        <f>"1018-2438"</f>
        <v>1018-2438</v>
      </c>
      <c r="E16360" t="s">
        <v>8</v>
      </c>
      <c r="F16360" t="s">
        <v>16365</v>
      </c>
      <c r="G16360">
        <v>1</v>
      </c>
    </row>
    <row r="16361" spans="1:7" x14ac:dyDescent="0.25">
      <c r="A16361">
        <v>48</v>
      </c>
      <c r="B16361" t="s">
        <v>15999</v>
      </c>
      <c r="C16361">
        <v>17082</v>
      </c>
      <c r="D16361" t="str">
        <f>"1349-2365"</f>
        <v>1349-2365</v>
      </c>
      <c r="E16361" t="s">
        <v>8</v>
      </c>
      <c r="F16361" t="s">
        <v>16366</v>
      </c>
      <c r="G16361">
        <v>1</v>
      </c>
    </row>
    <row r="16362" spans="1:7" x14ac:dyDescent="0.25">
      <c r="A16362">
        <v>48</v>
      </c>
      <c r="B16362" t="s">
        <v>15999</v>
      </c>
      <c r="C16362">
        <v>8457</v>
      </c>
      <c r="D16362" t="str">
        <f>"0953-8178"</f>
        <v>0953-8178</v>
      </c>
      <c r="E16362" t="s">
        <v>8</v>
      </c>
      <c r="F16362" t="s">
        <v>16367</v>
      </c>
      <c r="G16362">
        <v>1</v>
      </c>
    </row>
    <row r="16363" spans="1:7" x14ac:dyDescent="0.25">
      <c r="A16363">
        <v>48</v>
      </c>
      <c r="B16363" t="s">
        <v>15999</v>
      </c>
      <c r="C16363">
        <v>14525</v>
      </c>
      <c r="D16363" t="str">
        <f>"0020-7136"</f>
        <v>0020-7136</v>
      </c>
      <c r="E16363" t="s">
        <v>8</v>
      </c>
      <c r="F16363" t="s">
        <v>16368</v>
      </c>
      <c r="G16363">
        <v>1</v>
      </c>
    </row>
    <row r="16364" spans="1:7" x14ac:dyDescent="0.25">
      <c r="A16364">
        <v>48</v>
      </c>
      <c r="B16364" t="s">
        <v>15999</v>
      </c>
      <c r="C16364">
        <v>13705</v>
      </c>
      <c r="D16364" t="str">
        <f>"0167-5273"</f>
        <v>0167-5273</v>
      </c>
      <c r="E16364" t="s">
        <v>8</v>
      </c>
      <c r="F16364" t="s">
        <v>16369</v>
      </c>
      <c r="G16364">
        <v>1</v>
      </c>
    </row>
    <row r="16365" spans="1:7" x14ac:dyDescent="0.25">
      <c r="A16365">
        <v>48</v>
      </c>
      <c r="B16365" t="s">
        <v>15999</v>
      </c>
      <c r="C16365">
        <v>153960</v>
      </c>
      <c r="D16365" t="str">
        <f>"1178-2005"</f>
        <v>1178-2005</v>
      </c>
      <c r="E16365" t="s">
        <v>8</v>
      </c>
      <c r="F16365" t="s">
        <v>16370</v>
      </c>
      <c r="G16365">
        <v>1</v>
      </c>
    </row>
    <row r="16366" spans="1:7" x14ac:dyDescent="0.25">
      <c r="A16366">
        <v>48</v>
      </c>
      <c r="B16366" t="s">
        <v>15999</v>
      </c>
      <c r="C16366">
        <v>14804</v>
      </c>
      <c r="D16366" t="str">
        <f>"1341-9625"</f>
        <v>1341-9625</v>
      </c>
      <c r="E16366" t="s">
        <v>8</v>
      </c>
      <c r="F16366" t="s">
        <v>16371</v>
      </c>
      <c r="G16366">
        <v>1</v>
      </c>
    </row>
    <row r="16367" spans="1:7" x14ac:dyDescent="0.25">
      <c r="A16367">
        <v>48</v>
      </c>
      <c r="B16367" t="s">
        <v>15999</v>
      </c>
      <c r="C16367">
        <v>6157644</v>
      </c>
      <c r="D16367" t="str">
        <f>"1865-1372"</f>
        <v>1865-1372</v>
      </c>
      <c r="E16367" t="s">
        <v>8</v>
      </c>
      <c r="F16367" t="s">
        <v>16372</v>
      </c>
      <c r="G16367">
        <v>1</v>
      </c>
    </row>
    <row r="16368" spans="1:7" x14ac:dyDescent="0.25">
      <c r="A16368">
        <v>48</v>
      </c>
      <c r="B16368" t="s">
        <v>15999</v>
      </c>
      <c r="C16368">
        <v>34967</v>
      </c>
      <c r="D16368" t="str">
        <f>"1687-8337"</f>
        <v>1687-8337</v>
      </c>
      <c r="E16368" t="s">
        <v>8</v>
      </c>
      <c r="F16368" t="s">
        <v>16373</v>
      </c>
      <c r="G16368">
        <v>1</v>
      </c>
    </row>
    <row r="16369" spans="1:7" x14ac:dyDescent="0.25">
      <c r="A16369">
        <v>48</v>
      </c>
      <c r="B16369" t="s">
        <v>15999</v>
      </c>
      <c r="C16369">
        <v>7737697</v>
      </c>
      <c r="D16369" t="str">
        <f>"2045-1393"</f>
        <v>2045-1393</v>
      </c>
      <c r="E16369" t="s">
        <v>8</v>
      </c>
      <c r="F16369" t="s">
        <v>16374</v>
      </c>
      <c r="G16369">
        <v>1</v>
      </c>
    </row>
    <row r="16370" spans="1:7" x14ac:dyDescent="0.25">
      <c r="A16370">
        <v>48</v>
      </c>
      <c r="B16370" t="s">
        <v>15999</v>
      </c>
      <c r="C16370">
        <v>3516</v>
      </c>
      <c r="D16370" t="str">
        <f>"0925-5710"</f>
        <v>0925-5710</v>
      </c>
      <c r="E16370" t="s">
        <v>8</v>
      </c>
      <c r="F16370" t="s">
        <v>16375</v>
      </c>
      <c r="G16370">
        <v>1</v>
      </c>
    </row>
    <row r="16371" spans="1:7" x14ac:dyDescent="0.25">
      <c r="A16371">
        <v>48</v>
      </c>
      <c r="B16371" t="s">
        <v>15999</v>
      </c>
      <c r="C16371">
        <v>16903</v>
      </c>
      <c r="D16371" t="str">
        <f>"0265-6736"</f>
        <v>0265-6736</v>
      </c>
      <c r="E16371" t="s">
        <v>8</v>
      </c>
      <c r="F16371" t="s">
        <v>16376</v>
      </c>
      <c r="G16371">
        <v>1</v>
      </c>
    </row>
    <row r="16372" spans="1:7" x14ac:dyDescent="0.25">
      <c r="A16372">
        <v>48</v>
      </c>
      <c r="B16372" t="s">
        <v>15999</v>
      </c>
      <c r="C16372">
        <v>2925</v>
      </c>
      <c r="D16372" t="str">
        <f>"0955-9930"</f>
        <v>0955-9930</v>
      </c>
      <c r="E16372" t="s">
        <v>8</v>
      </c>
      <c r="F16372" t="s">
        <v>16377</v>
      </c>
      <c r="G16372">
        <v>1</v>
      </c>
    </row>
    <row r="16373" spans="1:7" x14ac:dyDescent="0.25">
      <c r="A16373">
        <v>48</v>
      </c>
      <c r="B16373" t="s">
        <v>15999</v>
      </c>
      <c r="C16373">
        <v>15073</v>
      </c>
      <c r="D16373" t="str">
        <f>"1201-9712"</f>
        <v>1201-9712</v>
      </c>
      <c r="E16373" t="s">
        <v>8</v>
      </c>
      <c r="F16373" t="s">
        <v>16378</v>
      </c>
      <c r="G16373">
        <v>1</v>
      </c>
    </row>
    <row r="16374" spans="1:7" x14ac:dyDescent="0.25">
      <c r="A16374">
        <v>48</v>
      </c>
      <c r="B16374" t="s">
        <v>15999</v>
      </c>
      <c r="C16374">
        <v>6984</v>
      </c>
      <c r="D16374" t="str">
        <f>"1751-5521"</f>
        <v>1751-5521</v>
      </c>
      <c r="E16374" t="s">
        <v>8</v>
      </c>
      <c r="F16374" t="s">
        <v>16379</v>
      </c>
      <c r="G16374">
        <v>1</v>
      </c>
    </row>
    <row r="16375" spans="1:7" x14ac:dyDescent="0.25">
      <c r="A16375">
        <v>48</v>
      </c>
      <c r="B16375" t="s">
        <v>15999</v>
      </c>
      <c r="C16375">
        <v>49347</v>
      </c>
      <c r="D16375" t="str">
        <f>"1449-1907"</f>
        <v>1449-1907</v>
      </c>
      <c r="E16375" t="s">
        <v>8</v>
      </c>
      <c r="F16375" t="s">
        <v>16380</v>
      </c>
      <c r="G16375">
        <v>1</v>
      </c>
    </row>
    <row r="16376" spans="1:7" x14ac:dyDescent="0.25">
      <c r="A16376">
        <v>48</v>
      </c>
      <c r="B16376" t="s">
        <v>15999</v>
      </c>
      <c r="C16376">
        <v>14857</v>
      </c>
      <c r="D16376" t="str">
        <f>"1019-6439"</f>
        <v>1019-6439</v>
      </c>
      <c r="E16376" t="s">
        <v>8</v>
      </c>
      <c r="F16376" t="s">
        <v>16381</v>
      </c>
      <c r="G16376">
        <v>1</v>
      </c>
    </row>
    <row r="16377" spans="1:7" x14ac:dyDescent="0.25">
      <c r="A16377">
        <v>48</v>
      </c>
      <c r="B16377" t="s">
        <v>15999</v>
      </c>
      <c r="C16377">
        <v>15693</v>
      </c>
      <c r="D16377" t="str">
        <f>"0360-3016"</f>
        <v>0360-3016</v>
      </c>
      <c r="E16377" t="s">
        <v>8</v>
      </c>
      <c r="F16377" t="s">
        <v>16382</v>
      </c>
      <c r="G16377">
        <v>1</v>
      </c>
    </row>
    <row r="16378" spans="1:7" x14ac:dyDescent="0.25">
      <c r="A16378">
        <v>48</v>
      </c>
      <c r="B16378" t="s">
        <v>15999</v>
      </c>
      <c r="C16378">
        <v>88494</v>
      </c>
      <c r="D16378" t="str">
        <f>"1756-1841"</f>
        <v>1756-1841</v>
      </c>
      <c r="E16378" t="s">
        <v>8</v>
      </c>
      <c r="F16378" t="s">
        <v>16383</v>
      </c>
      <c r="G16378">
        <v>1</v>
      </c>
    </row>
    <row r="16379" spans="1:7" x14ac:dyDescent="0.25">
      <c r="A16379">
        <v>48</v>
      </c>
      <c r="B16379" t="s">
        <v>15999</v>
      </c>
      <c r="C16379">
        <v>154190</v>
      </c>
      <c r="D16379" t="str">
        <f>"1687-9260"</f>
        <v>1687-9260</v>
      </c>
      <c r="E16379" t="s">
        <v>8</v>
      </c>
      <c r="F16379" t="s">
        <v>16384</v>
      </c>
      <c r="G16379">
        <v>1</v>
      </c>
    </row>
    <row r="16380" spans="1:7" x14ac:dyDescent="0.25">
      <c r="A16380">
        <v>48</v>
      </c>
      <c r="B16380" t="s">
        <v>15999</v>
      </c>
      <c r="C16380">
        <v>7106</v>
      </c>
      <c r="D16380" t="str">
        <f>"0956-4624"</f>
        <v>0956-4624</v>
      </c>
      <c r="E16380" t="s">
        <v>8</v>
      </c>
      <c r="F16380" t="s">
        <v>16385</v>
      </c>
      <c r="G16380">
        <v>1</v>
      </c>
    </row>
    <row r="16381" spans="1:7" x14ac:dyDescent="0.25">
      <c r="A16381">
        <v>48</v>
      </c>
      <c r="B16381" t="s">
        <v>15999</v>
      </c>
      <c r="C16381">
        <v>12539</v>
      </c>
      <c r="D16381" t="str">
        <f>"1027-3719"</f>
        <v>1027-3719</v>
      </c>
      <c r="E16381" t="s">
        <v>8</v>
      </c>
      <c r="F16381" t="s">
        <v>16386</v>
      </c>
      <c r="G16381">
        <v>1</v>
      </c>
    </row>
    <row r="16382" spans="1:7" x14ac:dyDescent="0.25">
      <c r="A16382">
        <v>48</v>
      </c>
      <c r="B16382" t="s">
        <v>15999</v>
      </c>
      <c r="C16382">
        <v>131378</v>
      </c>
      <c r="D16382" t="str">
        <f>"1341-2051"</f>
        <v>1341-2051</v>
      </c>
      <c r="E16382" t="s">
        <v>8</v>
      </c>
      <c r="F16382" t="s">
        <v>16387</v>
      </c>
      <c r="G16382">
        <v>1</v>
      </c>
    </row>
    <row r="16383" spans="1:7" x14ac:dyDescent="0.25">
      <c r="A16383">
        <v>48</v>
      </c>
      <c r="B16383" t="s">
        <v>15999</v>
      </c>
      <c r="C16383">
        <v>9137</v>
      </c>
      <c r="D16383" t="str">
        <f>"0883-0185"</f>
        <v>0883-0185</v>
      </c>
      <c r="E16383" t="s">
        <v>8</v>
      </c>
      <c r="F16383" t="s">
        <v>16388</v>
      </c>
      <c r="G16383">
        <v>1</v>
      </c>
    </row>
    <row r="16384" spans="1:7" x14ac:dyDescent="0.25">
      <c r="A16384">
        <v>48</v>
      </c>
      <c r="B16384" t="s">
        <v>15999</v>
      </c>
      <c r="C16384">
        <v>210</v>
      </c>
      <c r="D16384" t="str">
        <f>"0301-1623"</f>
        <v>0301-1623</v>
      </c>
      <c r="E16384" t="s">
        <v>8</v>
      </c>
      <c r="F16384" t="s">
        <v>16389</v>
      </c>
      <c r="G16384">
        <v>1</v>
      </c>
    </row>
    <row r="16385" spans="1:7" x14ac:dyDescent="0.25">
      <c r="A16385">
        <v>48</v>
      </c>
      <c r="B16385" t="s">
        <v>15999</v>
      </c>
      <c r="C16385">
        <v>6162437</v>
      </c>
      <c r="D16385" t="str">
        <f>"1938-2014"</f>
        <v>1938-2014</v>
      </c>
      <c r="E16385" t="s">
        <v>8</v>
      </c>
      <c r="F16385" t="s">
        <v>16390</v>
      </c>
      <c r="G16385">
        <v>1</v>
      </c>
    </row>
    <row r="16386" spans="1:7" x14ac:dyDescent="0.25">
      <c r="A16386">
        <v>48</v>
      </c>
      <c r="B16386" t="s">
        <v>15999</v>
      </c>
      <c r="C16386">
        <v>8783326</v>
      </c>
      <c r="E16386" t="s">
        <v>8</v>
      </c>
      <c r="F16386" t="s">
        <v>16391</v>
      </c>
      <c r="G16386">
        <v>1</v>
      </c>
    </row>
    <row r="16387" spans="1:7" x14ac:dyDescent="0.25">
      <c r="A16387">
        <v>48</v>
      </c>
      <c r="B16387" t="s">
        <v>15999</v>
      </c>
      <c r="C16387">
        <v>8780113</v>
      </c>
      <c r="D16387" t="str">
        <f>"2374-2437"</f>
        <v>2374-2437</v>
      </c>
      <c r="E16387" t="s">
        <v>8</v>
      </c>
      <c r="F16387" t="s">
        <v>16392</v>
      </c>
      <c r="G16387">
        <v>1</v>
      </c>
    </row>
    <row r="16388" spans="1:7" x14ac:dyDescent="0.25">
      <c r="A16388">
        <v>48</v>
      </c>
      <c r="B16388" t="s">
        <v>15999</v>
      </c>
      <c r="C16388">
        <v>13</v>
      </c>
      <c r="D16388" t="str">
        <f>"0368-2811"</f>
        <v>0368-2811</v>
      </c>
      <c r="E16388" t="s">
        <v>8</v>
      </c>
      <c r="F16388" t="s">
        <v>16393</v>
      </c>
      <c r="G16388">
        <v>1</v>
      </c>
    </row>
    <row r="16389" spans="1:7" x14ac:dyDescent="0.25">
      <c r="A16389">
        <v>48</v>
      </c>
      <c r="B16389" t="s">
        <v>15999</v>
      </c>
      <c r="C16389">
        <v>16885</v>
      </c>
      <c r="D16389" t="str">
        <f>"1344-6304"</f>
        <v>1344-6304</v>
      </c>
      <c r="E16389" t="s">
        <v>8</v>
      </c>
      <c r="F16389" t="s">
        <v>16394</v>
      </c>
      <c r="G16389">
        <v>1</v>
      </c>
    </row>
    <row r="16390" spans="1:7" x14ac:dyDescent="0.25">
      <c r="A16390">
        <v>48</v>
      </c>
      <c r="B16390" t="s">
        <v>15999</v>
      </c>
      <c r="C16390">
        <v>8783350</v>
      </c>
      <c r="E16390" t="s">
        <v>8</v>
      </c>
      <c r="F16390" t="s">
        <v>16395</v>
      </c>
      <c r="G16390">
        <v>1</v>
      </c>
    </row>
    <row r="16391" spans="1:7" x14ac:dyDescent="0.25">
      <c r="A16391">
        <v>48</v>
      </c>
      <c r="B16391" t="s">
        <v>15999</v>
      </c>
      <c r="C16391">
        <v>8782742</v>
      </c>
      <c r="E16391" t="s">
        <v>8</v>
      </c>
      <c r="F16391" t="s">
        <v>16396</v>
      </c>
      <c r="G16391">
        <v>1</v>
      </c>
    </row>
    <row r="16392" spans="1:7" x14ac:dyDescent="0.25">
      <c r="A16392">
        <v>48</v>
      </c>
      <c r="B16392" t="s">
        <v>15999</v>
      </c>
      <c r="C16392">
        <v>7213</v>
      </c>
      <c r="D16392" t="str">
        <f>"1297-319X"</f>
        <v>1297-319X</v>
      </c>
      <c r="E16392" t="s">
        <v>8</v>
      </c>
      <c r="F16392" t="s">
        <v>16397</v>
      </c>
      <c r="G16392">
        <v>1</v>
      </c>
    </row>
    <row r="16393" spans="1:7" x14ac:dyDescent="0.25">
      <c r="A16393">
        <v>48</v>
      </c>
      <c r="B16393" t="s">
        <v>15999</v>
      </c>
      <c r="C16393">
        <v>7702256</v>
      </c>
      <c r="D16393" t="str">
        <f>"2156-5333"</f>
        <v>2156-5333</v>
      </c>
      <c r="E16393" t="s">
        <v>8</v>
      </c>
      <c r="F16393" t="s">
        <v>16398</v>
      </c>
      <c r="G16393">
        <v>1</v>
      </c>
    </row>
    <row r="16394" spans="1:7" x14ac:dyDescent="0.25">
      <c r="A16394">
        <v>48</v>
      </c>
      <c r="B16394" t="s">
        <v>15999</v>
      </c>
      <c r="C16394">
        <v>14241</v>
      </c>
      <c r="D16394" t="str">
        <f>"0305-7453"</f>
        <v>0305-7453</v>
      </c>
      <c r="E16394" t="s">
        <v>8</v>
      </c>
      <c r="F16394" t="s">
        <v>16399</v>
      </c>
      <c r="G16394">
        <v>1</v>
      </c>
    </row>
    <row r="16395" spans="1:7" x14ac:dyDescent="0.25">
      <c r="A16395">
        <v>48</v>
      </c>
      <c r="B16395" t="s">
        <v>15999</v>
      </c>
      <c r="C16395">
        <v>13299</v>
      </c>
      <c r="D16395" t="str">
        <f>"0277-0903"</f>
        <v>0277-0903</v>
      </c>
      <c r="E16395" t="s">
        <v>8</v>
      </c>
      <c r="F16395" t="s">
        <v>16400</v>
      </c>
      <c r="G16395">
        <v>1</v>
      </c>
    </row>
    <row r="16396" spans="1:7" x14ac:dyDescent="0.25">
      <c r="A16396">
        <v>48</v>
      </c>
      <c r="B16396" t="s">
        <v>15999</v>
      </c>
      <c r="C16396">
        <v>8184</v>
      </c>
      <c r="D16396" t="str">
        <f>"0896-8411"</f>
        <v>0896-8411</v>
      </c>
      <c r="E16396" t="s">
        <v>8</v>
      </c>
      <c r="F16396" t="s">
        <v>16401</v>
      </c>
      <c r="G16396">
        <v>1</v>
      </c>
    </row>
    <row r="16397" spans="1:7" x14ac:dyDescent="0.25">
      <c r="A16397">
        <v>48</v>
      </c>
      <c r="B16397" t="s">
        <v>15999</v>
      </c>
      <c r="C16397">
        <v>8564</v>
      </c>
      <c r="D16397" t="str">
        <f>"0914-8779"</f>
        <v>0914-8779</v>
      </c>
      <c r="E16397" t="s">
        <v>8</v>
      </c>
      <c r="F16397" t="s">
        <v>16402</v>
      </c>
      <c r="G16397">
        <v>1</v>
      </c>
    </row>
    <row r="16398" spans="1:7" x14ac:dyDescent="0.25">
      <c r="A16398">
        <v>48</v>
      </c>
      <c r="B16398" t="s">
        <v>15999</v>
      </c>
      <c r="C16398">
        <v>7745595</v>
      </c>
      <c r="D16398" t="str">
        <f>"2212-1366"</f>
        <v>2212-1366</v>
      </c>
      <c r="E16398" t="s">
        <v>8</v>
      </c>
      <c r="F16398" t="s">
        <v>16403</v>
      </c>
      <c r="G16398">
        <v>1</v>
      </c>
    </row>
    <row r="16399" spans="1:7" x14ac:dyDescent="0.25">
      <c r="A16399">
        <v>48</v>
      </c>
      <c r="B16399" t="s">
        <v>15999</v>
      </c>
      <c r="C16399">
        <v>16231</v>
      </c>
      <c r="D16399" t="str">
        <f>"1944-6586"</f>
        <v>1944-6586</v>
      </c>
      <c r="E16399" t="s">
        <v>8</v>
      </c>
      <c r="F16399" t="s">
        <v>16404</v>
      </c>
      <c r="G16399">
        <v>1</v>
      </c>
    </row>
    <row r="16400" spans="1:7" x14ac:dyDescent="0.25">
      <c r="A16400">
        <v>48</v>
      </c>
      <c r="B16400" t="s">
        <v>15999</v>
      </c>
      <c r="C16400">
        <v>9192</v>
      </c>
      <c r="D16400" t="str">
        <f>"0171-5216"</f>
        <v>0171-5216</v>
      </c>
      <c r="E16400" t="s">
        <v>8</v>
      </c>
      <c r="F16400" t="s">
        <v>16405</v>
      </c>
      <c r="G16400">
        <v>1</v>
      </c>
    </row>
    <row r="16401" spans="1:7" x14ac:dyDescent="0.25">
      <c r="A16401">
        <v>48</v>
      </c>
      <c r="B16401" t="s">
        <v>15999</v>
      </c>
      <c r="C16401">
        <v>18908</v>
      </c>
      <c r="D16401" t="str">
        <f>"1932-2259"</f>
        <v>1932-2259</v>
      </c>
      <c r="E16401" t="s">
        <v>8</v>
      </c>
      <c r="F16401" t="s">
        <v>16406</v>
      </c>
      <c r="G16401">
        <v>1</v>
      </c>
    </row>
    <row r="16402" spans="1:7" x14ac:dyDescent="0.25">
      <c r="A16402">
        <v>48</v>
      </c>
      <c r="B16402" t="s">
        <v>15999</v>
      </c>
      <c r="C16402">
        <v>12924</v>
      </c>
      <c r="D16402" t="str">
        <f>"1071-9164"</f>
        <v>1071-9164</v>
      </c>
      <c r="E16402" t="s">
        <v>8</v>
      </c>
      <c r="F16402" t="s">
        <v>16407</v>
      </c>
      <c r="G16402">
        <v>1</v>
      </c>
    </row>
    <row r="16403" spans="1:7" x14ac:dyDescent="0.25">
      <c r="A16403">
        <v>48</v>
      </c>
      <c r="B16403" t="s">
        <v>15999</v>
      </c>
      <c r="C16403">
        <v>17881</v>
      </c>
      <c r="D16403" t="str">
        <f>"1932-7501"</f>
        <v>1932-7501</v>
      </c>
      <c r="E16403" t="s">
        <v>8</v>
      </c>
      <c r="F16403" t="s">
        <v>16408</v>
      </c>
      <c r="G16403">
        <v>1</v>
      </c>
    </row>
    <row r="16404" spans="1:7" x14ac:dyDescent="0.25">
      <c r="A16404">
        <v>48</v>
      </c>
      <c r="B16404" t="s">
        <v>15999</v>
      </c>
      <c r="C16404">
        <v>18642</v>
      </c>
      <c r="D16404" t="str">
        <f>"1934-5925"</f>
        <v>1934-5925</v>
      </c>
      <c r="E16404" t="s">
        <v>8</v>
      </c>
      <c r="F16404" t="s">
        <v>16409</v>
      </c>
      <c r="G16404">
        <v>1</v>
      </c>
    </row>
    <row r="16405" spans="1:7" x14ac:dyDescent="0.25">
      <c r="A16405">
        <v>48</v>
      </c>
      <c r="B16405" t="s">
        <v>15999</v>
      </c>
      <c r="C16405">
        <v>15262</v>
      </c>
      <c r="D16405" t="str">
        <f>"1045-3873"</f>
        <v>1045-3873</v>
      </c>
      <c r="E16405" t="s">
        <v>8</v>
      </c>
      <c r="F16405" t="s">
        <v>16410</v>
      </c>
      <c r="G16405">
        <v>1</v>
      </c>
    </row>
    <row r="16406" spans="1:7" x14ac:dyDescent="0.25">
      <c r="A16406">
        <v>48</v>
      </c>
      <c r="B16406" t="s">
        <v>15999</v>
      </c>
      <c r="C16406">
        <v>13950</v>
      </c>
      <c r="D16406" t="str">
        <f>"1097-6647"</f>
        <v>1097-6647</v>
      </c>
      <c r="E16406" t="s">
        <v>8</v>
      </c>
      <c r="F16406" t="s">
        <v>16411</v>
      </c>
      <c r="G16406">
        <v>1</v>
      </c>
    </row>
    <row r="16407" spans="1:7" x14ac:dyDescent="0.25">
      <c r="A16407">
        <v>48</v>
      </c>
      <c r="B16407" t="s">
        <v>15999</v>
      </c>
      <c r="C16407">
        <v>17673</v>
      </c>
      <c r="D16407" t="str">
        <f>"1558-2027"</f>
        <v>1558-2027</v>
      </c>
      <c r="E16407" t="s">
        <v>8</v>
      </c>
      <c r="F16407" t="s">
        <v>16412</v>
      </c>
      <c r="G16407">
        <v>1</v>
      </c>
    </row>
    <row r="16408" spans="1:7" x14ac:dyDescent="0.25">
      <c r="A16408">
        <v>48</v>
      </c>
      <c r="B16408" t="s">
        <v>15999</v>
      </c>
      <c r="C16408">
        <v>25351</v>
      </c>
      <c r="D16408" t="str">
        <f>"1937-5387"</f>
        <v>1937-5387</v>
      </c>
      <c r="E16408" t="s">
        <v>8</v>
      </c>
      <c r="F16408" t="s">
        <v>16413</v>
      </c>
      <c r="G16408">
        <v>1</v>
      </c>
    </row>
    <row r="16409" spans="1:7" x14ac:dyDescent="0.25">
      <c r="A16409">
        <v>48</v>
      </c>
      <c r="B16409" t="s">
        <v>15999</v>
      </c>
      <c r="C16409">
        <v>4241</v>
      </c>
      <c r="D16409" t="str">
        <f>"1120-009X"</f>
        <v>1120-009X</v>
      </c>
      <c r="E16409" t="s">
        <v>8</v>
      </c>
      <c r="F16409" t="s">
        <v>16414</v>
      </c>
      <c r="G16409">
        <v>1</v>
      </c>
    </row>
    <row r="16410" spans="1:7" x14ac:dyDescent="0.25">
      <c r="A16410">
        <v>48</v>
      </c>
      <c r="B16410" t="s">
        <v>15999</v>
      </c>
      <c r="C16410">
        <v>2871</v>
      </c>
      <c r="D16410" t="str">
        <f>"0733-2459"</f>
        <v>0733-2459</v>
      </c>
      <c r="E16410" t="s">
        <v>8</v>
      </c>
      <c r="F16410" t="s">
        <v>16415</v>
      </c>
      <c r="G16410">
        <v>1</v>
      </c>
    </row>
    <row r="16411" spans="1:7" x14ac:dyDescent="0.25">
      <c r="A16411">
        <v>48</v>
      </c>
      <c r="B16411" t="s">
        <v>15999</v>
      </c>
      <c r="C16411">
        <v>3866</v>
      </c>
      <c r="D16411" t="str">
        <f>"0192-0790"</f>
        <v>0192-0790</v>
      </c>
      <c r="E16411" t="s">
        <v>8</v>
      </c>
      <c r="F16411" t="s">
        <v>16416</v>
      </c>
      <c r="G16411">
        <v>1</v>
      </c>
    </row>
    <row r="16412" spans="1:7" x14ac:dyDescent="0.25">
      <c r="A16412">
        <v>48</v>
      </c>
      <c r="B16412" t="s">
        <v>15999</v>
      </c>
      <c r="C16412">
        <v>22136</v>
      </c>
      <c r="D16412" t="str">
        <f>"1524-6175"</f>
        <v>1524-6175</v>
      </c>
      <c r="E16412" t="s">
        <v>8</v>
      </c>
      <c r="F16412" t="s">
        <v>16417</v>
      </c>
      <c r="G16412">
        <v>1</v>
      </c>
    </row>
    <row r="16413" spans="1:7" x14ac:dyDescent="0.25">
      <c r="A16413">
        <v>48</v>
      </c>
      <c r="B16413" t="s">
        <v>15999</v>
      </c>
      <c r="C16413">
        <v>3846</v>
      </c>
      <c r="D16413" t="str">
        <f>"0271-9142"</f>
        <v>0271-9142</v>
      </c>
      <c r="E16413" t="s">
        <v>8</v>
      </c>
      <c r="F16413" t="s">
        <v>16418</v>
      </c>
      <c r="G16413">
        <v>1</v>
      </c>
    </row>
    <row r="16414" spans="1:7" x14ac:dyDescent="0.25">
      <c r="A16414">
        <v>48</v>
      </c>
      <c r="B16414" t="s">
        <v>15999</v>
      </c>
      <c r="C16414">
        <v>5588</v>
      </c>
      <c r="D16414" t="str">
        <f>"0095-1137"</f>
        <v>0095-1137</v>
      </c>
      <c r="E16414" t="s">
        <v>8</v>
      </c>
      <c r="F16414" t="s">
        <v>16419</v>
      </c>
      <c r="G16414">
        <v>1</v>
      </c>
    </row>
    <row r="16415" spans="1:7" x14ac:dyDescent="0.25">
      <c r="A16415">
        <v>48</v>
      </c>
      <c r="B16415" t="s">
        <v>15999</v>
      </c>
      <c r="C16415">
        <v>10053</v>
      </c>
      <c r="D16415" t="str">
        <f>"1076-1608"</f>
        <v>1076-1608</v>
      </c>
      <c r="E16415" t="s">
        <v>8</v>
      </c>
      <c r="F16415" t="s">
        <v>16420</v>
      </c>
      <c r="G16415">
        <v>1</v>
      </c>
    </row>
    <row r="16416" spans="1:7" x14ac:dyDescent="0.25">
      <c r="A16416">
        <v>48</v>
      </c>
      <c r="B16416" t="s">
        <v>15999</v>
      </c>
      <c r="C16416">
        <v>3107</v>
      </c>
      <c r="D16416" t="str">
        <f>"1386-6532"</f>
        <v>1386-6532</v>
      </c>
      <c r="E16416" t="s">
        <v>8</v>
      </c>
      <c r="F16416" t="s">
        <v>16421</v>
      </c>
      <c r="G16416">
        <v>1</v>
      </c>
    </row>
    <row r="16417" spans="1:7" x14ac:dyDescent="0.25">
      <c r="A16417">
        <v>48</v>
      </c>
      <c r="B16417" t="s">
        <v>15999</v>
      </c>
      <c r="C16417">
        <v>7684</v>
      </c>
      <c r="D16417" t="str">
        <f>"1569-1993"</f>
        <v>1569-1993</v>
      </c>
      <c r="E16417" t="s">
        <v>8</v>
      </c>
      <c r="F16417" t="s">
        <v>16422</v>
      </c>
      <c r="G16417">
        <v>1</v>
      </c>
    </row>
    <row r="16418" spans="1:7" x14ac:dyDescent="0.25">
      <c r="A16418">
        <v>48</v>
      </c>
      <c r="B16418" t="s">
        <v>15999</v>
      </c>
      <c r="C16418">
        <v>6168935</v>
      </c>
      <c r="D16418" t="str">
        <f>"2040-1744"</f>
        <v>2040-1744</v>
      </c>
      <c r="E16418" t="s">
        <v>8</v>
      </c>
      <c r="F16418" t="s">
        <v>16423</v>
      </c>
      <c r="G16418">
        <v>1</v>
      </c>
    </row>
    <row r="16419" spans="1:7" x14ac:dyDescent="0.25">
      <c r="A16419">
        <v>48</v>
      </c>
      <c r="B16419" t="s">
        <v>15999</v>
      </c>
      <c r="C16419">
        <v>6168940</v>
      </c>
      <c r="D16419" t="str">
        <f>"1753-0393"</f>
        <v>1753-0393</v>
      </c>
      <c r="E16419" t="s">
        <v>8</v>
      </c>
      <c r="F16419" t="s">
        <v>16424</v>
      </c>
      <c r="G16419">
        <v>1</v>
      </c>
    </row>
    <row r="16420" spans="1:7" x14ac:dyDescent="0.25">
      <c r="A16420">
        <v>48</v>
      </c>
      <c r="B16420" t="s">
        <v>15999</v>
      </c>
      <c r="C16420">
        <v>10075</v>
      </c>
      <c r="D16420" t="str">
        <f>"1056-8727"</f>
        <v>1056-8727</v>
      </c>
      <c r="E16420" t="s">
        <v>8</v>
      </c>
      <c r="F16420" t="s">
        <v>16425</v>
      </c>
      <c r="G16420">
        <v>1</v>
      </c>
    </row>
    <row r="16421" spans="1:7" x14ac:dyDescent="0.25">
      <c r="A16421">
        <v>48</v>
      </c>
      <c r="B16421" t="s">
        <v>15999</v>
      </c>
      <c r="C16421">
        <v>6168942</v>
      </c>
      <c r="D16421" t="str">
        <f>"2040-1116"</f>
        <v>2040-1116</v>
      </c>
      <c r="E16421" t="s">
        <v>8</v>
      </c>
      <c r="F16421" t="s">
        <v>16426</v>
      </c>
      <c r="G16421">
        <v>1</v>
      </c>
    </row>
    <row r="16422" spans="1:7" x14ac:dyDescent="0.25">
      <c r="A16422">
        <v>48</v>
      </c>
      <c r="B16422" t="s">
        <v>15999</v>
      </c>
      <c r="C16422">
        <v>153621</v>
      </c>
      <c r="D16422" t="str">
        <f>"1751-2972"</f>
        <v>1751-2972</v>
      </c>
      <c r="E16422" t="s">
        <v>8</v>
      </c>
      <c r="F16422" t="s">
        <v>16427</v>
      </c>
      <c r="G16422">
        <v>1</v>
      </c>
    </row>
    <row r="16423" spans="1:7" x14ac:dyDescent="0.25">
      <c r="A16423">
        <v>48</v>
      </c>
      <c r="B16423" t="s">
        <v>15999</v>
      </c>
      <c r="C16423">
        <v>12802</v>
      </c>
      <c r="D16423" t="str">
        <f>"0022-0736"</f>
        <v>0022-0736</v>
      </c>
      <c r="E16423" t="s">
        <v>8</v>
      </c>
      <c r="F16423" t="s">
        <v>16428</v>
      </c>
      <c r="G16423">
        <v>1</v>
      </c>
    </row>
    <row r="16424" spans="1:7" x14ac:dyDescent="0.25">
      <c r="A16424">
        <v>48</v>
      </c>
      <c r="B16424" t="s">
        <v>15999</v>
      </c>
      <c r="C16424">
        <v>16503</v>
      </c>
      <c r="D16424" t="str">
        <f>"0391-4097"</f>
        <v>0391-4097</v>
      </c>
      <c r="E16424" t="s">
        <v>8</v>
      </c>
      <c r="F16424" t="s">
        <v>16429</v>
      </c>
      <c r="G16424">
        <v>1</v>
      </c>
    </row>
    <row r="16425" spans="1:7" x14ac:dyDescent="0.25">
      <c r="A16425">
        <v>48</v>
      </c>
      <c r="B16425" t="s">
        <v>15999</v>
      </c>
      <c r="C16425">
        <v>396</v>
      </c>
      <c r="D16425" t="str">
        <f>"0022-0795"</f>
        <v>0022-0795</v>
      </c>
      <c r="E16425" t="s">
        <v>8</v>
      </c>
      <c r="F16425" t="s">
        <v>16430</v>
      </c>
      <c r="G16425">
        <v>1</v>
      </c>
    </row>
    <row r="16426" spans="1:7" x14ac:dyDescent="0.25">
      <c r="A16426">
        <v>48</v>
      </c>
      <c r="B16426" t="s">
        <v>15999</v>
      </c>
      <c r="C16426">
        <v>10771</v>
      </c>
      <c r="D16426" t="str">
        <f>"1359-4117"</f>
        <v>1359-4117</v>
      </c>
      <c r="E16426" t="s">
        <v>8</v>
      </c>
      <c r="F16426" t="s">
        <v>16431</v>
      </c>
      <c r="G16426">
        <v>1</v>
      </c>
    </row>
    <row r="16427" spans="1:7" x14ac:dyDescent="0.25">
      <c r="A16427">
        <v>48</v>
      </c>
      <c r="B16427" t="s">
        <v>15999</v>
      </c>
      <c r="C16427">
        <v>12056</v>
      </c>
      <c r="D16427" t="str">
        <f>"0944-1174"</f>
        <v>0944-1174</v>
      </c>
      <c r="E16427" t="s">
        <v>8</v>
      </c>
      <c r="F16427" t="s">
        <v>16432</v>
      </c>
      <c r="G16427">
        <v>1</v>
      </c>
    </row>
    <row r="16428" spans="1:7" x14ac:dyDescent="0.25">
      <c r="A16428">
        <v>48</v>
      </c>
      <c r="B16428" t="s">
        <v>15999</v>
      </c>
      <c r="C16428">
        <v>7407</v>
      </c>
      <c r="D16428" t="str">
        <f>"0815-9319"</f>
        <v>0815-9319</v>
      </c>
      <c r="E16428" t="s">
        <v>8</v>
      </c>
      <c r="F16428" t="s">
        <v>16433</v>
      </c>
      <c r="G16428">
        <v>1</v>
      </c>
    </row>
    <row r="16429" spans="1:7" x14ac:dyDescent="0.25">
      <c r="A16429">
        <v>48</v>
      </c>
      <c r="B16429" t="s">
        <v>15999</v>
      </c>
      <c r="C16429">
        <v>129040</v>
      </c>
      <c r="D16429" t="str">
        <f>"1841-8724"</f>
        <v>1841-8724</v>
      </c>
      <c r="E16429" t="s">
        <v>8</v>
      </c>
      <c r="F16429" t="s">
        <v>16434</v>
      </c>
      <c r="G16429">
        <v>1</v>
      </c>
    </row>
    <row r="16430" spans="1:7" x14ac:dyDescent="0.25">
      <c r="A16430">
        <v>48</v>
      </c>
      <c r="B16430" t="s">
        <v>15999</v>
      </c>
      <c r="C16430">
        <v>6140</v>
      </c>
      <c r="D16430" t="str">
        <f>"1941-6628"</f>
        <v>1941-6628</v>
      </c>
      <c r="E16430" t="s">
        <v>8</v>
      </c>
      <c r="F16430" t="s">
        <v>16435</v>
      </c>
      <c r="G16430">
        <v>1</v>
      </c>
    </row>
    <row r="16431" spans="1:7" x14ac:dyDescent="0.25">
      <c r="A16431">
        <v>48</v>
      </c>
      <c r="B16431" t="s">
        <v>15999</v>
      </c>
      <c r="C16431">
        <v>7270897</v>
      </c>
      <c r="D16431" t="str">
        <f>"1099-498X"</f>
        <v>1099-498X</v>
      </c>
      <c r="E16431" t="s">
        <v>8</v>
      </c>
      <c r="F16431" t="s">
        <v>16436</v>
      </c>
      <c r="G16431">
        <v>1</v>
      </c>
    </row>
    <row r="16432" spans="1:7" x14ac:dyDescent="0.25">
      <c r="A16432">
        <v>48</v>
      </c>
      <c r="B16432" t="s">
        <v>15999</v>
      </c>
      <c r="C16432">
        <v>16626</v>
      </c>
      <c r="D16432" t="str">
        <f>"0884-8734"</f>
        <v>0884-8734</v>
      </c>
      <c r="E16432" t="s">
        <v>8</v>
      </c>
      <c r="F16432" t="s">
        <v>16437</v>
      </c>
      <c r="G16432">
        <v>1</v>
      </c>
    </row>
    <row r="16433" spans="1:7" x14ac:dyDescent="0.25">
      <c r="A16433">
        <v>48</v>
      </c>
      <c r="B16433" t="s">
        <v>15999</v>
      </c>
      <c r="C16433">
        <v>7697358</v>
      </c>
      <c r="D16433" t="str">
        <f>"1879-4068"</f>
        <v>1879-4068</v>
      </c>
      <c r="E16433" t="s">
        <v>8</v>
      </c>
      <c r="F16433" t="s">
        <v>16438</v>
      </c>
      <c r="G16433">
        <v>1</v>
      </c>
    </row>
    <row r="16434" spans="1:7" x14ac:dyDescent="0.25">
      <c r="A16434">
        <v>48</v>
      </c>
      <c r="B16434" t="s">
        <v>15999</v>
      </c>
      <c r="C16434">
        <v>7736526</v>
      </c>
      <c r="D16434" t="str">
        <f>"2005-0380"</f>
        <v>2005-0380</v>
      </c>
      <c r="E16434" t="s">
        <v>8</v>
      </c>
      <c r="F16434" t="s">
        <v>16439</v>
      </c>
      <c r="G16434">
        <v>1</v>
      </c>
    </row>
    <row r="16435" spans="1:7" x14ac:dyDescent="0.25">
      <c r="A16435">
        <v>48</v>
      </c>
      <c r="B16435" t="s">
        <v>15999</v>
      </c>
      <c r="C16435">
        <v>57032</v>
      </c>
      <c r="E16435" t="s">
        <v>8</v>
      </c>
      <c r="F16435" t="s">
        <v>16440</v>
      </c>
      <c r="G16435">
        <v>1</v>
      </c>
    </row>
    <row r="16436" spans="1:7" x14ac:dyDescent="0.25">
      <c r="A16436">
        <v>48</v>
      </c>
      <c r="B16436" t="s">
        <v>15999</v>
      </c>
      <c r="C16436">
        <v>10544</v>
      </c>
      <c r="D16436" t="str">
        <f>"0195-6701"</f>
        <v>0195-6701</v>
      </c>
      <c r="E16436" t="s">
        <v>8</v>
      </c>
      <c r="F16436" t="s">
        <v>16441</v>
      </c>
      <c r="G16436">
        <v>1</v>
      </c>
    </row>
    <row r="16437" spans="1:7" x14ac:dyDescent="0.25">
      <c r="A16437">
        <v>48</v>
      </c>
      <c r="B16437" t="s">
        <v>15999</v>
      </c>
      <c r="C16437">
        <v>20494</v>
      </c>
      <c r="D16437" t="str">
        <f>"1553-5592"</f>
        <v>1553-5592</v>
      </c>
      <c r="E16437" t="s">
        <v>8</v>
      </c>
      <c r="F16437" t="s">
        <v>16442</v>
      </c>
      <c r="G16437">
        <v>1</v>
      </c>
    </row>
    <row r="16438" spans="1:7" x14ac:dyDescent="0.25">
      <c r="A16438">
        <v>48</v>
      </c>
      <c r="B16438" t="s">
        <v>15999</v>
      </c>
      <c r="C16438">
        <v>10530</v>
      </c>
      <c r="D16438" t="str">
        <f>"0950-9240"</f>
        <v>0950-9240</v>
      </c>
      <c r="E16438" t="s">
        <v>8</v>
      </c>
      <c r="F16438" t="s">
        <v>16443</v>
      </c>
      <c r="G16438">
        <v>1</v>
      </c>
    </row>
    <row r="16439" spans="1:7" x14ac:dyDescent="0.25">
      <c r="A16439">
        <v>48</v>
      </c>
      <c r="B16439" t="s">
        <v>15999</v>
      </c>
      <c r="C16439">
        <v>8781959</v>
      </c>
      <c r="D16439" t="str">
        <f>"2314-8861"</f>
        <v>2314-8861</v>
      </c>
      <c r="E16439" t="s">
        <v>8</v>
      </c>
      <c r="F16439" t="s">
        <v>16444</v>
      </c>
      <c r="G16439">
        <v>1</v>
      </c>
    </row>
    <row r="16440" spans="1:7" x14ac:dyDescent="0.25">
      <c r="A16440">
        <v>48</v>
      </c>
      <c r="B16440" t="s">
        <v>15999</v>
      </c>
      <c r="C16440">
        <v>13446</v>
      </c>
      <c r="D16440" t="str">
        <f>"1524-9557"</f>
        <v>1524-9557</v>
      </c>
      <c r="E16440" t="s">
        <v>8</v>
      </c>
      <c r="F16440" t="s">
        <v>16445</v>
      </c>
      <c r="G16440">
        <v>1</v>
      </c>
    </row>
    <row r="16441" spans="1:7" x14ac:dyDescent="0.25">
      <c r="A16441">
        <v>48</v>
      </c>
      <c r="B16441" t="s">
        <v>15999</v>
      </c>
      <c r="C16441">
        <v>9554</v>
      </c>
      <c r="D16441" t="str">
        <f>"0163-4453"</f>
        <v>0163-4453</v>
      </c>
      <c r="E16441" t="s">
        <v>8</v>
      </c>
      <c r="F16441" t="s">
        <v>16446</v>
      </c>
      <c r="G16441">
        <v>1</v>
      </c>
    </row>
    <row r="16442" spans="1:7" x14ac:dyDescent="0.25">
      <c r="A16442">
        <v>48</v>
      </c>
      <c r="B16442" t="s">
        <v>15999</v>
      </c>
      <c r="C16442">
        <v>8014</v>
      </c>
      <c r="D16442" t="str">
        <f>"1341-321X"</f>
        <v>1341-321X</v>
      </c>
      <c r="E16442" t="s">
        <v>8</v>
      </c>
      <c r="F16442" t="s">
        <v>16447</v>
      </c>
      <c r="G16442">
        <v>1</v>
      </c>
    </row>
    <row r="16443" spans="1:7" x14ac:dyDescent="0.25">
      <c r="A16443">
        <v>48</v>
      </c>
      <c r="B16443" t="s">
        <v>15999</v>
      </c>
      <c r="C16443">
        <v>145623</v>
      </c>
      <c r="D16443" t="str">
        <f>"2036-6590"</f>
        <v>2036-6590</v>
      </c>
      <c r="E16443" t="s">
        <v>8</v>
      </c>
      <c r="F16443" t="s">
        <v>16448</v>
      </c>
      <c r="G16443">
        <v>1</v>
      </c>
    </row>
    <row r="16444" spans="1:7" x14ac:dyDescent="0.25">
      <c r="A16444">
        <v>48</v>
      </c>
      <c r="B16444" t="s">
        <v>15999</v>
      </c>
      <c r="C16444">
        <v>10284</v>
      </c>
      <c r="D16444" t="str">
        <f>"0141-8955"</f>
        <v>0141-8955</v>
      </c>
      <c r="E16444" t="s">
        <v>8</v>
      </c>
      <c r="F16444" t="s">
        <v>16449</v>
      </c>
      <c r="G16444">
        <v>1</v>
      </c>
    </row>
    <row r="16445" spans="1:7" x14ac:dyDescent="0.25">
      <c r="A16445">
        <v>48</v>
      </c>
      <c r="B16445" t="s">
        <v>15999</v>
      </c>
      <c r="C16445">
        <v>2376</v>
      </c>
      <c r="D16445" t="str">
        <f>"1383-875X"</f>
        <v>1383-875X</v>
      </c>
      <c r="E16445" t="s">
        <v>8</v>
      </c>
      <c r="F16445" t="s">
        <v>16450</v>
      </c>
      <c r="G16445">
        <v>1</v>
      </c>
    </row>
    <row r="16446" spans="1:7" x14ac:dyDescent="0.25">
      <c r="A16446">
        <v>48</v>
      </c>
      <c r="B16446" t="s">
        <v>15999</v>
      </c>
      <c r="C16446">
        <v>8108</v>
      </c>
      <c r="D16446" t="str">
        <f>"0896-4327"</f>
        <v>0896-4327</v>
      </c>
      <c r="E16446" t="s">
        <v>8</v>
      </c>
      <c r="F16446" t="s">
        <v>16451</v>
      </c>
      <c r="G16446">
        <v>1</v>
      </c>
    </row>
    <row r="16447" spans="1:7" x14ac:dyDescent="0.25">
      <c r="A16447">
        <v>48</v>
      </c>
      <c r="B16447" t="s">
        <v>15999</v>
      </c>
      <c r="C16447">
        <v>12328</v>
      </c>
      <c r="D16447" t="str">
        <f>"1042-3931"</f>
        <v>1042-3931</v>
      </c>
      <c r="E16447" t="s">
        <v>8</v>
      </c>
      <c r="F16447" t="s">
        <v>16452</v>
      </c>
      <c r="G16447">
        <v>1</v>
      </c>
    </row>
    <row r="16448" spans="1:7" x14ac:dyDescent="0.25">
      <c r="A16448">
        <v>48</v>
      </c>
      <c r="B16448" t="s">
        <v>15999</v>
      </c>
      <c r="C16448">
        <v>8850</v>
      </c>
      <c r="D16448" t="str">
        <f>"1018-9068"</f>
        <v>1018-9068</v>
      </c>
      <c r="E16448" t="s">
        <v>8</v>
      </c>
      <c r="F16448" t="s">
        <v>16453</v>
      </c>
      <c r="G16448">
        <v>1</v>
      </c>
    </row>
    <row r="16449" spans="1:7" x14ac:dyDescent="0.25">
      <c r="A16449">
        <v>48</v>
      </c>
      <c r="B16449" t="s">
        <v>15999</v>
      </c>
      <c r="C16449">
        <v>11283</v>
      </c>
      <c r="D16449" t="str">
        <f>"1081-5589"</f>
        <v>1081-5589</v>
      </c>
      <c r="E16449" t="s">
        <v>8</v>
      </c>
      <c r="F16449" t="s">
        <v>16454</v>
      </c>
      <c r="G16449">
        <v>1</v>
      </c>
    </row>
    <row r="16450" spans="1:7" x14ac:dyDescent="0.25">
      <c r="A16450">
        <v>48</v>
      </c>
      <c r="B16450" t="s">
        <v>15999</v>
      </c>
      <c r="C16450">
        <v>27576</v>
      </c>
      <c r="E16450" t="s">
        <v>8</v>
      </c>
      <c r="F16450" t="s">
        <v>16455</v>
      </c>
      <c r="G16450">
        <v>1</v>
      </c>
    </row>
    <row r="16451" spans="1:7" x14ac:dyDescent="0.25">
      <c r="A16451">
        <v>48</v>
      </c>
      <c r="B16451" t="s">
        <v>15999</v>
      </c>
      <c r="C16451">
        <v>142959</v>
      </c>
      <c r="D16451" t="str">
        <f>"2353-9798"</f>
        <v>2353-9798</v>
      </c>
      <c r="E16451" t="s">
        <v>8</v>
      </c>
      <c r="F16451" t="s">
        <v>16456</v>
      </c>
      <c r="G16451">
        <v>1</v>
      </c>
    </row>
    <row r="16452" spans="1:7" x14ac:dyDescent="0.25">
      <c r="A16452">
        <v>48</v>
      </c>
      <c r="B16452" t="s">
        <v>15999</v>
      </c>
      <c r="C16452">
        <v>1480</v>
      </c>
      <c r="D16452" t="str">
        <f>"0952-5041"</f>
        <v>0952-5041</v>
      </c>
      <c r="E16452" t="s">
        <v>8</v>
      </c>
      <c r="F16452" t="s">
        <v>16457</v>
      </c>
      <c r="G16452">
        <v>1</v>
      </c>
    </row>
    <row r="16453" spans="1:7" x14ac:dyDescent="0.25">
      <c r="A16453">
        <v>48</v>
      </c>
      <c r="B16453" t="s">
        <v>15999</v>
      </c>
      <c r="C16453">
        <v>14249</v>
      </c>
      <c r="D16453" t="str">
        <f>"1121-8428"</f>
        <v>1121-8428</v>
      </c>
      <c r="E16453" t="s">
        <v>8</v>
      </c>
      <c r="F16453" t="s">
        <v>16458</v>
      </c>
      <c r="G16453">
        <v>1</v>
      </c>
    </row>
    <row r="16454" spans="1:7" x14ac:dyDescent="0.25">
      <c r="A16454">
        <v>48</v>
      </c>
      <c r="B16454" t="s">
        <v>15999</v>
      </c>
      <c r="C16454">
        <v>8410</v>
      </c>
      <c r="D16454" t="str">
        <f>"0167-594X"</f>
        <v>0167-594X</v>
      </c>
      <c r="E16454" t="s">
        <v>8</v>
      </c>
      <c r="F16454" t="s">
        <v>16459</v>
      </c>
      <c r="G16454">
        <v>1</v>
      </c>
    </row>
    <row r="16455" spans="1:7" x14ac:dyDescent="0.25">
      <c r="A16455">
        <v>48</v>
      </c>
      <c r="B16455" t="s">
        <v>15999</v>
      </c>
      <c r="C16455">
        <v>11820</v>
      </c>
      <c r="D16455" t="str">
        <f>"1071-3581"</f>
        <v>1071-3581</v>
      </c>
      <c r="E16455" t="s">
        <v>8</v>
      </c>
      <c r="F16455" t="s">
        <v>16460</v>
      </c>
      <c r="G16455">
        <v>1</v>
      </c>
    </row>
    <row r="16456" spans="1:7" x14ac:dyDescent="0.25">
      <c r="A16456">
        <v>48</v>
      </c>
      <c r="B16456" t="s">
        <v>15999</v>
      </c>
      <c r="C16456">
        <v>24755</v>
      </c>
      <c r="D16456" t="str">
        <f>"1554-7477"</f>
        <v>1554-7477</v>
      </c>
      <c r="E16456" t="s">
        <v>8</v>
      </c>
      <c r="F16456" t="s">
        <v>16461</v>
      </c>
      <c r="G16456">
        <v>1</v>
      </c>
    </row>
    <row r="16457" spans="1:7" x14ac:dyDescent="0.25">
      <c r="A16457">
        <v>48</v>
      </c>
      <c r="B16457" t="s">
        <v>15999</v>
      </c>
      <c r="C16457">
        <v>4811</v>
      </c>
      <c r="D16457" t="str">
        <f>"0315-162X"</f>
        <v>0315-162X</v>
      </c>
      <c r="E16457" t="s">
        <v>8</v>
      </c>
      <c r="F16457" t="s">
        <v>16462</v>
      </c>
      <c r="G16457">
        <v>1</v>
      </c>
    </row>
    <row r="16458" spans="1:7" x14ac:dyDescent="0.25">
      <c r="A16458">
        <v>48</v>
      </c>
      <c r="B16458" t="s">
        <v>15999</v>
      </c>
      <c r="C16458">
        <v>17670</v>
      </c>
      <c r="D16458" t="str">
        <f>"1743-6095"</f>
        <v>1743-6095</v>
      </c>
      <c r="E16458" t="s">
        <v>8</v>
      </c>
      <c r="F16458" t="s">
        <v>16463</v>
      </c>
      <c r="G16458">
        <v>1</v>
      </c>
    </row>
    <row r="16459" spans="1:7" x14ac:dyDescent="0.25">
      <c r="A16459">
        <v>48</v>
      </c>
      <c r="B16459" t="s">
        <v>15999</v>
      </c>
      <c r="C16459">
        <v>13517</v>
      </c>
      <c r="D16459" t="str">
        <f>"1052-3057"</f>
        <v>1052-3057</v>
      </c>
      <c r="E16459" t="s">
        <v>8</v>
      </c>
      <c r="F16459" t="s">
        <v>16464</v>
      </c>
      <c r="G16459">
        <v>1</v>
      </c>
    </row>
    <row r="16460" spans="1:7" x14ac:dyDescent="0.25">
      <c r="A16460">
        <v>48</v>
      </c>
      <c r="B16460" t="s">
        <v>15999</v>
      </c>
      <c r="C16460">
        <v>17405</v>
      </c>
      <c r="D16460" t="str">
        <f>"1050-0545"</f>
        <v>1050-0545</v>
      </c>
      <c r="E16460" t="s">
        <v>8</v>
      </c>
      <c r="F16460" t="s">
        <v>16465</v>
      </c>
      <c r="G16460">
        <v>1</v>
      </c>
    </row>
    <row r="16461" spans="1:7" x14ac:dyDescent="0.25">
      <c r="A16461">
        <v>48</v>
      </c>
      <c r="B16461" t="s">
        <v>15999</v>
      </c>
      <c r="C16461">
        <v>7724908</v>
      </c>
      <c r="E16461" t="s">
        <v>8</v>
      </c>
      <c r="F16461" t="s">
        <v>16466</v>
      </c>
      <c r="G16461">
        <v>1</v>
      </c>
    </row>
    <row r="16462" spans="1:7" x14ac:dyDescent="0.25">
      <c r="A16462">
        <v>48</v>
      </c>
      <c r="B16462" t="s">
        <v>15999</v>
      </c>
      <c r="C16462">
        <v>5075</v>
      </c>
      <c r="D16462" t="str">
        <f>"0894-7317"</f>
        <v>0894-7317</v>
      </c>
      <c r="E16462" t="s">
        <v>8</v>
      </c>
      <c r="F16462" t="s">
        <v>16467</v>
      </c>
      <c r="G16462">
        <v>1</v>
      </c>
    </row>
    <row r="16463" spans="1:7" x14ac:dyDescent="0.25">
      <c r="A16463">
        <v>48</v>
      </c>
      <c r="B16463" t="s">
        <v>15999</v>
      </c>
      <c r="C16463">
        <v>4786</v>
      </c>
      <c r="D16463" t="str">
        <f>"1052-6773"</f>
        <v>1052-6773</v>
      </c>
      <c r="E16463" t="s">
        <v>15</v>
      </c>
      <c r="F16463" t="s">
        <v>16468</v>
      </c>
      <c r="G16463">
        <v>1</v>
      </c>
    </row>
    <row r="16464" spans="1:7" x14ac:dyDescent="0.25">
      <c r="A16464">
        <v>48</v>
      </c>
      <c r="B16464" t="s">
        <v>15999</v>
      </c>
      <c r="C16464">
        <v>29762</v>
      </c>
      <c r="D16464" t="str">
        <f>"1540-1405"</f>
        <v>1540-1405</v>
      </c>
      <c r="E16464" t="s">
        <v>8</v>
      </c>
      <c r="F16464" t="s">
        <v>16469</v>
      </c>
      <c r="G16464">
        <v>1</v>
      </c>
    </row>
    <row r="16465" spans="1:7" x14ac:dyDescent="0.25">
      <c r="A16465">
        <v>48</v>
      </c>
      <c r="B16465" t="s">
        <v>15999</v>
      </c>
      <c r="C16465">
        <v>6428</v>
      </c>
      <c r="E16465" t="s">
        <v>8</v>
      </c>
      <c r="F16465" t="s">
        <v>16470</v>
      </c>
      <c r="G16465">
        <v>1</v>
      </c>
    </row>
    <row r="16466" spans="1:7" x14ac:dyDescent="0.25">
      <c r="A16466">
        <v>48</v>
      </c>
      <c r="B16466" t="s">
        <v>15999</v>
      </c>
      <c r="C16466">
        <v>15024</v>
      </c>
      <c r="D16466" t="str">
        <f>"1470-3203"</f>
        <v>1470-3203</v>
      </c>
      <c r="E16466" t="s">
        <v>8</v>
      </c>
      <c r="F16466" t="s">
        <v>16471</v>
      </c>
      <c r="G16466">
        <v>1</v>
      </c>
    </row>
    <row r="16467" spans="1:7" x14ac:dyDescent="0.25">
      <c r="A16467">
        <v>48</v>
      </c>
      <c r="B16467" t="s">
        <v>15999</v>
      </c>
      <c r="C16467">
        <v>2899</v>
      </c>
      <c r="D16467" t="str">
        <f>"0141-0768"</f>
        <v>0141-0768</v>
      </c>
      <c r="E16467" t="s">
        <v>8</v>
      </c>
      <c r="F16467" t="s">
        <v>16472</v>
      </c>
      <c r="G16467">
        <v>1</v>
      </c>
    </row>
    <row r="16468" spans="1:7" x14ac:dyDescent="0.25">
      <c r="A16468">
        <v>48</v>
      </c>
      <c r="B16468" t="s">
        <v>15999</v>
      </c>
      <c r="C16468">
        <v>13778</v>
      </c>
      <c r="D16468" t="str">
        <f>"1556-0864"</f>
        <v>1556-0864</v>
      </c>
      <c r="E16468" t="s">
        <v>8</v>
      </c>
      <c r="F16468" t="s">
        <v>16473</v>
      </c>
      <c r="G16468">
        <v>1</v>
      </c>
    </row>
    <row r="16469" spans="1:7" x14ac:dyDescent="0.25">
      <c r="A16469">
        <v>48</v>
      </c>
      <c r="B16469" t="s">
        <v>15999</v>
      </c>
      <c r="C16469">
        <v>1824</v>
      </c>
      <c r="D16469" t="str">
        <f>"1538-7933"</f>
        <v>1538-7933</v>
      </c>
      <c r="E16469" t="s">
        <v>8</v>
      </c>
      <c r="F16469" t="s">
        <v>16474</v>
      </c>
      <c r="G16469">
        <v>1</v>
      </c>
    </row>
    <row r="16470" spans="1:7" x14ac:dyDescent="0.25">
      <c r="A16470">
        <v>48</v>
      </c>
      <c r="B16470" t="s">
        <v>15999</v>
      </c>
      <c r="C16470">
        <v>8461</v>
      </c>
      <c r="D16470" t="str">
        <f>"0929-5305"</f>
        <v>0929-5305</v>
      </c>
      <c r="E16470" t="s">
        <v>8</v>
      </c>
      <c r="F16470" t="s">
        <v>16475</v>
      </c>
      <c r="G16470">
        <v>1</v>
      </c>
    </row>
    <row r="16471" spans="1:7" x14ac:dyDescent="0.25">
      <c r="A16471">
        <v>48</v>
      </c>
      <c r="B16471" t="s">
        <v>15999</v>
      </c>
      <c r="C16471">
        <v>5337</v>
      </c>
      <c r="D16471" t="str">
        <f>"1051-0443"</f>
        <v>1051-0443</v>
      </c>
      <c r="E16471" t="s">
        <v>8</v>
      </c>
      <c r="F16471" t="s">
        <v>16476</v>
      </c>
      <c r="G16471">
        <v>1</v>
      </c>
    </row>
    <row r="16472" spans="1:7" x14ac:dyDescent="0.25">
      <c r="A16472">
        <v>48</v>
      </c>
      <c r="B16472" t="s">
        <v>15999</v>
      </c>
      <c r="C16472">
        <v>16470</v>
      </c>
      <c r="D16472" t="str">
        <f>"1352-0504"</f>
        <v>1352-0504</v>
      </c>
      <c r="E16472" t="s">
        <v>8</v>
      </c>
      <c r="F16472" t="s">
        <v>16477</v>
      </c>
      <c r="G16472">
        <v>1</v>
      </c>
    </row>
    <row r="16473" spans="1:7" x14ac:dyDescent="0.25">
      <c r="A16473">
        <v>48</v>
      </c>
      <c r="B16473" t="s">
        <v>15999</v>
      </c>
      <c r="C16473">
        <v>10081</v>
      </c>
      <c r="D16473" t="str">
        <f>"1079-5006"</f>
        <v>1079-5006</v>
      </c>
      <c r="E16473" t="s">
        <v>8</v>
      </c>
      <c r="F16473" t="s">
        <v>16478</v>
      </c>
      <c r="G16473">
        <v>1</v>
      </c>
    </row>
    <row r="16474" spans="1:7" x14ac:dyDescent="0.25">
      <c r="A16474">
        <v>48</v>
      </c>
      <c r="B16474" t="s">
        <v>15999</v>
      </c>
      <c r="C16474">
        <v>8058</v>
      </c>
      <c r="D16474" t="str">
        <f>"1420-4096"</f>
        <v>1420-4096</v>
      </c>
      <c r="E16474" t="s">
        <v>8</v>
      </c>
      <c r="F16474" t="s">
        <v>16479</v>
      </c>
      <c r="G16474">
        <v>1</v>
      </c>
    </row>
    <row r="16475" spans="1:7" x14ac:dyDescent="0.25">
      <c r="A16475">
        <v>48</v>
      </c>
      <c r="B16475" t="s">
        <v>15999</v>
      </c>
      <c r="C16475">
        <v>15078</v>
      </c>
      <c r="D16475" t="str">
        <f>"1042-8194"</f>
        <v>1042-8194</v>
      </c>
      <c r="E16475" t="s">
        <v>8</v>
      </c>
      <c r="F16475" t="s">
        <v>16480</v>
      </c>
      <c r="G16475">
        <v>1</v>
      </c>
    </row>
    <row r="16476" spans="1:7" x14ac:dyDescent="0.25">
      <c r="A16476">
        <v>48</v>
      </c>
      <c r="B16476" t="s">
        <v>15999</v>
      </c>
      <c r="C16476">
        <v>9505</v>
      </c>
      <c r="D16476" t="str">
        <f>"0145-2126"</f>
        <v>0145-2126</v>
      </c>
      <c r="E16476" t="s">
        <v>8</v>
      </c>
      <c r="F16476" t="s">
        <v>16481</v>
      </c>
      <c r="G16476">
        <v>1</v>
      </c>
    </row>
    <row r="16477" spans="1:7" x14ac:dyDescent="0.25">
      <c r="A16477">
        <v>48</v>
      </c>
      <c r="B16477" t="s">
        <v>15999</v>
      </c>
      <c r="C16477">
        <v>14974</v>
      </c>
      <c r="D16477" t="str">
        <f>"1478-3223"</f>
        <v>1478-3223</v>
      </c>
      <c r="E16477" t="s">
        <v>8</v>
      </c>
      <c r="F16477" t="s">
        <v>16482</v>
      </c>
      <c r="G16477">
        <v>1</v>
      </c>
    </row>
    <row r="16478" spans="1:7" x14ac:dyDescent="0.25">
      <c r="A16478">
        <v>48</v>
      </c>
      <c r="B16478" t="s">
        <v>15999</v>
      </c>
      <c r="C16478">
        <v>11053</v>
      </c>
      <c r="D16478" t="str">
        <f>"0341-2040"</f>
        <v>0341-2040</v>
      </c>
      <c r="E16478" t="s">
        <v>8</v>
      </c>
      <c r="F16478" t="s">
        <v>16483</v>
      </c>
      <c r="G16478">
        <v>1</v>
      </c>
    </row>
    <row r="16479" spans="1:7" x14ac:dyDescent="0.25">
      <c r="A16479">
        <v>48</v>
      </c>
      <c r="B16479" t="s">
        <v>15999</v>
      </c>
      <c r="C16479">
        <v>195</v>
      </c>
      <c r="D16479" t="str">
        <f>"0169-5002"</f>
        <v>0169-5002</v>
      </c>
      <c r="E16479" t="s">
        <v>8</v>
      </c>
      <c r="F16479" t="s">
        <v>16484</v>
      </c>
      <c r="G16479">
        <v>1</v>
      </c>
    </row>
    <row r="16480" spans="1:7" x14ac:dyDescent="0.25">
      <c r="A16480">
        <v>48</v>
      </c>
      <c r="B16480" t="s">
        <v>15999</v>
      </c>
      <c r="C16480">
        <v>8877</v>
      </c>
      <c r="D16480" t="str">
        <f>"0961-2033"</f>
        <v>0961-2033</v>
      </c>
      <c r="E16480" t="s">
        <v>8</v>
      </c>
      <c r="F16480" t="s">
        <v>16485</v>
      </c>
      <c r="G16480">
        <v>1</v>
      </c>
    </row>
    <row r="16481" spans="1:7" x14ac:dyDescent="0.25">
      <c r="A16481">
        <v>48</v>
      </c>
      <c r="B16481" t="s">
        <v>15999</v>
      </c>
      <c r="C16481">
        <v>22821</v>
      </c>
      <c r="D16481" t="str">
        <f>"1064-9689"</f>
        <v>1064-9689</v>
      </c>
      <c r="E16481" t="s">
        <v>8</v>
      </c>
      <c r="F16481" t="s">
        <v>16486</v>
      </c>
      <c r="G16481">
        <v>1</v>
      </c>
    </row>
    <row r="16482" spans="1:7" x14ac:dyDescent="0.25">
      <c r="A16482">
        <v>48</v>
      </c>
      <c r="B16482" t="s">
        <v>15999</v>
      </c>
      <c r="C16482">
        <v>3376</v>
      </c>
      <c r="D16482" t="str">
        <f>"0025-6196"</f>
        <v>0025-6196</v>
      </c>
      <c r="E16482" t="s">
        <v>8</v>
      </c>
      <c r="F16482" t="s">
        <v>16487</v>
      </c>
      <c r="G16482">
        <v>1</v>
      </c>
    </row>
    <row r="16483" spans="1:7" x14ac:dyDescent="0.25">
      <c r="A16483">
        <v>48</v>
      </c>
      <c r="B16483" t="s">
        <v>15999</v>
      </c>
      <c r="C16483">
        <v>4818</v>
      </c>
      <c r="D16483" t="str">
        <f>"0025-729X"</f>
        <v>0025-729X</v>
      </c>
      <c r="E16483" t="s">
        <v>8</v>
      </c>
      <c r="F16483" t="s">
        <v>16488</v>
      </c>
      <c r="G16483">
        <v>1</v>
      </c>
    </row>
    <row r="16484" spans="1:7" x14ac:dyDescent="0.25">
      <c r="A16484">
        <v>48</v>
      </c>
      <c r="B16484" t="s">
        <v>15999</v>
      </c>
      <c r="C16484">
        <v>6545</v>
      </c>
      <c r="D16484" t="str">
        <f>"1357-0560"</f>
        <v>1357-0560</v>
      </c>
      <c r="E16484" t="s">
        <v>8</v>
      </c>
      <c r="F16484" t="s">
        <v>16489</v>
      </c>
      <c r="G16484">
        <v>1</v>
      </c>
    </row>
    <row r="16485" spans="1:7" x14ac:dyDescent="0.25">
      <c r="A16485">
        <v>48</v>
      </c>
      <c r="B16485" t="s">
        <v>15999</v>
      </c>
      <c r="C16485">
        <v>6577</v>
      </c>
      <c r="D16485" t="str">
        <f>"1234-1010"</f>
        <v>1234-1010</v>
      </c>
      <c r="E16485" t="s">
        <v>8</v>
      </c>
      <c r="F16485" t="s">
        <v>16490</v>
      </c>
      <c r="G16485">
        <v>1</v>
      </c>
    </row>
    <row r="16486" spans="1:7" x14ac:dyDescent="0.25">
      <c r="A16486">
        <v>48</v>
      </c>
      <c r="B16486" t="s">
        <v>15999</v>
      </c>
      <c r="C16486">
        <v>1196</v>
      </c>
      <c r="D16486" t="str">
        <f>"0025-7974"</f>
        <v>0025-7974</v>
      </c>
      <c r="E16486" t="s">
        <v>8</v>
      </c>
      <c r="F16486" t="s">
        <v>16491</v>
      </c>
      <c r="G16486">
        <v>1</v>
      </c>
    </row>
    <row r="16487" spans="1:7" x14ac:dyDescent="0.25">
      <c r="A16487">
        <v>48</v>
      </c>
      <c r="B16487" t="s">
        <v>15999</v>
      </c>
      <c r="C16487">
        <v>8767163</v>
      </c>
      <c r="E16487" t="s">
        <v>8</v>
      </c>
      <c r="F16487" t="s">
        <v>16492</v>
      </c>
      <c r="G16487">
        <v>1</v>
      </c>
    </row>
    <row r="16488" spans="1:7" x14ac:dyDescent="0.25">
      <c r="A16488">
        <v>48</v>
      </c>
      <c r="B16488" t="s">
        <v>15999</v>
      </c>
      <c r="C16488">
        <v>1286</v>
      </c>
      <c r="D16488" t="str">
        <f>"1540-4196"</f>
        <v>1540-4196</v>
      </c>
      <c r="E16488" t="s">
        <v>8</v>
      </c>
      <c r="F16488" t="s">
        <v>16493</v>
      </c>
      <c r="G16488">
        <v>1</v>
      </c>
    </row>
    <row r="16489" spans="1:7" x14ac:dyDescent="0.25">
      <c r="A16489">
        <v>48</v>
      </c>
      <c r="B16489" t="s">
        <v>15999</v>
      </c>
      <c r="C16489">
        <v>244</v>
      </c>
      <c r="D16489" t="str">
        <f>"0026-0495"</f>
        <v>0026-0495</v>
      </c>
      <c r="E16489" t="s">
        <v>8</v>
      </c>
      <c r="F16489" t="s">
        <v>16494</v>
      </c>
      <c r="G16489">
        <v>1</v>
      </c>
    </row>
    <row r="16490" spans="1:7" x14ac:dyDescent="0.25">
      <c r="A16490">
        <v>48</v>
      </c>
      <c r="B16490" t="s">
        <v>15999</v>
      </c>
      <c r="C16490">
        <v>5039</v>
      </c>
      <c r="D16490" t="str">
        <f>"0891-060X"</f>
        <v>0891-060X</v>
      </c>
      <c r="E16490" t="s">
        <v>8</v>
      </c>
      <c r="F16490" t="s">
        <v>16495</v>
      </c>
      <c r="G16490">
        <v>1</v>
      </c>
    </row>
    <row r="16491" spans="1:7" x14ac:dyDescent="0.25">
      <c r="A16491">
        <v>48</v>
      </c>
      <c r="B16491" t="s">
        <v>15999</v>
      </c>
      <c r="C16491">
        <v>129</v>
      </c>
      <c r="D16491" t="str">
        <f>"1073-9688"</f>
        <v>1073-9688</v>
      </c>
      <c r="E16491" t="s">
        <v>8</v>
      </c>
      <c r="F16491" t="s">
        <v>16496</v>
      </c>
      <c r="G16491">
        <v>1</v>
      </c>
    </row>
    <row r="16492" spans="1:7" x14ac:dyDescent="0.25">
      <c r="A16492">
        <v>48</v>
      </c>
      <c r="B16492" t="s">
        <v>15999</v>
      </c>
      <c r="C16492">
        <v>13429</v>
      </c>
      <c r="D16492" t="str">
        <f>"0026-2862"</f>
        <v>0026-2862</v>
      </c>
      <c r="E16492" t="s">
        <v>8</v>
      </c>
      <c r="F16492" t="s">
        <v>16497</v>
      </c>
      <c r="G16492">
        <v>1</v>
      </c>
    </row>
    <row r="16493" spans="1:7" x14ac:dyDescent="0.25">
      <c r="A16493">
        <v>48</v>
      </c>
      <c r="B16493" t="s">
        <v>15999</v>
      </c>
      <c r="C16493">
        <v>4508</v>
      </c>
      <c r="D16493" t="str">
        <f>"0393-2249"</f>
        <v>0393-2249</v>
      </c>
      <c r="E16493" t="s">
        <v>8</v>
      </c>
      <c r="F16493" t="s">
        <v>16498</v>
      </c>
      <c r="G16493">
        <v>1</v>
      </c>
    </row>
    <row r="16494" spans="1:7" x14ac:dyDescent="0.25">
      <c r="A16494">
        <v>48</v>
      </c>
      <c r="B16494" t="s">
        <v>15999</v>
      </c>
      <c r="C16494">
        <v>9597</v>
      </c>
      <c r="D16494" t="str">
        <f>"1439-7595"</f>
        <v>1439-7595</v>
      </c>
      <c r="E16494" t="s">
        <v>8</v>
      </c>
      <c r="F16494" t="s">
        <v>16499</v>
      </c>
      <c r="G16494">
        <v>1</v>
      </c>
    </row>
    <row r="16495" spans="1:7" x14ac:dyDescent="0.25">
      <c r="A16495">
        <v>48</v>
      </c>
      <c r="B16495" t="s">
        <v>15999</v>
      </c>
      <c r="C16495">
        <v>8254</v>
      </c>
      <c r="D16495" t="str">
        <f>"1476-4598"</f>
        <v>1476-4598</v>
      </c>
      <c r="E16495" t="s">
        <v>8</v>
      </c>
      <c r="F16495" t="s">
        <v>16500</v>
      </c>
      <c r="G16495">
        <v>1</v>
      </c>
    </row>
    <row r="16496" spans="1:7" x14ac:dyDescent="0.25">
      <c r="A16496">
        <v>48</v>
      </c>
      <c r="B16496" t="s">
        <v>15999</v>
      </c>
      <c r="C16496">
        <v>15040</v>
      </c>
      <c r="D16496" t="str">
        <f>"1541-7786"</f>
        <v>1541-7786</v>
      </c>
      <c r="E16496" t="s">
        <v>8</v>
      </c>
      <c r="F16496" t="s">
        <v>16501</v>
      </c>
      <c r="G16496">
        <v>1</v>
      </c>
    </row>
    <row r="16497" spans="1:7" x14ac:dyDescent="0.25">
      <c r="A16497">
        <v>48</v>
      </c>
      <c r="B16497" t="s">
        <v>15999</v>
      </c>
      <c r="C16497">
        <v>5444</v>
      </c>
      <c r="D16497" t="str">
        <f>"0161-5890"</f>
        <v>0161-5890</v>
      </c>
      <c r="E16497" t="s">
        <v>8</v>
      </c>
      <c r="F16497" t="s">
        <v>16502</v>
      </c>
      <c r="G16497">
        <v>1</v>
      </c>
    </row>
    <row r="16498" spans="1:7" x14ac:dyDescent="0.25">
      <c r="A16498">
        <v>48</v>
      </c>
      <c r="B16498" t="s">
        <v>15999</v>
      </c>
      <c r="C16498">
        <v>6205977</v>
      </c>
      <c r="D16498" t="str">
        <f>"1791-2997"</f>
        <v>1791-2997</v>
      </c>
      <c r="E16498" t="s">
        <v>8</v>
      </c>
      <c r="F16498" t="s">
        <v>16503</v>
      </c>
      <c r="G16498">
        <v>1</v>
      </c>
    </row>
    <row r="16499" spans="1:7" x14ac:dyDescent="0.25">
      <c r="A16499">
        <v>48</v>
      </c>
      <c r="B16499" t="s">
        <v>15999</v>
      </c>
      <c r="C16499">
        <v>19156</v>
      </c>
      <c r="D16499" t="str">
        <f>"1574-7891"</f>
        <v>1574-7891</v>
      </c>
      <c r="E16499" t="s">
        <v>8</v>
      </c>
      <c r="F16499" t="s">
        <v>16504</v>
      </c>
      <c r="G16499">
        <v>1</v>
      </c>
    </row>
    <row r="16500" spans="1:7" x14ac:dyDescent="0.25">
      <c r="A16500">
        <v>48</v>
      </c>
      <c r="B16500" t="s">
        <v>15999</v>
      </c>
      <c r="C16500">
        <v>5511</v>
      </c>
      <c r="D16500" t="str">
        <f>"0211-6995"</f>
        <v>0211-6995</v>
      </c>
      <c r="E16500" t="s">
        <v>8</v>
      </c>
      <c r="F16500" t="s">
        <v>16505</v>
      </c>
      <c r="G16500">
        <v>1</v>
      </c>
    </row>
    <row r="16501" spans="1:7" x14ac:dyDescent="0.25">
      <c r="A16501">
        <v>48</v>
      </c>
      <c r="B16501" t="s">
        <v>15999</v>
      </c>
      <c r="C16501">
        <v>10156</v>
      </c>
      <c r="D16501" t="str">
        <f>"1522-8002"</f>
        <v>1522-8002</v>
      </c>
      <c r="E16501" t="s">
        <v>8</v>
      </c>
      <c r="F16501" t="s">
        <v>16506</v>
      </c>
      <c r="G16501">
        <v>1</v>
      </c>
    </row>
    <row r="16502" spans="1:7" x14ac:dyDescent="0.25">
      <c r="A16502">
        <v>48</v>
      </c>
      <c r="B16502" t="s">
        <v>15999</v>
      </c>
      <c r="C16502">
        <v>3282</v>
      </c>
      <c r="D16502" t="str">
        <f>"0028-2685"</f>
        <v>0028-2685</v>
      </c>
      <c r="E16502" t="s">
        <v>8</v>
      </c>
      <c r="F16502" t="s">
        <v>16507</v>
      </c>
      <c r="G16502">
        <v>1</v>
      </c>
    </row>
    <row r="16503" spans="1:7" x14ac:dyDescent="0.25">
      <c r="A16503">
        <v>48</v>
      </c>
      <c r="B16503" t="s">
        <v>15999</v>
      </c>
      <c r="C16503">
        <v>232</v>
      </c>
      <c r="D16503" t="str">
        <f>"1320-5358"</f>
        <v>1320-5358</v>
      </c>
      <c r="E16503" t="s">
        <v>8</v>
      </c>
      <c r="F16503" t="s">
        <v>16508</v>
      </c>
      <c r="G16503">
        <v>1</v>
      </c>
    </row>
    <row r="16504" spans="1:7" x14ac:dyDescent="0.25">
      <c r="A16504">
        <v>48</v>
      </c>
      <c r="B16504" t="s">
        <v>15999</v>
      </c>
      <c r="C16504">
        <v>10601</v>
      </c>
      <c r="D16504" t="str">
        <f>"0931-0509"</f>
        <v>0931-0509</v>
      </c>
      <c r="E16504" t="s">
        <v>8</v>
      </c>
      <c r="F16504" t="s">
        <v>16509</v>
      </c>
      <c r="G16504">
        <v>1</v>
      </c>
    </row>
    <row r="16505" spans="1:7" x14ac:dyDescent="0.25">
      <c r="A16505">
        <v>48</v>
      </c>
      <c r="B16505" t="s">
        <v>15999</v>
      </c>
      <c r="C16505">
        <v>152092</v>
      </c>
      <c r="D16505" t="str">
        <f>"1660-8151"</f>
        <v>1660-8151</v>
      </c>
      <c r="E16505" t="s">
        <v>8</v>
      </c>
      <c r="F16505" t="s">
        <v>16510</v>
      </c>
      <c r="G16505">
        <v>1</v>
      </c>
    </row>
    <row r="16506" spans="1:7" x14ac:dyDescent="0.25">
      <c r="A16506">
        <v>48</v>
      </c>
      <c r="B16506" t="s">
        <v>15999</v>
      </c>
      <c r="C16506">
        <v>10002</v>
      </c>
      <c r="D16506" t="str">
        <f>"1350-1925"</f>
        <v>1350-1925</v>
      </c>
      <c r="E16506" t="s">
        <v>8</v>
      </c>
      <c r="F16506" t="s">
        <v>16511</v>
      </c>
      <c r="G16506">
        <v>1</v>
      </c>
    </row>
    <row r="16507" spans="1:7" x14ac:dyDescent="0.25">
      <c r="A16507">
        <v>48</v>
      </c>
      <c r="B16507" t="s">
        <v>15999</v>
      </c>
      <c r="C16507">
        <v>5184</v>
      </c>
      <c r="D16507" t="str">
        <f>"1522-8517"</f>
        <v>1522-8517</v>
      </c>
      <c r="E16507" t="s">
        <v>8</v>
      </c>
      <c r="F16507" t="s">
        <v>16512</v>
      </c>
      <c r="G16507">
        <v>1</v>
      </c>
    </row>
    <row r="16508" spans="1:7" x14ac:dyDescent="0.25">
      <c r="A16508">
        <v>48</v>
      </c>
      <c r="B16508" t="s">
        <v>15999</v>
      </c>
      <c r="C16508">
        <v>8776314</v>
      </c>
      <c r="E16508" t="s">
        <v>8</v>
      </c>
      <c r="F16508" t="s">
        <v>16513</v>
      </c>
      <c r="G16508">
        <v>1</v>
      </c>
    </row>
    <row r="16509" spans="1:7" x14ac:dyDescent="0.25">
      <c r="A16509">
        <v>48</v>
      </c>
      <c r="B16509" t="s">
        <v>15999</v>
      </c>
      <c r="C16509">
        <v>8759143</v>
      </c>
      <c r="D16509" t="str">
        <f>"2162-4011"</f>
        <v>2162-4011</v>
      </c>
      <c r="E16509" t="s">
        <v>8</v>
      </c>
      <c r="F16509" t="s">
        <v>16514</v>
      </c>
      <c r="G16509">
        <v>1</v>
      </c>
    </row>
    <row r="16510" spans="1:7" x14ac:dyDescent="0.25">
      <c r="A16510">
        <v>48</v>
      </c>
      <c r="B16510" t="s">
        <v>15999</v>
      </c>
      <c r="C16510">
        <v>16466</v>
      </c>
      <c r="D16510" t="str">
        <f>"0890-9091"</f>
        <v>0890-9091</v>
      </c>
      <c r="E16510" t="s">
        <v>8</v>
      </c>
      <c r="F16510" t="s">
        <v>16515</v>
      </c>
      <c r="G16510">
        <v>1</v>
      </c>
    </row>
    <row r="16511" spans="1:7" x14ac:dyDescent="0.25">
      <c r="A16511">
        <v>48</v>
      </c>
      <c r="B16511" t="s">
        <v>15999</v>
      </c>
      <c r="C16511">
        <v>7698</v>
      </c>
      <c r="D16511" t="str">
        <f>"0030-2414"</f>
        <v>0030-2414</v>
      </c>
      <c r="E16511" t="s">
        <v>8</v>
      </c>
      <c r="F16511" t="s">
        <v>16515</v>
      </c>
      <c r="G16511">
        <v>1</v>
      </c>
    </row>
    <row r="16512" spans="1:7" x14ac:dyDescent="0.25">
      <c r="A16512">
        <v>48</v>
      </c>
      <c r="B16512" t="s">
        <v>15999</v>
      </c>
      <c r="C16512">
        <v>6732</v>
      </c>
      <c r="D16512" t="str">
        <f>"1021-335X"</f>
        <v>1021-335X</v>
      </c>
      <c r="E16512" t="s">
        <v>8</v>
      </c>
      <c r="F16512" t="s">
        <v>16516</v>
      </c>
      <c r="G16512">
        <v>1</v>
      </c>
    </row>
    <row r="16513" spans="1:7" x14ac:dyDescent="0.25">
      <c r="A16513">
        <v>48</v>
      </c>
      <c r="B16513" t="s">
        <v>15999</v>
      </c>
      <c r="C16513">
        <v>15682</v>
      </c>
      <c r="D16513" t="str">
        <f>"0965-0407"</f>
        <v>0965-0407</v>
      </c>
      <c r="E16513" t="s">
        <v>8</v>
      </c>
      <c r="F16513" t="s">
        <v>16517</v>
      </c>
      <c r="G16513">
        <v>1</v>
      </c>
    </row>
    <row r="16514" spans="1:7" x14ac:dyDescent="0.25">
      <c r="A16514">
        <v>48</v>
      </c>
      <c r="B16514" t="s">
        <v>15999</v>
      </c>
      <c r="C16514">
        <v>6019</v>
      </c>
      <c r="D16514" t="str">
        <f>"2296-5270"</f>
        <v>2296-5270</v>
      </c>
      <c r="E16514" t="s">
        <v>8</v>
      </c>
      <c r="F16514" t="s">
        <v>16518</v>
      </c>
      <c r="G16514">
        <v>1</v>
      </c>
    </row>
    <row r="16515" spans="1:7" x14ac:dyDescent="0.25">
      <c r="A16515">
        <v>48</v>
      </c>
      <c r="B16515" t="s">
        <v>15999</v>
      </c>
      <c r="C16515">
        <v>6229496</v>
      </c>
      <c r="E16515" t="s">
        <v>8</v>
      </c>
      <c r="F16515" t="s">
        <v>16519</v>
      </c>
      <c r="G16515">
        <v>1</v>
      </c>
    </row>
    <row r="16516" spans="1:7" x14ac:dyDescent="0.25">
      <c r="A16516">
        <v>48</v>
      </c>
      <c r="B16516" t="s">
        <v>15999</v>
      </c>
      <c r="C16516">
        <v>8770819</v>
      </c>
      <c r="D16516" t="str">
        <f>"2398-595X"</f>
        <v>2398-595X</v>
      </c>
      <c r="E16516" t="s">
        <v>8</v>
      </c>
      <c r="F16516" t="s">
        <v>16520</v>
      </c>
      <c r="G16516">
        <v>1</v>
      </c>
    </row>
    <row r="16517" spans="1:7" x14ac:dyDescent="0.25">
      <c r="A16517">
        <v>48</v>
      </c>
      <c r="B16517" t="s">
        <v>15999</v>
      </c>
      <c r="C16517">
        <v>7720635</v>
      </c>
      <c r="D16517" t="str">
        <f>"2162-450X"</f>
        <v>2162-450X</v>
      </c>
      <c r="E16517" t="s">
        <v>8</v>
      </c>
      <c r="F16517" t="s">
        <v>16521</v>
      </c>
      <c r="G16517">
        <v>1</v>
      </c>
    </row>
    <row r="16518" spans="1:7" x14ac:dyDescent="0.25">
      <c r="A16518">
        <v>48</v>
      </c>
      <c r="B16518" t="s">
        <v>15999</v>
      </c>
      <c r="C16518">
        <v>3243</v>
      </c>
      <c r="D16518" t="str">
        <f>"1063-4584"</f>
        <v>1063-4584</v>
      </c>
      <c r="E16518" t="s">
        <v>8</v>
      </c>
      <c r="F16518" t="s">
        <v>16522</v>
      </c>
      <c r="G16518">
        <v>1</v>
      </c>
    </row>
    <row r="16519" spans="1:7" x14ac:dyDescent="0.25">
      <c r="A16519">
        <v>48</v>
      </c>
      <c r="B16519" t="s">
        <v>15999</v>
      </c>
      <c r="C16519">
        <v>4698</v>
      </c>
      <c r="D16519" t="str">
        <f>"0885-3177"</f>
        <v>0885-3177</v>
      </c>
      <c r="E16519" t="s">
        <v>8</v>
      </c>
      <c r="F16519" t="s">
        <v>16523</v>
      </c>
      <c r="G16519">
        <v>1</v>
      </c>
    </row>
    <row r="16520" spans="1:7" x14ac:dyDescent="0.25">
      <c r="A16520">
        <v>48</v>
      </c>
      <c r="B16520" t="s">
        <v>15999</v>
      </c>
      <c r="C16520">
        <v>6261</v>
      </c>
      <c r="D16520" t="str">
        <f>"1424-3903"</f>
        <v>1424-3903</v>
      </c>
      <c r="E16520" t="s">
        <v>8</v>
      </c>
      <c r="F16520" t="s">
        <v>16524</v>
      </c>
      <c r="G16520">
        <v>1</v>
      </c>
    </row>
    <row r="16521" spans="1:7" x14ac:dyDescent="0.25">
      <c r="A16521">
        <v>48</v>
      </c>
      <c r="B16521" t="s">
        <v>15999</v>
      </c>
      <c r="C16521">
        <v>152406</v>
      </c>
      <c r="E16521" t="s">
        <v>8</v>
      </c>
      <c r="F16521" t="s">
        <v>16525</v>
      </c>
      <c r="G16521">
        <v>1</v>
      </c>
    </row>
    <row r="16522" spans="1:7" x14ac:dyDescent="0.25">
      <c r="A16522">
        <v>48</v>
      </c>
      <c r="B16522" t="s">
        <v>15999</v>
      </c>
      <c r="C16522">
        <v>60936</v>
      </c>
      <c r="D16522" t="str">
        <f>"1546-0096"</f>
        <v>1546-0096</v>
      </c>
      <c r="E16522" t="s">
        <v>8</v>
      </c>
      <c r="F16522" t="s">
        <v>16526</v>
      </c>
      <c r="G16522">
        <v>1</v>
      </c>
    </row>
    <row r="16523" spans="1:7" x14ac:dyDescent="0.25">
      <c r="A16523">
        <v>48</v>
      </c>
      <c r="B16523" t="s">
        <v>15999</v>
      </c>
      <c r="C16523">
        <v>5201</v>
      </c>
      <c r="D16523" t="str">
        <f>"0267-6591"</f>
        <v>0267-6591</v>
      </c>
      <c r="E16523" t="s">
        <v>8</v>
      </c>
      <c r="F16523" t="s">
        <v>16527</v>
      </c>
      <c r="G16523">
        <v>1</v>
      </c>
    </row>
    <row r="16524" spans="1:7" x14ac:dyDescent="0.25">
      <c r="A16524">
        <v>48</v>
      </c>
      <c r="B16524" t="s">
        <v>15999</v>
      </c>
      <c r="C16524">
        <v>5421</v>
      </c>
      <c r="D16524" t="str">
        <f>"0896-8608"</f>
        <v>0896-8608</v>
      </c>
      <c r="E16524" t="s">
        <v>8</v>
      </c>
      <c r="F16524" t="s">
        <v>16528</v>
      </c>
      <c r="G16524">
        <v>1</v>
      </c>
    </row>
    <row r="16525" spans="1:7" x14ac:dyDescent="0.25">
      <c r="A16525">
        <v>48</v>
      </c>
      <c r="B16525" t="s">
        <v>15999</v>
      </c>
      <c r="C16525">
        <v>6073</v>
      </c>
      <c r="D16525" t="str">
        <f>"0270-3181"</f>
        <v>0270-3181</v>
      </c>
      <c r="E16525" t="s">
        <v>8</v>
      </c>
      <c r="F16525" t="s">
        <v>16529</v>
      </c>
      <c r="G16525">
        <v>1</v>
      </c>
    </row>
    <row r="16526" spans="1:7" x14ac:dyDescent="0.25">
      <c r="A16526">
        <v>48</v>
      </c>
      <c r="B16526" t="s">
        <v>15999</v>
      </c>
      <c r="C16526">
        <v>8776854</v>
      </c>
      <c r="E16526" t="s">
        <v>8</v>
      </c>
      <c r="F16526" t="s">
        <v>16530</v>
      </c>
      <c r="G16526">
        <v>1</v>
      </c>
    </row>
    <row r="16527" spans="1:7" x14ac:dyDescent="0.25">
      <c r="A16527">
        <v>48</v>
      </c>
      <c r="B16527" t="s">
        <v>15999</v>
      </c>
      <c r="C16527">
        <v>13074</v>
      </c>
      <c r="D16527" t="str">
        <f>"1386-341X"</f>
        <v>1386-341X</v>
      </c>
      <c r="E16527" t="s">
        <v>8</v>
      </c>
      <c r="F16527" t="s">
        <v>16531</v>
      </c>
      <c r="G16527">
        <v>1</v>
      </c>
    </row>
    <row r="16528" spans="1:7" x14ac:dyDescent="0.25">
      <c r="A16528">
        <v>48</v>
      </c>
      <c r="B16528" t="s">
        <v>15999</v>
      </c>
      <c r="C16528">
        <v>1998</v>
      </c>
      <c r="D16528" t="str">
        <f>"0934-8387"</f>
        <v>0934-8387</v>
      </c>
      <c r="E16528" t="s">
        <v>8</v>
      </c>
      <c r="F16528" t="s">
        <v>16532</v>
      </c>
      <c r="G16528">
        <v>1</v>
      </c>
    </row>
    <row r="16529" spans="1:7" x14ac:dyDescent="0.25">
      <c r="A16529">
        <v>48</v>
      </c>
      <c r="B16529" t="s">
        <v>15999</v>
      </c>
      <c r="C16529">
        <v>7707582</v>
      </c>
      <c r="D16529" t="str">
        <f>"1879-8500"</f>
        <v>1879-8500</v>
      </c>
      <c r="E16529" t="s">
        <v>8</v>
      </c>
      <c r="F16529" t="s">
        <v>16533</v>
      </c>
      <c r="G16529">
        <v>1</v>
      </c>
    </row>
    <row r="16530" spans="1:7" x14ac:dyDescent="0.25">
      <c r="A16530">
        <v>48</v>
      </c>
      <c r="B16530" t="s">
        <v>15999</v>
      </c>
      <c r="C16530">
        <v>19742</v>
      </c>
      <c r="D16530" t="str">
        <f>"1049-023X"</f>
        <v>1049-023X</v>
      </c>
      <c r="E16530" t="s">
        <v>8</v>
      </c>
      <c r="F16530" t="s">
        <v>16534</v>
      </c>
      <c r="G16530">
        <v>1</v>
      </c>
    </row>
    <row r="16531" spans="1:7" x14ac:dyDescent="0.25">
      <c r="A16531">
        <v>48</v>
      </c>
      <c r="B16531" t="s">
        <v>15999</v>
      </c>
      <c r="C16531">
        <v>4650</v>
      </c>
      <c r="D16531" t="str">
        <f>"0033-0620"</f>
        <v>0033-0620</v>
      </c>
      <c r="E16531" t="s">
        <v>8</v>
      </c>
      <c r="F16531" t="s">
        <v>16535</v>
      </c>
      <c r="G16531">
        <v>1</v>
      </c>
    </row>
    <row r="16532" spans="1:7" x14ac:dyDescent="0.25">
      <c r="A16532">
        <v>48</v>
      </c>
      <c r="B16532" t="s">
        <v>15999</v>
      </c>
      <c r="C16532">
        <v>11263</v>
      </c>
      <c r="D16532" t="str">
        <f>"0079-6263"</f>
        <v>0079-6263</v>
      </c>
      <c r="E16532" t="s">
        <v>15</v>
      </c>
      <c r="F16532" t="s">
        <v>16536</v>
      </c>
      <c r="G16532">
        <v>1</v>
      </c>
    </row>
    <row r="16533" spans="1:7" x14ac:dyDescent="0.25">
      <c r="A16533">
        <v>48</v>
      </c>
      <c r="B16533" t="s">
        <v>15999</v>
      </c>
      <c r="C16533">
        <v>10769</v>
      </c>
      <c r="D16533" t="str">
        <f>"1460-2725"</f>
        <v>1460-2725</v>
      </c>
      <c r="E16533" t="s">
        <v>8</v>
      </c>
      <c r="F16533" t="s">
        <v>16537</v>
      </c>
      <c r="G16533">
        <v>1</v>
      </c>
    </row>
    <row r="16534" spans="1:7" x14ac:dyDescent="0.25">
      <c r="A16534">
        <v>48</v>
      </c>
      <c r="B16534" t="s">
        <v>15999</v>
      </c>
      <c r="C16534">
        <v>15818</v>
      </c>
      <c r="D16534" t="str">
        <f>"0167-8140"</f>
        <v>0167-8140</v>
      </c>
      <c r="E16534" t="s">
        <v>8</v>
      </c>
      <c r="F16534" t="s">
        <v>16538</v>
      </c>
      <c r="G16534">
        <v>1</v>
      </c>
    </row>
    <row r="16535" spans="1:7" x14ac:dyDescent="0.25">
      <c r="A16535">
        <v>48</v>
      </c>
      <c r="B16535" t="s">
        <v>15999</v>
      </c>
      <c r="C16535">
        <v>17853</v>
      </c>
      <c r="D16535" t="str">
        <f>"1549-1684"</f>
        <v>1549-1684</v>
      </c>
      <c r="E16535" t="s">
        <v>8</v>
      </c>
      <c r="F16535" t="s">
        <v>16539</v>
      </c>
      <c r="G16535">
        <v>1</v>
      </c>
    </row>
    <row r="16536" spans="1:7" x14ac:dyDescent="0.25">
      <c r="A16536">
        <v>48</v>
      </c>
      <c r="B16536" t="s">
        <v>15999</v>
      </c>
      <c r="C16536">
        <v>7436</v>
      </c>
      <c r="E16536" t="s">
        <v>8</v>
      </c>
      <c r="F16536" t="s">
        <v>16540</v>
      </c>
      <c r="G16536">
        <v>1</v>
      </c>
    </row>
    <row r="16537" spans="1:7" x14ac:dyDescent="0.25">
      <c r="A16537">
        <v>48</v>
      </c>
      <c r="B16537" t="s">
        <v>15999</v>
      </c>
      <c r="C16537">
        <v>220</v>
      </c>
      <c r="D16537" t="str">
        <f>"0025-7931"</f>
        <v>0025-7931</v>
      </c>
      <c r="E16537" t="s">
        <v>8</v>
      </c>
      <c r="F16537" t="s">
        <v>16541</v>
      </c>
      <c r="G16537">
        <v>1</v>
      </c>
    </row>
    <row r="16538" spans="1:7" x14ac:dyDescent="0.25">
      <c r="A16538">
        <v>48</v>
      </c>
      <c r="B16538" t="s">
        <v>15999</v>
      </c>
      <c r="C16538">
        <v>4167</v>
      </c>
      <c r="D16538" t="str">
        <f>"0954-6111"</f>
        <v>0954-6111</v>
      </c>
      <c r="E16538" t="s">
        <v>8</v>
      </c>
      <c r="F16538" t="s">
        <v>16542</v>
      </c>
      <c r="G16538">
        <v>1</v>
      </c>
    </row>
    <row r="16539" spans="1:7" x14ac:dyDescent="0.25">
      <c r="A16539">
        <v>48</v>
      </c>
      <c r="B16539" t="s">
        <v>15999</v>
      </c>
      <c r="C16539">
        <v>15355</v>
      </c>
      <c r="D16539" t="str">
        <f>"1323-7799"</f>
        <v>1323-7799</v>
      </c>
      <c r="E16539" t="s">
        <v>8</v>
      </c>
      <c r="F16539" t="s">
        <v>16543</v>
      </c>
      <c r="G16539">
        <v>1</v>
      </c>
    </row>
    <row r="16540" spans="1:7" x14ac:dyDescent="0.25">
      <c r="A16540">
        <v>48</v>
      </c>
      <c r="B16540" t="s">
        <v>15999</v>
      </c>
      <c r="C16540">
        <v>2073</v>
      </c>
      <c r="D16540" t="str">
        <f>"1699-258X"</f>
        <v>1699-258X</v>
      </c>
      <c r="E16540" t="s">
        <v>8</v>
      </c>
      <c r="F16540" t="s">
        <v>16544</v>
      </c>
      <c r="G16540">
        <v>1</v>
      </c>
    </row>
    <row r="16541" spans="1:7" x14ac:dyDescent="0.25">
      <c r="A16541">
        <v>48</v>
      </c>
      <c r="B16541" t="s">
        <v>15999</v>
      </c>
      <c r="C16541">
        <v>2947</v>
      </c>
      <c r="D16541" t="str">
        <f>"1389-9155"</f>
        <v>1389-9155</v>
      </c>
      <c r="E16541" t="s">
        <v>8</v>
      </c>
      <c r="F16541" t="s">
        <v>16545</v>
      </c>
      <c r="G16541">
        <v>1</v>
      </c>
    </row>
    <row r="16542" spans="1:7" x14ac:dyDescent="0.25">
      <c r="A16542">
        <v>48</v>
      </c>
      <c r="B16542" t="s">
        <v>15999</v>
      </c>
      <c r="C16542">
        <v>8531</v>
      </c>
      <c r="D16542" t="str">
        <f>"1052-9276"</f>
        <v>1052-9276</v>
      </c>
      <c r="E16542" t="s">
        <v>8</v>
      </c>
      <c r="F16542" t="s">
        <v>16546</v>
      </c>
      <c r="G16542">
        <v>1</v>
      </c>
    </row>
    <row r="16543" spans="1:7" x14ac:dyDescent="0.25">
      <c r="A16543">
        <v>48</v>
      </c>
      <c r="B16543" t="s">
        <v>15999</v>
      </c>
      <c r="C16543">
        <v>11021</v>
      </c>
      <c r="D16543" t="str">
        <f>"0889-857X"</f>
        <v>0889-857X</v>
      </c>
      <c r="E16543" t="s">
        <v>8</v>
      </c>
      <c r="F16543" t="s">
        <v>16547</v>
      </c>
      <c r="G16543">
        <v>1</v>
      </c>
    </row>
    <row r="16544" spans="1:7" x14ac:dyDescent="0.25">
      <c r="A16544">
        <v>48</v>
      </c>
      <c r="B16544" t="s">
        <v>15999</v>
      </c>
      <c r="C16544">
        <v>8657</v>
      </c>
      <c r="D16544" t="str">
        <f>"1462-0324"</f>
        <v>1462-0324</v>
      </c>
      <c r="E16544" t="s">
        <v>8</v>
      </c>
      <c r="F16544" t="s">
        <v>16548</v>
      </c>
      <c r="G16544">
        <v>1</v>
      </c>
    </row>
    <row r="16545" spans="1:7" x14ac:dyDescent="0.25">
      <c r="A16545">
        <v>48</v>
      </c>
      <c r="B16545" t="s">
        <v>15999</v>
      </c>
      <c r="C16545">
        <v>9048</v>
      </c>
      <c r="D16545" t="str">
        <f>"0172-8172"</f>
        <v>0172-8172</v>
      </c>
      <c r="E16545" t="s">
        <v>8</v>
      </c>
      <c r="F16545" t="s">
        <v>16549</v>
      </c>
      <c r="G16545">
        <v>1</v>
      </c>
    </row>
    <row r="16546" spans="1:7" x14ac:dyDescent="0.25">
      <c r="A16546">
        <v>48</v>
      </c>
      <c r="B16546" t="s">
        <v>15999</v>
      </c>
      <c r="C16546">
        <v>8773311</v>
      </c>
      <c r="E16546" t="s">
        <v>8</v>
      </c>
      <c r="F16546" t="s">
        <v>16550</v>
      </c>
      <c r="G16546">
        <v>1</v>
      </c>
    </row>
    <row r="16547" spans="1:7" x14ac:dyDescent="0.25">
      <c r="A16547">
        <v>48</v>
      </c>
      <c r="B16547" t="s">
        <v>15999</v>
      </c>
      <c r="C16547">
        <v>11429</v>
      </c>
      <c r="D16547" t="str">
        <f>"1124-0490"</f>
        <v>1124-0490</v>
      </c>
      <c r="E16547" t="s">
        <v>8</v>
      </c>
      <c r="F16547" t="s">
        <v>16551</v>
      </c>
      <c r="G16547">
        <v>1</v>
      </c>
    </row>
    <row r="16548" spans="1:7" x14ac:dyDescent="0.25">
      <c r="A16548">
        <v>48</v>
      </c>
      <c r="B16548" t="s">
        <v>15999</v>
      </c>
      <c r="C16548">
        <v>16411</v>
      </c>
      <c r="D16548" t="str">
        <f>"1357-714X"</f>
        <v>1357-714X</v>
      </c>
      <c r="E16548" t="s">
        <v>8</v>
      </c>
      <c r="F16548" t="s">
        <v>16552</v>
      </c>
      <c r="G16548">
        <v>1</v>
      </c>
    </row>
    <row r="16549" spans="1:7" x14ac:dyDescent="0.25">
      <c r="A16549">
        <v>48</v>
      </c>
      <c r="B16549" t="s">
        <v>15999</v>
      </c>
      <c r="C16549">
        <v>13092</v>
      </c>
      <c r="D16549" t="str">
        <f>"1401-7431"</f>
        <v>1401-7431</v>
      </c>
      <c r="E16549" t="s">
        <v>8</v>
      </c>
      <c r="F16549" t="s">
        <v>16553</v>
      </c>
      <c r="G16549">
        <v>1</v>
      </c>
    </row>
    <row r="16550" spans="1:7" x14ac:dyDescent="0.25">
      <c r="A16550">
        <v>48</v>
      </c>
      <c r="B16550" t="s">
        <v>15999</v>
      </c>
      <c r="C16550">
        <v>5976</v>
      </c>
      <c r="D16550" t="str">
        <f>"0036-5521"</f>
        <v>0036-5521</v>
      </c>
      <c r="E16550" t="s">
        <v>8</v>
      </c>
      <c r="F16550" t="s">
        <v>16554</v>
      </c>
      <c r="G16550">
        <v>1</v>
      </c>
    </row>
    <row r="16551" spans="1:7" x14ac:dyDescent="0.25">
      <c r="A16551">
        <v>48</v>
      </c>
      <c r="B16551" t="s">
        <v>15999</v>
      </c>
      <c r="C16551">
        <v>5513</v>
      </c>
      <c r="D16551" t="str">
        <f>"0085-5928"</f>
        <v>0085-5928</v>
      </c>
      <c r="E16551" t="s">
        <v>15</v>
      </c>
      <c r="F16551" t="s">
        <v>16555</v>
      </c>
      <c r="G16551">
        <v>1</v>
      </c>
    </row>
    <row r="16552" spans="1:7" x14ac:dyDescent="0.25">
      <c r="A16552">
        <v>48</v>
      </c>
      <c r="B16552" t="s">
        <v>15999</v>
      </c>
      <c r="C16552">
        <v>8768</v>
      </c>
      <c r="D16552" t="str">
        <f>"0300-9475"</f>
        <v>0300-9475</v>
      </c>
      <c r="E16552" t="s">
        <v>8</v>
      </c>
      <c r="F16552" t="s">
        <v>16556</v>
      </c>
      <c r="G16552">
        <v>1</v>
      </c>
    </row>
    <row r="16553" spans="1:7" x14ac:dyDescent="0.25">
      <c r="A16553">
        <v>48</v>
      </c>
      <c r="B16553" t="s">
        <v>15999</v>
      </c>
      <c r="C16553">
        <v>10646</v>
      </c>
      <c r="D16553" t="str">
        <f>"0300-8878"</f>
        <v>0300-8878</v>
      </c>
      <c r="E16553" t="s">
        <v>8</v>
      </c>
      <c r="F16553" t="s">
        <v>16557</v>
      </c>
      <c r="G16553">
        <v>1</v>
      </c>
    </row>
    <row r="16554" spans="1:7" x14ac:dyDescent="0.25">
      <c r="A16554">
        <v>48</v>
      </c>
      <c r="B16554" t="s">
        <v>15999</v>
      </c>
      <c r="C16554">
        <v>10397</v>
      </c>
      <c r="D16554" t="str">
        <f>"0300-9742"</f>
        <v>0300-9742</v>
      </c>
      <c r="E16554" t="s">
        <v>8</v>
      </c>
      <c r="F16554" t="s">
        <v>16558</v>
      </c>
      <c r="G16554">
        <v>1</v>
      </c>
    </row>
    <row r="16555" spans="1:7" x14ac:dyDescent="0.25">
      <c r="A16555">
        <v>48</v>
      </c>
      <c r="B16555" t="s">
        <v>15999</v>
      </c>
      <c r="C16555">
        <v>10112</v>
      </c>
      <c r="D16555" t="str">
        <f>"1502-7740"</f>
        <v>1502-7740</v>
      </c>
      <c r="E16555" t="s">
        <v>15</v>
      </c>
      <c r="F16555" t="s">
        <v>16559</v>
      </c>
      <c r="G16555">
        <v>1</v>
      </c>
    </row>
    <row r="16556" spans="1:7" x14ac:dyDescent="0.25">
      <c r="A16556">
        <v>48</v>
      </c>
      <c r="B16556" t="s">
        <v>15999</v>
      </c>
      <c r="C16556">
        <v>12157</v>
      </c>
      <c r="D16556" t="str">
        <f>"2168-1805"</f>
        <v>2168-1805</v>
      </c>
      <c r="E16556" t="s">
        <v>8</v>
      </c>
      <c r="F16556" t="s">
        <v>16560</v>
      </c>
      <c r="G16556">
        <v>1</v>
      </c>
    </row>
    <row r="16557" spans="1:7" x14ac:dyDescent="0.25">
      <c r="A16557">
        <v>48</v>
      </c>
      <c r="B16557" t="s">
        <v>15999</v>
      </c>
      <c r="C16557">
        <v>8773758</v>
      </c>
      <c r="E16557" t="s">
        <v>8</v>
      </c>
      <c r="F16557" t="s">
        <v>16561</v>
      </c>
      <c r="G16557">
        <v>1</v>
      </c>
    </row>
    <row r="16558" spans="1:7" x14ac:dyDescent="0.25">
      <c r="A16558">
        <v>48</v>
      </c>
      <c r="B16558" t="s">
        <v>15999</v>
      </c>
      <c r="C16558">
        <v>7519</v>
      </c>
      <c r="D16558" t="str">
        <f>"0049-0172"</f>
        <v>0049-0172</v>
      </c>
      <c r="E16558" t="s">
        <v>8</v>
      </c>
      <c r="F16558" t="s">
        <v>16562</v>
      </c>
      <c r="G16558">
        <v>1</v>
      </c>
    </row>
    <row r="16559" spans="1:7" x14ac:dyDescent="0.25">
      <c r="A16559">
        <v>48</v>
      </c>
      <c r="B16559" t="s">
        <v>15999</v>
      </c>
      <c r="C16559">
        <v>2251</v>
      </c>
      <c r="D16559" t="str">
        <f>"0894-0959"</f>
        <v>0894-0959</v>
      </c>
      <c r="E16559" t="s">
        <v>8</v>
      </c>
      <c r="F16559" t="s">
        <v>16563</v>
      </c>
      <c r="G16559">
        <v>1</v>
      </c>
    </row>
    <row r="16560" spans="1:7" x14ac:dyDescent="0.25">
      <c r="A16560">
        <v>48</v>
      </c>
      <c r="B16560" t="s">
        <v>15999</v>
      </c>
      <c r="C16560">
        <v>10872</v>
      </c>
      <c r="D16560" t="str">
        <f>"0037-1963"</f>
        <v>0037-1963</v>
      </c>
      <c r="E16560" t="s">
        <v>8</v>
      </c>
      <c r="F16560" t="s">
        <v>16564</v>
      </c>
      <c r="G16560">
        <v>1</v>
      </c>
    </row>
    <row r="16561" spans="1:7" x14ac:dyDescent="0.25">
      <c r="A16561">
        <v>48</v>
      </c>
      <c r="B16561" t="s">
        <v>15999</v>
      </c>
      <c r="C16561">
        <v>6616</v>
      </c>
      <c r="D16561" t="str">
        <f>"1044-5323"</f>
        <v>1044-5323</v>
      </c>
      <c r="E16561" t="s">
        <v>8</v>
      </c>
      <c r="F16561" t="s">
        <v>16565</v>
      </c>
      <c r="G16561">
        <v>1</v>
      </c>
    </row>
    <row r="16562" spans="1:7" x14ac:dyDescent="0.25">
      <c r="A16562">
        <v>48</v>
      </c>
      <c r="B16562" t="s">
        <v>15999</v>
      </c>
      <c r="C16562">
        <v>13678</v>
      </c>
      <c r="D16562" t="str">
        <f>"0272-8087"</f>
        <v>0272-8087</v>
      </c>
      <c r="E16562" t="s">
        <v>8</v>
      </c>
      <c r="F16562" t="s">
        <v>16566</v>
      </c>
      <c r="G16562">
        <v>1</v>
      </c>
    </row>
    <row r="16563" spans="1:7" x14ac:dyDescent="0.25">
      <c r="A16563">
        <v>48</v>
      </c>
      <c r="B16563" t="s">
        <v>15999</v>
      </c>
      <c r="C16563">
        <v>9327</v>
      </c>
      <c r="D16563" t="str">
        <f>"0270-9295"</f>
        <v>0270-9295</v>
      </c>
      <c r="E16563" t="s">
        <v>8</v>
      </c>
      <c r="F16563" t="s">
        <v>16567</v>
      </c>
      <c r="G16563">
        <v>1</v>
      </c>
    </row>
    <row r="16564" spans="1:7" x14ac:dyDescent="0.25">
      <c r="A16564">
        <v>48</v>
      </c>
      <c r="B16564" t="s">
        <v>15999</v>
      </c>
      <c r="C16564">
        <v>5244</v>
      </c>
      <c r="D16564" t="str">
        <f>"0093-7754"</f>
        <v>0093-7754</v>
      </c>
      <c r="E16564" t="s">
        <v>8</v>
      </c>
      <c r="F16564" t="s">
        <v>16568</v>
      </c>
      <c r="G16564">
        <v>1</v>
      </c>
    </row>
    <row r="16565" spans="1:7" x14ac:dyDescent="0.25">
      <c r="A16565">
        <v>48</v>
      </c>
      <c r="B16565" t="s">
        <v>15999</v>
      </c>
      <c r="C16565">
        <v>26908</v>
      </c>
      <c r="D16565" t="str">
        <f>"0749-2081"</f>
        <v>0749-2081</v>
      </c>
      <c r="E16565" t="s">
        <v>8</v>
      </c>
      <c r="F16565" t="s">
        <v>16569</v>
      </c>
      <c r="G16565">
        <v>1</v>
      </c>
    </row>
    <row r="16566" spans="1:7" x14ac:dyDescent="0.25">
      <c r="A16566">
        <v>48</v>
      </c>
      <c r="B16566" t="s">
        <v>15999</v>
      </c>
      <c r="C16566">
        <v>13573</v>
      </c>
      <c r="D16566" t="str">
        <f>"1053-4296"</f>
        <v>1053-4296</v>
      </c>
      <c r="E16566" t="s">
        <v>8</v>
      </c>
      <c r="F16566" t="s">
        <v>16570</v>
      </c>
      <c r="G16566">
        <v>1</v>
      </c>
    </row>
    <row r="16567" spans="1:7" x14ac:dyDescent="0.25">
      <c r="A16567">
        <v>48</v>
      </c>
      <c r="B16567" t="s">
        <v>15999</v>
      </c>
      <c r="C16567">
        <v>14770</v>
      </c>
      <c r="D16567" t="str">
        <f>"0094-6176"</f>
        <v>0094-6176</v>
      </c>
      <c r="E16567" t="s">
        <v>8</v>
      </c>
      <c r="F16567" t="s">
        <v>16571</v>
      </c>
      <c r="G16567">
        <v>1</v>
      </c>
    </row>
    <row r="16568" spans="1:7" x14ac:dyDescent="0.25">
      <c r="A16568">
        <v>48</v>
      </c>
      <c r="B16568" t="s">
        <v>15999</v>
      </c>
      <c r="C16568">
        <v>14584</v>
      </c>
      <c r="D16568" t="str">
        <f>"0179-7158"</f>
        <v>0179-7158</v>
      </c>
      <c r="E16568" t="s">
        <v>8</v>
      </c>
      <c r="F16568" t="s">
        <v>16572</v>
      </c>
      <c r="G16568">
        <v>1</v>
      </c>
    </row>
    <row r="16569" spans="1:7" x14ac:dyDescent="0.25">
      <c r="A16569">
        <v>48</v>
      </c>
      <c r="B16569" t="s">
        <v>15999</v>
      </c>
      <c r="C16569">
        <v>17798</v>
      </c>
      <c r="D16569" t="str">
        <f>"1055-3207"</f>
        <v>1055-3207</v>
      </c>
      <c r="E16569" t="s">
        <v>8</v>
      </c>
      <c r="F16569" t="s">
        <v>16573</v>
      </c>
      <c r="G16569">
        <v>1</v>
      </c>
    </row>
    <row r="16570" spans="1:7" x14ac:dyDescent="0.25">
      <c r="A16570">
        <v>48</v>
      </c>
      <c r="B16570" t="s">
        <v>15999</v>
      </c>
      <c r="C16570">
        <v>7714424</v>
      </c>
      <c r="E16570" t="s">
        <v>8</v>
      </c>
      <c r="F16570" t="s">
        <v>16574</v>
      </c>
      <c r="G16570">
        <v>1</v>
      </c>
    </row>
    <row r="16571" spans="1:7" x14ac:dyDescent="0.25">
      <c r="A16571">
        <v>48</v>
      </c>
      <c r="B16571" t="s">
        <v>15999</v>
      </c>
      <c r="C16571">
        <v>22321</v>
      </c>
      <c r="D16571" t="str">
        <f>"1776-2596"</f>
        <v>1776-2596</v>
      </c>
      <c r="E16571" t="s">
        <v>8</v>
      </c>
      <c r="F16571" t="s">
        <v>16575</v>
      </c>
      <c r="G16571">
        <v>1</v>
      </c>
    </row>
    <row r="16572" spans="1:7" x14ac:dyDescent="0.25">
      <c r="A16572">
        <v>48</v>
      </c>
      <c r="B16572" t="s">
        <v>15999</v>
      </c>
      <c r="C16572">
        <v>11606</v>
      </c>
      <c r="D16572" t="str">
        <f>"1123-6337"</f>
        <v>1123-6337</v>
      </c>
      <c r="E16572" t="s">
        <v>8</v>
      </c>
      <c r="F16572" t="s">
        <v>16576</v>
      </c>
      <c r="G16572">
        <v>1</v>
      </c>
    </row>
    <row r="16573" spans="1:7" x14ac:dyDescent="0.25">
      <c r="A16573">
        <v>48</v>
      </c>
      <c r="B16573" t="s">
        <v>15999</v>
      </c>
      <c r="C16573">
        <v>14678</v>
      </c>
      <c r="D16573" t="str">
        <f>"0002-9149"</f>
        <v>0002-9149</v>
      </c>
      <c r="E16573" t="s">
        <v>8</v>
      </c>
      <c r="F16573" t="s">
        <v>16577</v>
      </c>
      <c r="G16573">
        <v>1</v>
      </c>
    </row>
    <row r="16574" spans="1:7" x14ac:dyDescent="0.25">
      <c r="A16574">
        <v>48</v>
      </c>
      <c r="B16574" t="s">
        <v>15999</v>
      </c>
      <c r="C16574">
        <v>12788</v>
      </c>
      <c r="D16574" t="str">
        <f>"0969-6113"</f>
        <v>0969-6113</v>
      </c>
      <c r="E16574" t="s">
        <v>8</v>
      </c>
      <c r="F16574" t="s">
        <v>16578</v>
      </c>
      <c r="G16574">
        <v>1</v>
      </c>
    </row>
    <row r="16575" spans="1:7" x14ac:dyDescent="0.25">
      <c r="A16575">
        <v>48</v>
      </c>
      <c r="B16575" t="s">
        <v>15999</v>
      </c>
      <c r="C16575">
        <v>14810</v>
      </c>
      <c r="D16575" t="str">
        <f>"1528-9117"</f>
        <v>1528-9117</v>
      </c>
      <c r="E16575" t="s">
        <v>8</v>
      </c>
      <c r="F16575" t="s">
        <v>16579</v>
      </c>
      <c r="G16575">
        <v>1</v>
      </c>
    </row>
    <row r="16576" spans="1:7" x14ac:dyDescent="0.25">
      <c r="A16576">
        <v>48</v>
      </c>
      <c r="B16576" t="s">
        <v>15999</v>
      </c>
      <c r="C16576">
        <v>2638</v>
      </c>
      <c r="D16576" t="str">
        <f>"1752-6981"</f>
        <v>1752-6981</v>
      </c>
      <c r="E16576" t="s">
        <v>8</v>
      </c>
      <c r="F16576" t="s">
        <v>16580</v>
      </c>
      <c r="G16576">
        <v>1</v>
      </c>
    </row>
    <row r="16577" spans="1:7" x14ac:dyDescent="0.25">
      <c r="A16577">
        <v>48</v>
      </c>
      <c r="B16577" t="s">
        <v>15999</v>
      </c>
      <c r="C16577">
        <v>3182</v>
      </c>
      <c r="E16577" t="s">
        <v>8</v>
      </c>
      <c r="F16577" t="s">
        <v>16581</v>
      </c>
      <c r="G16577">
        <v>1</v>
      </c>
    </row>
    <row r="16578" spans="1:7" x14ac:dyDescent="0.25">
      <c r="A16578">
        <v>48</v>
      </c>
      <c r="B16578" t="s">
        <v>15999</v>
      </c>
      <c r="C16578">
        <v>7817</v>
      </c>
      <c r="D16578" t="str">
        <f>"0145-7217"</f>
        <v>0145-7217</v>
      </c>
      <c r="E16578" t="s">
        <v>8</v>
      </c>
      <c r="F16578" t="s">
        <v>16582</v>
      </c>
      <c r="G16578">
        <v>1</v>
      </c>
    </row>
    <row r="16579" spans="1:7" x14ac:dyDescent="0.25">
      <c r="A16579">
        <v>48</v>
      </c>
      <c r="B16579" t="s">
        <v>15999</v>
      </c>
      <c r="C16579">
        <v>12940</v>
      </c>
      <c r="D16579" t="str">
        <f>"1053-2498"</f>
        <v>1053-2498</v>
      </c>
      <c r="E16579" t="s">
        <v>8</v>
      </c>
      <c r="F16579" t="s">
        <v>16583</v>
      </c>
      <c r="G16579">
        <v>1</v>
      </c>
    </row>
    <row r="16580" spans="1:7" x14ac:dyDescent="0.25">
      <c r="A16580">
        <v>48</v>
      </c>
      <c r="B16580" t="s">
        <v>15999</v>
      </c>
      <c r="C16580">
        <v>15315</v>
      </c>
      <c r="D16580" t="str">
        <f>"0966-8519"</f>
        <v>0966-8519</v>
      </c>
      <c r="E16580" t="s">
        <v>8</v>
      </c>
      <c r="F16580" t="s">
        <v>16584</v>
      </c>
      <c r="G16580">
        <v>1</v>
      </c>
    </row>
    <row r="16581" spans="1:7" x14ac:dyDescent="0.25">
      <c r="A16581">
        <v>48</v>
      </c>
      <c r="B16581" t="s">
        <v>15999</v>
      </c>
      <c r="C16581">
        <v>14954</v>
      </c>
      <c r="D16581" t="str">
        <f>"0022-1899"</f>
        <v>0022-1899</v>
      </c>
      <c r="E16581" t="s">
        <v>8</v>
      </c>
      <c r="F16581" t="s">
        <v>16585</v>
      </c>
      <c r="G16581">
        <v>1</v>
      </c>
    </row>
    <row r="16582" spans="1:7" x14ac:dyDescent="0.25">
      <c r="A16582">
        <v>48</v>
      </c>
      <c r="B16582" t="s">
        <v>15999</v>
      </c>
      <c r="C16582">
        <v>135106</v>
      </c>
      <c r="D16582" t="str">
        <f>"1544-6794"</f>
        <v>1544-6794</v>
      </c>
      <c r="E16582" t="s">
        <v>8</v>
      </c>
      <c r="F16582" t="s">
        <v>16586</v>
      </c>
      <c r="G16582">
        <v>1</v>
      </c>
    </row>
    <row r="16583" spans="1:7" x14ac:dyDescent="0.25">
      <c r="A16583">
        <v>48</v>
      </c>
      <c r="B16583" t="s">
        <v>15999</v>
      </c>
      <c r="C16583">
        <v>4299</v>
      </c>
      <c r="D16583" t="str">
        <f>"1129-7298"</f>
        <v>1129-7298</v>
      </c>
      <c r="E16583" t="s">
        <v>8</v>
      </c>
      <c r="F16583" t="s">
        <v>16587</v>
      </c>
      <c r="G16583">
        <v>1</v>
      </c>
    </row>
    <row r="16584" spans="1:7" x14ac:dyDescent="0.25">
      <c r="A16584">
        <v>48</v>
      </c>
      <c r="B16584" t="s">
        <v>15999</v>
      </c>
      <c r="C16584">
        <v>7755577</v>
      </c>
      <c r="D16584" t="str">
        <f>"2213-8587"</f>
        <v>2213-8587</v>
      </c>
      <c r="E16584" t="s">
        <v>8</v>
      </c>
      <c r="F16584" t="s">
        <v>16588</v>
      </c>
      <c r="G16584">
        <v>1</v>
      </c>
    </row>
    <row r="16585" spans="1:7" x14ac:dyDescent="0.25">
      <c r="A16585">
        <v>48</v>
      </c>
      <c r="B16585" t="s">
        <v>15999</v>
      </c>
      <c r="C16585">
        <v>7755854</v>
      </c>
      <c r="E16585" t="s">
        <v>8</v>
      </c>
      <c r="F16585" t="s">
        <v>16589</v>
      </c>
      <c r="G16585">
        <v>1</v>
      </c>
    </row>
    <row r="16586" spans="1:7" x14ac:dyDescent="0.25">
      <c r="A16586">
        <v>48</v>
      </c>
      <c r="B16586" t="s">
        <v>15999</v>
      </c>
      <c r="C16586">
        <v>8771942</v>
      </c>
      <c r="D16586" t="str">
        <f>"2352-3026"</f>
        <v>2352-3026</v>
      </c>
      <c r="E16586" t="s">
        <v>8</v>
      </c>
      <c r="F16586" t="s">
        <v>16590</v>
      </c>
      <c r="G16586">
        <v>1</v>
      </c>
    </row>
    <row r="16587" spans="1:7" x14ac:dyDescent="0.25">
      <c r="A16587">
        <v>48</v>
      </c>
      <c r="B16587" t="s">
        <v>15999</v>
      </c>
      <c r="C16587">
        <v>7755578</v>
      </c>
      <c r="D16587" t="str">
        <f>"2213-2600"</f>
        <v>2213-2600</v>
      </c>
      <c r="E16587" t="s">
        <v>8</v>
      </c>
      <c r="F16587" t="s">
        <v>16591</v>
      </c>
      <c r="G16587">
        <v>1</v>
      </c>
    </row>
    <row r="16588" spans="1:7" x14ac:dyDescent="0.25">
      <c r="A16588">
        <v>48</v>
      </c>
      <c r="B16588" t="s">
        <v>15999</v>
      </c>
      <c r="C16588">
        <v>16248</v>
      </c>
      <c r="D16588" t="str">
        <f>"1083-7159"</f>
        <v>1083-7159</v>
      </c>
      <c r="E16588" t="s">
        <v>8</v>
      </c>
      <c r="F16588" t="s">
        <v>16592</v>
      </c>
      <c r="G16588">
        <v>1</v>
      </c>
    </row>
    <row r="16589" spans="1:7" x14ac:dyDescent="0.25">
      <c r="A16589">
        <v>48</v>
      </c>
      <c r="B16589" t="s">
        <v>15999</v>
      </c>
      <c r="C16589">
        <v>12397</v>
      </c>
      <c r="D16589" t="str">
        <f>"0270-4137"</f>
        <v>0270-4137</v>
      </c>
      <c r="E16589" t="s">
        <v>8</v>
      </c>
      <c r="F16589" t="s">
        <v>16593</v>
      </c>
      <c r="G16589">
        <v>1</v>
      </c>
    </row>
    <row r="16590" spans="1:7" x14ac:dyDescent="0.25">
      <c r="A16590">
        <v>48</v>
      </c>
      <c r="B16590" t="s">
        <v>15999</v>
      </c>
      <c r="C16590">
        <v>27529</v>
      </c>
      <c r="D16590" t="str">
        <f>"1613-6071"</f>
        <v>1613-6071</v>
      </c>
      <c r="E16590" t="s">
        <v>8</v>
      </c>
      <c r="F16590" t="s">
        <v>16594</v>
      </c>
      <c r="G16590">
        <v>1</v>
      </c>
    </row>
    <row r="16591" spans="1:7" x14ac:dyDescent="0.25">
      <c r="A16591">
        <v>48</v>
      </c>
      <c r="B16591" t="s">
        <v>15999</v>
      </c>
      <c r="C16591">
        <v>17336</v>
      </c>
      <c r="D16591" t="str">
        <f>"1744-9979"</f>
        <v>1744-9979</v>
      </c>
      <c r="E16591" t="s">
        <v>8</v>
      </c>
      <c r="F16591" t="s">
        <v>16595</v>
      </c>
      <c r="G16591">
        <v>1</v>
      </c>
    </row>
    <row r="16592" spans="1:7" x14ac:dyDescent="0.25">
      <c r="A16592">
        <v>48</v>
      </c>
      <c r="B16592" t="s">
        <v>15999</v>
      </c>
      <c r="C16592">
        <v>3063</v>
      </c>
      <c r="D16592" t="str">
        <f>"0340-6245"</f>
        <v>0340-6245</v>
      </c>
      <c r="E16592" t="s">
        <v>8</v>
      </c>
      <c r="F16592" t="s">
        <v>16596</v>
      </c>
      <c r="G16592">
        <v>1</v>
      </c>
    </row>
    <row r="16593" spans="1:7" x14ac:dyDescent="0.25">
      <c r="A16593">
        <v>48</v>
      </c>
      <c r="B16593" t="s">
        <v>15999</v>
      </c>
      <c r="C16593">
        <v>5770</v>
      </c>
      <c r="E16593" t="s">
        <v>8</v>
      </c>
      <c r="F16593" t="s">
        <v>16597</v>
      </c>
      <c r="G16593">
        <v>1</v>
      </c>
    </row>
    <row r="16594" spans="1:7" x14ac:dyDescent="0.25">
      <c r="A16594">
        <v>48</v>
      </c>
      <c r="B16594" t="s">
        <v>15999</v>
      </c>
      <c r="C16594">
        <v>13758</v>
      </c>
      <c r="D16594" t="str">
        <f>"0049-3848"</f>
        <v>0049-3848</v>
      </c>
      <c r="E16594" t="s">
        <v>8</v>
      </c>
      <c r="F16594" t="s">
        <v>16598</v>
      </c>
      <c r="G16594">
        <v>1</v>
      </c>
    </row>
    <row r="16595" spans="1:7" x14ac:dyDescent="0.25">
      <c r="A16595">
        <v>48</v>
      </c>
      <c r="B16595" t="s">
        <v>15999</v>
      </c>
      <c r="C16595">
        <v>15421</v>
      </c>
      <c r="D16595" t="str">
        <f>"1050-7256"</f>
        <v>1050-7256</v>
      </c>
      <c r="E16595" t="s">
        <v>8</v>
      </c>
      <c r="F16595" t="s">
        <v>16599</v>
      </c>
      <c r="G16595">
        <v>1</v>
      </c>
    </row>
    <row r="16596" spans="1:7" x14ac:dyDescent="0.25">
      <c r="A16596">
        <v>48</v>
      </c>
      <c r="B16596" t="s">
        <v>15999</v>
      </c>
      <c r="C16596">
        <v>11185</v>
      </c>
      <c r="D16596" t="str">
        <f>"0041-1132"</f>
        <v>0041-1132</v>
      </c>
      <c r="E16596" t="s">
        <v>8</v>
      </c>
      <c r="F16596" t="s">
        <v>16600</v>
      </c>
      <c r="G16596">
        <v>1</v>
      </c>
    </row>
    <row r="16597" spans="1:7" x14ac:dyDescent="0.25">
      <c r="A16597">
        <v>48</v>
      </c>
      <c r="B16597" t="s">
        <v>15999</v>
      </c>
      <c r="C16597">
        <v>15676</v>
      </c>
      <c r="D16597" t="str">
        <f>"1473-0502"</f>
        <v>1473-0502</v>
      </c>
      <c r="E16597" t="s">
        <v>8</v>
      </c>
      <c r="F16597" t="s">
        <v>16601</v>
      </c>
      <c r="G16597">
        <v>1</v>
      </c>
    </row>
    <row r="16598" spans="1:7" x14ac:dyDescent="0.25">
      <c r="A16598">
        <v>48</v>
      </c>
      <c r="B16598" t="s">
        <v>15999</v>
      </c>
      <c r="C16598">
        <v>15687</v>
      </c>
      <c r="D16598" t="str">
        <f>"0958-7578"</f>
        <v>0958-7578</v>
      </c>
      <c r="E16598" t="s">
        <v>8</v>
      </c>
      <c r="F16598" t="s">
        <v>16602</v>
      </c>
      <c r="G16598">
        <v>1</v>
      </c>
    </row>
    <row r="16599" spans="1:7" x14ac:dyDescent="0.25">
      <c r="A16599">
        <v>48</v>
      </c>
      <c r="B16599" t="s">
        <v>15999</v>
      </c>
      <c r="C16599">
        <v>9923</v>
      </c>
      <c r="D16599" t="str">
        <f>"1660-3796"</f>
        <v>1660-3796</v>
      </c>
      <c r="E16599" t="s">
        <v>8</v>
      </c>
      <c r="F16599" t="s">
        <v>16603</v>
      </c>
      <c r="G16599">
        <v>1</v>
      </c>
    </row>
    <row r="16600" spans="1:7" x14ac:dyDescent="0.25">
      <c r="A16600">
        <v>48</v>
      </c>
      <c r="B16600" t="s">
        <v>15999</v>
      </c>
      <c r="C16600">
        <v>6029</v>
      </c>
      <c r="D16600" t="str">
        <f>"0887-7963"</f>
        <v>0887-7963</v>
      </c>
      <c r="E16600" t="s">
        <v>8</v>
      </c>
      <c r="F16600" t="s">
        <v>16604</v>
      </c>
      <c r="G16600">
        <v>1</v>
      </c>
    </row>
    <row r="16601" spans="1:7" x14ac:dyDescent="0.25">
      <c r="A16601">
        <v>48</v>
      </c>
      <c r="B16601" t="s">
        <v>15999</v>
      </c>
      <c r="C16601">
        <v>109073</v>
      </c>
      <c r="D16601" t="str">
        <f>"1944-7124"</f>
        <v>1944-7124</v>
      </c>
      <c r="E16601" t="s">
        <v>8</v>
      </c>
      <c r="F16601" t="s">
        <v>16605</v>
      </c>
      <c r="G16601">
        <v>1</v>
      </c>
    </row>
    <row r="16602" spans="1:7" x14ac:dyDescent="0.25">
      <c r="A16602">
        <v>48</v>
      </c>
      <c r="B16602" t="s">
        <v>15999</v>
      </c>
      <c r="C16602">
        <v>1729</v>
      </c>
      <c r="D16602" t="str">
        <f>"1398-2273"</f>
        <v>1398-2273</v>
      </c>
      <c r="E16602" t="s">
        <v>8</v>
      </c>
      <c r="F16602" t="s">
        <v>16606</v>
      </c>
      <c r="G16602">
        <v>1</v>
      </c>
    </row>
    <row r="16603" spans="1:7" x14ac:dyDescent="0.25">
      <c r="A16603">
        <v>48</v>
      </c>
      <c r="B16603" t="s">
        <v>15999</v>
      </c>
      <c r="C16603">
        <v>3940</v>
      </c>
      <c r="D16603" t="str">
        <f>"0041-1337"</f>
        <v>0041-1337</v>
      </c>
      <c r="E16603" t="s">
        <v>8</v>
      </c>
      <c r="F16603" t="s">
        <v>16607</v>
      </c>
      <c r="G16603">
        <v>1</v>
      </c>
    </row>
    <row r="16604" spans="1:7" x14ac:dyDescent="0.25">
      <c r="A16604">
        <v>48</v>
      </c>
      <c r="B16604" t="s">
        <v>15999</v>
      </c>
      <c r="C16604">
        <v>4350</v>
      </c>
      <c r="D16604" t="str">
        <f>"1477-8939"</f>
        <v>1477-8939</v>
      </c>
      <c r="E16604" t="s">
        <v>8</v>
      </c>
      <c r="F16604" t="s">
        <v>16608</v>
      </c>
      <c r="G16604">
        <v>1</v>
      </c>
    </row>
    <row r="16605" spans="1:7" x14ac:dyDescent="0.25">
      <c r="A16605">
        <v>48</v>
      </c>
      <c r="B16605" t="s">
        <v>15999</v>
      </c>
      <c r="C16605">
        <v>3789</v>
      </c>
      <c r="D16605" t="str">
        <f>"1050-1738"</f>
        <v>1050-1738</v>
      </c>
      <c r="E16605" t="s">
        <v>8</v>
      </c>
      <c r="F16605" t="s">
        <v>16609</v>
      </c>
      <c r="G16605">
        <v>1</v>
      </c>
    </row>
    <row r="16606" spans="1:7" x14ac:dyDescent="0.25">
      <c r="A16606">
        <v>48</v>
      </c>
      <c r="B16606" t="s">
        <v>15999</v>
      </c>
      <c r="C16606">
        <v>8636</v>
      </c>
      <c r="D16606" t="str">
        <f>"1472-9792"</f>
        <v>1472-9792</v>
      </c>
      <c r="E16606" t="s">
        <v>8</v>
      </c>
      <c r="F16606" t="s">
        <v>16610</v>
      </c>
      <c r="G16606">
        <v>1</v>
      </c>
    </row>
    <row r="16607" spans="1:7" x14ac:dyDescent="0.25">
      <c r="A16607">
        <v>48</v>
      </c>
      <c r="B16607" t="s">
        <v>15999</v>
      </c>
      <c r="C16607">
        <v>11994</v>
      </c>
      <c r="D16607" t="str">
        <f>"1010-4283"</f>
        <v>1010-4283</v>
      </c>
      <c r="E16607" t="s">
        <v>8</v>
      </c>
      <c r="F16607" t="s">
        <v>16611</v>
      </c>
      <c r="G16607">
        <v>1</v>
      </c>
    </row>
    <row r="16608" spans="1:7" x14ac:dyDescent="0.25">
      <c r="A16608">
        <v>48</v>
      </c>
      <c r="B16608" t="s">
        <v>15999</v>
      </c>
      <c r="C16608">
        <v>2129</v>
      </c>
      <c r="D16608" t="str">
        <f>"0722-219X"</f>
        <v>0722-219X</v>
      </c>
      <c r="E16608" t="s">
        <v>8</v>
      </c>
      <c r="F16608" t="s">
        <v>16612</v>
      </c>
      <c r="G16608">
        <v>1</v>
      </c>
    </row>
    <row r="16609" spans="1:7" x14ac:dyDescent="0.25">
      <c r="A16609">
        <v>48</v>
      </c>
      <c r="B16609" t="s">
        <v>15999</v>
      </c>
      <c r="C16609">
        <v>10739</v>
      </c>
      <c r="D16609" t="str">
        <f>"0041-5782"</f>
        <v>0041-5782</v>
      </c>
      <c r="E16609" t="s">
        <v>8</v>
      </c>
      <c r="F16609" t="s">
        <v>16613</v>
      </c>
      <c r="G16609">
        <v>1</v>
      </c>
    </row>
    <row r="16610" spans="1:7" x14ac:dyDescent="0.25">
      <c r="A16610">
        <v>48</v>
      </c>
      <c r="B16610" t="s">
        <v>15999</v>
      </c>
      <c r="C16610">
        <v>3607</v>
      </c>
      <c r="D16610" t="str">
        <f>"1358-863X"</f>
        <v>1358-863X</v>
      </c>
      <c r="E16610" t="s">
        <v>8</v>
      </c>
      <c r="F16610" t="s">
        <v>16614</v>
      </c>
      <c r="G16610">
        <v>1</v>
      </c>
    </row>
    <row r="16611" spans="1:7" x14ac:dyDescent="0.25">
      <c r="A16611">
        <v>48</v>
      </c>
      <c r="B16611" t="s">
        <v>15999</v>
      </c>
      <c r="C16611">
        <v>1519</v>
      </c>
      <c r="D16611" t="str">
        <f>"1530-3667"</f>
        <v>1530-3667</v>
      </c>
      <c r="E16611" t="s">
        <v>8</v>
      </c>
      <c r="F16611" t="s">
        <v>16615</v>
      </c>
      <c r="G16611">
        <v>1</v>
      </c>
    </row>
    <row r="16612" spans="1:7" x14ac:dyDescent="0.25">
      <c r="A16612">
        <v>48</v>
      </c>
      <c r="B16612" t="s">
        <v>15999</v>
      </c>
      <c r="C16612">
        <v>7799</v>
      </c>
      <c r="D16612" t="str">
        <f>"0882-8245"</f>
        <v>0882-8245</v>
      </c>
      <c r="E16612" t="s">
        <v>8</v>
      </c>
      <c r="F16612" t="s">
        <v>16616</v>
      </c>
      <c r="G16612">
        <v>1</v>
      </c>
    </row>
    <row r="16613" spans="1:7" x14ac:dyDescent="0.25">
      <c r="A16613">
        <v>48</v>
      </c>
      <c r="B16613" t="s">
        <v>15999</v>
      </c>
      <c r="C16613">
        <v>7765</v>
      </c>
      <c r="D16613" t="str">
        <f>"0042-9007"</f>
        <v>0042-9007</v>
      </c>
      <c r="E16613" t="s">
        <v>8</v>
      </c>
      <c r="F16613" t="s">
        <v>16617</v>
      </c>
      <c r="G16613">
        <v>1</v>
      </c>
    </row>
    <row r="16614" spans="1:7" x14ac:dyDescent="0.25">
      <c r="A16614">
        <v>48</v>
      </c>
      <c r="B16614" t="s">
        <v>15999</v>
      </c>
      <c r="C16614">
        <v>6046</v>
      </c>
      <c r="D16614" t="str">
        <f>"1007-9327"</f>
        <v>1007-9327</v>
      </c>
      <c r="E16614" t="s">
        <v>8</v>
      </c>
      <c r="F16614" t="s">
        <v>16618</v>
      </c>
      <c r="G16614">
        <v>1</v>
      </c>
    </row>
    <row r="16615" spans="1:7" x14ac:dyDescent="0.25">
      <c r="A16615">
        <v>49</v>
      </c>
      <c r="B16615" t="s">
        <v>16619</v>
      </c>
      <c r="C16615">
        <v>6648</v>
      </c>
      <c r="D16615" t="str">
        <f>"1600-6135"</f>
        <v>1600-6135</v>
      </c>
      <c r="E16615" t="s">
        <v>8</v>
      </c>
      <c r="F16615" t="s">
        <v>16620</v>
      </c>
      <c r="G16615">
        <v>2</v>
      </c>
    </row>
    <row r="16616" spans="1:7" x14ac:dyDescent="0.25">
      <c r="A16616">
        <v>49</v>
      </c>
      <c r="B16616" t="s">
        <v>16619</v>
      </c>
      <c r="C16616">
        <v>16774</v>
      </c>
      <c r="D16616" t="str">
        <f>"0003-4932"</f>
        <v>0003-4932</v>
      </c>
      <c r="E16616" t="s">
        <v>8</v>
      </c>
      <c r="F16616" t="s">
        <v>16621</v>
      </c>
      <c r="G16616">
        <v>2</v>
      </c>
    </row>
    <row r="16617" spans="1:7" x14ac:dyDescent="0.25">
      <c r="A16617">
        <v>49</v>
      </c>
      <c r="B16617" t="s">
        <v>16619</v>
      </c>
      <c r="C16617">
        <v>5252</v>
      </c>
      <c r="D16617" t="str">
        <f>"1068-9265"</f>
        <v>1068-9265</v>
      </c>
      <c r="E16617" t="s">
        <v>8</v>
      </c>
      <c r="F16617" t="s">
        <v>16622</v>
      </c>
      <c r="G16617">
        <v>2</v>
      </c>
    </row>
    <row r="16618" spans="1:7" x14ac:dyDescent="0.25">
      <c r="A16618">
        <v>49</v>
      </c>
      <c r="B16618" t="s">
        <v>16619</v>
      </c>
      <c r="C16618">
        <v>7239</v>
      </c>
      <c r="D16618" t="str">
        <f>"0007-1323"</f>
        <v>0007-1323</v>
      </c>
      <c r="E16618" t="s">
        <v>8</v>
      </c>
      <c r="F16618" t="s">
        <v>16623</v>
      </c>
      <c r="G16618">
        <v>2</v>
      </c>
    </row>
    <row r="16619" spans="1:7" x14ac:dyDescent="0.25">
      <c r="A16619">
        <v>49</v>
      </c>
      <c r="B16619" t="s">
        <v>16619</v>
      </c>
      <c r="C16619">
        <v>724</v>
      </c>
      <c r="D16619" t="str">
        <f>"1078-5884"</f>
        <v>1078-5884</v>
      </c>
      <c r="E16619" t="s">
        <v>8</v>
      </c>
      <c r="F16619" t="s">
        <v>16624</v>
      </c>
      <c r="G16619">
        <v>2</v>
      </c>
    </row>
    <row r="16620" spans="1:7" x14ac:dyDescent="0.25">
      <c r="A16620">
        <v>49</v>
      </c>
      <c r="B16620" t="s">
        <v>16619</v>
      </c>
      <c r="C16620">
        <v>11231</v>
      </c>
      <c r="D16620" t="str">
        <f>"0302-2838"</f>
        <v>0302-2838</v>
      </c>
      <c r="E16620" t="s">
        <v>8</v>
      </c>
      <c r="F16620" t="s">
        <v>16625</v>
      </c>
      <c r="G16620">
        <v>2</v>
      </c>
    </row>
    <row r="16621" spans="1:7" x14ac:dyDescent="0.25">
      <c r="A16621">
        <v>49</v>
      </c>
      <c r="B16621" t="s">
        <v>16619</v>
      </c>
      <c r="C16621">
        <v>165</v>
      </c>
      <c r="D16621" t="str">
        <f>"0021-9355"</f>
        <v>0021-9355</v>
      </c>
      <c r="E16621" t="s">
        <v>8</v>
      </c>
      <c r="F16621" t="s">
        <v>16626</v>
      </c>
      <c r="G16621">
        <v>2</v>
      </c>
    </row>
    <row r="16622" spans="1:7" x14ac:dyDescent="0.25">
      <c r="A16622">
        <v>49</v>
      </c>
      <c r="B16622" t="s">
        <v>16619</v>
      </c>
      <c r="C16622">
        <v>7099</v>
      </c>
      <c r="D16622" t="str">
        <f>"0736-0266"</f>
        <v>0736-0266</v>
      </c>
      <c r="E16622" t="s">
        <v>8</v>
      </c>
      <c r="F16622" t="s">
        <v>16627</v>
      </c>
      <c r="G16622">
        <v>2</v>
      </c>
    </row>
    <row r="16623" spans="1:7" x14ac:dyDescent="0.25">
      <c r="A16623">
        <v>49</v>
      </c>
      <c r="B16623" t="s">
        <v>16619</v>
      </c>
      <c r="C16623">
        <v>12564</v>
      </c>
      <c r="E16623" t="s">
        <v>8</v>
      </c>
      <c r="F16623" t="s">
        <v>16628</v>
      </c>
      <c r="G16623">
        <v>2</v>
      </c>
    </row>
    <row r="16624" spans="1:7" x14ac:dyDescent="0.25">
      <c r="A16624">
        <v>49</v>
      </c>
      <c r="B16624" t="s">
        <v>16619</v>
      </c>
      <c r="C16624">
        <v>6378</v>
      </c>
      <c r="D16624" t="str">
        <f>"0741-5214"</f>
        <v>0741-5214</v>
      </c>
      <c r="E16624" t="s">
        <v>8</v>
      </c>
      <c r="F16624" t="s">
        <v>16629</v>
      </c>
      <c r="G16624">
        <v>2</v>
      </c>
    </row>
    <row r="16625" spans="1:7" x14ac:dyDescent="0.25">
      <c r="A16625">
        <v>49</v>
      </c>
      <c r="B16625" t="s">
        <v>16619</v>
      </c>
      <c r="C16625">
        <v>16220</v>
      </c>
      <c r="D16625" t="str">
        <f>"1527-6465"</f>
        <v>1527-6465</v>
      </c>
      <c r="E16625" t="s">
        <v>8</v>
      </c>
      <c r="F16625" t="s">
        <v>16630</v>
      </c>
      <c r="G16625">
        <v>2</v>
      </c>
    </row>
    <row r="16626" spans="1:7" x14ac:dyDescent="0.25">
      <c r="A16626">
        <v>49</v>
      </c>
      <c r="B16626" t="s">
        <v>16619</v>
      </c>
      <c r="C16626">
        <v>7060</v>
      </c>
      <c r="D16626" t="str">
        <f>"0960-8923"</f>
        <v>0960-8923</v>
      </c>
      <c r="E16626" t="s">
        <v>8</v>
      </c>
      <c r="F16626" t="s">
        <v>16631</v>
      </c>
      <c r="G16626">
        <v>2</v>
      </c>
    </row>
    <row r="16627" spans="1:7" x14ac:dyDescent="0.25">
      <c r="A16627">
        <v>49</v>
      </c>
      <c r="B16627" t="s">
        <v>16619</v>
      </c>
      <c r="C16627">
        <v>1543</v>
      </c>
      <c r="D16627" t="str">
        <f>"0032-1052"</f>
        <v>0032-1052</v>
      </c>
      <c r="E16627" t="s">
        <v>8</v>
      </c>
      <c r="F16627" t="s">
        <v>16632</v>
      </c>
      <c r="G16627">
        <v>2</v>
      </c>
    </row>
    <row r="16628" spans="1:7" x14ac:dyDescent="0.25">
      <c r="A16628">
        <v>49</v>
      </c>
      <c r="B16628" t="s">
        <v>16619</v>
      </c>
      <c r="C16628">
        <v>3984</v>
      </c>
      <c r="D16628" t="str">
        <f>"0039-6060"</f>
        <v>0039-6060</v>
      </c>
      <c r="E16628" t="s">
        <v>8</v>
      </c>
      <c r="F16628" t="s">
        <v>16633</v>
      </c>
      <c r="G16628">
        <v>2</v>
      </c>
    </row>
    <row r="16629" spans="1:7" x14ac:dyDescent="0.25">
      <c r="A16629">
        <v>49</v>
      </c>
      <c r="B16629" t="s">
        <v>16619</v>
      </c>
      <c r="C16629">
        <v>22352</v>
      </c>
      <c r="D16629" t="str">
        <f>"1550-7289"</f>
        <v>1550-7289</v>
      </c>
      <c r="E16629" t="s">
        <v>8</v>
      </c>
      <c r="F16629" t="s">
        <v>16634</v>
      </c>
      <c r="G16629">
        <v>2</v>
      </c>
    </row>
    <row r="16630" spans="1:7" x14ac:dyDescent="0.25">
      <c r="A16630">
        <v>49</v>
      </c>
      <c r="B16630" t="s">
        <v>16619</v>
      </c>
      <c r="C16630">
        <v>1738</v>
      </c>
      <c r="D16630" t="str">
        <f>"0930-2794"</f>
        <v>0930-2794</v>
      </c>
      <c r="E16630" t="s">
        <v>8</v>
      </c>
      <c r="F16630" t="s">
        <v>16635</v>
      </c>
      <c r="G16630">
        <v>2</v>
      </c>
    </row>
    <row r="16631" spans="1:7" x14ac:dyDescent="0.25">
      <c r="A16631">
        <v>49</v>
      </c>
      <c r="B16631" t="s">
        <v>16619</v>
      </c>
      <c r="C16631">
        <v>1756</v>
      </c>
      <c r="D16631" t="str">
        <f>"0022-5223"</f>
        <v>0022-5223</v>
      </c>
      <c r="E16631" t="s">
        <v>8</v>
      </c>
      <c r="F16631" t="s">
        <v>16636</v>
      </c>
      <c r="G16631">
        <v>2</v>
      </c>
    </row>
    <row r="16632" spans="1:7" x14ac:dyDescent="0.25">
      <c r="A16632">
        <v>49</v>
      </c>
      <c r="B16632" t="s">
        <v>16619</v>
      </c>
      <c r="C16632">
        <v>6258</v>
      </c>
      <c r="D16632" t="str">
        <f>"0022-5347"</f>
        <v>0022-5347</v>
      </c>
      <c r="E16632" t="s">
        <v>8</v>
      </c>
      <c r="F16632" t="s">
        <v>16637</v>
      </c>
      <c r="G16632">
        <v>2</v>
      </c>
    </row>
    <row r="16633" spans="1:7" x14ac:dyDescent="0.25">
      <c r="A16633">
        <v>49</v>
      </c>
      <c r="B16633" t="s">
        <v>16619</v>
      </c>
      <c r="C16633">
        <v>12443</v>
      </c>
      <c r="D16633" t="str">
        <f>"0934-0874"</f>
        <v>0934-0874</v>
      </c>
      <c r="E16633" t="s">
        <v>8</v>
      </c>
      <c r="F16633" t="s">
        <v>16638</v>
      </c>
      <c r="G16633">
        <v>2</v>
      </c>
    </row>
    <row r="16634" spans="1:7" x14ac:dyDescent="0.25">
      <c r="A16634">
        <v>49</v>
      </c>
      <c r="B16634" t="s">
        <v>16619</v>
      </c>
      <c r="C16634">
        <v>4036</v>
      </c>
      <c r="D16634" t="str">
        <f>"1784-3421"</f>
        <v>1784-3421</v>
      </c>
      <c r="E16634" t="s">
        <v>8</v>
      </c>
      <c r="F16634" t="s">
        <v>16639</v>
      </c>
      <c r="G16634">
        <v>1</v>
      </c>
    </row>
    <row r="16635" spans="1:7" x14ac:dyDescent="0.25">
      <c r="A16635">
        <v>49</v>
      </c>
      <c r="B16635" t="s">
        <v>16619</v>
      </c>
      <c r="C16635">
        <v>9376</v>
      </c>
      <c r="D16635" t="str">
        <f>"1745-3674"</f>
        <v>1745-3674</v>
      </c>
      <c r="E16635" t="s">
        <v>8</v>
      </c>
      <c r="F16635" t="s">
        <v>16640</v>
      </c>
      <c r="G16635">
        <v>1</v>
      </c>
    </row>
    <row r="16636" spans="1:7" x14ac:dyDescent="0.25">
      <c r="A16636">
        <v>49</v>
      </c>
      <c r="B16636" t="s">
        <v>16619</v>
      </c>
      <c r="C16636">
        <v>8125</v>
      </c>
      <c r="D16636" t="str">
        <f>"1745-3690"</f>
        <v>1745-3690</v>
      </c>
      <c r="E16636" t="s">
        <v>15</v>
      </c>
      <c r="F16636" t="s">
        <v>16641</v>
      </c>
      <c r="G16636">
        <v>1</v>
      </c>
    </row>
    <row r="16637" spans="1:7" x14ac:dyDescent="0.25">
      <c r="A16637">
        <v>49</v>
      </c>
      <c r="B16637" t="s">
        <v>16619</v>
      </c>
      <c r="C16637">
        <v>9674</v>
      </c>
      <c r="D16637" t="str">
        <f>"0364-216X"</f>
        <v>0364-216X</v>
      </c>
      <c r="E16637" t="s">
        <v>8</v>
      </c>
      <c r="F16637" t="s">
        <v>16642</v>
      </c>
      <c r="G16637">
        <v>1</v>
      </c>
    </row>
    <row r="16638" spans="1:7" x14ac:dyDescent="0.25">
      <c r="A16638">
        <v>49</v>
      </c>
      <c r="B16638" t="s">
        <v>16619</v>
      </c>
      <c r="C16638">
        <v>9945</v>
      </c>
      <c r="D16638" t="str">
        <f>"0003-1348"</f>
        <v>0003-1348</v>
      </c>
      <c r="E16638" t="s">
        <v>8</v>
      </c>
      <c r="F16638" t="s">
        <v>16643</v>
      </c>
      <c r="G16638">
        <v>1</v>
      </c>
    </row>
    <row r="16639" spans="1:7" x14ac:dyDescent="0.25">
      <c r="A16639">
        <v>49</v>
      </c>
      <c r="B16639" t="s">
        <v>16619</v>
      </c>
      <c r="C16639">
        <v>13822</v>
      </c>
      <c r="D16639" t="str">
        <f>"0294-1260"</f>
        <v>0294-1260</v>
      </c>
      <c r="E16639" t="s">
        <v>8</v>
      </c>
      <c r="F16639" t="s">
        <v>16644</v>
      </c>
      <c r="G16639">
        <v>1</v>
      </c>
    </row>
    <row r="16640" spans="1:7" x14ac:dyDescent="0.25">
      <c r="A16640">
        <v>49</v>
      </c>
      <c r="B16640" t="s">
        <v>16619</v>
      </c>
      <c r="C16640">
        <v>14388</v>
      </c>
      <c r="D16640" t="str">
        <f>"0148-7043"</f>
        <v>0148-7043</v>
      </c>
      <c r="E16640" t="s">
        <v>8</v>
      </c>
      <c r="F16640" t="s">
        <v>16645</v>
      </c>
      <c r="G16640">
        <v>1</v>
      </c>
    </row>
    <row r="16641" spans="1:7" x14ac:dyDescent="0.25">
      <c r="A16641">
        <v>49</v>
      </c>
      <c r="B16641" t="s">
        <v>16619</v>
      </c>
      <c r="C16641">
        <v>3475</v>
      </c>
      <c r="D16641" t="str">
        <f>"0035-8843"</f>
        <v>0035-8843</v>
      </c>
      <c r="E16641" t="s">
        <v>8</v>
      </c>
      <c r="F16641" t="s">
        <v>16646</v>
      </c>
      <c r="G16641">
        <v>1</v>
      </c>
    </row>
    <row r="16642" spans="1:7" x14ac:dyDescent="0.25">
      <c r="A16642">
        <v>49</v>
      </c>
      <c r="B16642" t="s">
        <v>16619</v>
      </c>
      <c r="C16642">
        <v>8748</v>
      </c>
      <c r="D16642" t="str">
        <f>"0890-5096"</f>
        <v>0890-5096</v>
      </c>
      <c r="E16642" t="s">
        <v>8</v>
      </c>
      <c r="F16642" t="s">
        <v>16647</v>
      </c>
      <c r="G16642">
        <v>1</v>
      </c>
    </row>
    <row r="16643" spans="1:7" x14ac:dyDescent="0.25">
      <c r="A16643">
        <v>49</v>
      </c>
      <c r="B16643" t="s">
        <v>16619</v>
      </c>
      <c r="C16643">
        <v>9228</v>
      </c>
      <c r="D16643" t="str">
        <f>"1445-1433"</f>
        <v>1445-1433</v>
      </c>
      <c r="E16643" t="s">
        <v>8</v>
      </c>
      <c r="F16643" t="s">
        <v>16648</v>
      </c>
      <c r="G16643">
        <v>1</v>
      </c>
    </row>
    <row r="16644" spans="1:7" x14ac:dyDescent="0.25">
      <c r="A16644">
        <v>49</v>
      </c>
      <c r="B16644" t="s">
        <v>16619</v>
      </c>
      <c r="C16644">
        <v>16813</v>
      </c>
      <c r="D16644" t="str">
        <f>"1875-2136"</f>
        <v>1875-2136</v>
      </c>
      <c r="E16644" t="s">
        <v>8</v>
      </c>
      <c r="F16644" t="s">
        <v>16649</v>
      </c>
      <c r="G16644">
        <v>1</v>
      </c>
    </row>
    <row r="16645" spans="1:7" x14ac:dyDescent="0.25">
      <c r="A16645">
        <v>49</v>
      </c>
      <c r="B16645" t="s">
        <v>16619</v>
      </c>
      <c r="C16645">
        <v>15583</v>
      </c>
      <c r="D16645" t="str">
        <f>"0749-8063"</f>
        <v>0749-8063</v>
      </c>
      <c r="E16645" t="s">
        <v>8</v>
      </c>
      <c r="F16645" t="s">
        <v>16650</v>
      </c>
      <c r="G16645">
        <v>1</v>
      </c>
    </row>
    <row r="16646" spans="1:7" x14ac:dyDescent="0.25">
      <c r="A16646">
        <v>49</v>
      </c>
      <c r="B16646" t="s">
        <v>16619</v>
      </c>
      <c r="C16646">
        <v>8528</v>
      </c>
      <c r="D16646" t="str">
        <f>"1058-2916"</f>
        <v>1058-2916</v>
      </c>
      <c r="E16646" t="s">
        <v>8</v>
      </c>
      <c r="F16646" t="s">
        <v>16651</v>
      </c>
      <c r="G16646">
        <v>1</v>
      </c>
    </row>
    <row r="16647" spans="1:7" x14ac:dyDescent="0.25">
      <c r="A16647">
        <v>49</v>
      </c>
      <c r="B16647" t="s">
        <v>16619</v>
      </c>
      <c r="C16647">
        <v>6024226</v>
      </c>
      <c r="D16647" t="str">
        <f>"1758-5902"</f>
        <v>1758-5902</v>
      </c>
      <c r="E16647" t="s">
        <v>8</v>
      </c>
      <c r="F16647" t="s">
        <v>16652</v>
      </c>
      <c r="G16647">
        <v>1</v>
      </c>
    </row>
    <row r="16648" spans="1:7" x14ac:dyDescent="0.25">
      <c r="A16648">
        <v>49</v>
      </c>
      <c r="B16648" t="s">
        <v>16619</v>
      </c>
      <c r="C16648">
        <v>6024270</v>
      </c>
      <c r="D16648" t="str">
        <f>"1015-9584"</f>
        <v>1015-9584</v>
      </c>
      <c r="E16648" t="s">
        <v>8</v>
      </c>
      <c r="F16648" t="s">
        <v>16653</v>
      </c>
      <c r="G16648">
        <v>1</v>
      </c>
    </row>
    <row r="16649" spans="1:7" x14ac:dyDescent="0.25">
      <c r="A16649">
        <v>49</v>
      </c>
      <c r="B16649" t="s">
        <v>16619</v>
      </c>
      <c r="C16649">
        <v>438</v>
      </c>
      <c r="D16649" t="str">
        <f>"0966-0844"</f>
        <v>0966-0844</v>
      </c>
      <c r="E16649" t="s">
        <v>8</v>
      </c>
      <c r="F16649" t="s">
        <v>16654</v>
      </c>
      <c r="G16649">
        <v>1</v>
      </c>
    </row>
    <row r="16650" spans="1:7" x14ac:dyDescent="0.25">
      <c r="A16650">
        <v>49</v>
      </c>
      <c r="B16650" t="s">
        <v>16619</v>
      </c>
      <c r="C16650">
        <v>784</v>
      </c>
      <c r="D16650" t="str">
        <f>"1464-4096"</f>
        <v>1464-4096</v>
      </c>
      <c r="E16650" t="s">
        <v>8</v>
      </c>
      <c r="F16650" t="s">
        <v>16655</v>
      </c>
      <c r="G16650">
        <v>1</v>
      </c>
    </row>
    <row r="16651" spans="1:7" x14ac:dyDescent="0.25">
      <c r="A16651">
        <v>49</v>
      </c>
      <c r="B16651" t="s">
        <v>16619</v>
      </c>
      <c r="C16651">
        <v>13032</v>
      </c>
      <c r="E16651" t="s">
        <v>8</v>
      </c>
      <c r="F16651" t="s">
        <v>16656</v>
      </c>
      <c r="G16651">
        <v>1</v>
      </c>
    </row>
    <row r="16652" spans="1:7" x14ac:dyDescent="0.25">
      <c r="A16652">
        <v>49</v>
      </c>
      <c r="B16652" t="s">
        <v>16619</v>
      </c>
      <c r="C16652">
        <v>11109</v>
      </c>
      <c r="E16652" t="s">
        <v>8</v>
      </c>
      <c r="F16652" t="s">
        <v>16657</v>
      </c>
      <c r="G16652">
        <v>1</v>
      </c>
    </row>
    <row r="16653" spans="1:7" x14ac:dyDescent="0.25">
      <c r="A16653">
        <v>49</v>
      </c>
      <c r="B16653" t="s">
        <v>16619</v>
      </c>
      <c r="C16653">
        <v>1612</v>
      </c>
      <c r="D16653" t="str">
        <f>"0008-428X"</f>
        <v>0008-428X</v>
      </c>
      <c r="E16653" t="s">
        <v>8</v>
      </c>
      <c r="F16653" t="s">
        <v>16658</v>
      </c>
      <c r="G16653">
        <v>1</v>
      </c>
    </row>
    <row r="16654" spans="1:7" x14ac:dyDescent="0.25">
      <c r="A16654">
        <v>49</v>
      </c>
      <c r="B16654" t="s">
        <v>16619</v>
      </c>
      <c r="C16654">
        <v>13806</v>
      </c>
      <c r="D16654" t="str">
        <f>"1755-5914"</f>
        <v>1755-5914</v>
      </c>
      <c r="E16654" t="s">
        <v>8</v>
      </c>
      <c r="F16654" t="s">
        <v>16659</v>
      </c>
      <c r="G16654">
        <v>1</v>
      </c>
    </row>
    <row r="16655" spans="1:7" x14ac:dyDescent="0.25">
      <c r="A16655">
        <v>49</v>
      </c>
      <c r="B16655" t="s">
        <v>16619</v>
      </c>
      <c r="C16655">
        <v>13731</v>
      </c>
      <c r="D16655" t="str">
        <f>"0009-739X"</f>
        <v>0009-739X</v>
      </c>
      <c r="E16655" t="s">
        <v>8</v>
      </c>
      <c r="F16655" t="s">
        <v>16660</v>
      </c>
      <c r="G16655">
        <v>1</v>
      </c>
    </row>
    <row r="16656" spans="1:7" x14ac:dyDescent="0.25">
      <c r="A16656">
        <v>49</v>
      </c>
      <c r="B16656" t="s">
        <v>16619</v>
      </c>
      <c r="C16656">
        <v>10905</v>
      </c>
      <c r="D16656" t="str">
        <f>"0009-921X"</f>
        <v>0009-921X</v>
      </c>
      <c r="E16656" t="s">
        <v>8</v>
      </c>
      <c r="F16656" t="s">
        <v>16661</v>
      </c>
      <c r="G16656">
        <v>1</v>
      </c>
    </row>
    <row r="16657" spans="1:7" x14ac:dyDescent="0.25">
      <c r="A16657">
        <v>49</v>
      </c>
      <c r="B16657" t="s">
        <v>16619</v>
      </c>
      <c r="C16657">
        <v>13812</v>
      </c>
      <c r="D16657" t="str">
        <f>"0902-0063"</f>
        <v>0902-0063</v>
      </c>
      <c r="E16657" t="s">
        <v>8</v>
      </c>
      <c r="F16657" t="s">
        <v>16662</v>
      </c>
      <c r="G16657">
        <v>1</v>
      </c>
    </row>
    <row r="16658" spans="1:7" x14ac:dyDescent="0.25">
      <c r="A16658">
        <v>49</v>
      </c>
      <c r="B16658" t="s">
        <v>16619</v>
      </c>
      <c r="C16658">
        <v>5106</v>
      </c>
      <c r="D16658" t="str">
        <f>"1531-0043"</f>
        <v>1531-0043</v>
      </c>
      <c r="E16658" t="s">
        <v>8</v>
      </c>
      <c r="F16658" t="s">
        <v>16663</v>
      </c>
      <c r="G16658">
        <v>1</v>
      </c>
    </row>
    <row r="16659" spans="1:7" x14ac:dyDescent="0.25">
      <c r="A16659">
        <v>49</v>
      </c>
      <c r="B16659" t="s">
        <v>16619</v>
      </c>
      <c r="C16659">
        <v>16480</v>
      </c>
      <c r="D16659" t="str">
        <f>"0094-1298"</f>
        <v>0094-1298</v>
      </c>
      <c r="E16659" t="s">
        <v>8</v>
      </c>
      <c r="F16659" t="s">
        <v>16664</v>
      </c>
      <c r="G16659">
        <v>1</v>
      </c>
    </row>
    <row r="16660" spans="1:7" x14ac:dyDescent="0.25">
      <c r="A16660">
        <v>49</v>
      </c>
      <c r="B16660" t="s">
        <v>16619</v>
      </c>
      <c r="C16660">
        <v>15465</v>
      </c>
      <c r="D16660" t="str">
        <f>"0963-0643"</f>
        <v>0963-0643</v>
      </c>
      <c r="E16660" t="s">
        <v>8</v>
      </c>
      <c r="F16660" t="s">
        <v>16665</v>
      </c>
      <c r="G16660">
        <v>1</v>
      </c>
    </row>
    <row r="16661" spans="1:7" x14ac:dyDescent="0.25">
      <c r="A16661">
        <v>49</v>
      </c>
      <c r="B16661" t="s">
        <v>16619</v>
      </c>
      <c r="C16661">
        <v>10195</v>
      </c>
      <c r="D16661" t="str">
        <f>"1940-7041"</f>
        <v>1940-7041</v>
      </c>
      <c r="E16661" t="s">
        <v>8</v>
      </c>
      <c r="F16661" t="s">
        <v>16666</v>
      </c>
      <c r="G16661">
        <v>1</v>
      </c>
    </row>
    <row r="16662" spans="1:7" x14ac:dyDescent="0.25">
      <c r="A16662">
        <v>49</v>
      </c>
      <c r="B16662" t="s">
        <v>16619</v>
      </c>
      <c r="C16662">
        <v>878</v>
      </c>
      <c r="D16662" t="str">
        <f>"0011-3840"</f>
        <v>0011-3840</v>
      </c>
      <c r="E16662" t="s">
        <v>8</v>
      </c>
      <c r="F16662" t="s">
        <v>16667</v>
      </c>
      <c r="G16662">
        <v>1</v>
      </c>
    </row>
    <row r="16663" spans="1:7" x14ac:dyDescent="0.25">
      <c r="A16663">
        <v>49</v>
      </c>
      <c r="B16663" t="s">
        <v>16619</v>
      </c>
      <c r="C16663">
        <v>22455</v>
      </c>
      <c r="D16663" t="str">
        <f>"1527-2737"</f>
        <v>1527-2737</v>
      </c>
      <c r="E16663" t="s">
        <v>8</v>
      </c>
      <c r="F16663" t="s">
        <v>16668</v>
      </c>
      <c r="G16663">
        <v>1</v>
      </c>
    </row>
    <row r="16664" spans="1:7" x14ac:dyDescent="0.25">
      <c r="A16664">
        <v>49</v>
      </c>
      <c r="B16664" t="s">
        <v>16619</v>
      </c>
      <c r="C16664">
        <v>1545</v>
      </c>
      <c r="D16664" t="str">
        <f>"0009-4722"</f>
        <v>0009-4722</v>
      </c>
      <c r="E16664" t="s">
        <v>8</v>
      </c>
      <c r="F16664" t="s">
        <v>16669</v>
      </c>
      <c r="G16664">
        <v>1</v>
      </c>
    </row>
    <row r="16665" spans="1:7" x14ac:dyDescent="0.25">
      <c r="A16665">
        <v>49</v>
      </c>
      <c r="B16665" t="s">
        <v>16619</v>
      </c>
      <c r="C16665">
        <v>2000</v>
      </c>
      <c r="D16665" t="str">
        <f>"0085-4530"</f>
        <v>0085-4530</v>
      </c>
      <c r="E16665" t="s">
        <v>8</v>
      </c>
      <c r="F16665" t="s">
        <v>16670</v>
      </c>
      <c r="G16665">
        <v>1</v>
      </c>
    </row>
    <row r="16666" spans="1:7" x14ac:dyDescent="0.25">
      <c r="A16666">
        <v>49</v>
      </c>
      <c r="B16666" t="s">
        <v>16619</v>
      </c>
      <c r="C16666">
        <v>7321</v>
      </c>
      <c r="D16666" t="str">
        <f>"0177-5537"</f>
        <v>0177-5537</v>
      </c>
      <c r="E16666" t="s">
        <v>8</v>
      </c>
      <c r="F16666" t="s">
        <v>16671</v>
      </c>
      <c r="G16666">
        <v>1</v>
      </c>
    </row>
    <row r="16667" spans="1:7" x14ac:dyDescent="0.25">
      <c r="A16667">
        <v>49</v>
      </c>
      <c r="B16667" t="s">
        <v>16619</v>
      </c>
      <c r="C16667">
        <v>15518</v>
      </c>
      <c r="D16667" t="str">
        <f>"0340-2592"</f>
        <v>0340-2592</v>
      </c>
      <c r="E16667" t="s">
        <v>8</v>
      </c>
      <c r="F16667" t="s">
        <v>16672</v>
      </c>
      <c r="G16667">
        <v>1</v>
      </c>
    </row>
    <row r="16668" spans="1:7" x14ac:dyDescent="0.25">
      <c r="A16668">
        <v>49</v>
      </c>
      <c r="B16668" t="s">
        <v>16619</v>
      </c>
      <c r="C16668">
        <v>5716</v>
      </c>
      <c r="D16668" t="str">
        <f>"1076-0512"</f>
        <v>1076-0512</v>
      </c>
      <c r="E16668" t="s">
        <v>8</v>
      </c>
      <c r="F16668" t="s">
        <v>16673</v>
      </c>
      <c r="G16668">
        <v>1</v>
      </c>
    </row>
    <row r="16669" spans="1:7" x14ac:dyDescent="0.25">
      <c r="A16669">
        <v>49</v>
      </c>
      <c r="B16669" t="s">
        <v>16619</v>
      </c>
      <c r="C16669">
        <v>2821</v>
      </c>
      <c r="D16669" t="str">
        <f>"0253-4886"</f>
        <v>0253-4886</v>
      </c>
      <c r="E16669" t="s">
        <v>8</v>
      </c>
      <c r="F16669" t="s">
        <v>16674</v>
      </c>
      <c r="G16669">
        <v>1</v>
      </c>
    </row>
    <row r="16670" spans="1:7" x14ac:dyDescent="0.25">
      <c r="A16670">
        <v>49</v>
      </c>
      <c r="B16670" t="s">
        <v>16619</v>
      </c>
      <c r="C16670">
        <v>72866</v>
      </c>
      <c r="D16670" t="str">
        <f>"1305-8282"</f>
        <v>1305-8282</v>
      </c>
      <c r="E16670" t="s">
        <v>8</v>
      </c>
      <c r="F16670" t="s">
        <v>16675</v>
      </c>
      <c r="G16670">
        <v>1</v>
      </c>
    </row>
    <row r="16671" spans="1:7" x14ac:dyDescent="0.25">
      <c r="A16671">
        <v>49</v>
      </c>
      <c r="B16671" t="s">
        <v>16619</v>
      </c>
      <c r="C16671">
        <v>10922</v>
      </c>
      <c r="D16671" t="str">
        <f>"1010-7940"</f>
        <v>1010-7940</v>
      </c>
      <c r="E16671" t="s">
        <v>8</v>
      </c>
      <c r="F16671" t="s">
        <v>16676</v>
      </c>
      <c r="G16671">
        <v>1</v>
      </c>
    </row>
    <row r="16672" spans="1:7" x14ac:dyDescent="0.25">
      <c r="A16672">
        <v>49</v>
      </c>
      <c r="B16672" t="s">
        <v>16619</v>
      </c>
      <c r="C16672">
        <v>14478</v>
      </c>
      <c r="D16672" t="str">
        <f>"1633-8065"</f>
        <v>1633-8065</v>
      </c>
      <c r="E16672" t="s">
        <v>8</v>
      </c>
      <c r="F16672" t="s">
        <v>16677</v>
      </c>
      <c r="G16672">
        <v>1</v>
      </c>
    </row>
    <row r="16673" spans="1:7" x14ac:dyDescent="0.25">
      <c r="A16673">
        <v>49</v>
      </c>
      <c r="B16673" t="s">
        <v>16619</v>
      </c>
      <c r="C16673">
        <v>9066</v>
      </c>
      <c r="D16673" t="str">
        <f>"0930-343X"</f>
        <v>0930-343X</v>
      </c>
      <c r="E16673" t="s">
        <v>8</v>
      </c>
      <c r="F16673" t="s">
        <v>16678</v>
      </c>
      <c r="G16673">
        <v>1</v>
      </c>
    </row>
    <row r="16674" spans="1:7" x14ac:dyDescent="0.25">
      <c r="A16674">
        <v>49</v>
      </c>
      <c r="B16674" t="s">
        <v>16619</v>
      </c>
      <c r="C16674">
        <v>9954</v>
      </c>
      <c r="D16674" t="str">
        <f>"0748-7983"</f>
        <v>0748-7983</v>
      </c>
      <c r="E16674" t="s">
        <v>8</v>
      </c>
      <c r="F16674" t="s">
        <v>16679</v>
      </c>
      <c r="G16674">
        <v>1</v>
      </c>
    </row>
    <row r="16675" spans="1:7" x14ac:dyDescent="0.25">
      <c r="A16675">
        <v>49</v>
      </c>
      <c r="B16675" t="s">
        <v>16619</v>
      </c>
      <c r="C16675">
        <v>6043</v>
      </c>
      <c r="D16675" t="str">
        <f>"1682-8631"</f>
        <v>1682-8631</v>
      </c>
      <c r="E16675" t="s">
        <v>8</v>
      </c>
      <c r="F16675" t="s">
        <v>16680</v>
      </c>
      <c r="G16675">
        <v>1</v>
      </c>
    </row>
    <row r="16676" spans="1:7" x14ac:dyDescent="0.25">
      <c r="A16676">
        <v>49</v>
      </c>
      <c r="B16676" t="s">
        <v>16619</v>
      </c>
      <c r="C16676">
        <v>10849</v>
      </c>
      <c r="D16676" t="str">
        <f>"0014-312X"</f>
        <v>0014-312X</v>
      </c>
      <c r="E16676" t="s">
        <v>8</v>
      </c>
      <c r="F16676" t="s">
        <v>16681</v>
      </c>
      <c r="G16676">
        <v>1</v>
      </c>
    </row>
    <row r="16677" spans="1:7" x14ac:dyDescent="0.25">
      <c r="A16677">
        <v>49</v>
      </c>
      <c r="B16677" t="s">
        <v>16619</v>
      </c>
      <c r="C16677">
        <v>13359</v>
      </c>
      <c r="D16677" t="str">
        <f>"1569-9056"</f>
        <v>1569-9056</v>
      </c>
      <c r="E16677" t="s">
        <v>8</v>
      </c>
      <c r="F16677" t="s">
        <v>16682</v>
      </c>
      <c r="G16677">
        <v>1</v>
      </c>
    </row>
    <row r="16678" spans="1:7" x14ac:dyDescent="0.25">
      <c r="A16678">
        <v>49</v>
      </c>
      <c r="B16678" t="s">
        <v>16619</v>
      </c>
      <c r="C16678">
        <v>15417</v>
      </c>
      <c r="D16678" t="str">
        <f>"0736-6825"</f>
        <v>0736-6825</v>
      </c>
      <c r="E16678" t="s">
        <v>8</v>
      </c>
      <c r="F16678" t="s">
        <v>16683</v>
      </c>
      <c r="G16678">
        <v>1</v>
      </c>
    </row>
    <row r="16679" spans="1:7" x14ac:dyDescent="0.25">
      <c r="A16679">
        <v>49</v>
      </c>
      <c r="B16679" t="s">
        <v>16619</v>
      </c>
      <c r="C16679">
        <v>21448</v>
      </c>
      <c r="D16679" t="str">
        <f>"1064-7406"</f>
        <v>1064-7406</v>
      </c>
      <c r="E16679" t="s">
        <v>8</v>
      </c>
      <c r="F16679" t="s">
        <v>16684</v>
      </c>
      <c r="G16679">
        <v>1</v>
      </c>
    </row>
    <row r="16680" spans="1:7" x14ac:dyDescent="0.25">
      <c r="A16680">
        <v>49</v>
      </c>
      <c r="B16680" t="s">
        <v>16619</v>
      </c>
      <c r="C16680">
        <v>11292</v>
      </c>
      <c r="D16680" t="str">
        <f>"2151-8378"</f>
        <v>2151-8378</v>
      </c>
      <c r="E16680" t="s">
        <v>8</v>
      </c>
      <c r="F16680" t="s">
        <v>16685</v>
      </c>
      <c r="G16680">
        <v>1</v>
      </c>
    </row>
    <row r="16681" spans="1:7" x14ac:dyDescent="0.25">
      <c r="A16681">
        <v>49</v>
      </c>
      <c r="B16681" t="s">
        <v>16619</v>
      </c>
      <c r="C16681">
        <v>1185</v>
      </c>
      <c r="D16681" t="str">
        <f>"1268-7731"</f>
        <v>1268-7731</v>
      </c>
      <c r="E16681" t="s">
        <v>8</v>
      </c>
      <c r="F16681" t="s">
        <v>16686</v>
      </c>
      <c r="G16681">
        <v>1</v>
      </c>
    </row>
    <row r="16682" spans="1:7" x14ac:dyDescent="0.25">
      <c r="A16682">
        <v>49</v>
      </c>
      <c r="B16682" t="s">
        <v>16619</v>
      </c>
      <c r="C16682">
        <v>2648</v>
      </c>
      <c r="D16682" t="str">
        <f>"0948-7034"</f>
        <v>0948-7034</v>
      </c>
      <c r="E16682" t="s">
        <v>8</v>
      </c>
      <c r="F16682" t="s">
        <v>16687</v>
      </c>
      <c r="G16682">
        <v>1</v>
      </c>
    </row>
    <row r="16683" spans="1:7" x14ac:dyDescent="0.25">
      <c r="A16683">
        <v>49</v>
      </c>
      <c r="B16683" t="s">
        <v>16619</v>
      </c>
      <c r="C16683">
        <v>19625</v>
      </c>
      <c r="D16683" t="str">
        <f>"1863-6705"</f>
        <v>1863-6705</v>
      </c>
      <c r="E16683" t="s">
        <v>8</v>
      </c>
      <c r="F16683" t="s">
        <v>16688</v>
      </c>
      <c r="G16683">
        <v>1</v>
      </c>
    </row>
    <row r="16684" spans="1:7" x14ac:dyDescent="0.25">
      <c r="A16684">
        <v>49</v>
      </c>
      <c r="B16684" t="s">
        <v>16619</v>
      </c>
      <c r="C16684">
        <v>7720287</v>
      </c>
      <c r="D16684" t="str">
        <f>"2192-5682"</f>
        <v>2192-5682</v>
      </c>
      <c r="E16684" t="s">
        <v>8</v>
      </c>
      <c r="F16684" t="s">
        <v>16689</v>
      </c>
      <c r="G16684">
        <v>1</v>
      </c>
    </row>
    <row r="16685" spans="1:7" x14ac:dyDescent="0.25">
      <c r="A16685">
        <v>49</v>
      </c>
      <c r="B16685" t="s">
        <v>16619</v>
      </c>
      <c r="C16685">
        <v>3657</v>
      </c>
      <c r="D16685" t="str">
        <f>"0749-0712"</f>
        <v>0749-0712</v>
      </c>
      <c r="E16685" t="s">
        <v>8</v>
      </c>
      <c r="F16685" t="s">
        <v>16690</v>
      </c>
      <c r="G16685">
        <v>1</v>
      </c>
    </row>
    <row r="16686" spans="1:7" x14ac:dyDescent="0.25">
      <c r="A16686">
        <v>49</v>
      </c>
      <c r="B16686" t="s">
        <v>16619</v>
      </c>
      <c r="C16686">
        <v>9682</v>
      </c>
      <c r="D16686" t="str">
        <f>"0722-1819"</f>
        <v>0722-1819</v>
      </c>
      <c r="E16686" t="s">
        <v>8</v>
      </c>
      <c r="F16686" t="s">
        <v>16691</v>
      </c>
      <c r="G16686">
        <v>1</v>
      </c>
    </row>
    <row r="16687" spans="1:7" x14ac:dyDescent="0.25">
      <c r="A16687">
        <v>49</v>
      </c>
      <c r="B16687" t="s">
        <v>16619</v>
      </c>
      <c r="C16687">
        <v>8020</v>
      </c>
      <c r="D16687" t="str">
        <f>"1265-4906"</f>
        <v>1265-4906</v>
      </c>
      <c r="E16687" t="s">
        <v>8</v>
      </c>
      <c r="F16687" t="s">
        <v>16692</v>
      </c>
      <c r="G16687">
        <v>1</v>
      </c>
    </row>
    <row r="16688" spans="1:7" x14ac:dyDescent="0.25">
      <c r="A16688">
        <v>49</v>
      </c>
      <c r="B16688" t="s">
        <v>16619</v>
      </c>
      <c r="C16688">
        <v>14250</v>
      </c>
      <c r="D16688" t="str">
        <f>"1120-7000"</f>
        <v>1120-7000</v>
      </c>
      <c r="E16688" t="s">
        <v>8</v>
      </c>
      <c r="F16688" t="s">
        <v>16693</v>
      </c>
      <c r="G16688">
        <v>1</v>
      </c>
    </row>
    <row r="16689" spans="1:7" x14ac:dyDescent="0.25">
      <c r="A16689">
        <v>49</v>
      </c>
      <c r="B16689" t="s">
        <v>16619</v>
      </c>
      <c r="C16689">
        <v>4541</v>
      </c>
      <c r="D16689" t="str">
        <f>"0894-8569"</f>
        <v>0894-8569</v>
      </c>
      <c r="E16689" t="s">
        <v>8</v>
      </c>
      <c r="F16689" t="s">
        <v>16694</v>
      </c>
      <c r="G16689">
        <v>1</v>
      </c>
    </row>
    <row r="16690" spans="1:7" x14ac:dyDescent="0.25">
      <c r="A16690">
        <v>49</v>
      </c>
      <c r="B16690" t="s">
        <v>16619</v>
      </c>
      <c r="C16690">
        <v>24387</v>
      </c>
      <c r="D16690" t="str">
        <f>"0970-0358"</f>
        <v>0970-0358</v>
      </c>
      <c r="E16690" t="s">
        <v>8</v>
      </c>
      <c r="F16690" t="s">
        <v>16695</v>
      </c>
      <c r="G16690">
        <v>1</v>
      </c>
    </row>
    <row r="16691" spans="1:7" x14ac:dyDescent="0.25">
      <c r="A16691">
        <v>49</v>
      </c>
      <c r="B16691" t="s">
        <v>16619</v>
      </c>
      <c r="C16691">
        <v>4139</v>
      </c>
      <c r="D16691" t="str">
        <f>"0972-2068"</f>
        <v>0972-2068</v>
      </c>
      <c r="E16691" t="s">
        <v>8</v>
      </c>
      <c r="F16691" t="s">
        <v>16696</v>
      </c>
      <c r="G16691">
        <v>1</v>
      </c>
    </row>
    <row r="16692" spans="1:7" x14ac:dyDescent="0.25">
      <c r="A16692">
        <v>49</v>
      </c>
      <c r="B16692" t="s">
        <v>16619</v>
      </c>
      <c r="C16692">
        <v>5512</v>
      </c>
      <c r="D16692" t="str">
        <f>"1569-9293"</f>
        <v>1569-9293</v>
      </c>
      <c r="E16692" t="s">
        <v>8</v>
      </c>
      <c r="F16692" t="s">
        <v>16697</v>
      </c>
      <c r="G16692">
        <v>1</v>
      </c>
    </row>
    <row r="16693" spans="1:7" x14ac:dyDescent="0.25">
      <c r="A16693">
        <v>49</v>
      </c>
      <c r="B16693" t="s">
        <v>16619</v>
      </c>
      <c r="C16693">
        <v>26968</v>
      </c>
      <c r="D16693" t="str">
        <f>"1677-5538"</f>
        <v>1677-5538</v>
      </c>
      <c r="E16693" t="s">
        <v>8</v>
      </c>
      <c r="F16693" t="s">
        <v>16698</v>
      </c>
      <c r="G16693">
        <v>1</v>
      </c>
    </row>
    <row r="16694" spans="1:7" x14ac:dyDescent="0.25">
      <c r="A16694">
        <v>49</v>
      </c>
      <c r="B16694" t="s">
        <v>16619</v>
      </c>
      <c r="C16694">
        <v>9353</v>
      </c>
      <c r="D16694" t="str">
        <f>"0179-1958"</f>
        <v>0179-1958</v>
      </c>
      <c r="E16694" t="s">
        <v>8</v>
      </c>
      <c r="F16694" t="s">
        <v>16699</v>
      </c>
      <c r="G16694">
        <v>1</v>
      </c>
    </row>
    <row r="16695" spans="1:7" x14ac:dyDescent="0.25">
      <c r="A16695">
        <v>49</v>
      </c>
      <c r="B16695" t="s">
        <v>16619</v>
      </c>
      <c r="C16695">
        <v>21787</v>
      </c>
      <c r="D16695" t="str">
        <f>"1861-6410"</f>
        <v>1861-6410</v>
      </c>
      <c r="E16695" t="s">
        <v>8</v>
      </c>
      <c r="F16695" t="s">
        <v>16700</v>
      </c>
      <c r="G16695">
        <v>1</v>
      </c>
    </row>
    <row r="16696" spans="1:7" x14ac:dyDescent="0.25">
      <c r="A16696">
        <v>49</v>
      </c>
      <c r="B16696" t="s">
        <v>16619</v>
      </c>
      <c r="C16696">
        <v>18979</v>
      </c>
      <c r="D16696" t="str">
        <f>"0973-6042"</f>
        <v>0973-6042</v>
      </c>
      <c r="E16696" t="s">
        <v>8</v>
      </c>
      <c r="F16696" t="s">
        <v>16701</v>
      </c>
      <c r="G16696">
        <v>1</v>
      </c>
    </row>
    <row r="16697" spans="1:7" x14ac:dyDescent="0.25">
      <c r="A16697">
        <v>49</v>
      </c>
      <c r="B16697" t="s">
        <v>16619</v>
      </c>
      <c r="C16697">
        <v>6158657</v>
      </c>
      <c r="D16697" t="str">
        <f>"1743-9191"</f>
        <v>1743-9191</v>
      </c>
      <c r="E16697" t="s">
        <v>8</v>
      </c>
      <c r="F16697" t="s">
        <v>16702</v>
      </c>
      <c r="G16697">
        <v>1</v>
      </c>
    </row>
    <row r="16698" spans="1:7" x14ac:dyDescent="0.25">
      <c r="A16698">
        <v>49</v>
      </c>
      <c r="B16698" t="s">
        <v>16619</v>
      </c>
      <c r="C16698">
        <v>6158659</v>
      </c>
      <c r="D16698" t="str">
        <f>"2090-1402"</f>
        <v>2090-1402</v>
      </c>
      <c r="E16698" t="s">
        <v>8</v>
      </c>
      <c r="F16698" t="s">
        <v>16703</v>
      </c>
      <c r="G16698">
        <v>1</v>
      </c>
    </row>
    <row r="16699" spans="1:7" x14ac:dyDescent="0.25">
      <c r="A16699">
        <v>49</v>
      </c>
      <c r="B16699" t="s">
        <v>16619</v>
      </c>
      <c r="C16699">
        <v>4014</v>
      </c>
      <c r="D16699" t="str">
        <f>"0919-8172"</f>
        <v>0919-8172</v>
      </c>
      <c r="E16699" t="s">
        <v>8</v>
      </c>
      <c r="F16699" t="s">
        <v>16704</v>
      </c>
      <c r="G16699">
        <v>1</v>
      </c>
    </row>
    <row r="16700" spans="1:7" x14ac:dyDescent="0.25">
      <c r="A16700">
        <v>49</v>
      </c>
      <c r="B16700" t="s">
        <v>16619</v>
      </c>
      <c r="C16700">
        <v>12138</v>
      </c>
      <c r="D16700" t="str">
        <f>"0341-2695"</f>
        <v>0341-2695</v>
      </c>
      <c r="E16700" t="s">
        <v>8</v>
      </c>
      <c r="F16700" t="s">
        <v>16705</v>
      </c>
      <c r="G16700">
        <v>1</v>
      </c>
    </row>
    <row r="16701" spans="1:7" x14ac:dyDescent="0.25">
      <c r="A16701">
        <v>49</v>
      </c>
      <c r="B16701" t="s">
        <v>16619</v>
      </c>
      <c r="C16701">
        <v>3808</v>
      </c>
      <c r="D16701" t="str">
        <f>"0020-8868"</f>
        <v>0020-8868</v>
      </c>
      <c r="E16701" t="s">
        <v>8</v>
      </c>
      <c r="F16701" t="s">
        <v>16706</v>
      </c>
      <c r="G16701">
        <v>1</v>
      </c>
    </row>
    <row r="16702" spans="1:7" x14ac:dyDescent="0.25">
      <c r="A16702">
        <v>49</v>
      </c>
      <c r="B16702" t="s">
        <v>16619</v>
      </c>
      <c r="C16702">
        <v>5107</v>
      </c>
      <c r="D16702" t="str">
        <f>"0937-3462"</f>
        <v>0937-3462</v>
      </c>
      <c r="E16702" t="s">
        <v>8</v>
      </c>
      <c r="F16702" t="s">
        <v>16707</v>
      </c>
      <c r="G16702">
        <v>1</v>
      </c>
    </row>
    <row r="16703" spans="1:7" x14ac:dyDescent="0.25">
      <c r="A16703">
        <v>49</v>
      </c>
      <c r="B16703" t="s">
        <v>16619</v>
      </c>
      <c r="C16703">
        <v>3485</v>
      </c>
      <c r="D16703" t="str">
        <f>"1742-4801"</f>
        <v>1742-4801</v>
      </c>
      <c r="E16703" t="s">
        <v>8</v>
      </c>
      <c r="F16703" t="s">
        <v>16708</v>
      </c>
      <c r="G16703">
        <v>1</v>
      </c>
    </row>
    <row r="16704" spans="1:7" x14ac:dyDescent="0.25">
      <c r="A16704">
        <v>49</v>
      </c>
      <c r="B16704" t="s">
        <v>16619</v>
      </c>
      <c r="C16704">
        <v>16294</v>
      </c>
      <c r="D16704" t="str">
        <f>"2168-6076"</f>
        <v>2168-6076</v>
      </c>
      <c r="E16704" t="s">
        <v>8</v>
      </c>
      <c r="F16704" t="s">
        <v>16709</v>
      </c>
      <c r="G16704">
        <v>1</v>
      </c>
    </row>
    <row r="16705" spans="1:7" x14ac:dyDescent="0.25">
      <c r="A16705">
        <v>49</v>
      </c>
      <c r="B16705" t="s">
        <v>16619</v>
      </c>
      <c r="C16705">
        <v>5438</v>
      </c>
      <c r="D16705" t="str">
        <f>"2168-6254"</f>
        <v>2168-6254</v>
      </c>
      <c r="E16705" t="s">
        <v>8</v>
      </c>
      <c r="F16705" t="s">
        <v>16710</v>
      </c>
      <c r="G16705">
        <v>1</v>
      </c>
    </row>
    <row r="16706" spans="1:7" x14ac:dyDescent="0.25">
      <c r="A16706">
        <v>49</v>
      </c>
      <c r="B16706" t="s">
        <v>16619</v>
      </c>
      <c r="C16706">
        <v>2945</v>
      </c>
      <c r="D16706" t="str">
        <f>"1878-786X"</f>
        <v>1878-786X</v>
      </c>
      <c r="E16706" t="s">
        <v>8</v>
      </c>
      <c r="F16706" t="s">
        <v>16711</v>
      </c>
      <c r="G16706">
        <v>1</v>
      </c>
    </row>
    <row r="16707" spans="1:7" x14ac:dyDescent="0.25">
      <c r="A16707">
        <v>49</v>
      </c>
      <c r="B16707" t="s">
        <v>16619</v>
      </c>
      <c r="C16707">
        <v>7170</v>
      </c>
      <c r="D16707" t="str">
        <f>"0883-5403"</f>
        <v>0883-5403</v>
      </c>
      <c r="E16707" t="s">
        <v>8</v>
      </c>
      <c r="F16707" t="s">
        <v>16712</v>
      </c>
      <c r="G16707">
        <v>1</v>
      </c>
    </row>
    <row r="16708" spans="1:7" x14ac:dyDescent="0.25">
      <c r="A16708">
        <v>49</v>
      </c>
      <c r="B16708" t="s">
        <v>16619</v>
      </c>
      <c r="C16708">
        <v>18061</v>
      </c>
      <c r="D16708" t="str">
        <f>"1340-3478"</f>
        <v>1340-3478</v>
      </c>
      <c r="E16708" t="s">
        <v>8</v>
      </c>
      <c r="F16708" t="s">
        <v>16713</v>
      </c>
      <c r="G16708">
        <v>1</v>
      </c>
    </row>
    <row r="16709" spans="1:7" x14ac:dyDescent="0.25">
      <c r="A16709">
        <v>49</v>
      </c>
      <c r="B16709" t="s">
        <v>16619</v>
      </c>
      <c r="C16709">
        <v>16233</v>
      </c>
      <c r="D16709" t="str">
        <f>"0886-0440"</f>
        <v>0886-0440</v>
      </c>
      <c r="E16709" t="s">
        <v>8</v>
      </c>
      <c r="F16709" t="s">
        <v>16714</v>
      </c>
      <c r="G16709">
        <v>1</v>
      </c>
    </row>
    <row r="16710" spans="1:7" x14ac:dyDescent="0.25">
      <c r="A16710">
        <v>49</v>
      </c>
      <c r="B16710" t="s">
        <v>16619</v>
      </c>
      <c r="C16710">
        <v>101629</v>
      </c>
      <c r="E16710" t="s">
        <v>8</v>
      </c>
      <c r="F16710" t="s">
        <v>16715</v>
      </c>
      <c r="G16710">
        <v>1</v>
      </c>
    </row>
    <row r="16711" spans="1:7" x14ac:dyDescent="0.25">
      <c r="A16711">
        <v>49</v>
      </c>
      <c r="B16711" t="s">
        <v>16619</v>
      </c>
      <c r="C16711">
        <v>2885</v>
      </c>
      <c r="D16711" t="str">
        <f>"1476-4172"</f>
        <v>1476-4172</v>
      </c>
      <c r="E16711" t="s">
        <v>8</v>
      </c>
      <c r="F16711" t="s">
        <v>16716</v>
      </c>
      <c r="G16711">
        <v>1</v>
      </c>
    </row>
    <row r="16712" spans="1:7" x14ac:dyDescent="0.25">
      <c r="A16712">
        <v>49</v>
      </c>
      <c r="B16712" t="s">
        <v>16619</v>
      </c>
      <c r="C16712">
        <v>12553</v>
      </c>
      <c r="D16712" t="str">
        <f>"0892-7790"</f>
        <v>0892-7790</v>
      </c>
      <c r="E16712" t="s">
        <v>8</v>
      </c>
      <c r="F16712" t="s">
        <v>16717</v>
      </c>
      <c r="G16712">
        <v>1</v>
      </c>
    </row>
    <row r="16713" spans="1:7" x14ac:dyDescent="0.25">
      <c r="A16713">
        <v>49</v>
      </c>
      <c r="B16713" t="s">
        <v>16619</v>
      </c>
      <c r="C16713">
        <v>12636</v>
      </c>
      <c r="D16713" t="str">
        <f>"1526-6028"</f>
        <v>1526-6028</v>
      </c>
      <c r="E16713" t="s">
        <v>8</v>
      </c>
      <c r="F16713" t="s">
        <v>16718</v>
      </c>
      <c r="G16713">
        <v>1</v>
      </c>
    </row>
    <row r="16714" spans="1:7" x14ac:dyDescent="0.25">
      <c r="A16714">
        <v>49</v>
      </c>
      <c r="B16714" t="s">
        <v>16619</v>
      </c>
      <c r="C16714">
        <v>16833</v>
      </c>
      <c r="D16714" t="str">
        <f>"1091-255X"</f>
        <v>1091-255X</v>
      </c>
      <c r="E16714" t="s">
        <v>8</v>
      </c>
      <c r="F16714" t="s">
        <v>16719</v>
      </c>
      <c r="G16714">
        <v>1</v>
      </c>
    </row>
    <row r="16715" spans="1:7" x14ac:dyDescent="0.25">
      <c r="A16715">
        <v>49</v>
      </c>
      <c r="B16715" t="s">
        <v>16619</v>
      </c>
      <c r="C16715">
        <v>4297</v>
      </c>
      <c r="D16715" t="str">
        <f>"1042-4067"</f>
        <v>1042-4067</v>
      </c>
      <c r="E16715" t="s">
        <v>8</v>
      </c>
      <c r="F16715" t="s">
        <v>16720</v>
      </c>
      <c r="G16715">
        <v>1</v>
      </c>
    </row>
    <row r="16716" spans="1:7" x14ac:dyDescent="0.25">
      <c r="A16716">
        <v>49</v>
      </c>
      <c r="B16716" t="s">
        <v>16619</v>
      </c>
      <c r="C16716">
        <v>5340</v>
      </c>
      <c r="D16716" t="str">
        <f>"0363-5023"</f>
        <v>0363-5023</v>
      </c>
      <c r="E16716" t="s">
        <v>8</v>
      </c>
      <c r="F16716" t="s">
        <v>16721</v>
      </c>
      <c r="G16716">
        <v>1</v>
      </c>
    </row>
    <row r="16717" spans="1:7" x14ac:dyDescent="0.25">
      <c r="A16717">
        <v>49</v>
      </c>
      <c r="B16717" t="s">
        <v>16619</v>
      </c>
      <c r="C16717">
        <v>18103</v>
      </c>
      <c r="D16717" t="str">
        <f>"1753-1934"</f>
        <v>1753-1934</v>
      </c>
      <c r="E16717" t="s">
        <v>8</v>
      </c>
      <c r="F16717" t="s">
        <v>16722</v>
      </c>
      <c r="G16717">
        <v>1</v>
      </c>
    </row>
    <row r="16718" spans="1:7" x14ac:dyDescent="0.25">
      <c r="A16718">
        <v>49</v>
      </c>
      <c r="B16718" t="s">
        <v>16619</v>
      </c>
      <c r="C16718">
        <v>8782705</v>
      </c>
      <c r="E16718" t="s">
        <v>8</v>
      </c>
      <c r="F16718" t="s">
        <v>16723</v>
      </c>
      <c r="G16718">
        <v>1</v>
      </c>
    </row>
    <row r="16719" spans="1:7" x14ac:dyDescent="0.25">
      <c r="A16719">
        <v>49</v>
      </c>
      <c r="B16719" t="s">
        <v>16619</v>
      </c>
      <c r="C16719">
        <v>6452</v>
      </c>
      <c r="D16719" t="str">
        <f>"0894-1939"</f>
        <v>0894-1939</v>
      </c>
      <c r="E16719" t="s">
        <v>8</v>
      </c>
      <c r="F16719" t="s">
        <v>16724</v>
      </c>
      <c r="G16719">
        <v>1</v>
      </c>
    </row>
    <row r="16720" spans="1:7" x14ac:dyDescent="0.25">
      <c r="A16720">
        <v>49</v>
      </c>
      <c r="B16720" t="s">
        <v>16619</v>
      </c>
      <c r="C16720">
        <v>22860</v>
      </c>
      <c r="D16720" t="str">
        <f>"1538-8506"</f>
        <v>1538-8506</v>
      </c>
      <c r="E16720" t="s">
        <v>8</v>
      </c>
      <c r="F16720" t="s">
        <v>16725</v>
      </c>
      <c r="G16720">
        <v>1</v>
      </c>
    </row>
    <row r="16721" spans="1:7" x14ac:dyDescent="0.25">
      <c r="A16721">
        <v>49</v>
      </c>
      <c r="B16721" t="s">
        <v>16619</v>
      </c>
      <c r="C16721">
        <v>16826</v>
      </c>
      <c r="D16721" t="str">
        <f>"1092-6429"</f>
        <v>1092-6429</v>
      </c>
      <c r="E16721" t="s">
        <v>8</v>
      </c>
      <c r="F16721" t="s">
        <v>16726</v>
      </c>
      <c r="G16721">
        <v>1</v>
      </c>
    </row>
    <row r="16722" spans="1:7" x14ac:dyDescent="0.25">
      <c r="A16722">
        <v>49</v>
      </c>
      <c r="B16722" t="s">
        <v>16619</v>
      </c>
      <c r="C16722">
        <v>73903</v>
      </c>
      <c r="D16722" t="str">
        <f>"0972-9941"</f>
        <v>0972-9941</v>
      </c>
      <c r="E16722" t="s">
        <v>8</v>
      </c>
      <c r="F16722" t="s">
        <v>16727</v>
      </c>
      <c r="G16722">
        <v>1</v>
      </c>
    </row>
    <row r="16723" spans="1:7" x14ac:dyDescent="0.25">
      <c r="A16723">
        <v>49</v>
      </c>
      <c r="B16723" t="s">
        <v>16619</v>
      </c>
      <c r="C16723">
        <v>7447</v>
      </c>
      <c r="D16723" t="str">
        <f>"1434-5293"</f>
        <v>1434-5293</v>
      </c>
      <c r="E16723" t="s">
        <v>8</v>
      </c>
      <c r="F16723" t="s">
        <v>16728</v>
      </c>
      <c r="G16723">
        <v>1</v>
      </c>
    </row>
    <row r="16724" spans="1:7" x14ac:dyDescent="0.25">
      <c r="A16724">
        <v>49</v>
      </c>
      <c r="B16724" t="s">
        <v>16619</v>
      </c>
      <c r="C16724">
        <v>4614</v>
      </c>
      <c r="D16724" t="str">
        <f>"0949-2658"</f>
        <v>0949-2658</v>
      </c>
      <c r="E16724" t="s">
        <v>8</v>
      </c>
      <c r="F16724" t="s">
        <v>16729</v>
      </c>
      <c r="G16724">
        <v>1</v>
      </c>
    </row>
    <row r="16725" spans="1:7" x14ac:dyDescent="0.25">
      <c r="A16725">
        <v>49</v>
      </c>
      <c r="B16725" t="s">
        <v>16619</v>
      </c>
      <c r="C16725">
        <v>13819</v>
      </c>
      <c r="D16725" t="str">
        <f>"1022-5536"</f>
        <v>1022-5536</v>
      </c>
      <c r="E16725" t="s">
        <v>8</v>
      </c>
      <c r="F16725" t="s">
        <v>16730</v>
      </c>
      <c r="G16725">
        <v>1</v>
      </c>
    </row>
    <row r="16726" spans="1:7" x14ac:dyDescent="0.25">
      <c r="A16726">
        <v>49</v>
      </c>
      <c r="B16726" t="s">
        <v>16619</v>
      </c>
      <c r="C16726">
        <v>7627</v>
      </c>
      <c r="D16726" t="str">
        <f>"0890-5339"</f>
        <v>0890-5339</v>
      </c>
      <c r="E16726" t="s">
        <v>8</v>
      </c>
      <c r="F16726" t="s">
        <v>16731</v>
      </c>
      <c r="G16726">
        <v>1</v>
      </c>
    </row>
    <row r="16727" spans="1:7" x14ac:dyDescent="0.25">
      <c r="A16727">
        <v>49</v>
      </c>
      <c r="B16727" t="s">
        <v>16619</v>
      </c>
      <c r="C16727">
        <v>8947</v>
      </c>
      <c r="D16727" t="str">
        <f>"1590-9921"</f>
        <v>1590-9921</v>
      </c>
      <c r="E16727" t="s">
        <v>8</v>
      </c>
      <c r="F16727" t="s">
        <v>16732</v>
      </c>
      <c r="G16727">
        <v>1</v>
      </c>
    </row>
    <row r="16728" spans="1:7" x14ac:dyDescent="0.25">
      <c r="A16728">
        <v>49</v>
      </c>
      <c r="B16728" t="s">
        <v>16619</v>
      </c>
      <c r="C16728">
        <v>12947</v>
      </c>
      <c r="D16728" t="str">
        <f>"0022-3468"</f>
        <v>0022-3468</v>
      </c>
      <c r="E16728" t="s">
        <v>8</v>
      </c>
      <c r="F16728" t="s">
        <v>16733</v>
      </c>
      <c r="G16728">
        <v>1</v>
      </c>
    </row>
    <row r="16729" spans="1:7" x14ac:dyDescent="0.25">
      <c r="A16729">
        <v>49</v>
      </c>
      <c r="B16729" t="s">
        <v>16619</v>
      </c>
      <c r="C16729">
        <v>16655</v>
      </c>
      <c r="D16729" t="str">
        <f>"2000-656X"</f>
        <v>2000-656X</v>
      </c>
      <c r="E16729" t="s">
        <v>8</v>
      </c>
      <c r="F16729" t="s">
        <v>16734</v>
      </c>
      <c r="G16729">
        <v>1</v>
      </c>
    </row>
    <row r="16730" spans="1:7" x14ac:dyDescent="0.25">
      <c r="A16730">
        <v>49</v>
      </c>
      <c r="B16730" t="s">
        <v>16619</v>
      </c>
      <c r="C16730">
        <v>14215</v>
      </c>
      <c r="D16730" t="str">
        <f>"1748-6815"</f>
        <v>1748-6815</v>
      </c>
      <c r="E16730" t="s">
        <v>8</v>
      </c>
      <c r="F16730" t="s">
        <v>16735</v>
      </c>
      <c r="G16730">
        <v>1</v>
      </c>
    </row>
    <row r="16731" spans="1:7" x14ac:dyDescent="0.25">
      <c r="A16731">
        <v>49</v>
      </c>
      <c r="B16731" t="s">
        <v>16619</v>
      </c>
      <c r="C16731">
        <v>5506</v>
      </c>
      <c r="D16731" t="str">
        <f>"0743-684X"</f>
        <v>0743-684X</v>
      </c>
      <c r="E16731" t="s">
        <v>8</v>
      </c>
      <c r="F16731" t="s">
        <v>16736</v>
      </c>
      <c r="G16731">
        <v>1</v>
      </c>
    </row>
    <row r="16732" spans="1:7" x14ac:dyDescent="0.25">
      <c r="A16732">
        <v>49</v>
      </c>
      <c r="B16732" t="s">
        <v>16619</v>
      </c>
      <c r="C16732">
        <v>8296</v>
      </c>
      <c r="D16732" t="str">
        <f>"1081-597X"</f>
        <v>1081-597X</v>
      </c>
      <c r="E16732" t="s">
        <v>8</v>
      </c>
      <c r="F16732" t="s">
        <v>16737</v>
      </c>
      <c r="G16732">
        <v>1</v>
      </c>
    </row>
    <row r="16733" spans="1:7" x14ac:dyDescent="0.25">
      <c r="A16733">
        <v>49</v>
      </c>
      <c r="B16733" t="s">
        <v>16619</v>
      </c>
      <c r="C16733">
        <v>22697</v>
      </c>
      <c r="D16733" t="str">
        <f>"1863-2483"</f>
        <v>1863-2483</v>
      </c>
      <c r="E16733" t="s">
        <v>8</v>
      </c>
      <c r="F16733" t="s">
        <v>16738</v>
      </c>
      <c r="G16733">
        <v>1</v>
      </c>
    </row>
    <row r="16734" spans="1:7" x14ac:dyDescent="0.25">
      <c r="A16734">
        <v>49</v>
      </c>
      <c r="B16734" t="s">
        <v>16619</v>
      </c>
      <c r="C16734">
        <v>1279</v>
      </c>
      <c r="D16734" t="str">
        <f>"1058-2746"</f>
        <v>1058-2746</v>
      </c>
      <c r="E16734" t="s">
        <v>8</v>
      </c>
      <c r="F16734" t="s">
        <v>16739</v>
      </c>
      <c r="G16734">
        <v>1</v>
      </c>
    </row>
    <row r="16735" spans="1:7" x14ac:dyDescent="0.25">
      <c r="A16735">
        <v>49</v>
      </c>
      <c r="B16735" t="s">
        <v>16619</v>
      </c>
      <c r="C16735">
        <v>594</v>
      </c>
      <c r="D16735" t="str">
        <f>"1931-7204"</f>
        <v>1931-7204</v>
      </c>
      <c r="E16735" t="s">
        <v>8</v>
      </c>
      <c r="F16735" t="s">
        <v>16740</v>
      </c>
      <c r="G16735">
        <v>1</v>
      </c>
    </row>
    <row r="16736" spans="1:7" x14ac:dyDescent="0.25">
      <c r="A16736">
        <v>49</v>
      </c>
      <c r="B16736" t="s">
        <v>16619</v>
      </c>
      <c r="C16736">
        <v>4513</v>
      </c>
      <c r="D16736" t="str">
        <f>"0022-4790"</f>
        <v>0022-4790</v>
      </c>
      <c r="E16736" t="s">
        <v>8</v>
      </c>
      <c r="F16736" t="s">
        <v>16741</v>
      </c>
      <c r="G16736">
        <v>1</v>
      </c>
    </row>
    <row r="16737" spans="1:7" x14ac:dyDescent="0.25">
      <c r="A16737">
        <v>49</v>
      </c>
      <c r="B16737" t="s">
        <v>16619</v>
      </c>
      <c r="C16737">
        <v>4102</v>
      </c>
      <c r="D16737" t="str">
        <f>"0022-4804"</f>
        <v>0022-4804</v>
      </c>
      <c r="E16737" t="s">
        <v>8</v>
      </c>
      <c r="F16737" t="s">
        <v>16742</v>
      </c>
      <c r="G16737">
        <v>1</v>
      </c>
    </row>
    <row r="16738" spans="1:7" x14ac:dyDescent="0.25">
      <c r="A16738">
        <v>49</v>
      </c>
      <c r="B16738" t="s">
        <v>16619</v>
      </c>
      <c r="C16738">
        <v>11370</v>
      </c>
      <c r="D16738" t="str">
        <f>"1067-151X"</f>
        <v>1067-151X</v>
      </c>
      <c r="E16738" t="s">
        <v>8</v>
      </c>
      <c r="F16738" t="s">
        <v>16743</v>
      </c>
      <c r="G16738">
        <v>1</v>
      </c>
    </row>
    <row r="16739" spans="1:7" x14ac:dyDescent="0.25">
      <c r="A16739">
        <v>49</v>
      </c>
      <c r="B16739" t="s">
        <v>16619</v>
      </c>
      <c r="C16739">
        <v>3393</v>
      </c>
      <c r="D16739" t="str">
        <f>"8750-7315"</f>
        <v>8750-7315</v>
      </c>
      <c r="E16739" t="s">
        <v>8</v>
      </c>
      <c r="F16739" t="s">
        <v>16744</v>
      </c>
      <c r="G16739">
        <v>1</v>
      </c>
    </row>
    <row r="16740" spans="1:7" x14ac:dyDescent="0.25">
      <c r="A16740">
        <v>49</v>
      </c>
      <c r="B16740" t="s">
        <v>16619</v>
      </c>
      <c r="C16740">
        <v>16321</v>
      </c>
      <c r="D16740" t="str">
        <f>"0942-2056"</f>
        <v>0942-2056</v>
      </c>
      <c r="E16740" t="s">
        <v>8</v>
      </c>
      <c r="F16740" t="s">
        <v>16745</v>
      </c>
      <c r="G16740">
        <v>1</v>
      </c>
    </row>
    <row r="16741" spans="1:7" x14ac:dyDescent="0.25">
      <c r="A16741">
        <v>49</v>
      </c>
      <c r="B16741" t="s">
        <v>16619</v>
      </c>
      <c r="C16741">
        <v>14829</v>
      </c>
      <c r="D16741" t="str">
        <f>"1435-2443"</f>
        <v>1435-2443</v>
      </c>
      <c r="E16741" t="s">
        <v>8</v>
      </c>
      <c r="F16741" t="s">
        <v>16746</v>
      </c>
      <c r="G16741">
        <v>1</v>
      </c>
    </row>
    <row r="16742" spans="1:7" x14ac:dyDescent="0.25">
      <c r="A16742">
        <v>49</v>
      </c>
      <c r="B16742" t="s">
        <v>16619</v>
      </c>
      <c r="C16742">
        <v>9300</v>
      </c>
      <c r="D16742" t="str">
        <f>"0268-8921"</f>
        <v>0268-8921</v>
      </c>
      <c r="E16742" t="s">
        <v>8</v>
      </c>
      <c r="F16742" t="s">
        <v>16747</v>
      </c>
      <c r="G16742">
        <v>1</v>
      </c>
    </row>
    <row r="16743" spans="1:7" x14ac:dyDescent="0.25">
      <c r="A16743">
        <v>49</v>
      </c>
      <c r="B16743" t="s">
        <v>16619</v>
      </c>
      <c r="C16743">
        <v>4072</v>
      </c>
      <c r="D16743" t="str">
        <f>"0196-8092"</f>
        <v>0196-8092</v>
      </c>
      <c r="E16743" t="s">
        <v>8</v>
      </c>
      <c r="F16743" t="s">
        <v>16748</v>
      </c>
      <c r="G16743">
        <v>1</v>
      </c>
    </row>
    <row r="16744" spans="1:7" x14ac:dyDescent="0.25">
      <c r="A16744">
        <v>49</v>
      </c>
      <c r="B16744" t="s">
        <v>16619</v>
      </c>
      <c r="C16744">
        <v>1539</v>
      </c>
      <c r="D16744" t="str">
        <f>"1613-4982"</f>
        <v>1613-4982</v>
      </c>
      <c r="E16744" t="s">
        <v>8</v>
      </c>
      <c r="F16744" t="s">
        <v>16749</v>
      </c>
      <c r="G16744">
        <v>1</v>
      </c>
    </row>
    <row r="16745" spans="1:7" x14ac:dyDescent="0.25">
      <c r="A16745">
        <v>49</v>
      </c>
      <c r="B16745" t="s">
        <v>16619</v>
      </c>
      <c r="C16745">
        <v>13431</v>
      </c>
      <c r="D16745" t="str">
        <f>"0738-1085"</f>
        <v>0738-1085</v>
      </c>
      <c r="E16745" t="s">
        <v>8</v>
      </c>
      <c r="F16745" t="s">
        <v>16750</v>
      </c>
      <c r="G16745">
        <v>1</v>
      </c>
    </row>
    <row r="16746" spans="1:7" x14ac:dyDescent="0.25">
      <c r="A16746">
        <v>49</v>
      </c>
      <c r="B16746" t="s">
        <v>16619</v>
      </c>
      <c r="C16746">
        <v>5621</v>
      </c>
      <c r="D16746" t="str">
        <f>"0026-4733"</f>
        <v>0026-4733</v>
      </c>
      <c r="E16746" t="s">
        <v>8</v>
      </c>
      <c r="F16746" t="s">
        <v>16751</v>
      </c>
      <c r="G16746">
        <v>1</v>
      </c>
    </row>
    <row r="16747" spans="1:7" x14ac:dyDescent="0.25">
      <c r="A16747">
        <v>49</v>
      </c>
      <c r="B16747" t="s">
        <v>16619</v>
      </c>
      <c r="C16747">
        <v>13854</v>
      </c>
      <c r="D16747" t="str">
        <f>"1364-5706"</f>
        <v>1364-5706</v>
      </c>
      <c r="E16747" t="s">
        <v>8</v>
      </c>
      <c r="F16747" t="s">
        <v>16752</v>
      </c>
      <c r="G16747">
        <v>1</v>
      </c>
    </row>
    <row r="16748" spans="1:7" x14ac:dyDescent="0.25">
      <c r="A16748">
        <v>49</v>
      </c>
      <c r="B16748" t="s">
        <v>16619</v>
      </c>
      <c r="C16748">
        <v>6214936</v>
      </c>
      <c r="D16748" t="str">
        <f>"1759-4812"</f>
        <v>1759-4812</v>
      </c>
      <c r="E16748" t="s">
        <v>8</v>
      </c>
      <c r="F16748" t="s">
        <v>16753</v>
      </c>
      <c r="G16748">
        <v>1</v>
      </c>
    </row>
    <row r="16749" spans="1:7" x14ac:dyDescent="0.25">
      <c r="A16749">
        <v>49</v>
      </c>
      <c r="B16749" t="s">
        <v>16619</v>
      </c>
      <c r="C16749">
        <v>9437</v>
      </c>
      <c r="D16749" t="str">
        <f>"1522-2942"</f>
        <v>1522-2942</v>
      </c>
      <c r="E16749" t="s">
        <v>8</v>
      </c>
      <c r="F16749" t="s">
        <v>16754</v>
      </c>
      <c r="G16749">
        <v>1</v>
      </c>
    </row>
    <row r="16750" spans="1:7" x14ac:dyDescent="0.25">
      <c r="A16750">
        <v>49</v>
      </c>
      <c r="B16750" t="s">
        <v>16619</v>
      </c>
      <c r="C16750">
        <v>152158</v>
      </c>
      <c r="D16750" t="str">
        <f>"1865-1550"</f>
        <v>1865-1550</v>
      </c>
      <c r="E16750" t="s">
        <v>8</v>
      </c>
      <c r="F16750" t="s">
        <v>16755</v>
      </c>
      <c r="G16750">
        <v>1</v>
      </c>
    </row>
    <row r="16751" spans="1:7" x14ac:dyDescent="0.25">
      <c r="A16751">
        <v>49</v>
      </c>
      <c r="B16751" t="s">
        <v>16619</v>
      </c>
      <c r="C16751">
        <v>6231983</v>
      </c>
      <c r="E16751" t="s">
        <v>8</v>
      </c>
      <c r="F16751" t="s">
        <v>16756</v>
      </c>
      <c r="G16751">
        <v>1</v>
      </c>
    </row>
    <row r="16752" spans="1:7" x14ac:dyDescent="0.25">
      <c r="A16752">
        <v>49</v>
      </c>
      <c r="B16752" t="s">
        <v>16619</v>
      </c>
      <c r="C16752">
        <v>10029</v>
      </c>
      <c r="D16752" t="str">
        <f>"0030-5898"</f>
        <v>0030-5898</v>
      </c>
      <c r="E16752" t="s">
        <v>8</v>
      </c>
      <c r="F16752" t="s">
        <v>16757</v>
      </c>
      <c r="G16752">
        <v>1</v>
      </c>
    </row>
    <row r="16753" spans="1:7" x14ac:dyDescent="0.25">
      <c r="A16753">
        <v>49</v>
      </c>
      <c r="B16753" t="s">
        <v>16619</v>
      </c>
      <c r="C16753">
        <v>4938</v>
      </c>
      <c r="D16753" t="str">
        <f>"0147-7447"</f>
        <v>0147-7447</v>
      </c>
      <c r="E16753" t="s">
        <v>8</v>
      </c>
      <c r="F16753" t="s">
        <v>16758</v>
      </c>
      <c r="G16753">
        <v>1</v>
      </c>
    </row>
    <row r="16754" spans="1:7" x14ac:dyDescent="0.25">
      <c r="A16754">
        <v>49</v>
      </c>
      <c r="B16754" t="s">
        <v>16619</v>
      </c>
      <c r="C16754">
        <v>6167</v>
      </c>
      <c r="D16754" t="str">
        <f>"0889-5899"</f>
        <v>0889-5899</v>
      </c>
      <c r="E16754" t="s">
        <v>8</v>
      </c>
      <c r="F16754" t="s">
        <v>16759</v>
      </c>
      <c r="G16754">
        <v>1</v>
      </c>
    </row>
    <row r="16755" spans="1:7" x14ac:dyDescent="0.25">
      <c r="A16755">
        <v>49</v>
      </c>
      <c r="B16755" t="s">
        <v>16619</v>
      </c>
      <c r="C16755">
        <v>13488</v>
      </c>
      <c r="D16755" t="str">
        <f>"0179-0358"</f>
        <v>0179-0358</v>
      </c>
      <c r="E16755" t="s">
        <v>8</v>
      </c>
      <c r="F16755" t="s">
        <v>16760</v>
      </c>
      <c r="G16755">
        <v>1</v>
      </c>
    </row>
    <row r="16756" spans="1:7" x14ac:dyDescent="0.25">
      <c r="A16756">
        <v>49</v>
      </c>
      <c r="B16756" t="s">
        <v>16619</v>
      </c>
      <c r="C16756">
        <v>6034</v>
      </c>
      <c r="D16756" t="str">
        <f>"0939-978X"</f>
        <v>0939-978X</v>
      </c>
      <c r="E16756" t="s">
        <v>8</v>
      </c>
      <c r="F16756" t="s">
        <v>16761</v>
      </c>
      <c r="G16756">
        <v>1</v>
      </c>
    </row>
    <row r="16757" spans="1:7" x14ac:dyDescent="0.25">
      <c r="A16757">
        <v>49</v>
      </c>
      <c r="B16757" t="s">
        <v>16619</v>
      </c>
      <c r="C16757">
        <v>863</v>
      </c>
      <c r="D16757" t="str">
        <f>"0268-3555"</f>
        <v>0268-3555</v>
      </c>
      <c r="E16757" t="s">
        <v>8</v>
      </c>
      <c r="F16757" t="s">
        <v>16762</v>
      </c>
      <c r="G16757">
        <v>1</v>
      </c>
    </row>
    <row r="16758" spans="1:7" x14ac:dyDescent="0.25">
      <c r="A16758">
        <v>49</v>
      </c>
      <c r="B16758" t="s">
        <v>16619</v>
      </c>
      <c r="C16758">
        <v>4742</v>
      </c>
      <c r="D16758" t="str">
        <f>"1549-5418"</f>
        <v>1549-5418</v>
      </c>
      <c r="E16758" t="s">
        <v>8</v>
      </c>
      <c r="F16758" t="s">
        <v>16763</v>
      </c>
      <c r="G16758">
        <v>1</v>
      </c>
    </row>
    <row r="16759" spans="1:7" x14ac:dyDescent="0.25">
      <c r="A16759">
        <v>49</v>
      </c>
      <c r="B16759" t="s">
        <v>16619</v>
      </c>
      <c r="C16759">
        <v>12245</v>
      </c>
      <c r="D16759" t="str">
        <f>"1166-7087"</f>
        <v>1166-7087</v>
      </c>
      <c r="E16759" t="s">
        <v>8</v>
      </c>
      <c r="F16759" t="s">
        <v>16764</v>
      </c>
      <c r="G16759">
        <v>1</v>
      </c>
    </row>
    <row r="16760" spans="1:7" x14ac:dyDescent="0.25">
      <c r="A16760">
        <v>49</v>
      </c>
      <c r="B16760" t="s">
        <v>16619</v>
      </c>
      <c r="C16760">
        <v>8634</v>
      </c>
      <c r="D16760" t="str">
        <f>"1365-7852"</f>
        <v>1365-7852</v>
      </c>
      <c r="E16760" t="s">
        <v>8</v>
      </c>
      <c r="F16760" t="s">
        <v>16765</v>
      </c>
      <c r="G16760">
        <v>1</v>
      </c>
    </row>
    <row r="16761" spans="1:7" x14ac:dyDescent="0.25">
      <c r="A16761">
        <v>49</v>
      </c>
      <c r="B16761" t="s">
        <v>16619</v>
      </c>
      <c r="C16761">
        <v>5870</v>
      </c>
      <c r="D16761" t="str">
        <f>"1457-4969"</f>
        <v>1457-4969</v>
      </c>
      <c r="E16761" t="s">
        <v>8</v>
      </c>
      <c r="F16761" t="s">
        <v>16766</v>
      </c>
      <c r="G16761">
        <v>1</v>
      </c>
    </row>
    <row r="16762" spans="1:7" x14ac:dyDescent="0.25">
      <c r="A16762">
        <v>49</v>
      </c>
      <c r="B16762" t="s">
        <v>16619</v>
      </c>
      <c r="C16762">
        <v>15279</v>
      </c>
      <c r="D16762" t="str">
        <f>"1535-2188"</f>
        <v>1535-2188</v>
      </c>
      <c r="E16762" t="s">
        <v>8</v>
      </c>
      <c r="F16762" t="s">
        <v>16767</v>
      </c>
      <c r="G16762">
        <v>1</v>
      </c>
    </row>
    <row r="16763" spans="1:7" x14ac:dyDescent="0.25">
      <c r="A16763">
        <v>49</v>
      </c>
      <c r="B16763" t="s">
        <v>16619</v>
      </c>
      <c r="C16763">
        <v>26903</v>
      </c>
      <c r="D16763" t="str">
        <f>"1040-7383"</f>
        <v>1040-7383</v>
      </c>
      <c r="E16763" t="s">
        <v>8</v>
      </c>
      <c r="F16763" t="s">
        <v>16768</v>
      </c>
      <c r="G16763">
        <v>1</v>
      </c>
    </row>
    <row r="16764" spans="1:7" x14ac:dyDescent="0.25">
      <c r="A16764">
        <v>49</v>
      </c>
      <c r="B16764" t="s">
        <v>16619</v>
      </c>
      <c r="C16764">
        <v>9362</v>
      </c>
      <c r="D16764" t="str">
        <f>"1043-0679"</f>
        <v>1043-0679</v>
      </c>
      <c r="E16764" t="s">
        <v>8</v>
      </c>
      <c r="F16764" t="s">
        <v>16769</v>
      </c>
      <c r="G16764">
        <v>1</v>
      </c>
    </row>
    <row r="16765" spans="1:7" x14ac:dyDescent="0.25">
      <c r="A16765">
        <v>49</v>
      </c>
      <c r="B16765" t="s">
        <v>16619</v>
      </c>
      <c r="C16765">
        <v>713</v>
      </c>
      <c r="D16765" t="str">
        <f>"0895-7967"</f>
        <v>0895-7967</v>
      </c>
      <c r="E16765" t="s">
        <v>8</v>
      </c>
      <c r="F16765" t="s">
        <v>16770</v>
      </c>
      <c r="G16765">
        <v>1</v>
      </c>
    </row>
    <row r="16766" spans="1:7" x14ac:dyDescent="0.25">
      <c r="A16766">
        <v>49</v>
      </c>
      <c r="B16766" t="s">
        <v>16619</v>
      </c>
      <c r="C16766">
        <v>3102</v>
      </c>
      <c r="D16766" t="str">
        <f>"0038-2361"</f>
        <v>0038-2361</v>
      </c>
      <c r="E16766" t="s">
        <v>8</v>
      </c>
      <c r="F16766" t="s">
        <v>16771</v>
      </c>
      <c r="G16766">
        <v>1</v>
      </c>
    </row>
    <row r="16767" spans="1:7" x14ac:dyDescent="0.25">
      <c r="A16767">
        <v>49</v>
      </c>
      <c r="B16767" t="s">
        <v>16619</v>
      </c>
      <c r="C16767">
        <v>14465</v>
      </c>
      <c r="D16767" t="str">
        <f>"0941-1291"</f>
        <v>0941-1291</v>
      </c>
      <c r="E16767" t="s">
        <v>8</v>
      </c>
      <c r="F16767" t="s">
        <v>16772</v>
      </c>
      <c r="G16767">
        <v>1</v>
      </c>
    </row>
    <row r="16768" spans="1:7" x14ac:dyDescent="0.25">
      <c r="A16768">
        <v>49</v>
      </c>
      <c r="B16768" t="s">
        <v>16619</v>
      </c>
      <c r="C16768">
        <v>13306</v>
      </c>
      <c r="D16768" t="str">
        <f>"0039-6109"</f>
        <v>0039-6109</v>
      </c>
      <c r="E16768" t="s">
        <v>8</v>
      </c>
      <c r="F16768" t="s">
        <v>16773</v>
      </c>
      <c r="G16768">
        <v>1</v>
      </c>
    </row>
    <row r="16769" spans="1:7" x14ac:dyDescent="0.25">
      <c r="A16769">
        <v>49</v>
      </c>
      <c r="B16769" t="s">
        <v>16619</v>
      </c>
      <c r="C16769">
        <v>13681</v>
      </c>
      <c r="D16769" t="str">
        <f>"1553-3506"</f>
        <v>1553-3506</v>
      </c>
      <c r="E16769" t="s">
        <v>8</v>
      </c>
      <c r="F16769" t="s">
        <v>16774</v>
      </c>
      <c r="G16769">
        <v>1</v>
      </c>
    </row>
    <row r="16770" spans="1:7" x14ac:dyDescent="0.25">
      <c r="A16770">
        <v>49</v>
      </c>
      <c r="B16770" t="s">
        <v>16619</v>
      </c>
      <c r="C16770">
        <v>2946</v>
      </c>
      <c r="D16770" t="str">
        <f>"1530-4515"</f>
        <v>1530-4515</v>
      </c>
      <c r="E16770" t="s">
        <v>8</v>
      </c>
      <c r="F16770" t="s">
        <v>16775</v>
      </c>
      <c r="G16770">
        <v>1</v>
      </c>
    </row>
    <row r="16771" spans="1:7" x14ac:dyDescent="0.25">
      <c r="A16771">
        <v>49</v>
      </c>
      <c r="B16771" t="s">
        <v>16619</v>
      </c>
      <c r="C16771">
        <v>1932</v>
      </c>
      <c r="D16771" t="str">
        <f>"0960-7404"</f>
        <v>0960-7404</v>
      </c>
      <c r="E16771" t="s">
        <v>8</v>
      </c>
      <c r="F16771" t="s">
        <v>16776</v>
      </c>
      <c r="G16771">
        <v>1</v>
      </c>
    </row>
    <row r="16772" spans="1:7" x14ac:dyDescent="0.25">
      <c r="A16772">
        <v>49</v>
      </c>
      <c r="B16772" t="s">
        <v>16619</v>
      </c>
      <c r="C16772">
        <v>9441</v>
      </c>
      <c r="D16772" t="str">
        <f>"1744-1625"</f>
        <v>1744-1625</v>
      </c>
      <c r="E16772" t="s">
        <v>8</v>
      </c>
      <c r="F16772" t="s">
        <v>16777</v>
      </c>
      <c r="G16772">
        <v>1</v>
      </c>
    </row>
    <row r="16773" spans="1:7" x14ac:dyDescent="0.25">
      <c r="A16773">
        <v>49</v>
      </c>
      <c r="B16773" t="s">
        <v>16619</v>
      </c>
      <c r="C16773">
        <v>15138</v>
      </c>
      <c r="D16773" t="str">
        <f>"1536-0644"</f>
        <v>1536-0644</v>
      </c>
      <c r="E16773" t="s">
        <v>8</v>
      </c>
      <c r="F16773" t="s">
        <v>16778</v>
      </c>
      <c r="G16773">
        <v>1</v>
      </c>
    </row>
    <row r="16774" spans="1:7" x14ac:dyDescent="0.25">
      <c r="A16774">
        <v>49</v>
      </c>
      <c r="B16774" t="s">
        <v>16619</v>
      </c>
      <c r="C16774">
        <v>6912</v>
      </c>
      <c r="D16774" t="str">
        <f>"1089-3393"</f>
        <v>1089-3393</v>
      </c>
      <c r="E16774" t="s">
        <v>8</v>
      </c>
      <c r="F16774" t="s">
        <v>16779</v>
      </c>
      <c r="G16774">
        <v>1</v>
      </c>
    </row>
    <row r="16775" spans="1:7" x14ac:dyDescent="0.25">
      <c r="A16775">
        <v>49</v>
      </c>
      <c r="B16775" t="s">
        <v>16619</v>
      </c>
      <c r="C16775">
        <v>5891</v>
      </c>
      <c r="D16775" t="str">
        <f>"0885-9698"</f>
        <v>0885-9698</v>
      </c>
      <c r="E16775" t="s">
        <v>8</v>
      </c>
      <c r="F16775" t="s">
        <v>16780</v>
      </c>
      <c r="G16775">
        <v>1</v>
      </c>
    </row>
    <row r="16776" spans="1:7" x14ac:dyDescent="0.25">
      <c r="A16776">
        <v>49</v>
      </c>
      <c r="B16776" t="s">
        <v>16619</v>
      </c>
      <c r="C16776">
        <v>11946</v>
      </c>
      <c r="D16776" t="str">
        <f>"1523-9896"</f>
        <v>1523-9896</v>
      </c>
      <c r="E16776" t="s">
        <v>8</v>
      </c>
      <c r="F16776" t="s">
        <v>16781</v>
      </c>
      <c r="G16776">
        <v>1</v>
      </c>
    </row>
    <row r="16777" spans="1:7" x14ac:dyDescent="0.25">
      <c r="A16777">
        <v>49</v>
      </c>
      <c r="B16777" t="s">
        <v>16619</v>
      </c>
      <c r="C16777">
        <v>7197</v>
      </c>
      <c r="D16777" t="str">
        <f>"0002-9610"</f>
        <v>0002-9610</v>
      </c>
      <c r="E16777" t="s">
        <v>8</v>
      </c>
      <c r="F16777" t="s">
        <v>16782</v>
      </c>
      <c r="G16777">
        <v>1</v>
      </c>
    </row>
    <row r="16778" spans="1:7" x14ac:dyDescent="0.25">
      <c r="A16778">
        <v>49</v>
      </c>
      <c r="B16778" t="s">
        <v>16619</v>
      </c>
      <c r="C16778">
        <v>10365</v>
      </c>
      <c r="D16778" t="str">
        <f>"0003-4975"</f>
        <v>0003-4975</v>
      </c>
      <c r="E16778" t="s">
        <v>8</v>
      </c>
      <c r="F16778" t="s">
        <v>16783</v>
      </c>
      <c r="G16778">
        <v>1</v>
      </c>
    </row>
    <row r="16779" spans="1:7" x14ac:dyDescent="0.25">
      <c r="A16779">
        <v>49</v>
      </c>
      <c r="B16779" t="s">
        <v>16619</v>
      </c>
      <c r="C16779">
        <v>387</v>
      </c>
      <c r="D16779" t="str">
        <f>"2049-4394"</f>
        <v>2049-4394</v>
      </c>
      <c r="E16779" t="s">
        <v>8</v>
      </c>
      <c r="F16779" t="s">
        <v>16784</v>
      </c>
      <c r="G16779">
        <v>1</v>
      </c>
    </row>
    <row r="16780" spans="1:7" x14ac:dyDescent="0.25">
      <c r="A16780">
        <v>49</v>
      </c>
      <c r="B16780" t="s">
        <v>16619</v>
      </c>
      <c r="C16780">
        <v>440</v>
      </c>
      <c r="D16780" t="str">
        <f>"0960-9776"</f>
        <v>0960-9776</v>
      </c>
      <c r="E16780" t="s">
        <v>8</v>
      </c>
      <c r="F16780" t="s">
        <v>16785</v>
      </c>
      <c r="G16780">
        <v>1</v>
      </c>
    </row>
    <row r="16781" spans="1:7" x14ac:dyDescent="0.25">
      <c r="A16781">
        <v>49</v>
      </c>
      <c r="B16781" t="s">
        <v>16619</v>
      </c>
      <c r="C16781">
        <v>8583</v>
      </c>
      <c r="D16781" t="str">
        <f>"0958-2592"</f>
        <v>0958-2592</v>
      </c>
      <c r="E16781" t="s">
        <v>8</v>
      </c>
      <c r="F16781" t="s">
        <v>16786</v>
      </c>
      <c r="G16781">
        <v>1</v>
      </c>
    </row>
    <row r="16782" spans="1:7" x14ac:dyDescent="0.25">
      <c r="A16782">
        <v>49</v>
      </c>
      <c r="B16782" t="s">
        <v>16619</v>
      </c>
      <c r="C16782">
        <v>11554</v>
      </c>
      <c r="D16782" t="str">
        <f>"1098-3511"</f>
        <v>1098-3511</v>
      </c>
      <c r="E16782" t="s">
        <v>8</v>
      </c>
      <c r="F16782" t="s">
        <v>16787</v>
      </c>
      <c r="G16782">
        <v>1</v>
      </c>
    </row>
    <row r="16783" spans="1:7" x14ac:dyDescent="0.25">
      <c r="A16783">
        <v>49</v>
      </c>
      <c r="B16783" t="s">
        <v>16619</v>
      </c>
      <c r="C16783">
        <v>2094</v>
      </c>
      <c r="D16783" t="str">
        <f>"0391-3988"</f>
        <v>0391-3988</v>
      </c>
      <c r="E16783" t="s">
        <v>8</v>
      </c>
      <c r="F16783" t="s">
        <v>16788</v>
      </c>
      <c r="G16783">
        <v>1</v>
      </c>
    </row>
    <row r="16784" spans="1:7" x14ac:dyDescent="0.25">
      <c r="A16784">
        <v>49</v>
      </c>
      <c r="B16784" t="s">
        <v>16619</v>
      </c>
      <c r="C16784">
        <v>1536</v>
      </c>
      <c r="D16784" t="str">
        <f>"1534-7346"</f>
        <v>1534-7346</v>
      </c>
      <c r="E16784" t="s">
        <v>8</v>
      </c>
      <c r="F16784" t="s">
        <v>16789</v>
      </c>
      <c r="G16784">
        <v>1</v>
      </c>
    </row>
    <row r="16785" spans="1:7" x14ac:dyDescent="0.25">
      <c r="A16785">
        <v>49</v>
      </c>
      <c r="B16785" t="s">
        <v>16619</v>
      </c>
      <c r="C16785">
        <v>13934</v>
      </c>
      <c r="D16785" t="str">
        <f>"0021-9509"</f>
        <v>0021-9509</v>
      </c>
      <c r="E16785" t="s">
        <v>8</v>
      </c>
      <c r="F16785" t="s">
        <v>16790</v>
      </c>
      <c r="G16785">
        <v>1</v>
      </c>
    </row>
    <row r="16786" spans="1:7" x14ac:dyDescent="0.25">
      <c r="A16786">
        <v>49</v>
      </c>
      <c r="B16786" t="s">
        <v>16619</v>
      </c>
      <c r="C16786">
        <v>12913</v>
      </c>
      <c r="D16786" t="str">
        <f>"1067-2516"</f>
        <v>1067-2516</v>
      </c>
      <c r="E16786" t="s">
        <v>8</v>
      </c>
      <c r="F16786" t="s">
        <v>16791</v>
      </c>
      <c r="G16786">
        <v>1</v>
      </c>
    </row>
    <row r="16787" spans="1:7" x14ac:dyDescent="0.25">
      <c r="A16787">
        <v>49</v>
      </c>
      <c r="B16787" t="s">
        <v>16619</v>
      </c>
      <c r="C16787">
        <v>10183</v>
      </c>
      <c r="D16787" t="str">
        <f>"1479-666X"</f>
        <v>1479-666X</v>
      </c>
      <c r="E16787" t="s">
        <v>8</v>
      </c>
      <c r="F16787" t="s">
        <v>16792</v>
      </c>
      <c r="G16787">
        <v>1</v>
      </c>
    </row>
    <row r="16788" spans="1:7" x14ac:dyDescent="0.25">
      <c r="A16788">
        <v>49</v>
      </c>
      <c r="B16788" t="s">
        <v>16619</v>
      </c>
      <c r="C16788">
        <v>12460</v>
      </c>
      <c r="D16788" t="str">
        <f>"0171-6425"</f>
        <v>0171-6425</v>
      </c>
      <c r="E16788" t="s">
        <v>8</v>
      </c>
      <c r="F16788" t="s">
        <v>16793</v>
      </c>
      <c r="G16788">
        <v>1</v>
      </c>
    </row>
    <row r="16789" spans="1:7" x14ac:dyDescent="0.25">
      <c r="A16789">
        <v>49</v>
      </c>
      <c r="B16789" t="s">
        <v>16619</v>
      </c>
      <c r="C16789">
        <v>11800</v>
      </c>
      <c r="D16789" t="str">
        <f>"0041-1345"</f>
        <v>0041-1345</v>
      </c>
      <c r="E16789" t="s">
        <v>8</v>
      </c>
      <c r="F16789" t="s">
        <v>16794</v>
      </c>
      <c r="G16789">
        <v>1</v>
      </c>
    </row>
    <row r="16790" spans="1:7" x14ac:dyDescent="0.25">
      <c r="A16790">
        <v>49</v>
      </c>
      <c r="B16790" t="s">
        <v>16619</v>
      </c>
      <c r="C16790">
        <v>6500</v>
      </c>
      <c r="D16790" t="str">
        <f>"2194-7228"</f>
        <v>2194-7228</v>
      </c>
      <c r="E16790" t="s">
        <v>8</v>
      </c>
      <c r="F16790" t="s">
        <v>16795</v>
      </c>
      <c r="G16790">
        <v>1</v>
      </c>
    </row>
    <row r="16791" spans="1:7" x14ac:dyDescent="0.25">
      <c r="A16791">
        <v>49</v>
      </c>
      <c r="B16791" t="s">
        <v>16619</v>
      </c>
      <c r="C16791">
        <v>4886</v>
      </c>
      <c r="D16791" t="str">
        <f>"0042-1138"</f>
        <v>0042-1138</v>
      </c>
      <c r="E16791" t="s">
        <v>8</v>
      </c>
      <c r="F16791" t="s">
        <v>16796</v>
      </c>
      <c r="G16791">
        <v>1</v>
      </c>
    </row>
    <row r="16792" spans="1:7" x14ac:dyDescent="0.25">
      <c r="A16792">
        <v>49</v>
      </c>
      <c r="B16792" t="s">
        <v>16619</v>
      </c>
      <c r="C16792">
        <v>14823</v>
      </c>
      <c r="D16792" t="str">
        <f>"0094-0143"</f>
        <v>0094-0143</v>
      </c>
      <c r="E16792" t="s">
        <v>8</v>
      </c>
      <c r="F16792" t="s">
        <v>16797</v>
      </c>
      <c r="G16792">
        <v>1</v>
      </c>
    </row>
    <row r="16793" spans="1:7" x14ac:dyDescent="0.25">
      <c r="A16793">
        <v>49</v>
      </c>
      <c r="B16793" t="s">
        <v>16619</v>
      </c>
      <c r="C16793">
        <v>2163</v>
      </c>
      <c r="D16793" t="str">
        <f>"1078-1439"</f>
        <v>1078-1439</v>
      </c>
      <c r="E16793" t="s">
        <v>8</v>
      </c>
      <c r="F16793" t="s">
        <v>16798</v>
      </c>
      <c r="G16793">
        <v>1</v>
      </c>
    </row>
    <row r="16794" spans="1:7" x14ac:dyDescent="0.25">
      <c r="A16794">
        <v>49</v>
      </c>
      <c r="B16794" t="s">
        <v>16619</v>
      </c>
      <c r="C16794">
        <v>14322</v>
      </c>
      <c r="D16794" t="str">
        <f>"0090-4295"</f>
        <v>0090-4295</v>
      </c>
      <c r="E16794" t="s">
        <v>8</v>
      </c>
      <c r="F16794" t="s">
        <v>16799</v>
      </c>
      <c r="G16794">
        <v>1</v>
      </c>
    </row>
    <row r="16795" spans="1:7" x14ac:dyDescent="0.25">
      <c r="A16795">
        <v>49</v>
      </c>
      <c r="B16795" t="s">
        <v>16619</v>
      </c>
      <c r="C16795">
        <v>17490</v>
      </c>
      <c r="D16795" t="str">
        <f>"1708-5381"</f>
        <v>1708-5381</v>
      </c>
      <c r="E16795" t="s">
        <v>8</v>
      </c>
      <c r="F16795" t="s">
        <v>16800</v>
      </c>
      <c r="G16795">
        <v>1</v>
      </c>
    </row>
    <row r="16796" spans="1:7" x14ac:dyDescent="0.25">
      <c r="A16796">
        <v>49</v>
      </c>
      <c r="B16796" t="s">
        <v>16619</v>
      </c>
      <c r="C16796">
        <v>27468</v>
      </c>
      <c r="D16796" t="str">
        <f>"1538-5744"</f>
        <v>1538-5744</v>
      </c>
      <c r="E16796" t="s">
        <v>8</v>
      </c>
      <c r="F16796" t="s">
        <v>16801</v>
      </c>
      <c r="G16796">
        <v>1</v>
      </c>
    </row>
    <row r="16797" spans="1:7" x14ac:dyDescent="0.25">
      <c r="A16797">
        <v>49</v>
      </c>
      <c r="B16797" t="s">
        <v>16619</v>
      </c>
      <c r="C16797">
        <v>53061</v>
      </c>
      <c r="E16797" t="s">
        <v>8</v>
      </c>
      <c r="F16797" t="s">
        <v>16802</v>
      </c>
      <c r="G16797">
        <v>1</v>
      </c>
    </row>
    <row r="16798" spans="1:7" x14ac:dyDescent="0.25">
      <c r="A16798">
        <v>49</v>
      </c>
      <c r="B16798" t="s">
        <v>16619</v>
      </c>
      <c r="C16798">
        <v>10401</v>
      </c>
      <c r="D16798" t="str">
        <f>"0364-2313"</f>
        <v>0364-2313</v>
      </c>
      <c r="E16798" t="s">
        <v>8</v>
      </c>
      <c r="F16798" t="s">
        <v>16803</v>
      </c>
      <c r="G16798">
        <v>1</v>
      </c>
    </row>
    <row r="16799" spans="1:7" x14ac:dyDescent="0.25">
      <c r="A16799">
        <v>49</v>
      </c>
      <c r="B16799" t="s">
        <v>16619</v>
      </c>
      <c r="C16799">
        <v>1677</v>
      </c>
      <c r="E16799" t="s">
        <v>8</v>
      </c>
      <c r="F16799" t="s">
        <v>16804</v>
      </c>
      <c r="G16799">
        <v>1</v>
      </c>
    </row>
    <row r="16800" spans="1:7" x14ac:dyDescent="0.25">
      <c r="A16800">
        <v>49</v>
      </c>
      <c r="B16800" t="s">
        <v>16619</v>
      </c>
      <c r="C16800">
        <v>10621</v>
      </c>
      <c r="D16800" t="str">
        <f>"0724-4983"</f>
        <v>0724-4983</v>
      </c>
      <c r="E16800" t="s">
        <v>8</v>
      </c>
      <c r="F16800" t="s">
        <v>16805</v>
      </c>
      <c r="G16800">
        <v>1</v>
      </c>
    </row>
    <row r="16801" spans="1:7" x14ac:dyDescent="0.25">
      <c r="A16801">
        <v>49</v>
      </c>
      <c r="B16801" t="s">
        <v>16619</v>
      </c>
      <c r="C16801">
        <v>4233</v>
      </c>
      <c r="D16801" t="str">
        <f>"1044-7946"</f>
        <v>1044-7946</v>
      </c>
      <c r="E16801" t="s">
        <v>8</v>
      </c>
      <c r="F16801" t="s">
        <v>16806</v>
      </c>
      <c r="G16801">
        <v>1</v>
      </c>
    </row>
    <row r="16802" spans="1:7" x14ac:dyDescent="0.25">
      <c r="A16802">
        <v>49</v>
      </c>
      <c r="B16802" t="s">
        <v>16619</v>
      </c>
      <c r="C16802">
        <v>18563</v>
      </c>
      <c r="D16802" t="str">
        <f>"1864-6697"</f>
        <v>1864-6697</v>
      </c>
      <c r="E16802" t="s">
        <v>8</v>
      </c>
      <c r="F16802" t="s">
        <v>16807</v>
      </c>
      <c r="G16802">
        <v>1</v>
      </c>
    </row>
    <row r="16803" spans="1:7" x14ac:dyDescent="0.25">
      <c r="A16803">
        <v>49</v>
      </c>
      <c r="B16803" t="s">
        <v>16619</v>
      </c>
      <c r="C16803">
        <v>2383</v>
      </c>
      <c r="D16803" t="str">
        <f>"0044-409X"</f>
        <v>0044-409X</v>
      </c>
      <c r="E16803" t="s">
        <v>8</v>
      </c>
      <c r="F16803" t="s">
        <v>16808</v>
      </c>
      <c r="G16803">
        <v>1</v>
      </c>
    </row>
    <row r="16804" spans="1:7" x14ac:dyDescent="0.25">
      <c r="A16804">
        <v>5</v>
      </c>
      <c r="B16804" t="s">
        <v>16809</v>
      </c>
      <c r="C16804">
        <v>19555</v>
      </c>
      <c r="D16804" t="str">
        <f>"0374-0463"</f>
        <v>0374-0463</v>
      </c>
      <c r="E16804" t="s">
        <v>8</v>
      </c>
      <c r="F16804" t="s">
        <v>16810</v>
      </c>
      <c r="G16804">
        <v>2</v>
      </c>
    </row>
    <row r="16805" spans="1:7" x14ac:dyDescent="0.25">
      <c r="A16805">
        <v>5</v>
      </c>
      <c r="B16805" t="s">
        <v>16809</v>
      </c>
      <c r="C16805">
        <v>7341891</v>
      </c>
      <c r="D16805" t="str">
        <f>"1058-0360"</f>
        <v>1058-0360</v>
      </c>
      <c r="E16805" t="s">
        <v>8</v>
      </c>
      <c r="F16805" t="s">
        <v>16811</v>
      </c>
      <c r="G16805">
        <v>2</v>
      </c>
    </row>
    <row r="16806" spans="1:7" x14ac:dyDescent="0.25">
      <c r="A16806">
        <v>5</v>
      </c>
      <c r="B16806" t="s">
        <v>16809</v>
      </c>
      <c r="C16806">
        <v>14828</v>
      </c>
      <c r="D16806" t="str">
        <f>"0736-9387"</f>
        <v>0736-9387</v>
      </c>
      <c r="E16806" t="s">
        <v>8</v>
      </c>
      <c r="F16806" t="s">
        <v>16812</v>
      </c>
      <c r="G16806">
        <v>2</v>
      </c>
    </row>
    <row r="16807" spans="1:7" x14ac:dyDescent="0.25">
      <c r="A16807">
        <v>5</v>
      </c>
      <c r="B16807" t="s">
        <v>16809</v>
      </c>
      <c r="C16807">
        <v>5010603</v>
      </c>
      <c r="E16807" t="s">
        <v>2100</v>
      </c>
      <c r="F16807" t="s">
        <v>16813</v>
      </c>
      <c r="G16807">
        <v>2</v>
      </c>
    </row>
    <row r="16808" spans="1:7" x14ac:dyDescent="0.25">
      <c r="A16808">
        <v>5</v>
      </c>
      <c r="B16808" t="s">
        <v>16809</v>
      </c>
      <c r="C16808">
        <v>11830</v>
      </c>
      <c r="D16808" t="str">
        <f>"0003-5483"</f>
        <v>0003-5483</v>
      </c>
      <c r="E16808" t="s">
        <v>8</v>
      </c>
      <c r="F16808" t="s">
        <v>16814</v>
      </c>
      <c r="G16808">
        <v>2</v>
      </c>
    </row>
    <row r="16809" spans="1:7" x14ac:dyDescent="0.25">
      <c r="A16809">
        <v>5</v>
      </c>
      <c r="B16809" t="s">
        <v>16809</v>
      </c>
      <c r="C16809">
        <v>7259</v>
      </c>
      <c r="D16809" t="str">
        <f>"0268-7038"</f>
        <v>0268-7038</v>
      </c>
      <c r="E16809" t="s">
        <v>8</v>
      </c>
      <c r="F16809" t="s">
        <v>16815</v>
      </c>
      <c r="G16809">
        <v>2</v>
      </c>
    </row>
    <row r="16810" spans="1:7" x14ac:dyDescent="0.25">
      <c r="A16810">
        <v>5</v>
      </c>
      <c r="B16810" t="s">
        <v>16809</v>
      </c>
      <c r="C16810">
        <v>7229</v>
      </c>
      <c r="D16810" t="str">
        <f>"0142-6001"</f>
        <v>0142-6001</v>
      </c>
      <c r="E16810" t="s">
        <v>8</v>
      </c>
      <c r="F16810" t="s">
        <v>16816</v>
      </c>
      <c r="G16810">
        <v>2</v>
      </c>
    </row>
    <row r="16811" spans="1:7" x14ac:dyDescent="0.25">
      <c r="A16811">
        <v>5</v>
      </c>
      <c r="B16811" t="s">
        <v>16809</v>
      </c>
      <c r="C16811">
        <v>16894</v>
      </c>
      <c r="D16811" t="str">
        <f>"0142-7164"</f>
        <v>0142-7164</v>
      </c>
      <c r="E16811" t="s">
        <v>8</v>
      </c>
      <c r="F16811" t="s">
        <v>16817</v>
      </c>
      <c r="G16811">
        <v>2</v>
      </c>
    </row>
    <row r="16812" spans="1:7" x14ac:dyDescent="0.25">
      <c r="A16812">
        <v>5</v>
      </c>
      <c r="B16812" t="s">
        <v>16809</v>
      </c>
      <c r="C16812">
        <v>8063</v>
      </c>
      <c r="D16812" t="str">
        <f>"1366-7289"</f>
        <v>1366-7289</v>
      </c>
      <c r="E16812" t="s">
        <v>8</v>
      </c>
      <c r="F16812" t="s">
        <v>16818</v>
      </c>
      <c r="G16812">
        <v>2</v>
      </c>
    </row>
    <row r="16813" spans="1:7" x14ac:dyDescent="0.25">
      <c r="A16813">
        <v>5</v>
      </c>
      <c r="B16813" t="s">
        <v>16809</v>
      </c>
      <c r="C16813">
        <v>5548</v>
      </c>
      <c r="D16813" t="str">
        <f>"0008-4506"</f>
        <v>0008-4506</v>
      </c>
      <c r="E16813" t="s">
        <v>8</v>
      </c>
      <c r="F16813" t="s">
        <v>16819</v>
      </c>
      <c r="G16813">
        <v>2</v>
      </c>
    </row>
    <row r="16814" spans="1:7" x14ac:dyDescent="0.25">
      <c r="A16814">
        <v>5</v>
      </c>
      <c r="B16814" t="s">
        <v>16809</v>
      </c>
      <c r="C16814">
        <v>16995</v>
      </c>
      <c r="D16814" t="str">
        <f>"0269-9206"</f>
        <v>0269-9206</v>
      </c>
      <c r="E16814" t="s">
        <v>8</v>
      </c>
      <c r="F16814" t="s">
        <v>16820</v>
      </c>
      <c r="G16814">
        <v>2</v>
      </c>
    </row>
    <row r="16815" spans="1:7" x14ac:dyDescent="0.25">
      <c r="A16815">
        <v>5</v>
      </c>
      <c r="B16815" t="s">
        <v>16809</v>
      </c>
      <c r="C16815">
        <v>8916</v>
      </c>
      <c r="D16815" t="str">
        <f>"0936-5907"</f>
        <v>0936-5907</v>
      </c>
      <c r="E16815" t="s">
        <v>8</v>
      </c>
      <c r="F16815" t="s">
        <v>16821</v>
      </c>
      <c r="G16815">
        <v>2</v>
      </c>
    </row>
    <row r="16816" spans="1:7" x14ac:dyDescent="0.25">
      <c r="A16816">
        <v>5</v>
      </c>
      <c r="B16816" t="s">
        <v>16809</v>
      </c>
      <c r="C16816">
        <v>27734</v>
      </c>
      <c r="D16816" t="str">
        <f>"1662-1425"</f>
        <v>1662-1425</v>
      </c>
      <c r="E16816" t="s">
        <v>8</v>
      </c>
      <c r="F16816" t="s">
        <v>16822</v>
      </c>
      <c r="G16816">
        <v>2</v>
      </c>
    </row>
    <row r="16817" spans="1:7" x14ac:dyDescent="0.25">
      <c r="A16817">
        <v>5</v>
      </c>
      <c r="B16817" t="s">
        <v>16809</v>
      </c>
      <c r="C16817">
        <v>8202</v>
      </c>
      <c r="D16817" t="str">
        <f>"1530-9312"</f>
        <v>1530-9312</v>
      </c>
      <c r="E16817" t="s">
        <v>8</v>
      </c>
      <c r="F16817" t="s">
        <v>16823</v>
      </c>
      <c r="G16817">
        <v>2</v>
      </c>
    </row>
    <row r="16818" spans="1:7" x14ac:dyDescent="0.25">
      <c r="A16818">
        <v>5</v>
      </c>
      <c r="B16818" t="s">
        <v>16809</v>
      </c>
      <c r="C16818">
        <v>5000382</v>
      </c>
      <c r="E16818" t="s">
        <v>2100</v>
      </c>
      <c r="F16818" t="s">
        <v>16824</v>
      </c>
      <c r="G16818">
        <v>2</v>
      </c>
    </row>
    <row r="16819" spans="1:7" x14ac:dyDescent="0.25">
      <c r="A16819">
        <v>5</v>
      </c>
      <c r="B16819" t="s">
        <v>16809</v>
      </c>
      <c r="C16819">
        <v>13735</v>
      </c>
      <c r="D16819" t="str">
        <f>"1573-594X"</f>
        <v>1573-594X</v>
      </c>
      <c r="E16819" t="s">
        <v>15</v>
      </c>
      <c r="F16819" t="s">
        <v>16825</v>
      </c>
      <c r="G16819">
        <v>2</v>
      </c>
    </row>
    <row r="16820" spans="1:7" x14ac:dyDescent="0.25">
      <c r="A16820">
        <v>5</v>
      </c>
      <c r="B16820" t="s">
        <v>16809</v>
      </c>
      <c r="C16820">
        <v>12353</v>
      </c>
      <c r="D16820" t="str">
        <f>"1613-7027"</f>
        <v>1613-7027</v>
      </c>
      <c r="E16820" t="s">
        <v>8</v>
      </c>
      <c r="F16820" t="s">
        <v>16826</v>
      </c>
      <c r="G16820">
        <v>2</v>
      </c>
    </row>
    <row r="16821" spans="1:7" x14ac:dyDescent="0.25">
      <c r="A16821">
        <v>5</v>
      </c>
      <c r="B16821" t="s">
        <v>16809</v>
      </c>
      <c r="C16821">
        <v>11002</v>
      </c>
      <c r="D16821" t="str">
        <f>"0176-4225"</f>
        <v>0176-4225</v>
      </c>
      <c r="E16821" t="s">
        <v>8</v>
      </c>
      <c r="F16821" t="s">
        <v>16827</v>
      </c>
      <c r="G16821">
        <v>2</v>
      </c>
    </row>
    <row r="16822" spans="1:7" x14ac:dyDescent="0.25">
      <c r="A16822">
        <v>5</v>
      </c>
      <c r="B16822" t="s">
        <v>16809</v>
      </c>
      <c r="C16822">
        <v>13652</v>
      </c>
      <c r="D16822" t="str">
        <f>"0376-401X"</f>
        <v>0376-401X</v>
      </c>
      <c r="E16822" t="s">
        <v>8</v>
      </c>
      <c r="F16822" t="s">
        <v>16828</v>
      </c>
      <c r="G16822">
        <v>2</v>
      </c>
    </row>
    <row r="16823" spans="1:7" x14ac:dyDescent="0.25">
      <c r="A16823">
        <v>5</v>
      </c>
      <c r="B16823" t="s">
        <v>16809</v>
      </c>
      <c r="C16823">
        <v>2681</v>
      </c>
      <c r="D16823" t="str">
        <f>"1569-9463"</f>
        <v>1569-9463</v>
      </c>
      <c r="E16823" t="s">
        <v>15</v>
      </c>
      <c r="F16823" t="s">
        <v>16829</v>
      </c>
      <c r="G16823">
        <v>2</v>
      </c>
    </row>
    <row r="16824" spans="1:7" x14ac:dyDescent="0.25">
      <c r="A16824">
        <v>5</v>
      </c>
      <c r="B16824" t="s">
        <v>16809</v>
      </c>
      <c r="C16824">
        <v>2667</v>
      </c>
      <c r="D16824" t="str">
        <f>"1461-4456"</f>
        <v>1461-4456</v>
      </c>
      <c r="E16824" t="s">
        <v>8</v>
      </c>
      <c r="F16824" t="s">
        <v>16830</v>
      </c>
      <c r="G16824">
        <v>2</v>
      </c>
    </row>
    <row r="16825" spans="1:7" x14ac:dyDescent="0.25">
      <c r="A16825">
        <v>5</v>
      </c>
      <c r="B16825" t="s">
        <v>16809</v>
      </c>
      <c r="C16825">
        <v>16990</v>
      </c>
      <c r="D16825" t="str">
        <f>"0165-4004"</f>
        <v>0165-4004</v>
      </c>
      <c r="E16825" t="s">
        <v>8</v>
      </c>
      <c r="F16825" t="s">
        <v>16831</v>
      </c>
      <c r="G16825">
        <v>2</v>
      </c>
    </row>
    <row r="16826" spans="1:7" x14ac:dyDescent="0.25">
      <c r="A16826">
        <v>5</v>
      </c>
      <c r="B16826" t="s">
        <v>16809</v>
      </c>
      <c r="C16826">
        <v>3342</v>
      </c>
      <c r="D16826" t="str">
        <f>"0168-647X"</f>
        <v>0168-647X</v>
      </c>
      <c r="E16826" t="s">
        <v>8</v>
      </c>
      <c r="F16826" t="s">
        <v>16832</v>
      </c>
      <c r="G16826">
        <v>2</v>
      </c>
    </row>
    <row r="16827" spans="1:7" x14ac:dyDescent="0.25">
      <c r="A16827">
        <v>5</v>
      </c>
      <c r="B16827" t="s">
        <v>16809</v>
      </c>
      <c r="C16827">
        <v>3113</v>
      </c>
      <c r="D16827" t="str">
        <f>"0929-998X"</f>
        <v>0929-998X</v>
      </c>
      <c r="E16827" t="s">
        <v>8</v>
      </c>
      <c r="F16827" t="s">
        <v>16833</v>
      </c>
      <c r="G16827">
        <v>2</v>
      </c>
    </row>
    <row r="16828" spans="1:7" x14ac:dyDescent="0.25">
      <c r="A16828">
        <v>5</v>
      </c>
      <c r="B16828" t="s">
        <v>16809</v>
      </c>
      <c r="C16828">
        <v>20425</v>
      </c>
      <c r="D16828" t="str">
        <f>"1747-6321"</f>
        <v>1747-6321</v>
      </c>
      <c r="E16828" t="s">
        <v>8</v>
      </c>
      <c r="F16828" t="s">
        <v>16834</v>
      </c>
      <c r="G16828">
        <v>2</v>
      </c>
    </row>
    <row r="16829" spans="1:7" x14ac:dyDescent="0.25">
      <c r="A16829">
        <v>5</v>
      </c>
      <c r="B16829" t="s">
        <v>16809</v>
      </c>
      <c r="C16829">
        <v>14474</v>
      </c>
      <c r="D16829" t="str">
        <f>"1568-1475"</f>
        <v>1568-1475</v>
      </c>
      <c r="E16829" t="s">
        <v>8</v>
      </c>
      <c r="F16829" t="s">
        <v>16835</v>
      </c>
      <c r="G16829">
        <v>2</v>
      </c>
    </row>
    <row r="16830" spans="1:7" x14ac:dyDescent="0.25">
      <c r="A16830">
        <v>5</v>
      </c>
      <c r="B16830" t="s">
        <v>16809</v>
      </c>
      <c r="C16830">
        <v>6166</v>
      </c>
      <c r="D16830" t="str">
        <f>"1874-6829"</f>
        <v>1874-6829</v>
      </c>
      <c r="E16830" t="s">
        <v>15</v>
      </c>
      <c r="F16830" t="s">
        <v>16836</v>
      </c>
      <c r="G16830">
        <v>2</v>
      </c>
    </row>
    <row r="16831" spans="1:7" x14ac:dyDescent="0.25">
      <c r="A16831">
        <v>5</v>
      </c>
      <c r="B16831" t="s">
        <v>16809</v>
      </c>
      <c r="C16831">
        <v>14060</v>
      </c>
      <c r="D16831" t="str">
        <f>"0935-3518"</f>
        <v>0935-3518</v>
      </c>
      <c r="E16831" t="s">
        <v>8</v>
      </c>
      <c r="F16831" t="s">
        <v>16837</v>
      </c>
      <c r="G16831">
        <v>2</v>
      </c>
    </row>
    <row r="16832" spans="1:7" x14ac:dyDescent="0.25">
      <c r="A16832">
        <v>5</v>
      </c>
      <c r="B16832" t="s">
        <v>16809</v>
      </c>
      <c r="C16832">
        <v>2537</v>
      </c>
      <c r="D16832" t="str">
        <f>"0019-7262"</f>
        <v>0019-7262</v>
      </c>
      <c r="E16832" t="s">
        <v>8</v>
      </c>
      <c r="F16832" t="s">
        <v>16838</v>
      </c>
      <c r="G16832">
        <v>2</v>
      </c>
    </row>
    <row r="16833" spans="1:7" x14ac:dyDescent="0.25">
      <c r="A16833">
        <v>5</v>
      </c>
      <c r="B16833" t="s">
        <v>16809</v>
      </c>
      <c r="C16833">
        <v>13264</v>
      </c>
      <c r="D16833" t="str">
        <f>"1612-295X"</f>
        <v>1612-295X</v>
      </c>
      <c r="E16833" t="s">
        <v>8</v>
      </c>
      <c r="F16833" t="s">
        <v>16839</v>
      </c>
      <c r="G16833">
        <v>2</v>
      </c>
    </row>
    <row r="16834" spans="1:7" x14ac:dyDescent="0.25">
      <c r="A16834">
        <v>5</v>
      </c>
      <c r="B16834" t="s">
        <v>16809</v>
      </c>
      <c r="C16834">
        <v>2567</v>
      </c>
      <c r="D16834" t="str">
        <f>"0020-7071"</f>
        <v>0020-7071</v>
      </c>
      <c r="E16834" t="s">
        <v>8</v>
      </c>
      <c r="F16834" t="s">
        <v>16840</v>
      </c>
      <c r="G16834">
        <v>2</v>
      </c>
    </row>
    <row r="16835" spans="1:7" x14ac:dyDescent="0.25">
      <c r="A16835">
        <v>5</v>
      </c>
      <c r="B16835" t="s">
        <v>16809</v>
      </c>
      <c r="C16835">
        <v>7699</v>
      </c>
      <c r="D16835" t="str">
        <f>"0802-6106"</f>
        <v>0802-6106</v>
      </c>
      <c r="E16835" t="s">
        <v>8</v>
      </c>
      <c r="F16835" t="s">
        <v>16841</v>
      </c>
      <c r="G16835">
        <v>2</v>
      </c>
    </row>
    <row r="16836" spans="1:7" x14ac:dyDescent="0.25">
      <c r="A16836">
        <v>5</v>
      </c>
      <c r="B16836" t="s">
        <v>16809</v>
      </c>
      <c r="C16836">
        <v>9185</v>
      </c>
      <c r="D16836" t="str">
        <f>"1499-2027"</f>
        <v>1499-2027</v>
      </c>
      <c r="E16836" t="s">
        <v>8</v>
      </c>
      <c r="F16836" t="s">
        <v>16842</v>
      </c>
      <c r="G16836">
        <v>2</v>
      </c>
    </row>
    <row r="16837" spans="1:7" x14ac:dyDescent="0.25">
      <c r="A16837">
        <v>5</v>
      </c>
      <c r="B16837" t="s">
        <v>16809</v>
      </c>
      <c r="C16837">
        <v>363</v>
      </c>
      <c r="D16837" t="str">
        <f>"1367-0069"</f>
        <v>1367-0069</v>
      </c>
      <c r="E16837" t="s">
        <v>8</v>
      </c>
      <c r="F16837" t="s">
        <v>16843</v>
      </c>
      <c r="G16837">
        <v>2</v>
      </c>
    </row>
    <row r="16838" spans="1:7" x14ac:dyDescent="0.25">
      <c r="A16838">
        <v>5</v>
      </c>
      <c r="B16838" t="s">
        <v>16809</v>
      </c>
      <c r="C16838">
        <v>15874</v>
      </c>
      <c r="D16838" t="str">
        <f>"1384-6655"</f>
        <v>1384-6655</v>
      </c>
      <c r="E16838" t="s">
        <v>8</v>
      </c>
      <c r="F16838" t="s">
        <v>16844</v>
      </c>
      <c r="G16838">
        <v>2</v>
      </c>
    </row>
    <row r="16839" spans="1:7" x14ac:dyDescent="0.25">
      <c r="A16839">
        <v>5</v>
      </c>
      <c r="B16839" t="s">
        <v>16809</v>
      </c>
      <c r="C16839">
        <v>5172</v>
      </c>
      <c r="D16839" t="str">
        <f>"1368-2822"</f>
        <v>1368-2822</v>
      </c>
      <c r="E16839" t="s">
        <v>8</v>
      </c>
      <c r="F16839" t="s">
        <v>16845</v>
      </c>
      <c r="G16839">
        <v>2</v>
      </c>
    </row>
    <row r="16840" spans="1:7" x14ac:dyDescent="0.25">
      <c r="A16840">
        <v>5</v>
      </c>
      <c r="B16840" t="s">
        <v>16809</v>
      </c>
      <c r="C16840">
        <v>7751557</v>
      </c>
      <c r="D16840" t="str">
        <f>"2214-3157"</f>
        <v>2214-3157</v>
      </c>
      <c r="E16840" t="s">
        <v>8</v>
      </c>
      <c r="F16840" t="s">
        <v>16846</v>
      </c>
      <c r="G16840">
        <v>2</v>
      </c>
    </row>
    <row r="16841" spans="1:7" x14ac:dyDescent="0.25">
      <c r="A16841">
        <v>5</v>
      </c>
      <c r="B16841" t="s">
        <v>16809</v>
      </c>
      <c r="C16841">
        <v>14510</v>
      </c>
      <c r="D16841" t="str">
        <f>"0950-3846"</f>
        <v>0950-3846</v>
      </c>
      <c r="E16841" t="s">
        <v>8</v>
      </c>
      <c r="F16841" t="s">
        <v>16847</v>
      </c>
      <c r="G16841">
        <v>2</v>
      </c>
    </row>
    <row r="16842" spans="1:7" x14ac:dyDescent="0.25">
      <c r="A16842">
        <v>5</v>
      </c>
      <c r="B16842" t="s">
        <v>16809</v>
      </c>
      <c r="C16842">
        <v>858</v>
      </c>
      <c r="D16842" t="str">
        <f>"0165-2516"</f>
        <v>0165-2516</v>
      </c>
      <c r="E16842" t="s">
        <v>8</v>
      </c>
      <c r="F16842" t="s">
        <v>16848</v>
      </c>
      <c r="G16842">
        <v>2</v>
      </c>
    </row>
    <row r="16843" spans="1:7" x14ac:dyDescent="0.25">
      <c r="A16843">
        <v>5</v>
      </c>
      <c r="B16843" t="s">
        <v>16809</v>
      </c>
      <c r="C16843">
        <v>8593</v>
      </c>
      <c r="D16843" t="str">
        <f>"0167-6164"</f>
        <v>0167-6164</v>
      </c>
      <c r="E16843" t="s">
        <v>8</v>
      </c>
      <c r="F16843" t="s">
        <v>16849</v>
      </c>
      <c r="G16843">
        <v>2</v>
      </c>
    </row>
    <row r="16844" spans="1:7" x14ac:dyDescent="0.25">
      <c r="A16844">
        <v>5</v>
      </c>
      <c r="B16844" t="s">
        <v>16809</v>
      </c>
      <c r="C16844">
        <v>444</v>
      </c>
      <c r="D16844" t="str">
        <f>"0305-0009"</f>
        <v>0305-0009</v>
      </c>
      <c r="E16844" t="s">
        <v>8</v>
      </c>
      <c r="F16844" t="s">
        <v>16850</v>
      </c>
      <c r="G16844">
        <v>2</v>
      </c>
    </row>
    <row r="16845" spans="1:7" x14ac:dyDescent="0.25">
      <c r="A16845">
        <v>5</v>
      </c>
      <c r="B16845" t="s">
        <v>16809</v>
      </c>
      <c r="C16845">
        <v>14709</v>
      </c>
      <c r="D16845" t="str">
        <f>"0021-9924"</f>
        <v>0021-9924</v>
      </c>
      <c r="E16845" t="s">
        <v>8</v>
      </c>
      <c r="F16845" t="s">
        <v>16851</v>
      </c>
      <c r="G16845">
        <v>2</v>
      </c>
    </row>
    <row r="16846" spans="1:7" x14ac:dyDescent="0.25">
      <c r="A16846">
        <v>5</v>
      </c>
      <c r="B16846" t="s">
        <v>16809</v>
      </c>
      <c r="C16846">
        <v>475</v>
      </c>
      <c r="D16846" t="str">
        <f>"1566-5852"</f>
        <v>1566-5852</v>
      </c>
      <c r="E16846" t="s">
        <v>8</v>
      </c>
      <c r="F16846" t="s">
        <v>16852</v>
      </c>
      <c r="G16846">
        <v>2</v>
      </c>
    </row>
    <row r="16847" spans="1:7" x14ac:dyDescent="0.25">
      <c r="A16847">
        <v>5</v>
      </c>
      <c r="B16847" t="s">
        <v>16809</v>
      </c>
      <c r="C16847">
        <v>1436</v>
      </c>
      <c r="D16847" t="str">
        <f>"1055-1360"</f>
        <v>1055-1360</v>
      </c>
      <c r="E16847" t="s">
        <v>8</v>
      </c>
      <c r="F16847" t="s">
        <v>16853</v>
      </c>
      <c r="G16847">
        <v>2</v>
      </c>
    </row>
    <row r="16848" spans="1:7" x14ac:dyDescent="0.25">
      <c r="A16848">
        <v>5</v>
      </c>
      <c r="B16848" t="s">
        <v>16809</v>
      </c>
      <c r="C16848">
        <v>9649</v>
      </c>
      <c r="D16848" t="str">
        <f>"0022-2267"</f>
        <v>0022-2267</v>
      </c>
      <c r="E16848" t="s">
        <v>8</v>
      </c>
      <c r="F16848" t="s">
        <v>16854</v>
      </c>
      <c r="G16848">
        <v>2</v>
      </c>
    </row>
    <row r="16849" spans="1:7" x14ac:dyDescent="0.25">
      <c r="A16849">
        <v>5</v>
      </c>
      <c r="B16849" t="s">
        <v>16809</v>
      </c>
      <c r="C16849">
        <v>12596</v>
      </c>
      <c r="D16849" t="str">
        <f>"0925-8531"</f>
        <v>0925-8531</v>
      </c>
      <c r="E16849" t="s">
        <v>8</v>
      </c>
      <c r="F16849" t="s">
        <v>16855</v>
      </c>
      <c r="G16849">
        <v>2</v>
      </c>
    </row>
    <row r="16850" spans="1:7" x14ac:dyDescent="0.25">
      <c r="A16850">
        <v>5</v>
      </c>
      <c r="B16850" t="s">
        <v>16809</v>
      </c>
      <c r="C16850">
        <v>14231</v>
      </c>
      <c r="D16850" t="str">
        <f>"0143-4632"</f>
        <v>0143-4632</v>
      </c>
      <c r="E16850" t="s">
        <v>8</v>
      </c>
      <c r="F16850" t="s">
        <v>16856</v>
      </c>
      <c r="G16850">
        <v>2</v>
      </c>
    </row>
    <row r="16851" spans="1:7" x14ac:dyDescent="0.25">
      <c r="A16851">
        <v>5</v>
      </c>
      <c r="B16851" t="s">
        <v>16809</v>
      </c>
      <c r="C16851">
        <v>12122</v>
      </c>
      <c r="D16851" t="str">
        <f>"0911-6044"</f>
        <v>0911-6044</v>
      </c>
      <c r="E16851" t="s">
        <v>8</v>
      </c>
      <c r="F16851" t="s">
        <v>16857</v>
      </c>
      <c r="G16851">
        <v>2</v>
      </c>
    </row>
    <row r="16852" spans="1:7" x14ac:dyDescent="0.25">
      <c r="A16852">
        <v>5</v>
      </c>
      <c r="B16852" t="s">
        <v>16809</v>
      </c>
      <c r="C16852">
        <v>16240</v>
      </c>
      <c r="D16852" t="str">
        <f>"0095-4470"</f>
        <v>0095-4470</v>
      </c>
      <c r="E16852" t="s">
        <v>8</v>
      </c>
      <c r="F16852" t="s">
        <v>16858</v>
      </c>
      <c r="G16852">
        <v>2</v>
      </c>
    </row>
    <row r="16853" spans="1:7" x14ac:dyDescent="0.25">
      <c r="A16853">
        <v>5</v>
      </c>
      <c r="B16853" t="s">
        <v>16809</v>
      </c>
      <c r="C16853">
        <v>11555</v>
      </c>
      <c r="D16853" t="str">
        <f>"0920-9034"</f>
        <v>0920-9034</v>
      </c>
      <c r="E16853" t="s">
        <v>8</v>
      </c>
      <c r="F16853" t="s">
        <v>16859</v>
      </c>
      <c r="G16853">
        <v>2</v>
      </c>
    </row>
    <row r="16854" spans="1:7" x14ac:dyDescent="0.25">
      <c r="A16854">
        <v>5</v>
      </c>
      <c r="B16854" t="s">
        <v>16809</v>
      </c>
      <c r="C16854">
        <v>14632</v>
      </c>
      <c r="D16854" t="str">
        <f>"0378-2166"</f>
        <v>0378-2166</v>
      </c>
      <c r="E16854" t="s">
        <v>8</v>
      </c>
      <c r="F16854" t="s">
        <v>16860</v>
      </c>
      <c r="G16854">
        <v>2</v>
      </c>
    </row>
    <row r="16855" spans="1:7" x14ac:dyDescent="0.25">
      <c r="A16855">
        <v>5</v>
      </c>
      <c r="B16855" t="s">
        <v>16809</v>
      </c>
      <c r="C16855">
        <v>4006</v>
      </c>
      <c r="D16855" t="str">
        <f>"0167-5133"</f>
        <v>0167-5133</v>
      </c>
      <c r="E16855" t="s">
        <v>8</v>
      </c>
      <c r="F16855" t="s">
        <v>16861</v>
      </c>
      <c r="G16855">
        <v>2</v>
      </c>
    </row>
    <row r="16856" spans="1:7" x14ac:dyDescent="0.25">
      <c r="A16856">
        <v>5</v>
      </c>
      <c r="B16856" t="s">
        <v>16809</v>
      </c>
      <c r="C16856">
        <v>9217</v>
      </c>
      <c r="D16856" t="str">
        <f>"1360-6441"</f>
        <v>1360-6441</v>
      </c>
      <c r="E16856" t="s">
        <v>8</v>
      </c>
      <c r="F16856" t="s">
        <v>16862</v>
      </c>
      <c r="G16856">
        <v>2</v>
      </c>
    </row>
    <row r="16857" spans="1:7" x14ac:dyDescent="0.25">
      <c r="A16857">
        <v>5</v>
      </c>
      <c r="B16857" t="s">
        <v>16809</v>
      </c>
      <c r="C16857">
        <v>1244</v>
      </c>
      <c r="D16857" t="str">
        <f>"1535-0665"</f>
        <v>1535-0665</v>
      </c>
      <c r="E16857" t="s">
        <v>8</v>
      </c>
      <c r="F16857" t="s">
        <v>16863</v>
      </c>
      <c r="G16857">
        <v>2</v>
      </c>
    </row>
    <row r="16858" spans="1:7" x14ac:dyDescent="0.25">
      <c r="A16858">
        <v>5</v>
      </c>
      <c r="B16858" t="s">
        <v>16809</v>
      </c>
      <c r="C16858">
        <v>3591</v>
      </c>
      <c r="D16858" t="str">
        <f>"1048-9223"</f>
        <v>1048-9223</v>
      </c>
      <c r="E16858" t="s">
        <v>8</v>
      </c>
      <c r="F16858" t="s">
        <v>16864</v>
      </c>
      <c r="G16858">
        <v>2</v>
      </c>
    </row>
    <row r="16859" spans="1:7" x14ac:dyDescent="0.25">
      <c r="A16859">
        <v>5</v>
      </c>
      <c r="B16859" t="s">
        <v>16809</v>
      </c>
      <c r="C16859">
        <v>111541</v>
      </c>
      <c r="D16859" t="str">
        <f>"1866-9809"</f>
        <v>1866-9809</v>
      </c>
      <c r="E16859" t="s">
        <v>8</v>
      </c>
      <c r="F16859" t="s">
        <v>16865</v>
      </c>
      <c r="G16859">
        <v>2</v>
      </c>
    </row>
    <row r="16860" spans="1:7" x14ac:dyDescent="0.25">
      <c r="A16860">
        <v>5</v>
      </c>
      <c r="B16860" t="s">
        <v>16809</v>
      </c>
      <c r="C16860">
        <v>13327</v>
      </c>
      <c r="D16860" t="str">
        <f>"0023-8309"</f>
        <v>0023-8309</v>
      </c>
      <c r="E16860" t="s">
        <v>8</v>
      </c>
      <c r="F16860" t="s">
        <v>16866</v>
      </c>
      <c r="G16860">
        <v>2</v>
      </c>
    </row>
    <row r="16861" spans="1:7" x14ac:dyDescent="0.25">
      <c r="A16861">
        <v>5</v>
      </c>
      <c r="B16861" t="s">
        <v>16809</v>
      </c>
      <c r="C16861">
        <v>328</v>
      </c>
      <c r="D16861" t="str">
        <f>"0047-4045"</f>
        <v>0047-4045</v>
      </c>
      <c r="E16861" t="s">
        <v>8</v>
      </c>
      <c r="F16861" t="s">
        <v>16867</v>
      </c>
      <c r="G16861">
        <v>2</v>
      </c>
    </row>
    <row r="16862" spans="1:7" x14ac:dyDescent="0.25">
      <c r="A16862">
        <v>5</v>
      </c>
      <c r="B16862" t="s">
        <v>16809</v>
      </c>
      <c r="C16862">
        <v>4807</v>
      </c>
      <c r="D16862" t="str">
        <f>"1568-4555"</f>
        <v>1568-4555</v>
      </c>
      <c r="E16862" t="s">
        <v>8</v>
      </c>
      <c r="F16862" t="s">
        <v>16868</v>
      </c>
      <c r="G16862">
        <v>2</v>
      </c>
    </row>
    <row r="16863" spans="1:7" x14ac:dyDescent="0.25">
      <c r="A16863">
        <v>5</v>
      </c>
      <c r="B16863" t="s">
        <v>16809</v>
      </c>
      <c r="C16863">
        <v>7243</v>
      </c>
      <c r="D16863" t="str">
        <f>"1574-020X"</f>
        <v>1574-020X</v>
      </c>
      <c r="E16863" t="s">
        <v>8</v>
      </c>
      <c r="F16863" t="s">
        <v>16869</v>
      </c>
      <c r="G16863">
        <v>2</v>
      </c>
    </row>
    <row r="16864" spans="1:7" x14ac:dyDescent="0.25">
      <c r="A16864">
        <v>5</v>
      </c>
      <c r="B16864" t="s">
        <v>16809</v>
      </c>
      <c r="C16864">
        <v>2424</v>
      </c>
      <c r="D16864" t="str">
        <f>"0388-0001"</f>
        <v>0388-0001</v>
      </c>
      <c r="E16864" t="s">
        <v>8</v>
      </c>
      <c r="F16864" t="s">
        <v>16870</v>
      </c>
      <c r="G16864">
        <v>2</v>
      </c>
    </row>
    <row r="16865" spans="1:7" x14ac:dyDescent="0.25">
      <c r="A16865">
        <v>5</v>
      </c>
      <c r="B16865" t="s">
        <v>16809</v>
      </c>
      <c r="C16865">
        <v>6610</v>
      </c>
      <c r="D16865" t="str">
        <f>"0265-5322"</f>
        <v>0265-5322</v>
      </c>
      <c r="E16865" t="s">
        <v>8</v>
      </c>
      <c r="F16865" t="s">
        <v>16871</v>
      </c>
      <c r="G16865">
        <v>2</v>
      </c>
    </row>
    <row r="16866" spans="1:7" x14ac:dyDescent="0.25">
      <c r="A16866">
        <v>5</v>
      </c>
      <c r="B16866" t="s">
        <v>16809</v>
      </c>
      <c r="C16866">
        <v>2244</v>
      </c>
      <c r="D16866" t="str">
        <f>"0954-3945"</f>
        <v>0954-3945</v>
      </c>
      <c r="E16866" t="s">
        <v>8</v>
      </c>
      <c r="F16866" t="s">
        <v>16872</v>
      </c>
      <c r="G16866">
        <v>2</v>
      </c>
    </row>
    <row r="16867" spans="1:7" x14ac:dyDescent="0.25">
      <c r="A16867">
        <v>5</v>
      </c>
      <c r="B16867" t="s">
        <v>16809</v>
      </c>
      <c r="C16867">
        <v>12164</v>
      </c>
      <c r="D16867" t="str">
        <f>"2327-3798"</f>
        <v>2327-3798</v>
      </c>
      <c r="E16867" t="s">
        <v>8</v>
      </c>
      <c r="F16867" t="s">
        <v>16873</v>
      </c>
      <c r="G16867">
        <v>2</v>
      </c>
    </row>
    <row r="16868" spans="1:7" x14ac:dyDescent="0.25">
      <c r="A16868">
        <v>5</v>
      </c>
      <c r="B16868" t="s">
        <v>16809</v>
      </c>
      <c r="C16868">
        <v>2296</v>
      </c>
      <c r="D16868" t="str">
        <f>"0175-6206"</f>
        <v>0175-6206</v>
      </c>
      <c r="E16868" t="s">
        <v>8</v>
      </c>
      <c r="F16868" t="s">
        <v>16874</v>
      </c>
      <c r="G16868">
        <v>2</v>
      </c>
    </row>
    <row r="16869" spans="1:7" x14ac:dyDescent="0.25">
      <c r="A16869">
        <v>5</v>
      </c>
      <c r="B16869" t="s">
        <v>16809</v>
      </c>
      <c r="C16869">
        <v>5564</v>
      </c>
      <c r="D16869" t="str">
        <f>"0024-3892"</f>
        <v>0024-3892</v>
      </c>
      <c r="E16869" t="s">
        <v>8</v>
      </c>
      <c r="F16869" t="s">
        <v>16875</v>
      </c>
      <c r="G16869">
        <v>2</v>
      </c>
    </row>
    <row r="16870" spans="1:7" x14ac:dyDescent="0.25">
      <c r="A16870">
        <v>5</v>
      </c>
      <c r="B16870" t="s">
        <v>16809</v>
      </c>
      <c r="C16870">
        <v>10056</v>
      </c>
      <c r="D16870" t="str">
        <f>"1430-0532"</f>
        <v>1430-0532</v>
      </c>
      <c r="E16870" t="s">
        <v>8</v>
      </c>
      <c r="F16870" t="s">
        <v>16876</v>
      </c>
      <c r="G16870">
        <v>2</v>
      </c>
    </row>
    <row r="16871" spans="1:7" x14ac:dyDescent="0.25">
      <c r="A16871">
        <v>5</v>
      </c>
      <c r="B16871" t="s">
        <v>16809</v>
      </c>
      <c r="C16871">
        <v>1411</v>
      </c>
      <c r="D16871" t="str">
        <f>"0024-3949"</f>
        <v>0024-3949</v>
      </c>
      <c r="E16871" t="s">
        <v>8</v>
      </c>
      <c r="F16871" t="s">
        <v>16877</v>
      </c>
      <c r="G16871">
        <v>2</v>
      </c>
    </row>
    <row r="16872" spans="1:7" x14ac:dyDescent="0.25">
      <c r="A16872">
        <v>5</v>
      </c>
      <c r="B16872" t="s">
        <v>16809</v>
      </c>
      <c r="C16872">
        <v>6265</v>
      </c>
      <c r="D16872" t="str">
        <f>"0165-0157"</f>
        <v>0165-0157</v>
      </c>
      <c r="E16872" t="s">
        <v>8</v>
      </c>
      <c r="F16872" t="s">
        <v>16878</v>
      </c>
      <c r="G16872">
        <v>2</v>
      </c>
    </row>
    <row r="16873" spans="1:7" x14ac:dyDescent="0.25">
      <c r="A16873">
        <v>5</v>
      </c>
      <c r="B16873" t="s">
        <v>16809</v>
      </c>
      <c r="C16873">
        <v>8230</v>
      </c>
      <c r="D16873" t="str">
        <f>"0922-6567"</f>
        <v>0922-6567</v>
      </c>
      <c r="E16873" t="s">
        <v>8</v>
      </c>
      <c r="F16873" t="s">
        <v>16879</v>
      </c>
      <c r="G16873">
        <v>2</v>
      </c>
    </row>
    <row r="16874" spans="1:7" x14ac:dyDescent="0.25">
      <c r="A16874">
        <v>5</v>
      </c>
      <c r="B16874" t="s">
        <v>16809</v>
      </c>
      <c r="C16874">
        <v>5000290</v>
      </c>
      <c r="E16874" t="s">
        <v>2100</v>
      </c>
      <c r="F16874" t="s">
        <v>16880</v>
      </c>
      <c r="G16874">
        <v>2</v>
      </c>
    </row>
    <row r="16875" spans="1:7" x14ac:dyDescent="0.25">
      <c r="A16875">
        <v>5</v>
      </c>
      <c r="B16875" t="s">
        <v>16809</v>
      </c>
      <c r="C16875">
        <v>15561</v>
      </c>
      <c r="D16875" t="str">
        <f>"0268-1064"</f>
        <v>0268-1064</v>
      </c>
      <c r="E16875" t="s">
        <v>8</v>
      </c>
      <c r="F16875" t="s">
        <v>16881</v>
      </c>
      <c r="G16875">
        <v>2</v>
      </c>
    </row>
    <row r="16876" spans="1:7" x14ac:dyDescent="0.25">
      <c r="A16876">
        <v>5</v>
      </c>
      <c r="B16876" t="s">
        <v>16809</v>
      </c>
      <c r="C16876">
        <v>12366</v>
      </c>
      <c r="D16876" t="str">
        <f>"1871-5621"</f>
        <v>1871-5621</v>
      </c>
      <c r="E16876" t="s">
        <v>8</v>
      </c>
      <c r="F16876" t="s">
        <v>16882</v>
      </c>
      <c r="G16876">
        <v>2</v>
      </c>
    </row>
    <row r="16877" spans="1:7" x14ac:dyDescent="0.25">
      <c r="A16877">
        <v>5</v>
      </c>
      <c r="B16877" t="s">
        <v>16809</v>
      </c>
      <c r="C16877">
        <v>7331</v>
      </c>
      <c r="D16877" t="str">
        <f>"0167-806X"</f>
        <v>0167-806X</v>
      </c>
      <c r="E16877" t="s">
        <v>8</v>
      </c>
      <c r="F16877" t="s">
        <v>16883</v>
      </c>
      <c r="G16877">
        <v>2</v>
      </c>
    </row>
    <row r="16878" spans="1:7" x14ac:dyDescent="0.25">
      <c r="A16878">
        <v>5</v>
      </c>
      <c r="B16878" t="s">
        <v>16809</v>
      </c>
      <c r="C16878">
        <v>2047</v>
      </c>
      <c r="D16878" t="str">
        <f>"1351-3249"</f>
        <v>1351-3249</v>
      </c>
      <c r="E16878" t="s">
        <v>8</v>
      </c>
      <c r="F16878" t="s">
        <v>16884</v>
      </c>
      <c r="G16878">
        <v>2</v>
      </c>
    </row>
    <row r="16879" spans="1:7" x14ac:dyDescent="0.25">
      <c r="A16879">
        <v>5</v>
      </c>
      <c r="B16879" t="s">
        <v>16809</v>
      </c>
      <c r="C16879">
        <v>279</v>
      </c>
      <c r="D16879" t="str">
        <f>"0925-854X"</f>
        <v>0925-854X</v>
      </c>
      <c r="E16879" t="s">
        <v>8</v>
      </c>
      <c r="F16879" t="s">
        <v>16885</v>
      </c>
      <c r="G16879">
        <v>2</v>
      </c>
    </row>
    <row r="16880" spans="1:7" x14ac:dyDescent="0.25">
      <c r="A16880">
        <v>5</v>
      </c>
      <c r="B16880" t="s">
        <v>16809</v>
      </c>
      <c r="C16880">
        <v>4290</v>
      </c>
      <c r="D16880" t="str">
        <f>"0332-5865"</f>
        <v>0332-5865</v>
      </c>
      <c r="E16880" t="s">
        <v>8</v>
      </c>
      <c r="F16880" t="s">
        <v>16886</v>
      </c>
      <c r="G16880">
        <v>2</v>
      </c>
    </row>
    <row r="16881" spans="1:7" x14ac:dyDescent="0.25">
      <c r="A16881">
        <v>5</v>
      </c>
      <c r="B16881" t="s">
        <v>16809</v>
      </c>
      <c r="C16881">
        <v>10627</v>
      </c>
      <c r="D16881" t="str">
        <f>"0031-8388"</f>
        <v>0031-8388</v>
      </c>
      <c r="E16881" t="s">
        <v>8</v>
      </c>
      <c r="F16881" t="s">
        <v>16887</v>
      </c>
      <c r="G16881">
        <v>2</v>
      </c>
    </row>
    <row r="16882" spans="1:7" x14ac:dyDescent="0.25">
      <c r="A16882">
        <v>5</v>
      </c>
      <c r="B16882" t="s">
        <v>16809</v>
      </c>
      <c r="C16882">
        <v>3446</v>
      </c>
      <c r="D16882" t="str">
        <f>"0952-6757"</f>
        <v>0952-6757</v>
      </c>
      <c r="E16882" t="s">
        <v>8</v>
      </c>
      <c r="F16882" t="s">
        <v>16888</v>
      </c>
      <c r="G16882">
        <v>2</v>
      </c>
    </row>
    <row r="16883" spans="1:7" x14ac:dyDescent="0.25">
      <c r="A16883">
        <v>5</v>
      </c>
      <c r="B16883" t="s">
        <v>16809</v>
      </c>
      <c r="C16883">
        <v>9912</v>
      </c>
      <c r="D16883" t="str">
        <f>"0929-0907"</f>
        <v>0929-0907</v>
      </c>
      <c r="E16883" t="s">
        <v>8</v>
      </c>
      <c r="F16883" t="s">
        <v>16889</v>
      </c>
      <c r="G16883">
        <v>2</v>
      </c>
    </row>
    <row r="16884" spans="1:7" x14ac:dyDescent="0.25">
      <c r="A16884">
        <v>5</v>
      </c>
      <c r="B16884" t="s">
        <v>16809</v>
      </c>
      <c r="C16884">
        <v>13075</v>
      </c>
      <c r="D16884" t="str">
        <f>"0922-842X"</f>
        <v>0922-842X</v>
      </c>
      <c r="E16884" t="s">
        <v>15</v>
      </c>
      <c r="F16884" t="s">
        <v>16890</v>
      </c>
      <c r="G16884">
        <v>2</v>
      </c>
    </row>
    <row r="16885" spans="1:7" x14ac:dyDescent="0.25">
      <c r="A16885">
        <v>5</v>
      </c>
      <c r="B16885" t="s">
        <v>16809</v>
      </c>
      <c r="C16885">
        <v>6246821</v>
      </c>
      <c r="D16885" t="str">
        <f>"1878-9714"</f>
        <v>1878-9714</v>
      </c>
      <c r="E16885" t="s">
        <v>8</v>
      </c>
      <c r="F16885" t="s">
        <v>16891</v>
      </c>
      <c r="G16885">
        <v>2</v>
      </c>
    </row>
    <row r="16886" spans="1:7" x14ac:dyDescent="0.25">
      <c r="A16886">
        <v>5</v>
      </c>
      <c r="B16886" t="s">
        <v>16809</v>
      </c>
      <c r="C16886">
        <v>14888</v>
      </c>
      <c r="D16886" t="str">
        <f>"0034-0553"</f>
        <v>0034-0553</v>
      </c>
      <c r="E16886" t="s">
        <v>8</v>
      </c>
      <c r="F16886" t="s">
        <v>16892</v>
      </c>
      <c r="G16886">
        <v>2</v>
      </c>
    </row>
    <row r="16887" spans="1:7" x14ac:dyDescent="0.25">
      <c r="A16887">
        <v>5</v>
      </c>
      <c r="B16887" t="s">
        <v>16809</v>
      </c>
      <c r="C16887">
        <v>2084</v>
      </c>
      <c r="D16887" t="str">
        <f>"0835-1813"</f>
        <v>0835-1813</v>
      </c>
      <c r="E16887" t="s">
        <v>8</v>
      </c>
      <c r="F16887" t="s">
        <v>16893</v>
      </c>
      <c r="G16887">
        <v>2</v>
      </c>
    </row>
    <row r="16888" spans="1:7" x14ac:dyDescent="0.25">
      <c r="A16888">
        <v>5</v>
      </c>
      <c r="B16888" t="s">
        <v>16809</v>
      </c>
      <c r="C16888">
        <v>15690</v>
      </c>
      <c r="D16888" t="str">
        <f>"0267-6583"</f>
        <v>0267-6583</v>
      </c>
      <c r="E16888" t="s">
        <v>8</v>
      </c>
      <c r="F16888" t="s">
        <v>16894</v>
      </c>
      <c r="G16888">
        <v>2</v>
      </c>
    </row>
    <row r="16889" spans="1:7" x14ac:dyDescent="0.25">
      <c r="A16889">
        <v>5</v>
      </c>
      <c r="B16889" t="s">
        <v>16809</v>
      </c>
      <c r="C16889">
        <v>43680</v>
      </c>
      <c r="E16889" t="s">
        <v>8</v>
      </c>
      <c r="F16889" t="s">
        <v>16895</v>
      </c>
      <c r="G16889">
        <v>2</v>
      </c>
    </row>
    <row r="16890" spans="1:7" x14ac:dyDescent="0.25">
      <c r="A16890">
        <v>5</v>
      </c>
      <c r="B16890" t="s">
        <v>16809</v>
      </c>
      <c r="C16890">
        <v>2677</v>
      </c>
      <c r="D16890" t="str">
        <f>"0037-1998"</f>
        <v>0037-1998</v>
      </c>
      <c r="E16890" t="s">
        <v>8</v>
      </c>
      <c r="F16890" t="s">
        <v>16896</v>
      </c>
      <c r="G16890">
        <v>2</v>
      </c>
    </row>
    <row r="16891" spans="1:7" x14ac:dyDescent="0.25">
      <c r="A16891">
        <v>5</v>
      </c>
      <c r="B16891" t="s">
        <v>16809</v>
      </c>
      <c r="C16891">
        <v>15062</v>
      </c>
      <c r="D16891" t="str">
        <f>"1387-9316"</f>
        <v>1387-9316</v>
      </c>
      <c r="E16891" t="s">
        <v>8</v>
      </c>
      <c r="F16891" t="s">
        <v>16897</v>
      </c>
      <c r="G16891">
        <v>2</v>
      </c>
    </row>
    <row r="16892" spans="1:7" x14ac:dyDescent="0.25">
      <c r="A16892">
        <v>5</v>
      </c>
      <c r="B16892" t="s">
        <v>16809</v>
      </c>
      <c r="C16892">
        <v>27388</v>
      </c>
      <c r="D16892" t="str">
        <f>"1406-4243"</f>
        <v>1406-4243</v>
      </c>
      <c r="E16892" t="s">
        <v>8</v>
      </c>
      <c r="F16892" t="s">
        <v>16898</v>
      </c>
      <c r="G16892">
        <v>2</v>
      </c>
    </row>
    <row r="16893" spans="1:7" x14ac:dyDescent="0.25">
      <c r="A16893">
        <v>5</v>
      </c>
      <c r="B16893" t="s">
        <v>16809</v>
      </c>
      <c r="C16893">
        <v>1917</v>
      </c>
      <c r="D16893" t="str">
        <f>"0344-8169"</f>
        <v>0344-8169</v>
      </c>
      <c r="E16893" t="s">
        <v>8</v>
      </c>
      <c r="F16893" t="s">
        <v>16899</v>
      </c>
      <c r="G16893">
        <v>2</v>
      </c>
    </row>
    <row r="16894" spans="1:7" x14ac:dyDescent="0.25">
      <c r="A16894">
        <v>5</v>
      </c>
      <c r="B16894" t="s">
        <v>16809</v>
      </c>
      <c r="C16894">
        <v>10927</v>
      </c>
      <c r="D16894" t="str">
        <f>"0039-3193"</f>
        <v>0039-3193</v>
      </c>
      <c r="E16894" t="s">
        <v>8</v>
      </c>
      <c r="F16894" t="s">
        <v>16900</v>
      </c>
      <c r="G16894">
        <v>2</v>
      </c>
    </row>
    <row r="16895" spans="1:7" x14ac:dyDescent="0.25">
      <c r="A16895">
        <v>5</v>
      </c>
      <c r="B16895" t="s">
        <v>16809</v>
      </c>
      <c r="C16895">
        <v>10066</v>
      </c>
      <c r="D16895" t="str">
        <f>"0039-3533"</f>
        <v>0039-3533</v>
      </c>
      <c r="E16895" t="s">
        <v>8</v>
      </c>
      <c r="F16895" t="s">
        <v>16901</v>
      </c>
      <c r="G16895">
        <v>2</v>
      </c>
    </row>
    <row r="16896" spans="1:7" x14ac:dyDescent="0.25">
      <c r="A16896">
        <v>5</v>
      </c>
      <c r="B16896" t="s">
        <v>16809</v>
      </c>
      <c r="C16896">
        <v>4076</v>
      </c>
      <c r="D16896" t="str">
        <f>"0378-4177"</f>
        <v>0378-4177</v>
      </c>
      <c r="E16896" t="s">
        <v>8</v>
      </c>
      <c r="F16896" t="s">
        <v>16902</v>
      </c>
      <c r="G16896">
        <v>2</v>
      </c>
    </row>
    <row r="16897" spans="1:7" x14ac:dyDescent="0.25">
      <c r="A16897">
        <v>5</v>
      </c>
      <c r="B16897" t="s">
        <v>16809</v>
      </c>
      <c r="C16897">
        <v>3562</v>
      </c>
      <c r="D16897" t="str">
        <f>"1867-8319"</f>
        <v>1867-8319</v>
      </c>
      <c r="E16897" t="s">
        <v>8</v>
      </c>
      <c r="F16897" t="s">
        <v>16903</v>
      </c>
      <c r="G16897">
        <v>2</v>
      </c>
    </row>
    <row r="16898" spans="1:7" x14ac:dyDescent="0.25">
      <c r="A16898">
        <v>5</v>
      </c>
      <c r="B16898" t="s">
        <v>16809</v>
      </c>
      <c r="C16898">
        <v>10959</v>
      </c>
      <c r="D16898" t="str">
        <f>"1368-0005"</f>
        <v>1368-0005</v>
      </c>
      <c r="E16898" t="s">
        <v>8</v>
      </c>
      <c r="F16898" t="s">
        <v>16904</v>
      </c>
      <c r="G16898">
        <v>2</v>
      </c>
    </row>
    <row r="16899" spans="1:7" x14ac:dyDescent="0.25">
      <c r="A16899">
        <v>5</v>
      </c>
      <c r="B16899" t="s">
        <v>16809</v>
      </c>
      <c r="C16899">
        <v>14903</v>
      </c>
      <c r="D16899" t="str">
        <f>"0929-9971"</f>
        <v>0929-9971</v>
      </c>
      <c r="E16899" t="s">
        <v>8</v>
      </c>
      <c r="F16899" t="s">
        <v>16905</v>
      </c>
      <c r="G16899">
        <v>2</v>
      </c>
    </row>
    <row r="16900" spans="1:7" x14ac:dyDescent="0.25">
      <c r="A16900">
        <v>5</v>
      </c>
      <c r="B16900" t="s">
        <v>16809</v>
      </c>
      <c r="C16900">
        <v>9507</v>
      </c>
      <c r="D16900" t="str">
        <f>"1860-7330"</f>
        <v>1860-7330</v>
      </c>
      <c r="E16900" t="s">
        <v>8</v>
      </c>
      <c r="F16900" t="s">
        <v>16906</v>
      </c>
      <c r="G16900">
        <v>2</v>
      </c>
    </row>
    <row r="16901" spans="1:7" x14ac:dyDescent="0.25">
      <c r="A16901">
        <v>5</v>
      </c>
      <c r="B16901" t="s">
        <v>16809</v>
      </c>
      <c r="C16901">
        <v>3688</v>
      </c>
      <c r="D16901" t="str">
        <f>"0167-6318"</f>
        <v>0167-6318</v>
      </c>
      <c r="E16901" t="s">
        <v>8</v>
      </c>
      <c r="F16901" t="s">
        <v>16907</v>
      </c>
      <c r="G16901">
        <v>2</v>
      </c>
    </row>
    <row r="16902" spans="1:7" x14ac:dyDescent="0.25">
      <c r="A16902">
        <v>5</v>
      </c>
      <c r="B16902" t="s">
        <v>16809</v>
      </c>
      <c r="C16902">
        <v>16474</v>
      </c>
      <c r="D16902" t="str">
        <f>"0301-4428"</f>
        <v>0301-4428</v>
      </c>
      <c r="E16902" t="s">
        <v>8</v>
      </c>
      <c r="F16902" t="s">
        <v>16908</v>
      </c>
      <c r="G16902">
        <v>2</v>
      </c>
    </row>
    <row r="16903" spans="1:7" x14ac:dyDescent="0.25">
      <c r="A16903">
        <v>5</v>
      </c>
      <c r="B16903" t="s">
        <v>16809</v>
      </c>
      <c r="C16903">
        <v>743</v>
      </c>
      <c r="D16903" t="str">
        <f>"0079-1636"</f>
        <v>0079-1636</v>
      </c>
      <c r="E16903" t="s">
        <v>8</v>
      </c>
      <c r="F16903" t="s">
        <v>16909</v>
      </c>
      <c r="G16903">
        <v>2</v>
      </c>
    </row>
    <row r="16904" spans="1:7" x14ac:dyDescent="0.25">
      <c r="A16904">
        <v>5</v>
      </c>
      <c r="B16904" t="s">
        <v>16809</v>
      </c>
      <c r="C16904">
        <v>57822</v>
      </c>
      <c r="D16904" t="str">
        <f>"1861-4302"</f>
        <v>1861-4302</v>
      </c>
      <c r="E16904" t="s">
        <v>15</v>
      </c>
      <c r="F16904" t="s">
        <v>16910</v>
      </c>
      <c r="G16904">
        <v>2</v>
      </c>
    </row>
    <row r="16905" spans="1:7" x14ac:dyDescent="0.25">
      <c r="A16905">
        <v>5</v>
      </c>
      <c r="B16905" t="s">
        <v>16809</v>
      </c>
      <c r="C16905">
        <v>138730</v>
      </c>
      <c r="D16905" t="str">
        <f>"0172-7362"</f>
        <v>0172-7362</v>
      </c>
      <c r="E16905" t="s">
        <v>15</v>
      </c>
      <c r="F16905" t="s">
        <v>16911</v>
      </c>
      <c r="G16905">
        <v>2</v>
      </c>
    </row>
    <row r="16906" spans="1:7" x14ac:dyDescent="0.25">
      <c r="A16906">
        <v>5</v>
      </c>
      <c r="B16906" t="s">
        <v>16809</v>
      </c>
      <c r="C16906">
        <v>7498</v>
      </c>
      <c r="D16906" t="str">
        <f>"0044-1449"</f>
        <v>0044-1449</v>
      </c>
      <c r="E16906" t="s">
        <v>8</v>
      </c>
      <c r="F16906" t="s">
        <v>16912</v>
      </c>
      <c r="G16906">
        <v>2</v>
      </c>
    </row>
    <row r="16907" spans="1:7" x14ac:dyDescent="0.25">
      <c r="A16907">
        <v>5</v>
      </c>
      <c r="B16907" t="s">
        <v>16809</v>
      </c>
      <c r="C16907">
        <v>13123</v>
      </c>
      <c r="D16907" t="str">
        <f>"0301-3294"</f>
        <v>0301-3294</v>
      </c>
      <c r="E16907" t="s">
        <v>8</v>
      </c>
      <c r="F16907" t="s">
        <v>16913</v>
      </c>
      <c r="G16907">
        <v>2</v>
      </c>
    </row>
    <row r="16908" spans="1:7" x14ac:dyDescent="0.25">
      <c r="A16908">
        <v>5</v>
      </c>
      <c r="B16908" t="s">
        <v>16809</v>
      </c>
      <c r="C16908">
        <v>3049</v>
      </c>
      <c r="D16908" t="str">
        <f>"1216-8076"</f>
        <v>1216-8076</v>
      </c>
      <c r="E16908" t="s">
        <v>8</v>
      </c>
      <c r="F16908" t="s">
        <v>16914</v>
      </c>
      <c r="G16908">
        <v>1</v>
      </c>
    </row>
    <row r="16909" spans="1:7" x14ac:dyDescent="0.25">
      <c r="A16909">
        <v>5</v>
      </c>
      <c r="B16909" t="s">
        <v>16809</v>
      </c>
      <c r="C16909">
        <v>180125</v>
      </c>
      <c r="E16909" t="s">
        <v>15</v>
      </c>
      <c r="F16909" t="s">
        <v>16915</v>
      </c>
      <c r="G16909">
        <v>1</v>
      </c>
    </row>
    <row r="16910" spans="1:7" x14ac:dyDescent="0.25">
      <c r="A16910">
        <v>5</v>
      </c>
      <c r="B16910" t="s">
        <v>16809</v>
      </c>
      <c r="C16910">
        <v>7756503</v>
      </c>
      <c r="D16910" t="str">
        <f>"2214-1057"</f>
        <v>2214-1057</v>
      </c>
      <c r="E16910" t="s">
        <v>15</v>
      </c>
      <c r="F16910" t="s">
        <v>16916</v>
      </c>
      <c r="G16910">
        <v>1</v>
      </c>
    </row>
    <row r="16911" spans="1:7" x14ac:dyDescent="0.25">
      <c r="A16911">
        <v>5</v>
      </c>
      <c r="B16911" t="s">
        <v>16809</v>
      </c>
      <c r="C16911">
        <v>180126</v>
      </c>
      <c r="E16911" t="s">
        <v>15</v>
      </c>
      <c r="F16911" t="s">
        <v>16917</v>
      </c>
      <c r="G16911">
        <v>1</v>
      </c>
    </row>
    <row r="16912" spans="1:7" x14ac:dyDescent="0.25">
      <c r="A16912">
        <v>5</v>
      </c>
      <c r="B16912" t="s">
        <v>16809</v>
      </c>
      <c r="C16912">
        <v>180150</v>
      </c>
      <c r="E16912" t="s">
        <v>15</v>
      </c>
      <c r="F16912" t="s">
        <v>16918</v>
      </c>
      <c r="G16912">
        <v>1</v>
      </c>
    </row>
    <row r="16913" spans="1:7" x14ac:dyDescent="0.25">
      <c r="A16913">
        <v>5</v>
      </c>
      <c r="B16913" t="s">
        <v>16809</v>
      </c>
      <c r="C16913">
        <v>180127</v>
      </c>
      <c r="E16913" t="s">
        <v>15</v>
      </c>
      <c r="F16913" t="s">
        <v>16919</v>
      </c>
      <c r="G16913">
        <v>1</v>
      </c>
    </row>
    <row r="16914" spans="1:7" x14ac:dyDescent="0.25">
      <c r="A16914">
        <v>5</v>
      </c>
      <c r="B16914" t="s">
        <v>16809</v>
      </c>
      <c r="C16914">
        <v>7739437</v>
      </c>
      <c r="D16914" t="str">
        <f>"2033-8732"</f>
        <v>2033-8732</v>
      </c>
      <c r="E16914" t="s">
        <v>8</v>
      </c>
      <c r="F16914" t="s">
        <v>16920</v>
      </c>
      <c r="G16914">
        <v>1</v>
      </c>
    </row>
    <row r="16915" spans="1:7" x14ac:dyDescent="0.25">
      <c r="A16915">
        <v>5</v>
      </c>
      <c r="B16915" t="s">
        <v>16809</v>
      </c>
      <c r="C16915">
        <v>15828</v>
      </c>
      <c r="D16915" t="str">
        <f>"1875-1113"</f>
        <v>1875-1113</v>
      </c>
      <c r="E16915" t="s">
        <v>15</v>
      </c>
      <c r="F16915" t="s">
        <v>16921</v>
      </c>
      <c r="G16915">
        <v>1</v>
      </c>
    </row>
    <row r="16916" spans="1:7" x14ac:dyDescent="0.25">
      <c r="A16916">
        <v>5</v>
      </c>
      <c r="B16916" t="s">
        <v>16809</v>
      </c>
      <c r="C16916">
        <v>26779</v>
      </c>
      <c r="D16916" t="str">
        <f>"1461-0213"</f>
        <v>1461-0213</v>
      </c>
      <c r="E16916" t="s">
        <v>8</v>
      </c>
      <c r="F16916" t="s">
        <v>16922</v>
      </c>
      <c r="G16916">
        <v>1</v>
      </c>
    </row>
    <row r="16917" spans="1:7" x14ac:dyDescent="0.25">
      <c r="A16917">
        <v>5</v>
      </c>
      <c r="B16917" t="s">
        <v>16809</v>
      </c>
      <c r="C16917">
        <v>180130</v>
      </c>
      <c r="D16917" t="str">
        <f>"2281-6585"</f>
        <v>2281-6585</v>
      </c>
      <c r="E16917" t="s">
        <v>8</v>
      </c>
      <c r="F16917" t="s">
        <v>16923</v>
      </c>
      <c r="G16917">
        <v>1</v>
      </c>
    </row>
    <row r="16918" spans="1:7" x14ac:dyDescent="0.25">
      <c r="A16918">
        <v>5</v>
      </c>
      <c r="B16918" t="s">
        <v>16809</v>
      </c>
      <c r="C16918">
        <v>140140</v>
      </c>
      <c r="D16918" t="str">
        <f>"0002-5216"</f>
        <v>0002-5216</v>
      </c>
      <c r="E16918" t="s">
        <v>8</v>
      </c>
      <c r="F16918" t="s">
        <v>16924</v>
      </c>
      <c r="G16918">
        <v>1</v>
      </c>
    </row>
    <row r="16919" spans="1:7" x14ac:dyDescent="0.25">
      <c r="A16919">
        <v>5</v>
      </c>
      <c r="B16919" t="s">
        <v>16809</v>
      </c>
      <c r="C16919">
        <v>131914</v>
      </c>
      <c r="D16919" t="str">
        <f>"0831-5671"</f>
        <v>0831-5671</v>
      </c>
      <c r="E16919" t="s">
        <v>8</v>
      </c>
      <c r="F16919" t="s">
        <v>16925</v>
      </c>
      <c r="G16919">
        <v>1</v>
      </c>
    </row>
    <row r="16920" spans="1:7" x14ac:dyDescent="0.25">
      <c r="A16920">
        <v>5</v>
      </c>
      <c r="B16920" t="s">
        <v>16809</v>
      </c>
      <c r="C16920">
        <v>11926</v>
      </c>
      <c r="D16920" t="str">
        <f>"0003-1283"</f>
        <v>0003-1283</v>
      </c>
      <c r="E16920" t="s">
        <v>8</v>
      </c>
      <c r="F16920" t="s">
        <v>16926</v>
      </c>
      <c r="G16920">
        <v>1</v>
      </c>
    </row>
    <row r="16921" spans="1:7" x14ac:dyDescent="0.25">
      <c r="A16921">
        <v>5</v>
      </c>
      <c r="B16921" t="s">
        <v>16809</v>
      </c>
      <c r="C16921">
        <v>68372</v>
      </c>
      <c r="D16921" t="str">
        <f>"1224-5712"</f>
        <v>1224-5712</v>
      </c>
      <c r="E16921" t="s">
        <v>8</v>
      </c>
      <c r="F16921" t="s">
        <v>16927</v>
      </c>
      <c r="G16921">
        <v>1</v>
      </c>
    </row>
    <row r="16922" spans="1:7" x14ac:dyDescent="0.25">
      <c r="A16922">
        <v>5</v>
      </c>
      <c r="B16922" t="s">
        <v>16809</v>
      </c>
      <c r="C16922">
        <v>2500</v>
      </c>
      <c r="D16922" t="str">
        <f>"0365-6772"</f>
        <v>0365-6772</v>
      </c>
      <c r="E16922" t="s">
        <v>15</v>
      </c>
      <c r="F16922" t="s">
        <v>16928</v>
      </c>
      <c r="G16922">
        <v>1</v>
      </c>
    </row>
    <row r="16923" spans="1:7" x14ac:dyDescent="0.25">
      <c r="A16923">
        <v>5</v>
      </c>
      <c r="B16923" t="s">
        <v>16809</v>
      </c>
      <c r="C16923">
        <v>8782835</v>
      </c>
      <c r="D16923" t="str">
        <f>"1756-8757"</f>
        <v>1756-8757</v>
      </c>
      <c r="E16923" t="s">
        <v>2100</v>
      </c>
      <c r="F16923" t="s">
        <v>16929</v>
      </c>
      <c r="G16923">
        <v>1</v>
      </c>
    </row>
    <row r="16924" spans="1:7" x14ac:dyDescent="0.25">
      <c r="A16924">
        <v>5</v>
      </c>
      <c r="B16924" t="s">
        <v>16809</v>
      </c>
      <c r="C16924">
        <v>8971</v>
      </c>
      <c r="D16924" t="str">
        <f>"0267-1905"</f>
        <v>0267-1905</v>
      </c>
      <c r="E16924" t="s">
        <v>15</v>
      </c>
      <c r="F16924" t="s">
        <v>16930</v>
      </c>
      <c r="G16924">
        <v>1</v>
      </c>
    </row>
    <row r="16925" spans="1:7" x14ac:dyDescent="0.25">
      <c r="A16925">
        <v>5</v>
      </c>
      <c r="B16925" t="s">
        <v>16809</v>
      </c>
      <c r="C16925">
        <v>108683</v>
      </c>
      <c r="E16925" t="s">
        <v>8</v>
      </c>
      <c r="F16925" t="s">
        <v>16931</v>
      </c>
      <c r="G16925">
        <v>1</v>
      </c>
    </row>
    <row r="16926" spans="1:7" x14ac:dyDescent="0.25">
      <c r="A16926">
        <v>5</v>
      </c>
      <c r="B16926" t="s">
        <v>16809</v>
      </c>
      <c r="C16926">
        <v>65266</v>
      </c>
      <c r="D16926" t="str">
        <f>"1861-4078"</f>
        <v>1861-4078</v>
      </c>
      <c r="E16926" t="s">
        <v>15</v>
      </c>
      <c r="F16926" t="s">
        <v>16932</v>
      </c>
      <c r="G16926">
        <v>1</v>
      </c>
    </row>
    <row r="16927" spans="1:7" x14ac:dyDescent="0.25">
      <c r="A16927">
        <v>5</v>
      </c>
      <c r="B16927" t="s">
        <v>16809</v>
      </c>
      <c r="C16927">
        <v>6041451</v>
      </c>
      <c r="D16927" t="str">
        <f>"1868-6303"</f>
        <v>1868-6303</v>
      </c>
      <c r="E16927" t="s">
        <v>8</v>
      </c>
      <c r="F16927" t="s">
        <v>16933</v>
      </c>
      <c r="G16927">
        <v>1</v>
      </c>
    </row>
    <row r="16928" spans="1:7" x14ac:dyDescent="0.25">
      <c r="A16928">
        <v>5</v>
      </c>
      <c r="B16928" t="s">
        <v>16809</v>
      </c>
      <c r="C16928">
        <v>6755</v>
      </c>
      <c r="D16928" t="str">
        <f>"1204-6140"</f>
        <v>1204-6140</v>
      </c>
      <c r="E16928" t="s">
        <v>8</v>
      </c>
      <c r="F16928" t="s">
        <v>16934</v>
      </c>
      <c r="G16928">
        <v>1</v>
      </c>
    </row>
    <row r="16929" spans="1:7" x14ac:dyDescent="0.25">
      <c r="A16929">
        <v>5</v>
      </c>
      <c r="B16929" t="s">
        <v>16809</v>
      </c>
      <c r="C16929">
        <v>7697493</v>
      </c>
      <c r="D16929" t="str">
        <f>"1878-7916"</f>
        <v>1878-7916</v>
      </c>
      <c r="E16929" t="s">
        <v>8</v>
      </c>
      <c r="F16929" t="s">
        <v>16935</v>
      </c>
      <c r="G16929">
        <v>1</v>
      </c>
    </row>
    <row r="16930" spans="1:7" x14ac:dyDescent="0.25">
      <c r="A16930">
        <v>5</v>
      </c>
      <c r="B16930" t="s">
        <v>16809</v>
      </c>
      <c r="C16930">
        <v>66870</v>
      </c>
      <c r="D16930" t="str">
        <f>"0169-0523"</f>
        <v>0169-0523</v>
      </c>
      <c r="E16930" t="s">
        <v>15</v>
      </c>
      <c r="F16930" t="s">
        <v>16936</v>
      </c>
      <c r="G16930">
        <v>1</v>
      </c>
    </row>
    <row r="16931" spans="1:7" x14ac:dyDescent="0.25">
      <c r="A16931">
        <v>5</v>
      </c>
      <c r="B16931" t="s">
        <v>16809</v>
      </c>
      <c r="C16931">
        <v>8758210</v>
      </c>
      <c r="D16931" t="str">
        <f>"2286-3893"</f>
        <v>2286-3893</v>
      </c>
      <c r="E16931" t="s">
        <v>8</v>
      </c>
      <c r="F16931" t="s">
        <v>16937</v>
      </c>
      <c r="G16931">
        <v>1</v>
      </c>
    </row>
    <row r="16932" spans="1:7" x14ac:dyDescent="0.25">
      <c r="A16932">
        <v>5</v>
      </c>
      <c r="B16932" t="s">
        <v>16809</v>
      </c>
      <c r="C16932">
        <v>7695298</v>
      </c>
      <c r="E16932" t="s">
        <v>8</v>
      </c>
      <c r="F16932" t="s">
        <v>16938</v>
      </c>
      <c r="G16932">
        <v>1</v>
      </c>
    </row>
    <row r="16933" spans="1:7" x14ac:dyDescent="0.25">
      <c r="A16933">
        <v>5</v>
      </c>
      <c r="B16933" t="s">
        <v>16809</v>
      </c>
      <c r="C16933">
        <v>6021868</v>
      </c>
      <c r="D16933" t="str">
        <f>"1877-6884"</f>
        <v>1877-6884</v>
      </c>
      <c r="E16933" t="s">
        <v>15</v>
      </c>
      <c r="F16933" t="s">
        <v>16939</v>
      </c>
      <c r="G16933">
        <v>1</v>
      </c>
    </row>
    <row r="16934" spans="1:7" x14ac:dyDescent="0.25">
      <c r="A16934">
        <v>5</v>
      </c>
      <c r="B16934" t="s">
        <v>16809</v>
      </c>
      <c r="C16934">
        <v>27295</v>
      </c>
      <c r="E16934" t="s">
        <v>8</v>
      </c>
      <c r="F16934" t="s">
        <v>16940</v>
      </c>
      <c r="G16934">
        <v>1</v>
      </c>
    </row>
    <row r="16935" spans="1:7" x14ac:dyDescent="0.25">
      <c r="A16935">
        <v>5</v>
      </c>
      <c r="B16935" t="s">
        <v>16809</v>
      </c>
      <c r="C16935">
        <v>7758210</v>
      </c>
      <c r="D16935" t="str">
        <f>"1348-8678"</f>
        <v>1348-8678</v>
      </c>
      <c r="E16935" t="s">
        <v>8</v>
      </c>
      <c r="F16935" t="s">
        <v>16941</v>
      </c>
      <c r="G16935">
        <v>1</v>
      </c>
    </row>
    <row r="16936" spans="1:7" x14ac:dyDescent="0.25">
      <c r="A16936">
        <v>5</v>
      </c>
      <c r="B16936" t="s">
        <v>16809</v>
      </c>
      <c r="C16936">
        <v>180147</v>
      </c>
      <c r="D16936" t="str">
        <f>"2308-6262"</f>
        <v>2308-6262</v>
      </c>
      <c r="E16936" t="s">
        <v>8</v>
      </c>
      <c r="F16936" t="s">
        <v>16942</v>
      </c>
      <c r="G16936">
        <v>1</v>
      </c>
    </row>
    <row r="16937" spans="1:7" x14ac:dyDescent="0.25">
      <c r="A16937">
        <v>5</v>
      </c>
      <c r="B16937" t="s">
        <v>16809</v>
      </c>
      <c r="C16937">
        <v>180123</v>
      </c>
      <c r="D16937" t="str">
        <f>"2215-1354"</f>
        <v>2215-1354</v>
      </c>
      <c r="E16937" t="s">
        <v>8</v>
      </c>
      <c r="F16937" t="s">
        <v>16943</v>
      </c>
      <c r="G16937">
        <v>1</v>
      </c>
    </row>
    <row r="16938" spans="1:7" x14ac:dyDescent="0.25">
      <c r="A16938">
        <v>5</v>
      </c>
      <c r="B16938" t="s">
        <v>16809</v>
      </c>
      <c r="C16938">
        <v>8682</v>
      </c>
      <c r="D16938" t="str">
        <f>"0726-8602"</f>
        <v>0726-8602</v>
      </c>
      <c r="E16938" t="s">
        <v>8</v>
      </c>
      <c r="F16938" t="s">
        <v>16944</v>
      </c>
      <c r="G16938">
        <v>1</v>
      </c>
    </row>
    <row r="16939" spans="1:7" x14ac:dyDescent="0.25">
      <c r="A16939">
        <v>5</v>
      </c>
      <c r="B16939" t="s">
        <v>16809</v>
      </c>
      <c r="C16939">
        <v>27482</v>
      </c>
      <c r="D16939" t="str">
        <f>"0155-0640"</f>
        <v>0155-0640</v>
      </c>
      <c r="E16939" t="s">
        <v>8</v>
      </c>
      <c r="F16939" t="s">
        <v>16945</v>
      </c>
      <c r="G16939">
        <v>1</v>
      </c>
    </row>
    <row r="16940" spans="1:7" x14ac:dyDescent="0.25">
      <c r="A16940">
        <v>5</v>
      </c>
      <c r="B16940" t="s">
        <v>16809</v>
      </c>
      <c r="C16940">
        <v>8779276</v>
      </c>
      <c r="D16940" t="str">
        <f>"2396-9415"</f>
        <v>2396-9415</v>
      </c>
      <c r="E16940" t="s">
        <v>8</v>
      </c>
      <c r="F16940" t="s">
        <v>16946</v>
      </c>
      <c r="G16940">
        <v>1</v>
      </c>
    </row>
    <row r="16941" spans="1:7" x14ac:dyDescent="0.25">
      <c r="A16941">
        <v>5</v>
      </c>
      <c r="B16941" t="s">
        <v>16809</v>
      </c>
      <c r="C16941">
        <v>20255</v>
      </c>
      <c r="D16941" t="str">
        <f>"1122-1151"</f>
        <v>1122-1151</v>
      </c>
      <c r="E16941" t="s">
        <v>8</v>
      </c>
      <c r="F16941" t="s">
        <v>16947</v>
      </c>
      <c r="G16941">
        <v>1</v>
      </c>
    </row>
    <row r="16942" spans="1:7" x14ac:dyDescent="0.25">
      <c r="A16942">
        <v>5</v>
      </c>
      <c r="B16942" t="s">
        <v>16809</v>
      </c>
      <c r="C16942">
        <v>1162</v>
      </c>
      <c r="D16942" t="str">
        <f>"0939-2815"</f>
        <v>0939-2815</v>
      </c>
      <c r="E16942" t="s">
        <v>8</v>
      </c>
      <c r="F16942" t="s">
        <v>16948</v>
      </c>
      <c r="G16942">
        <v>1</v>
      </c>
    </row>
    <row r="16943" spans="1:7" x14ac:dyDescent="0.25">
      <c r="A16943">
        <v>5</v>
      </c>
      <c r="B16943" t="s">
        <v>16809</v>
      </c>
      <c r="C16943">
        <v>8627</v>
      </c>
      <c r="D16943" t="str">
        <f>"0005-8114"</f>
        <v>0005-8114</v>
      </c>
      <c r="E16943" t="s">
        <v>8</v>
      </c>
      <c r="F16943" t="s">
        <v>16949</v>
      </c>
      <c r="G16943">
        <v>1</v>
      </c>
    </row>
    <row r="16944" spans="1:7" x14ac:dyDescent="0.25">
      <c r="A16944">
        <v>5</v>
      </c>
      <c r="B16944" t="s">
        <v>16809</v>
      </c>
      <c r="C16944">
        <v>11971</v>
      </c>
      <c r="D16944" t="str">
        <f>"0774-5141"</f>
        <v>0774-5141</v>
      </c>
      <c r="E16944" t="s">
        <v>8</v>
      </c>
      <c r="F16944" t="s">
        <v>16950</v>
      </c>
      <c r="G16944">
        <v>1</v>
      </c>
    </row>
    <row r="16945" spans="1:7" x14ac:dyDescent="0.25">
      <c r="A16945">
        <v>5</v>
      </c>
      <c r="B16945" t="s">
        <v>16809</v>
      </c>
      <c r="C16945">
        <v>7701829</v>
      </c>
      <c r="D16945" t="str">
        <f>"2013-6196"</f>
        <v>2013-6196</v>
      </c>
      <c r="E16945" t="s">
        <v>8</v>
      </c>
      <c r="F16945" t="s">
        <v>16951</v>
      </c>
      <c r="G16945">
        <v>1</v>
      </c>
    </row>
    <row r="16946" spans="1:7" x14ac:dyDescent="0.25">
      <c r="A16946">
        <v>5</v>
      </c>
      <c r="B16946" t="s">
        <v>16809</v>
      </c>
      <c r="C16946">
        <v>7714941</v>
      </c>
      <c r="E16946" t="s">
        <v>15</v>
      </c>
      <c r="F16946" t="s">
        <v>16952</v>
      </c>
      <c r="G16946">
        <v>1</v>
      </c>
    </row>
    <row r="16947" spans="1:7" x14ac:dyDescent="0.25">
      <c r="A16947">
        <v>5</v>
      </c>
      <c r="B16947" t="s">
        <v>16809</v>
      </c>
      <c r="C16947">
        <v>119872</v>
      </c>
      <c r="D16947" t="str">
        <f>"0893-6935"</f>
        <v>0893-6935</v>
      </c>
      <c r="E16947" t="s">
        <v>15</v>
      </c>
      <c r="F16947" t="s">
        <v>16953</v>
      </c>
      <c r="G16947">
        <v>1</v>
      </c>
    </row>
    <row r="16948" spans="1:7" x14ac:dyDescent="0.25">
      <c r="A16948">
        <v>5</v>
      </c>
      <c r="B16948" t="s">
        <v>16809</v>
      </c>
      <c r="C16948">
        <v>3160</v>
      </c>
      <c r="D16948" t="str">
        <f>"0363-2946"</f>
        <v>0363-2946</v>
      </c>
      <c r="E16948" t="s">
        <v>8</v>
      </c>
      <c r="F16948" t="s">
        <v>16954</v>
      </c>
      <c r="G16948">
        <v>1</v>
      </c>
    </row>
    <row r="16949" spans="1:7" x14ac:dyDescent="0.25">
      <c r="A16949">
        <v>5</v>
      </c>
      <c r="B16949" t="s">
        <v>16809</v>
      </c>
      <c r="C16949">
        <v>36053</v>
      </c>
      <c r="D16949" t="str">
        <f>"1218-8727"</f>
        <v>1218-8727</v>
      </c>
      <c r="E16949" t="s">
        <v>8</v>
      </c>
      <c r="F16949" t="s">
        <v>16955</v>
      </c>
      <c r="G16949">
        <v>1</v>
      </c>
    </row>
    <row r="16950" spans="1:7" x14ac:dyDescent="0.25">
      <c r="A16950">
        <v>5</v>
      </c>
      <c r="B16950" t="s">
        <v>16809</v>
      </c>
      <c r="C16950">
        <v>374</v>
      </c>
      <c r="D16950" t="str">
        <f>"1523-5882"</f>
        <v>1523-5882</v>
      </c>
      <c r="E16950" t="s">
        <v>8</v>
      </c>
      <c r="F16950" t="s">
        <v>16956</v>
      </c>
      <c r="G16950">
        <v>1</v>
      </c>
    </row>
    <row r="16951" spans="1:7" x14ac:dyDescent="0.25">
      <c r="A16951">
        <v>5</v>
      </c>
      <c r="B16951" t="s">
        <v>16809</v>
      </c>
      <c r="C16951">
        <v>27127</v>
      </c>
      <c r="D16951" t="str">
        <f>"1450-3417"</f>
        <v>1450-3417</v>
      </c>
      <c r="E16951" t="s">
        <v>8</v>
      </c>
      <c r="F16951" t="s">
        <v>16957</v>
      </c>
      <c r="G16951">
        <v>1</v>
      </c>
    </row>
    <row r="16952" spans="1:7" x14ac:dyDescent="0.25">
      <c r="A16952">
        <v>5</v>
      </c>
      <c r="B16952" t="s">
        <v>16809</v>
      </c>
      <c r="C16952">
        <v>180128</v>
      </c>
      <c r="E16952" t="s">
        <v>15</v>
      </c>
      <c r="F16952" t="s">
        <v>16958</v>
      </c>
      <c r="G16952">
        <v>1</v>
      </c>
    </row>
    <row r="16953" spans="1:7" x14ac:dyDescent="0.25">
      <c r="A16953">
        <v>5</v>
      </c>
      <c r="B16953" t="s">
        <v>16809</v>
      </c>
      <c r="C16953">
        <v>3972</v>
      </c>
      <c r="D16953" t="str">
        <f>"0067-9674"</f>
        <v>0067-9674</v>
      </c>
      <c r="E16953" t="s">
        <v>8</v>
      </c>
      <c r="F16953" t="s">
        <v>16959</v>
      </c>
      <c r="G16953">
        <v>1</v>
      </c>
    </row>
    <row r="16954" spans="1:7" x14ac:dyDescent="0.25">
      <c r="A16954">
        <v>5</v>
      </c>
      <c r="B16954" t="s">
        <v>16809</v>
      </c>
      <c r="C16954">
        <v>6044867</v>
      </c>
      <c r="D16954" t="str">
        <f>"1876-6633"</f>
        <v>1876-6633</v>
      </c>
      <c r="E16954" t="s">
        <v>8</v>
      </c>
      <c r="F16954" t="s">
        <v>16960</v>
      </c>
      <c r="G16954">
        <v>1</v>
      </c>
    </row>
    <row r="16955" spans="1:7" x14ac:dyDescent="0.25">
      <c r="A16955">
        <v>5</v>
      </c>
      <c r="B16955" t="s">
        <v>16809</v>
      </c>
      <c r="C16955">
        <v>7705265</v>
      </c>
      <c r="D16955" t="str">
        <f>"1879-629X"</f>
        <v>1879-629X</v>
      </c>
      <c r="E16955" t="s">
        <v>15</v>
      </c>
      <c r="F16955" t="s">
        <v>16961</v>
      </c>
      <c r="G16955">
        <v>1</v>
      </c>
    </row>
    <row r="16956" spans="1:7" x14ac:dyDescent="0.25">
      <c r="A16956">
        <v>5</v>
      </c>
      <c r="B16956" t="s">
        <v>16809</v>
      </c>
      <c r="C16956">
        <v>170029</v>
      </c>
      <c r="D16956" t="str">
        <f>"2211-4904"</f>
        <v>2211-4904</v>
      </c>
      <c r="E16956" t="s">
        <v>15</v>
      </c>
      <c r="F16956" t="s">
        <v>16962</v>
      </c>
      <c r="G16956">
        <v>1</v>
      </c>
    </row>
    <row r="16957" spans="1:7" x14ac:dyDescent="0.25">
      <c r="A16957">
        <v>5</v>
      </c>
      <c r="B16957" t="s">
        <v>16809</v>
      </c>
      <c r="C16957">
        <v>7698645</v>
      </c>
      <c r="D16957" t="str">
        <f>"1875-6328"</f>
        <v>1875-6328</v>
      </c>
      <c r="E16957" t="s">
        <v>15</v>
      </c>
      <c r="F16957" t="s">
        <v>16963</v>
      </c>
      <c r="G16957">
        <v>1</v>
      </c>
    </row>
    <row r="16958" spans="1:7" x14ac:dyDescent="0.25">
      <c r="A16958">
        <v>5</v>
      </c>
      <c r="B16958" t="s">
        <v>16809</v>
      </c>
      <c r="C16958">
        <v>170030</v>
      </c>
      <c r="D16958" t="str">
        <f>"1879-5412"</f>
        <v>1879-5412</v>
      </c>
      <c r="E16958" t="s">
        <v>15</v>
      </c>
      <c r="F16958" t="s">
        <v>16964</v>
      </c>
      <c r="G16958">
        <v>1</v>
      </c>
    </row>
    <row r="16959" spans="1:7" x14ac:dyDescent="0.25">
      <c r="A16959">
        <v>5</v>
      </c>
      <c r="B16959" t="s">
        <v>16809</v>
      </c>
      <c r="C16959">
        <v>7705281</v>
      </c>
      <c r="D16959" t="str">
        <f>"1877-4083"</f>
        <v>1877-4083</v>
      </c>
      <c r="E16959" t="s">
        <v>15</v>
      </c>
      <c r="F16959" t="s">
        <v>16965</v>
      </c>
      <c r="G16959">
        <v>1</v>
      </c>
    </row>
    <row r="16960" spans="1:7" x14ac:dyDescent="0.25">
      <c r="A16960">
        <v>5</v>
      </c>
      <c r="B16960" t="s">
        <v>16809</v>
      </c>
      <c r="C16960">
        <v>6044882</v>
      </c>
      <c r="D16960" t="str">
        <f>"1876-5580"</f>
        <v>1876-5580</v>
      </c>
      <c r="E16960" t="s">
        <v>15</v>
      </c>
      <c r="F16960" t="s">
        <v>16966</v>
      </c>
      <c r="G16960">
        <v>1</v>
      </c>
    </row>
    <row r="16961" spans="1:7" x14ac:dyDescent="0.25">
      <c r="A16961">
        <v>5</v>
      </c>
      <c r="B16961" t="s">
        <v>16809</v>
      </c>
      <c r="C16961">
        <v>11245</v>
      </c>
      <c r="D16961" t="str">
        <f>"0037-9069"</f>
        <v>0037-9069</v>
      </c>
      <c r="E16961" t="s">
        <v>8</v>
      </c>
      <c r="F16961" t="s">
        <v>16967</v>
      </c>
      <c r="G16961">
        <v>1</v>
      </c>
    </row>
    <row r="16962" spans="1:7" x14ac:dyDescent="0.25">
      <c r="A16962">
        <v>5</v>
      </c>
      <c r="B16962" t="s">
        <v>16809</v>
      </c>
      <c r="C16962">
        <v>7788</v>
      </c>
      <c r="D16962" t="str">
        <f>"1023-2044"</f>
        <v>1023-2044</v>
      </c>
      <c r="E16962" t="s">
        <v>8</v>
      </c>
      <c r="F16962" t="s">
        <v>16968</v>
      </c>
      <c r="G16962">
        <v>1</v>
      </c>
    </row>
    <row r="16963" spans="1:7" x14ac:dyDescent="0.25">
      <c r="A16963">
        <v>5</v>
      </c>
      <c r="B16963" t="s">
        <v>16809</v>
      </c>
      <c r="C16963">
        <v>7701468</v>
      </c>
      <c r="D16963" t="str">
        <f>"1946-7095"</f>
        <v>1946-7095</v>
      </c>
      <c r="E16963" t="s">
        <v>8</v>
      </c>
      <c r="F16963" t="s">
        <v>16969</v>
      </c>
      <c r="G16963">
        <v>1</v>
      </c>
    </row>
    <row r="16964" spans="1:7" x14ac:dyDescent="0.25">
      <c r="A16964">
        <v>5</v>
      </c>
      <c r="B16964" t="s">
        <v>16809</v>
      </c>
      <c r="C16964">
        <v>6225</v>
      </c>
      <c r="E16964" t="s">
        <v>8</v>
      </c>
      <c r="F16964" t="s">
        <v>16970</v>
      </c>
      <c r="G16964">
        <v>1</v>
      </c>
    </row>
    <row r="16965" spans="1:7" x14ac:dyDescent="0.25">
      <c r="A16965">
        <v>5</v>
      </c>
      <c r="B16965" t="s">
        <v>16809</v>
      </c>
      <c r="C16965">
        <v>8449</v>
      </c>
      <c r="D16965" t="str">
        <f>"0007-9871"</f>
        <v>0007-9871</v>
      </c>
      <c r="E16965" t="s">
        <v>8</v>
      </c>
      <c r="F16965" t="s">
        <v>16971</v>
      </c>
      <c r="G16965">
        <v>1</v>
      </c>
    </row>
    <row r="16966" spans="1:7" x14ac:dyDescent="0.25">
      <c r="A16966">
        <v>5</v>
      </c>
      <c r="B16966" t="s">
        <v>16809</v>
      </c>
      <c r="C16966">
        <v>24390</v>
      </c>
      <c r="D16966" t="str">
        <f>"2032-2356"</f>
        <v>2032-2356</v>
      </c>
      <c r="E16966" t="s">
        <v>8</v>
      </c>
      <c r="F16966" t="s">
        <v>16972</v>
      </c>
      <c r="G16966">
        <v>1</v>
      </c>
    </row>
    <row r="16967" spans="1:7" x14ac:dyDescent="0.25">
      <c r="A16967">
        <v>5</v>
      </c>
      <c r="B16967" t="s">
        <v>16809</v>
      </c>
      <c r="C16967">
        <v>121065</v>
      </c>
      <c r="D16967" t="str">
        <f>"0068-516X"</f>
        <v>0068-516X</v>
      </c>
      <c r="E16967" t="s">
        <v>8</v>
      </c>
      <c r="F16967" t="s">
        <v>16973</v>
      </c>
      <c r="G16967">
        <v>1</v>
      </c>
    </row>
    <row r="16968" spans="1:7" x14ac:dyDescent="0.25">
      <c r="A16968">
        <v>5</v>
      </c>
      <c r="B16968" t="s">
        <v>16809</v>
      </c>
      <c r="C16968">
        <v>25193</v>
      </c>
      <c r="D16968" t="str">
        <f>"0742-7778"</f>
        <v>0742-7778</v>
      </c>
      <c r="E16968" t="s">
        <v>8</v>
      </c>
      <c r="F16968" t="s">
        <v>16974</v>
      </c>
      <c r="G16968">
        <v>1</v>
      </c>
    </row>
    <row r="16969" spans="1:7" x14ac:dyDescent="0.25">
      <c r="A16969">
        <v>5</v>
      </c>
      <c r="B16969" t="s">
        <v>16809</v>
      </c>
      <c r="C16969">
        <v>6053176</v>
      </c>
      <c r="E16969" t="s">
        <v>15</v>
      </c>
      <c r="F16969" t="s">
        <v>16975</v>
      </c>
      <c r="G16969">
        <v>1</v>
      </c>
    </row>
    <row r="16970" spans="1:7" x14ac:dyDescent="0.25">
      <c r="A16970">
        <v>5</v>
      </c>
      <c r="B16970" t="s">
        <v>16809</v>
      </c>
      <c r="C16970">
        <v>6053177</v>
      </c>
      <c r="E16970" t="s">
        <v>15</v>
      </c>
      <c r="F16970" t="s">
        <v>16976</v>
      </c>
      <c r="G16970">
        <v>1</v>
      </c>
    </row>
    <row r="16971" spans="1:7" x14ac:dyDescent="0.25">
      <c r="A16971">
        <v>5</v>
      </c>
      <c r="B16971" t="s">
        <v>16809</v>
      </c>
      <c r="C16971">
        <v>8783647</v>
      </c>
      <c r="E16971" t="s">
        <v>15</v>
      </c>
      <c r="F16971" t="s">
        <v>16977</v>
      </c>
      <c r="G16971">
        <v>1</v>
      </c>
    </row>
    <row r="16972" spans="1:7" x14ac:dyDescent="0.25">
      <c r="A16972">
        <v>5</v>
      </c>
      <c r="B16972" t="s">
        <v>16809</v>
      </c>
      <c r="C16972">
        <v>6053213</v>
      </c>
      <c r="E16972" t="s">
        <v>15</v>
      </c>
      <c r="F16972" t="s">
        <v>16978</v>
      </c>
      <c r="G16972">
        <v>1</v>
      </c>
    </row>
    <row r="16973" spans="1:7" x14ac:dyDescent="0.25">
      <c r="A16973">
        <v>5</v>
      </c>
      <c r="B16973" t="s">
        <v>16809</v>
      </c>
      <c r="C16973">
        <v>42889</v>
      </c>
      <c r="D16973" t="str">
        <f>"0068-676X"</f>
        <v>0068-676X</v>
      </c>
      <c r="E16973" t="s">
        <v>15</v>
      </c>
      <c r="F16973" t="s">
        <v>16979</v>
      </c>
      <c r="G16973">
        <v>1</v>
      </c>
    </row>
    <row r="16974" spans="1:7" x14ac:dyDescent="0.25">
      <c r="A16974">
        <v>5</v>
      </c>
      <c r="B16974" t="s">
        <v>16809</v>
      </c>
      <c r="C16974">
        <v>6053303</v>
      </c>
      <c r="E16974" t="s">
        <v>15</v>
      </c>
      <c r="F16974" t="s">
        <v>16980</v>
      </c>
      <c r="G16974">
        <v>1</v>
      </c>
    </row>
    <row r="16975" spans="1:7" x14ac:dyDescent="0.25">
      <c r="A16975">
        <v>5</v>
      </c>
      <c r="B16975" t="s">
        <v>16809</v>
      </c>
      <c r="C16975">
        <v>19027</v>
      </c>
      <c r="D16975" t="str">
        <f>"1481-868X"</f>
        <v>1481-868X</v>
      </c>
      <c r="E16975" t="s">
        <v>8</v>
      </c>
      <c r="F16975" t="s">
        <v>16981</v>
      </c>
      <c r="G16975">
        <v>1</v>
      </c>
    </row>
    <row r="16976" spans="1:7" x14ac:dyDescent="0.25">
      <c r="A16976">
        <v>5</v>
      </c>
      <c r="B16976" t="s">
        <v>16809</v>
      </c>
      <c r="C16976">
        <v>5162</v>
      </c>
      <c r="D16976" t="str">
        <f>"0008-4131"</f>
        <v>0008-4131</v>
      </c>
      <c r="E16976" t="s">
        <v>8</v>
      </c>
      <c r="F16976" t="s">
        <v>16982</v>
      </c>
      <c r="G16976">
        <v>1</v>
      </c>
    </row>
    <row r="16977" spans="1:7" x14ac:dyDescent="0.25">
      <c r="A16977">
        <v>5</v>
      </c>
      <c r="B16977" t="s">
        <v>16809</v>
      </c>
      <c r="C16977">
        <v>131050</v>
      </c>
      <c r="D16977" t="str">
        <f>"0008-7386"</f>
        <v>0008-7386</v>
      </c>
      <c r="E16977" t="s">
        <v>8</v>
      </c>
      <c r="F16977" t="s">
        <v>16983</v>
      </c>
      <c r="G16977">
        <v>1</v>
      </c>
    </row>
    <row r="16978" spans="1:7" x14ac:dyDescent="0.25">
      <c r="A16978">
        <v>5</v>
      </c>
      <c r="B16978" t="s">
        <v>16809</v>
      </c>
      <c r="C16978">
        <v>15063</v>
      </c>
      <c r="D16978" t="str">
        <f>"1695-6885"</f>
        <v>1695-6885</v>
      </c>
      <c r="E16978" t="s">
        <v>8</v>
      </c>
      <c r="F16978" t="s">
        <v>16984</v>
      </c>
      <c r="G16978">
        <v>1</v>
      </c>
    </row>
    <row r="16979" spans="1:7" x14ac:dyDescent="0.25">
      <c r="A16979">
        <v>5</v>
      </c>
      <c r="B16979" t="s">
        <v>16809</v>
      </c>
      <c r="C16979">
        <v>7718266</v>
      </c>
      <c r="D16979" t="str">
        <f>"2193-2263"</f>
        <v>2193-2263</v>
      </c>
      <c r="E16979" t="s">
        <v>8</v>
      </c>
      <c r="F16979" t="s">
        <v>16985</v>
      </c>
      <c r="G16979">
        <v>1</v>
      </c>
    </row>
    <row r="16980" spans="1:7" x14ac:dyDescent="0.25">
      <c r="A16980">
        <v>5</v>
      </c>
      <c r="B16980" t="s">
        <v>16809</v>
      </c>
      <c r="C16980">
        <v>153850</v>
      </c>
      <c r="D16980" t="str">
        <f>"2192-9505"</f>
        <v>2192-9505</v>
      </c>
      <c r="E16980" t="s">
        <v>8</v>
      </c>
      <c r="F16980" t="s">
        <v>16986</v>
      </c>
      <c r="G16980">
        <v>1</v>
      </c>
    </row>
    <row r="16981" spans="1:7" x14ac:dyDescent="0.25">
      <c r="A16981">
        <v>5</v>
      </c>
      <c r="B16981" t="s">
        <v>16809</v>
      </c>
      <c r="C16981">
        <v>6062845</v>
      </c>
      <c r="D16981" t="str">
        <f>"1877-7031"</f>
        <v>1877-7031</v>
      </c>
      <c r="E16981" t="s">
        <v>8</v>
      </c>
      <c r="F16981" t="s">
        <v>16987</v>
      </c>
      <c r="G16981">
        <v>1</v>
      </c>
    </row>
    <row r="16982" spans="1:7" x14ac:dyDescent="0.25">
      <c r="A16982">
        <v>5</v>
      </c>
      <c r="B16982" t="s">
        <v>16809</v>
      </c>
      <c r="C16982">
        <v>8766985</v>
      </c>
      <c r="E16982" t="s">
        <v>8</v>
      </c>
      <c r="F16982" t="s">
        <v>16988</v>
      </c>
      <c r="G16982">
        <v>1</v>
      </c>
    </row>
    <row r="16983" spans="1:7" x14ac:dyDescent="0.25">
      <c r="A16983">
        <v>5</v>
      </c>
      <c r="B16983" t="s">
        <v>16809</v>
      </c>
      <c r="C16983">
        <v>13063</v>
      </c>
      <c r="E16983" t="s">
        <v>8</v>
      </c>
      <c r="F16983" t="s">
        <v>16989</v>
      </c>
      <c r="G16983">
        <v>1</v>
      </c>
    </row>
    <row r="16984" spans="1:7" x14ac:dyDescent="0.25">
      <c r="A16984">
        <v>5</v>
      </c>
      <c r="B16984" t="s">
        <v>16809</v>
      </c>
      <c r="C16984">
        <v>7686972</v>
      </c>
      <c r="D16984" t="str">
        <f>"1946-3014"</f>
        <v>1946-3014</v>
      </c>
      <c r="E16984" t="s">
        <v>8</v>
      </c>
      <c r="F16984" t="s">
        <v>16990</v>
      </c>
      <c r="G16984">
        <v>1</v>
      </c>
    </row>
    <row r="16985" spans="1:7" x14ac:dyDescent="0.25">
      <c r="A16985">
        <v>5</v>
      </c>
      <c r="B16985" t="s">
        <v>16809</v>
      </c>
      <c r="C16985">
        <v>7706335</v>
      </c>
      <c r="E16985" t="s">
        <v>8</v>
      </c>
      <c r="F16985" t="s">
        <v>16991</v>
      </c>
      <c r="G16985">
        <v>1</v>
      </c>
    </row>
    <row r="16986" spans="1:7" x14ac:dyDescent="0.25">
      <c r="A16986">
        <v>5</v>
      </c>
      <c r="B16986" t="s">
        <v>16809</v>
      </c>
      <c r="C16986">
        <v>7749016</v>
      </c>
      <c r="D16986" t="str">
        <f>"2213-8722"</f>
        <v>2213-8722</v>
      </c>
      <c r="E16986" t="s">
        <v>8</v>
      </c>
      <c r="F16986" t="s">
        <v>16992</v>
      </c>
      <c r="G16986">
        <v>1</v>
      </c>
    </row>
    <row r="16987" spans="1:7" x14ac:dyDescent="0.25">
      <c r="A16987">
        <v>5</v>
      </c>
      <c r="B16987" t="s">
        <v>16809</v>
      </c>
      <c r="C16987">
        <v>7714343</v>
      </c>
      <c r="D16987" t="str">
        <f>"1879-8047"</f>
        <v>1879-8047</v>
      </c>
      <c r="E16987" t="s">
        <v>15</v>
      </c>
      <c r="F16987" t="s">
        <v>16993</v>
      </c>
      <c r="G16987">
        <v>1</v>
      </c>
    </row>
    <row r="16988" spans="1:7" x14ac:dyDescent="0.25">
      <c r="A16988">
        <v>5</v>
      </c>
      <c r="B16988" t="s">
        <v>16809</v>
      </c>
      <c r="C16988">
        <v>60400</v>
      </c>
      <c r="D16988" t="str">
        <f>"1861-4132"</f>
        <v>1861-4132</v>
      </c>
      <c r="E16988" t="s">
        <v>15</v>
      </c>
      <c r="F16988" t="s">
        <v>16994</v>
      </c>
      <c r="G16988">
        <v>1</v>
      </c>
    </row>
    <row r="16989" spans="1:7" x14ac:dyDescent="0.25">
      <c r="A16989">
        <v>5</v>
      </c>
      <c r="B16989" t="s">
        <v>16809</v>
      </c>
      <c r="C16989">
        <v>7708393</v>
      </c>
      <c r="D16989" t="str">
        <f>"2035-391X"</f>
        <v>2035-391X</v>
      </c>
      <c r="E16989" t="s">
        <v>8</v>
      </c>
      <c r="F16989" t="s">
        <v>16995</v>
      </c>
      <c r="G16989">
        <v>1</v>
      </c>
    </row>
    <row r="16990" spans="1:7" x14ac:dyDescent="0.25">
      <c r="A16990">
        <v>5</v>
      </c>
      <c r="B16990" t="s">
        <v>16809</v>
      </c>
      <c r="C16990">
        <v>7758205</v>
      </c>
      <c r="D16990" t="str">
        <f>"2352-6408"</f>
        <v>2352-6408</v>
      </c>
      <c r="E16990" t="s">
        <v>8</v>
      </c>
      <c r="F16990" t="s">
        <v>16996</v>
      </c>
      <c r="G16990">
        <v>1</v>
      </c>
    </row>
    <row r="16991" spans="1:7" x14ac:dyDescent="0.25">
      <c r="A16991">
        <v>5</v>
      </c>
      <c r="B16991" t="s">
        <v>16809</v>
      </c>
      <c r="C16991">
        <v>23930</v>
      </c>
      <c r="D16991" t="str">
        <f>"0378-0880"</f>
        <v>0378-0880</v>
      </c>
      <c r="E16991" t="s">
        <v>8</v>
      </c>
      <c r="F16991" t="s">
        <v>16997</v>
      </c>
      <c r="G16991">
        <v>1</v>
      </c>
    </row>
    <row r="16992" spans="1:7" x14ac:dyDescent="0.25">
      <c r="A16992">
        <v>5</v>
      </c>
      <c r="B16992" t="s">
        <v>16809</v>
      </c>
      <c r="C16992">
        <v>180133</v>
      </c>
      <c r="D16992" t="str">
        <f>"1810-7478"</f>
        <v>1810-7478</v>
      </c>
      <c r="E16992" t="s">
        <v>8</v>
      </c>
      <c r="F16992" t="s">
        <v>16998</v>
      </c>
      <c r="G16992">
        <v>1</v>
      </c>
    </row>
    <row r="16993" spans="1:7" x14ac:dyDescent="0.25">
      <c r="A16993">
        <v>5</v>
      </c>
      <c r="B16993" t="s">
        <v>16809</v>
      </c>
      <c r="C16993">
        <v>67692</v>
      </c>
      <c r="D16993" t="str">
        <f>"1876-1933"</f>
        <v>1876-1933</v>
      </c>
      <c r="E16993" t="s">
        <v>8</v>
      </c>
      <c r="F16993" t="s">
        <v>16999</v>
      </c>
      <c r="G16993">
        <v>1</v>
      </c>
    </row>
    <row r="16994" spans="1:7" x14ac:dyDescent="0.25">
      <c r="A16994">
        <v>5</v>
      </c>
      <c r="B16994" t="s">
        <v>16809</v>
      </c>
      <c r="C16994">
        <v>16184</v>
      </c>
      <c r="D16994" t="str">
        <f>"1566-7774"</f>
        <v>1566-7774</v>
      </c>
      <c r="E16994" t="s">
        <v>15</v>
      </c>
      <c r="F16994" t="s">
        <v>17000</v>
      </c>
      <c r="G16994">
        <v>1</v>
      </c>
    </row>
    <row r="16995" spans="1:7" x14ac:dyDescent="0.25">
      <c r="A16995">
        <v>5</v>
      </c>
      <c r="B16995" t="s">
        <v>16809</v>
      </c>
      <c r="C16995">
        <v>88738</v>
      </c>
      <c r="D16995" t="str">
        <f>"1399-5308 "</f>
        <v xml:space="preserve">1399-5308 </v>
      </c>
      <c r="E16995" t="s">
        <v>15</v>
      </c>
      <c r="F16995" t="s">
        <v>17001</v>
      </c>
      <c r="G16995">
        <v>1</v>
      </c>
    </row>
    <row r="16996" spans="1:7" x14ac:dyDescent="0.25">
      <c r="A16996">
        <v>5</v>
      </c>
      <c r="B16996" t="s">
        <v>16809</v>
      </c>
      <c r="C16996">
        <v>118008</v>
      </c>
      <c r="D16996" t="str">
        <f>"1749-5032"</f>
        <v>1749-5032</v>
      </c>
      <c r="E16996" t="s">
        <v>8</v>
      </c>
      <c r="F16996" t="s">
        <v>17002</v>
      </c>
      <c r="G16996">
        <v>1</v>
      </c>
    </row>
    <row r="16997" spans="1:7" x14ac:dyDescent="0.25">
      <c r="A16997">
        <v>5</v>
      </c>
      <c r="B16997" t="s">
        <v>16809</v>
      </c>
      <c r="C16997">
        <v>180173</v>
      </c>
      <c r="D16997" t="str">
        <f>"1638-9808"</f>
        <v>1638-9808</v>
      </c>
      <c r="E16997" t="s">
        <v>8</v>
      </c>
      <c r="F16997" t="s">
        <v>17003</v>
      </c>
      <c r="G16997">
        <v>1</v>
      </c>
    </row>
    <row r="16998" spans="1:7" x14ac:dyDescent="0.25">
      <c r="A16998">
        <v>5</v>
      </c>
      <c r="B16998" t="s">
        <v>16809</v>
      </c>
      <c r="C16998">
        <v>10936</v>
      </c>
      <c r="D16998" t="str">
        <f>"0920-9026"</f>
        <v>0920-9026</v>
      </c>
      <c r="E16998" t="s">
        <v>15</v>
      </c>
      <c r="F16998" t="s">
        <v>17004</v>
      </c>
      <c r="G16998">
        <v>1</v>
      </c>
    </row>
    <row r="16999" spans="1:7" x14ac:dyDescent="0.25">
      <c r="A16999">
        <v>5</v>
      </c>
      <c r="B16999" t="s">
        <v>16809</v>
      </c>
      <c r="C16999">
        <v>25858</v>
      </c>
      <c r="D16999" t="str">
        <f>"1542-7587"</f>
        <v>1542-7587</v>
      </c>
      <c r="E16999" t="s">
        <v>8</v>
      </c>
      <c r="F16999" t="s">
        <v>17005</v>
      </c>
      <c r="G16999">
        <v>1</v>
      </c>
    </row>
    <row r="17000" spans="1:7" x14ac:dyDescent="0.25">
      <c r="A17000">
        <v>5</v>
      </c>
      <c r="B17000" t="s">
        <v>16809</v>
      </c>
      <c r="C17000">
        <v>7743551</v>
      </c>
      <c r="E17000" t="s">
        <v>8</v>
      </c>
      <c r="F17000" t="s">
        <v>17006</v>
      </c>
      <c r="G17000">
        <v>1</v>
      </c>
    </row>
    <row r="17001" spans="1:7" x14ac:dyDescent="0.25">
      <c r="A17001">
        <v>5</v>
      </c>
      <c r="B17001" t="s">
        <v>16809</v>
      </c>
      <c r="C17001">
        <v>1719</v>
      </c>
      <c r="E17001" t="s">
        <v>8</v>
      </c>
      <c r="F17001" t="s">
        <v>17007</v>
      </c>
      <c r="G17001">
        <v>1</v>
      </c>
    </row>
    <row r="17002" spans="1:7" x14ac:dyDescent="0.25">
      <c r="A17002">
        <v>5</v>
      </c>
      <c r="B17002" t="s">
        <v>16809</v>
      </c>
      <c r="C17002">
        <v>7758226</v>
      </c>
      <c r="E17002" t="s">
        <v>8</v>
      </c>
      <c r="F17002" t="s">
        <v>17008</v>
      </c>
      <c r="G17002">
        <v>1</v>
      </c>
    </row>
    <row r="17003" spans="1:7" x14ac:dyDescent="0.25">
      <c r="A17003">
        <v>5</v>
      </c>
      <c r="B17003" t="s">
        <v>16809</v>
      </c>
      <c r="C17003">
        <v>8782638</v>
      </c>
      <c r="D17003" t="str">
        <f>"2520-145X"</f>
        <v>2520-145X</v>
      </c>
      <c r="E17003" t="s">
        <v>15</v>
      </c>
      <c r="F17003" t="s">
        <v>17009</v>
      </c>
      <c r="G17003">
        <v>1</v>
      </c>
    </row>
    <row r="17004" spans="1:7" x14ac:dyDescent="0.25">
      <c r="A17004">
        <v>5</v>
      </c>
      <c r="B17004" t="s">
        <v>16809</v>
      </c>
      <c r="C17004">
        <v>7714350</v>
      </c>
      <c r="D17004" t="str">
        <f>"1879-5838"</f>
        <v>1879-5838</v>
      </c>
      <c r="E17004" t="s">
        <v>15</v>
      </c>
      <c r="F17004" t="s">
        <v>17010</v>
      </c>
      <c r="G17004">
        <v>1</v>
      </c>
    </row>
    <row r="17005" spans="1:7" x14ac:dyDescent="0.25">
      <c r="A17005">
        <v>5</v>
      </c>
      <c r="B17005" t="s">
        <v>16809</v>
      </c>
      <c r="C17005">
        <v>15540</v>
      </c>
      <c r="D17005" t="str">
        <f>"1466-4208"</f>
        <v>1466-4208</v>
      </c>
      <c r="E17005" t="s">
        <v>8</v>
      </c>
      <c r="F17005" t="s">
        <v>17011</v>
      </c>
      <c r="G17005">
        <v>1</v>
      </c>
    </row>
    <row r="17006" spans="1:7" x14ac:dyDescent="0.25">
      <c r="A17006">
        <v>5</v>
      </c>
      <c r="B17006" t="s">
        <v>16809</v>
      </c>
      <c r="C17006">
        <v>14926</v>
      </c>
      <c r="D17006" t="str">
        <f>"0304-0763"</f>
        <v>0304-0763</v>
      </c>
      <c r="E17006" t="s">
        <v>15</v>
      </c>
      <c r="F17006" t="s">
        <v>17012</v>
      </c>
      <c r="G17006">
        <v>1</v>
      </c>
    </row>
    <row r="17007" spans="1:7" x14ac:dyDescent="0.25">
      <c r="A17007">
        <v>5</v>
      </c>
      <c r="B17007" t="s">
        <v>16809</v>
      </c>
      <c r="C17007">
        <v>138801</v>
      </c>
      <c r="D17007" t="str">
        <f>"1472-7870"</f>
        <v>1472-7870</v>
      </c>
      <c r="E17007" t="s">
        <v>15</v>
      </c>
      <c r="F17007" t="s">
        <v>17013</v>
      </c>
      <c r="G17007">
        <v>1</v>
      </c>
    </row>
    <row r="17008" spans="1:7" x14ac:dyDescent="0.25">
      <c r="A17008">
        <v>5</v>
      </c>
      <c r="B17008" t="s">
        <v>16809</v>
      </c>
      <c r="C17008">
        <v>26993</v>
      </c>
      <c r="D17008" t="str">
        <f>"1582-4438"</f>
        <v>1582-4438</v>
      </c>
      <c r="E17008" t="s">
        <v>8</v>
      </c>
      <c r="F17008" t="s">
        <v>17014</v>
      </c>
      <c r="G17008">
        <v>1</v>
      </c>
    </row>
    <row r="17009" spans="1:7" x14ac:dyDescent="0.25">
      <c r="A17009">
        <v>5</v>
      </c>
      <c r="B17009" t="s">
        <v>16809</v>
      </c>
      <c r="C17009">
        <v>129930</v>
      </c>
      <c r="D17009" t="str">
        <f>"1600-6038"</f>
        <v>1600-6038</v>
      </c>
      <c r="E17009" t="s">
        <v>8</v>
      </c>
      <c r="F17009" t="s">
        <v>17015</v>
      </c>
      <c r="G17009">
        <v>1</v>
      </c>
    </row>
    <row r="17010" spans="1:7" x14ac:dyDescent="0.25">
      <c r="A17010">
        <v>5</v>
      </c>
      <c r="B17010" t="s">
        <v>16809</v>
      </c>
      <c r="C17010">
        <v>1689</v>
      </c>
      <c r="D17010" t="str">
        <f>"0376-8163"</f>
        <v>0376-8163</v>
      </c>
      <c r="E17010" t="s">
        <v>8</v>
      </c>
      <c r="F17010" t="s">
        <v>17016</v>
      </c>
      <c r="G17010">
        <v>1</v>
      </c>
    </row>
    <row r="17011" spans="1:7" x14ac:dyDescent="0.25">
      <c r="A17011">
        <v>5</v>
      </c>
      <c r="B17011" t="s">
        <v>16809</v>
      </c>
      <c r="C17011">
        <v>7749253</v>
      </c>
      <c r="D17011" t="str">
        <f>"2192-8177"</f>
        <v>2192-8177</v>
      </c>
      <c r="E17011" t="s">
        <v>15</v>
      </c>
      <c r="F17011" t="s">
        <v>17017</v>
      </c>
      <c r="G17011">
        <v>1</v>
      </c>
    </row>
    <row r="17012" spans="1:7" x14ac:dyDescent="0.25">
      <c r="A17012">
        <v>5</v>
      </c>
      <c r="B17012" t="s">
        <v>16809</v>
      </c>
      <c r="C17012">
        <v>7700346</v>
      </c>
      <c r="E17012" t="s">
        <v>8</v>
      </c>
      <c r="F17012" t="s">
        <v>17018</v>
      </c>
      <c r="G17012">
        <v>1</v>
      </c>
    </row>
    <row r="17013" spans="1:7" x14ac:dyDescent="0.25">
      <c r="A17013">
        <v>5</v>
      </c>
      <c r="B17013" t="s">
        <v>16809</v>
      </c>
      <c r="C17013">
        <v>27320</v>
      </c>
      <c r="D17013" t="str">
        <f>"0942-4040"</f>
        <v>0942-4040</v>
      </c>
      <c r="E17013" t="s">
        <v>8</v>
      </c>
      <c r="F17013" t="s">
        <v>17019</v>
      </c>
      <c r="G17013">
        <v>1</v>
      </c>
    </row>
    <row r="17014" spans="1:7" x14ac:dyDescent="0.25">
      <c r="A17014">
        <v>5</v>
      </c>
      <c r="B17014" t="s">
        <v>16809</v>
      </c>
      <c r="C17014">
        <v>7722132</v>
      </c>
      <c r="E17014" t="s">
        <v>8</v>
      </c>
      <c r="F17014" t="s">
        <v>17020</v>
      </c>
      <c r="G17014">
        <v>1</v>
      </c>
    </row>
    <row r="17015" spans="1:7" x14ac:dyDescent="0.25">
      <c r="A17015">
        <v>5</v>
      </c>
      <c r="B17015" t="s">
        <v>16809</v>
      </c>
      <c r="C17015">
        <v>160004</v>
      </c>
      <c r="E17015" t="s">
        <v>8</v>
      </c>
      <c r="F17015" t="s">
        <v>17021</v>
      </c>
      <c r="G17015">
        <v>1</v>
      </c>
    </row>
    <row r="17016" spans="1:7" x14ac:dyDescent="0.25">
      <c r="A17016">
        <v>5</v>
      </c>
      <c r="B17016" t="s">
        <v>16809</v>
      </c>
      <c r="C17016">
        <v>8651</v>
      </c>
      <c r="D17016" t="str">
        <f>"1875-1792"</f>
        <v>1875-1792</v>
      </c>
      <c r="E17016" t="s">
        <v>15</v>
      </c>
      <c r="F17016" t="s">
        <v>17022</v>
      </c>
      <c r="G17016">
        <v>1</v>
      </c>
    </row>
    <row r="17017" spans="1:7" x14ac:dyDescent="0.25">
      <c r="A17017">
        <v>5</v>
      </c>
      <c r="B17017" t="s">
        <v>16809</v>
      </c>
      <c r="C17017">
        <v>10136</v>
      </c>
      <c r="D17017" t="str">
        <f>"0197-6745"</f>
        <v>0197-6745</v>
      </c>
      <c r="E17017" t="s">
        <v>15</v>
      </c>
      <c r="F17017" t="s">
        <v>17023</v>
      </c>
      <c r="G17017">
        <v>1</v>
      </c>
    </row>
    <row r="17018" spans="1:7" x14ac:dyDescent="0.25">
      <c r="A17018">
        <v>5</v>
      </c>
      <c r="B17018" t="s">
        <v>16809</v>
      </c>
      <c r="C17018">
        <v>80492</v>
      </c>
      <c r="E17018" t="s">
        <v>8</v>
      </c>
      <c r="F17018" t="s">
        <v>17024</v>
      </c>
      <c r="G17018">
        <v>1</v>
      </c>
    </row>
    <row r="17019" spans="1:7" x14ac:dyDescent="0.25">
      <c r="A17019">
        <v>5</v>
      </c>
      <c r="B17019" t="s">
        <v>16809</v>
      </c>
      <c r="C17019">
        <v>797</v>
      </c>
      <c r="D17019" t="str">
        <f>"0163-853X"</f>
        <v>0163-853X</v>
      </c>
      <c r="E17019" t="s">
        <v>8</v>
      </c>
      <c r="F17019" t="s">
        <v>17025</v>
      </c>
      <c r="G17019">
        <v>1</v>
      </c>
    </row>
    <row r="17020" spans="1:7" x14ac:dyDescent="0.25">
      <c r="A17020">
        <v>5</v>
      </c>
      <c r="B17020" t="s">
        <v>16809</v>
      </c>
      <c r="C17020">
        <v>7738570</v>
      </c>
      <c r="D17020" t="str">
        <f>"2211-6958"</f>
        <v>2211-6958</v>
      </c>
      <c r="E17020" t="s">
        <v>8</v>
      </c>
      <c r="F17020" t="s">
        <v>17026</v>
      </c>
      <c r="G17020">
        <v>1</v>
      </c>
    </row>
    <row r="17021" spans="1:7" x14ac:dyDescent="0.25">
      <c r="A17021">
        <v>5</v>
      </c>
      <c r="B17021" t="s">
        <v>16809</v>
      </c>
      <c r="C17021">
        <v>7744248</v>
      </c>
      <c r="E17021" t="s">
        <v>15</v>
      </c>
      <c r="F17021" t="s">
        <v>17027</v>
      </c>
      <c r="G17021">
        <v>1</v>
      </c>
    </row>
    <row r="17022" spans="1:7" x14ac:dyDescent="0.25">
      <c r="A17022">
        <v>5</v>
      </c>
      <c r="B17022" t="s">
        <v>16809</v>
      </c>
      <c r="C17022">
        <v>7717359</v>
      </c>
      <c r="D17022" t="str">
        <f>"2211-7245"</f>
        <v>2211-7245</v>
      </c>
      <c r="E17022" t="s">
        <v>8</v>
      </c>
      <c r="F17022" t="s">
        <v>17028</v>
      </c>
      <c r="G17022">
        <v>1</v>
      </c>
    </row>
    <row r="17023" spans="1:7" x14ac:dyDescent="0.25">
      <c r="A17023">
        <v>5</v>
      </c>
      <c r="B17023" t="s">
        <v>16809</v>
      </c>
      <c r="C17023">
        <v>153371</v>
      </c>
      <c r="E17023" t="s">
        <v>15</v>
      </c>
      <c r="F17023" t="s">
        <v>17029</v>
      </c>
      <c r="G17023">
        <v>1</v>
      </c>
    </row>
    <row r="17024" spans="1:7" x14ac:dyDescent="0.25">
      <c r="A17024">
        <v>5</v>
      </c>
      <c r="B17024" t="s">
        <v>16809</v>
      </c>
      <c r="C17024">
        <v>30051</v>
      </c>
      <c r="D17024" t="str">
        <f>"1736-2563"</f>
        <v>1736-2563</v>
      </c>
      <c r="E17024" t="s">
        <v>15</v>
      </c>
      <c r="F17024" t="s">
        <v>17030</v>
      </c>
      <c r="G17024">
        <v>1</v>
      </c>
    </row>
    <row r="17025" spans="1:7" x14ac:dyDescent="0.25">
      <c r="A17025">
        <v>5</v>
      </c>
      <c r="B17025" t="s">
        <v>16809</v>
      </c>
      <c r="C17025">
        <v>8782637</v>
      </c>
      <c r="D17025" t="str">
        <f>"2533-5626"</f>
        <v>2533-5626</v>
      </c>
      <c r="E17025" t="s">
        <v>15</v>
      </c>
      <c r="F17025" t="s">
        <v>17031</v>
      </c>
      <c r="G17025">
        <v>1</v>
      </c>
    </row>
    <row r="17026" spans="1:7" x14ac:dyDescent="0.25">
      <c r="A17026">
        <v>5</v>
      </c>
      <c r="B17026" t="s">
        <v>16809</v>
      </c>
      <c r="C17026">
        <v>49756</v>
      </c>
      <c r="D17026" t="str">
        <f>"0206-3735"</f>
        <v>0206-3735</v>
      </c>
      <c r="E17026" t="s">
        <v>15</v>
      </c>
      <c r="F17026" t="s">
        <v>17032</v>
      </c>
      <c r="G17026">
        <v>1</v>
      </c>
    </row>
    <row r="17027" spans="1:7" x14ac:dyDescent="0.25">
      <c r="A17027">
        <v>5</v>
      </c>
      <c r="B17027" t="s">
        <v>16809</v>
      </c>
      <c r="C17027">
        <v>7718580</v>
      </c>
      <c r="D17027" t="str">
        <f>"2210-6243"</f>
        <v>2210-6243</v>
      </c>
      <c r="E17027" t="s">
        <v>15</v>
      </c>
      <c r="F17027" t="s">
        <v>17033</v>
      </c>
      <c r="G17027">
        <v>1</v>
      </c>
    </row>
    <row r="17028" spans="1:7" x14ac:dyDescent="0.25">
      <c r="A17028">
        <v>5</v>
      </c>
      <c r="B17028" t="s">
        <v>16809</v>
      </c>
      <c r="C17028">
        <v>5177</v>
      </c>
      <c r="D17028" t="str">
        <f>"1651-6540"</f>
        <v>1651-6540</v>
      </c>
      <c r="E17028" t="s">
        <v>15</v>
      </c>
      <c r="F17028" t="s">
        <v>17034</v>
      </c>
      <c r="G17028">
        <v>1</v>
      </c>
    </row>
    <row r="17029" spans="1:7" x14ac:dyDescent="0.25">
      <c r="A17029">
        <v>5</v>
      </c>
      <c r="B17029" t="s">
        <v>16809</v>
      </c>
      <c r="C17029">
        <v>7692540</v>
      </c>
      <c r="D17029" t="str">
        <f>"1610-868X"</f>
        <v>1610-868X</v>
      </c>
      <c r="E17029" t="s">
        <v>15</v>
      </c>
      <c r="F17029" t="s">
        <v>17035</v>
      </c>
      <c r="G17029">
        <v>1</v>
      </c>
    </row>
    <row r="17030" spans="1:7" x14ac:dyDescent="0.25">
      <c r="A17030">
        <v>5</v>
      </c>
      <c r="B17030" t="s">
        <v>16809</v>
      </c>
      <c r="C17030">
        <v>6101392</v>
      </c>
      <c r="D17030" t="str">
        <f>"0265-847X"</f>
        <v>0265-847X</v>
      </c>
      <c r="E17030" t="s">
        <v>8</v>
      </c>
      <c r="F17030" t="s">
        <v>17036</v>
      </c>
      <c r="G17030">
        <v>1</v>
      </c>
    </row>
    <row r="17031" spans="1:7" x14ac:dyDescent="0.25">
      <c r="A17031">
        <v>5</v>
      </c>
      <c r="B17031" t="s">
        <v>16809</v>
      </c>
      <c r="C17031">
        <v>21667</v>
      </c>
      <c r="D17031" t="str">
        <f>"1874-8767"</f>
        <v>1874-8767</v>
      </c>
      <c r="E17031" t="s">
        <v>8</v>
      </c>
      <c r="F17031" t="s">
        <v>17037</v>
      </c>
      <c r="G17031">
        <v>1</v>
      </c>
    </row>
    <row r="17032" spans="1:7" x14ac:dyDescent="0.25">
      <c r="A17032">
        <v>5</v>
      </c>
      <c r="B17032" t="s">
        <v>16809</v>
      </c>
      <c r="C17032">
        <v>99924</v>
      </c>
      <c r="D17032" t="str">
        <f>"0779-5599"</f>
        <v>0779-5599</v>
      </c>
      <c r="E17032" t="s">
        <v>8</v>
      </c>
      <c r="F17032" t="s">
        <v>17038</v>
      </c>
      <c r="G17032">
        <v>1</v>
      </c>
    </row>
    <row r="17033" spans="1:7" x14ac:dyDescent="0.25">
      <c r="A17033">
        <v>5</v>
      </c>
      <c r="B17033" t="s">
        <v>16809</v>
      </c>
      <c r="C17033">
        <v>4135</v>
      </c>
      <c r="D17033" t="str">
        <f>"1409-245X"</f>
        <v>1409-245X</v>
      </c>
      <c r="E17033" t="s">
        <v>8</v>
      </c>
      <c r="F17033" t="s">
        <v>17039</v>
      </c>
      <c r="G17033">
        <v>1</v>
      </c>
    </row>
    <row r="17034" spans="1:7" x14ac:dyDescent="0.25">
      <c r="A17034">
        <v>5</v>
      </c>
      <c r="B17034" t="s">
        <v>16809</v>
      </c>
      <c r="C17034">
        <v>101884</v>
      </c>
      <c r="D17034" t="str">
        <f>"1139-8736"</f>
        <v>1139-8736</v>
      </c>
      <c r="E17034" t="s">
        <v>8</v>
      </c>
      <c r="F17034" t="s">
        <v>17040</v>
      </c>
      <c r="G17034">
        <v>1</v>
      </c>
    </row>
    <row r="17035" spans="1:7" x14ac:dyDescent="0.25">
      <c r="A17035">
        <v>5</v>
      </c>
      <c r="B17035" t="s">
        <v>16809</v>
      </c>
      <c r="C17035">
        <v>6104288</v>
      </c>
      <c r="D17035" t="str">
        <f>"1889-2566"</f>
        <v>1889-2566</v>
      </c>
      <c r="E17035" t="s">
        <v>8</v>
      </c>
      <c r="F17035" t="s">
        <v>17041</v>
      </c>
      <c r="G17035">
        <v>1</v>
      </c>
    </row>
    <row r="17036" spans="1:7" x14ac:dyDescent="0.25">
      <c r="A17036">
        <v>5</v>
      </c>
      <c r="B17036" t="s">
        <v>16809</v>
      </c>
      <c r="C17036">
        <v>58799</v>
      </c>
      <c r="D17036" t="str">
        <f>"0708-2398"</f>
        <v>0708-2398</v>
      </c>
      <c r="E17036" t="s">
        <v>8</v>
      </c>
      <c r="F17036" t="s">
        <v>17042</v>
      </c>
      <c r="G17036">
        <v>1</v>
      </c>
    </row>
    <row r="17037" spans="1:7" x14ac:dyDescent="0.25">
      <c r="A17037">
        <v>5</v>
      </c>
      <c r="B17037" t="s">
        <v>16809</v>
      </c>
      <c r="C17037">
        <v>146870</v>
      </c>
      <c r="D17037" t="str">
        <f>"1270-6841"</f>
        <v>1270-6841</v>
      </c>
      <c r="E17037" t="s">
        <v>15</v>
      </c>
      <c r="F17037" t="s">
        <v>17043</v>
      </c>
      <c r="G17037">
        <v>1</v>
      </c>
    </row>
    <row r="17038" spans="1:7" x14ac:dyDescent="0.25">
      <c r="A17038">
        <v>5</v>
      </c>
      <c r="B17038" t="s">
        <v>16809</v>
      </c>
      <c r="C17038">
        <v>5010002</v>
      </c>
      <c r="D17038" t="str">
        <f>"2521-7100"</f>
        <v>2521-7100</v>
      </c>
      <c r="E17038" t="s">
        <v>2100</v>
      </c>
      <c r="F17038" t="s">
        <v>17044</v>
      </c>
      <c r="G17038">
        <v>1</v>
      </c>
    </row>
    <row r="17039" spans="1:7" x14ac:dyDescent="0.25">
      <c r="A17039">
        <v>5</v>
      </c>
      <c r="B17039" t="s">
        <v>16809</v>
      </c>
      <c r="C17039">
        <v>8758212</v>
      </c>
      <c r="D17039" t="str">
        <f>"2376-905X"</f>
        <v>2376-905X</v>
      </c>
      <c r="E17039" t="s">
        <v>8</v>
      </c>
      <c r="F17039" t="s">
        <v>17045</v>
      </c>
      <c r="G17039">
        <v>1</v>
      </c>
    </row>
    <row r="17040" spans="1:7" x14ac:dyDescent="0.25">
      <c r="A17040">
        <v>5</v>
      </c>
      <c r="B17040" t="s">
        <v>16809</v>
      </c>
      <c r="C17040">
        <v>5020011</v>
      </c>
      <c r="E17040" t="s">
        <v>2100</v>
      </c>
      <c r="F17040" t="s">
        <v>17046</v>
      </c>
      <c r="G17040">
        <v>1</v>
      </c>
    </row>
    <row r="17041" spans="1:7" x14ac:dyDescent="0.25">
      <c r="A17041">
        <v>5</v>
      </c>
      <c r="B17041" t="s">
        <v>16809</v>
      </c>
      <c r="C17041">
        <v>7737850</v>
      </c>
      <c r="D17041" t="str">
        <f>"2192-9521"</f>
        <v>2192-9521</v>
      </c>
      <c r="E17041" t="s">
        <v>8</v>
      </c>
      <c r="F17041" t="s">
        <v>17047</v>
      </c>
      <c r="G17041">
        <v>1</v>
      </c>
    </row>
    <row r="17042" spans="1:7" x14ac:dyDescent="0.25">
      <c r="A17042">
        <v>5</v>
      </c>
      <c r="B17042" t="s">
        <v>16809</v>
      </c>
      <c r="C17042">
        <v>7699707</v>
      </c>
      <c r="D17042" t="str">
        <f>"1757-6822"</f>
        <v>1757-6822</v>
      </c>
      <c r="E17042" t="s">
        <v>8</v>
      </c>
      <c r="F17042" t="s">
        <v>17048</v>
      </c>
      <c r="G17042">
        <v>1</v>
      </c>
    </row>
    <row r="17043" spans="1:7" x14ac:dyDescent="0.25">
      <c r="A17043">
        <v>5</v>
      </c>
      <c r="B17043" t="s">
        <v>16809</v>
      </c>
      <c r="C17043">
        <v>76043</v>
      </c>
      <c r="D17043" t="str">
        <f>"1423-5587"</f>
        <v>1423-5587</v>
      </c>
      <c r="E17043" t="s">
        <v>15</v>
      </c>
      <c r="F17043" t="s">
        <v>17049</v>
      </c>
      <c r="G17043">
        <v>1</v>
      </c>
    </row>
    <row r="17044" spans="1:7" x14ac:dyDescent="0.25">
      <c r="A17044">
        <v>5</v>
      </c>
      <c r="B17044" t="s">
        <v>16809</v>
      </c>
      <c r="C17044">
        <v>8783166</v>
      </c>
      <c r="E17044" t="s">
        <v>2100</v>
      </c>
      <c r="F17044" t="s">
        <v>17050</v>
      </c>
      <c r="G17044">
        <v>1</v>
      </c>
    </row>
    <row r="17045" spans="1:7" x14ac:dyDescent="0.25">
      <c r="A17045">
        <v>5</v>
      </c>
      <c r="B17045" t="s">
        <v>16809</v>
      </c>
      <c r="C17045">
        <v>7758211</v>
      </c>
      <c r="D17045" t="str">
        <f>"2353-6969"</f>
        <v>2353-6969</v>
      </c>
      <c r="E17045" t="s">
        <v>8</v>
      </c>
      <c r="F17045" t="s">
        <v>17051</v>
      </c>
      <c r="G17045">
        <v>1</v>
      </c>
    </row>
    <row r="17046" spans="1:7" x14ac:dyDescent="0.25">
      <c r="A17046">
        <v>5</v>
      </c>
      <c r="B17046" t="s">
        <v>16809</v>
      </c>
      <c r="C17046">
        <v>13434</v>
      </c>
      <c r="D17046" t="str">
        <f>"1244-5460"</f>
        <v>1244-5460</v>
      </c>
      <c r="E17046" t="s">
        <v>8</v>
      </c>
      <c r="F17046" t="s">
        <v>17052</v>
      </c>
      <c r="G17046">
        <v>1</v>
      </c>
    </row>
    <row r="17047" spans="1:7" x14ac:dyDescent="0.25">
      <c r="A17047">
        <v>5</v>
      </c>
      <c r="B17047" t="s">
        <v>16809</v>
      </c>
      <c r="C17047">
        <v>180136</v>
      </c>
      <c r="E17047" t="s">
        <v>8</v>
      </c>
      <c r="F17047" t="s">
        <v>17053</v>
      </c>
      <c r="G17047">
        <v>1</v>
      </c>
    </row>
    <row r="17048" spans="1:7" x14ac:dyDescent="0.25">
      <c r="A17048">
        <v>5</v>
      </c>
      <c r="B17048" t="s">
        <v>16809</v>
      </c>
      <c r="C17048">
        <v>7132</v>
      </c>
      <c r="D17048" t="str">
        <f>"1566-0575"</f>
        <v>1566-0575</v>
      </c>
      <c r="E17048" t="s">
        <v>15</v>
      </c>
      <c r="F17048" t="s">
        <v>17054</v>
      </c>
      <c r="G17048">
        <v>1</v>
      </c>
    </row>
    <row r="17049" spans="1:7" x14ac:dyDescent="0.25">
      <c r="A17049">
        <v>5</v>
      </c>
      <c r="B17049" t="s">
        <v>16809</v>
      </c>
      <c r="C17049">
        <v>27263</v>
      </c>
      <c r="D17049" t="str">
        <f>"1330-0695"</f>
        <v>1330-0695</v>
      </c>
      <c r="E17049" t="s">
        <v>8</v>
      </c>
      <c r="F17049" t="s">
        <v>17055</v>
      </c>
      <c r="G17049">
        <v>1</v>
      </c>
    </row>
    <row r="17050" spans="1:7" x14ac:dyDescent="0.25">
      <c r="A17050">
        <v>5</v>
      </c>
      <c r="B17050" t="s">
        <v>16809</v>
      </c>
      <c r="C17050">
        <v>7288</v>
      </c>
      <c r="D17050" t="str">
        <f>"0015-718X"</f>
        <v>0015-718X</v>
      </c>
      <c r="E17050" t="s">
        <v>8</v>
      </c>
      <c r="F17050" t="s">
        <v>17056</v>
      </c>
      <c r="G17050">
        <v>1</v>
      </c>
    </row>
    <row r="17051" spans="1:7" x14ac:dyDescent="0.25">
      <c r="A17051">
        <v>5</v>
      </c>
      <c r="B17051" t="s">
        <v>16809</v>
      </c>
      <c r="C17051">
        <v>13136</v>
      </c>
      <c r="D17051" t="str">
        <f>"0178-0336"</f>
        <v>0178-0336</v>
      </c>
      <c r="E17051" t="s">
        <v>8</v>
      </c>
      <c r="F17051" t="s">
        <v>17057</v>
      </c>
      <c r="G17051">
        <v>1</v>
      </c>
    </row>
    <row r="17052" spans="1:7" x14ac:dyDescent="0.25">
      <c r="A17052">
        <v>5</v>
      </c>
      <c r="B17052" t="s">
        <v>16809</v>
      </c>
      <c r="C17052">
        <v>7758212</v>
      </c>
      <c r="D17052" t="str">
        <f>"2196-419X"</f>
        <v>2196-419X</v>
      </c>
      <c r="E17052" t="s">
        <v>8</v>
      </c>
      <c r="F17052" t="s">
        <v>17058</v>
      </c>
      <c r="G17052">
        <v>1</v>
      </c>
    </row>
    <row r="17053" spans="1:7" x14ac:dyDescent="0.25">
      <c r="A17053">
        <v>5</v>
      </c>
      <c r="B17053" t="s">
        <v>16809</v>
      </c>
      <c r="C17053">
        <v>1482</v>
      </c>
      <c r="D17053" t="str">
        <f>"1617-1837"</f>
        <v>1617-1837</v>
      </c>
      <c r="E17053" t="s">
        <v>8</v>
      </c>
      <c r="F17053" t="s">
        <v>17059</v>
      </c>
      <c r="G17053">
        <v>1</v>
      </c>
    </row>
    <row r="17054" spans="1:7" x14ac:dyDescent="0.25">
      <c r="A17054">
        <v>5</v>
      </c>
      <c r="B17054" t="s">
        <v>16809</v>
      </c>
      <c r="C17054">
        <v>7758225</v>
      </c>
      <c r="D17054" t="str">
        <f>"2246-8838"</f>
        <v>2246-8838</v>
      </c>
      <c r="E17054" t="s">
        <v>8</v>
      </c>
      <c r="F17054" t="s">
        <v>17060</v>
      </c>
      <c r="G17054">
        <v>1</v>
      </c>
    </row>
    <row r="17055" spans="1:7" x14ac:dyDescent="0.25">
      <c r="A17055">
        <v>5</v>
      </c>
      <c r="B17055" t="s">
        <v>16809</v>
      </c>
      <c r="C17055">
        <v>8778973</v>
      </c>
      <c r="E17055" t="s">
        <v>8</v>
      </c>
      <c r="F17055" t="s">
        <v>17061</v>
      </c>
      <c r="G17055">
        <v>1</v>
      </c>
    </row>
    <row r="17056" spans="1:7" x14ac:dyDescent="0.25">
      <c r="A17056">
        <v>5</v>
      </c>
      <c r="B17056" t="s">
        <v>16809</v>
      </c>
      <c r="C17056">
        <v>7758213</v>
      </c>
      <c r="D17056" t="str">
        <f>"1337-7892"</f>
        <v>1337-7892</v>
      </c>
      <c r="E17056" t="s">
        <v>8</v>
      </c>
      <c r="F17056" t="s">
        <v>17062</v>
      </c>
      <c r="G17056">
        <v>1</v>
      </c>
    </row>
    <row r="17057" spans="1:7" x14ac:dyDescent="0.25">
      <c r="A17057">
        <v>5</v>
      </c>
      <c r="B17057" t="s">
        <v>16809</v>
      </c>
      <c r="C17057">
        <v>180171</v>
      </c>
      <c r="D17057" t="str">
        <f>"1345-7365"</f>
        <v>1345-7365</v>
      </c>
      <c r="E17057" t="s">
        <v>8</v>
      </c>
      <c r="F17057" t="s">
        <v>17063</v>
      </c>
      <c r="G17057">
        <v>1</v>
      </c>
    </row>
    <row r="17058" spans="1:7" x14ac:dyDescent="0.25">
      <c r="A17058">
        <v>5</v>
      </c>
      <c r="B17058" t="s">
        <v>16809</v>
      </c>
      <c r="C17058">
        <v>7710351</v>
      </c>
      <c r="E17058" t="s">
        <v>15</v>
      </c>
      <c r="F17058" t="s">
        <v>17064</v>
      </c>
      <c r="G17058">
        <v>1</v>
      </c>
    </row>
    <row r="17059" spans="1:7" x14ac:dyDescent="0.25">
      <c r="A17059">
        <v>5</v>
      </c>
      <c r="B17059" t="s">
        <v>16809</v>
      </c>
      <c r="C17059">
        <v>44596</v>
      </c>
      <c r="D17059" t="str">
        <f>"1015-0498"</f>
        <v>1015-0498</v>
      </c>
      <c r="E17059" t="s">
        <v>8</v>
      </c>
      <c r="F17059" t="s">
        <v>17065</v>
      </c>
      <c r="G17059">
        <v>1</v>
      </c>
    </row>
    <row r="17060" spans="1:7" x14ac:dyDescent="0.25">
      <c r="A17060">
        <v>5</v>
      </c>
      <c r="B17060" t="s">
        <v>16809</v>
      </c>
      <c r="C17060">
        <v>453</v>
      </c>
      <c r="D17060" t="str">
        <f>"1571-4934"</f>
        <v>1571-4934</v>
      </c>
      <c r="E17060" t="s">
        <v>15</v>
      </c>
      <c r="F17060" t="s">
        <v>17066</v>
      </c>
      <c r="G17060">
        <v>1</v>
      </c>
    </row>
    <row r="17061" spans="1:7" x14ac:dyDescent="0.25">
      <c r="A17061">
        <v>5</v>
      </c>
      <c r="B17061" t="s">
        <v>16809</v>
      </c>
      <c r="C17061">
        <v>7717367</v>
      </c>
      <c r="D17061" t="str">
        <f>"2211-3703"</f>
        <v>2211-3703</v>
      </c>
      <c r="E17061" t="s">
        <v>15</v>
      </c>
      <c r="F17061" t="s">
        <v>17067</v>
      </c>
      <c r="G17061">
        <v>1</v>
      </c>
    </row>
    <row r="17062" spans="1:7" x14ac:dyDescent="0.25">
      <c r="A17062">
        <v>5</v>
      </c>
      <c r="B17062" t="s">
        <v>16809</v>
      </c>
      <c r="C17062">
        <v>44048</v>
      </c>
      <c r="D17062" t="str">
        <f>"1550-7076"</f>
        <v>1550-7076</v>
      </c>
      <c r="E17062" t="s">
        <v>8</v>
      </c>
      <c r="F17062" t="s">
        <v>17068</v>
      </c>
      <c r="G17062">
        <v>1</v>
      </c>
    </row>
    <row r="17063" spans="1:7" x14ac:dyDescent="0.25">
      <c r="A17063">
        <v>5</v>
      </c>
      <c r="B17063" t="s">
        <v>16809</v>
      </c>
      <c r="C17063">
        <v>27168</v>
      </c>
      <c r="D17063" t="str">
        <f>"1139-7489"</f>
        <v>1139-7489</v>
      </c>
      <c r="E17063" t="s">
        <v>8</v>
      </c>
      <c r="F17063" t="s">
        <v>17069</v>
      </c>
      <c r="G17063">
        <v>1</v>
      </c>
    </row>
    <row r="17064" spans="1:7" x14ac:dyDescent="0.25">
      <c r="A17064">
        <v>5</v>
      </c>
      <c r="B17064" t="s">
        <v>16809</v>
      </c>
      <c r="C17064">
        <v>6773</v>
      </c>
      <c r="D17064" t="str">
        <f>"0904-1699"</f>
        <v>0904-1699</v>
      </c>
      <c r="E17064" t="s">
        <v>8</v>
      </c>
      <c r="F17064" t="s">
        <v>17070</v>
      </c>
      <c r="G17064">
        <v>1</v>
      </c>
    </row>
    <row r="17065" spans="1:7" x14ac:dyDescent="0.25">
      <c r="A17065">
        <v>5</v>
      </c>
      <c r="B17065" t="s">
        <v>16809</v>
      </c>
      <c r="C17065">
        <v>977</v>
      </c>
      <c r="D17065" t="str">
        <f>"0776-2666"</f>
        <v>0776-2666</v>
      </c>
      <c r="E17065" t="s">
        <v>15</v>
      </c>
      <c r="F17065" t="s">
        <v>17071</v>
      </c>
      <c r="G17065">
        <v>1</v>
      </c>
    </row>
    <row r="17066" spans="1:7" x14ac:dyDescent="0.25">
      <c r="A17066">
        <v>5</v>
      </c>
      <c r="B17066" t="s">
        <v>16809</v>
      </c>
      <c r="C17066">
        <v>70834</v>
      </c>
      <c r="D17066" t="str">
        <f>"1135-304X"</f>
        <v>1135-304X</v>
      </c>
      <c r="E17066" t="s">
        <v>15</v>
      </c>
      <c r="F17066" t="s">
        <v>17072</v>
      </c>
      <c r="G17066">
        <v>1</v>
      </c>
    </row>
    <row r="17067" spans="1:7" x14ac:dyDescent="0.25">
      <c r="A17067">
        <v>5</v>
      </c>
      <c r="B17067" t="s">
        <v>16809</v>
      </c>
      <c r="C17067">
        <v>81270</v>
      </c>
      <c r="E17067" t="s">
        <v>8</v>
      </c>
      <c r="F17067" t="s">
        <v>17073</v>
      </c>
      <c r="G17067">
        <v>1</v>
      </c>
    </row>
    <row r="17068" spans="1:7" x14ac:dyDescent="0.25">
      <c r="A17068">
        <v>5</v>
      </c>
      <c r="B17068" t="s">
        <v>16809</v>
      </c>
      <c r="C17068">
        <v>1081</v>
      </c>
      <c r="D17068" t="str">
        <f>"0750-8069"</f>
        <v>0750-8069</v>
      </c>
      <c r="E17068" t="s">
        <v>8</v>
      </c>
      <c r="F17068" t="s">
        <v>17074</v>
      </c>
      <c r="G17068">
        <v>1</v>
      </c>
    </row>
    <row r="17069" spans="1:7" x14ac:dyDescent="0.25">
      <c r="A17069">
        <v>5</v>
      </c>
      <c r="B17069" t="s">
        <v>16809</v>
      </c>
      <c r="C17069">
        <v>7747555</v>
      </c>
      <c r="D17069" t="str">
        <f>"2296-1909"</f>
        <v>2296-1909</v>
      </c>
      <c r="E17069" t="s">
        <v>15</v>
      </c>
      <c r="F17069" t="s">
        <v>17075</v>
      </c>
      <c r="G17069">
        <v>1</v>
      </c>
    </row>
    <row r="17070" spans="1:7" x14ac:dyDescent="0.25">
      <c r="A17070">
        <v>5</v>
      </c>
      <c r="B17070" t="s">
        <v>16809</v>
      </c>
      <c r="C17070">
        <v>7830</v>
      </c>
      <c r="D17070" t="str">
        <f>"1387-6724"</f>
        <v>1387-6724</v>
      </c>
      <c r="E17070" t="s">
        <v>15</v>
      </c>
      <c r="F17070" t="s">
        <v>17076</v>
      </c>
      <c r="G17070">
        <v>1</v>
      </c>
    </row>
    <row r="17071" spans="1:7" x14ac:dyDescent="0.25">
      <c r="A17071">
        <v>5</v>
      </c>
      <c r="B17071" t="s">
        <v>16809</v>
      </c>
      <c r="C17071">
        <v>7720003</v>
      </c>
      <c r="D17071" t="str">
        <f>"1989-8525"</f>
        <v>1989-8525</v>
      </c>
      <c r="E17071" t="s">
        <v>8</v>
      </c>
      <c r="F17071" t="s">
        <v>17077</v>
      </c>
      <c r="G17071">
        <v>1</v>
      </c>
    </row>
    <row r="17072" spans="1:7" x14ac:dyDescent="0.25">
      <c r="A17072">
        <v>5</v>
      </c>
      <c r="B17072" t="s">
        <v>16809</v>
      </c>
      <c r="C17072">
        <v>124466</v>
      </c>
      <c r="D17072" t="str">
        <f>"0801-5775"</f>
        <v>0801-5775</v>
      </c>
      <c r="E17072" t="s">
        <v>8</v>
      </c>
      <c r="F17072" t="s">
        <v>17078</v>
      </c>
      <c r="G17072">
        <v>1</v>
      </c>
    </row>
    <row r="17073" spans="1:7" x14ac:dyDescent="0.25">
      <c r="A17073">
        <v>5</v>
      </c>
      <c r="B17073" t="s">
        <v>16809</v>
      </c>
      <c r="C17073">
        <v>103214</v>
      </c>
      <c r="D17073" t="str">
        <f>"0123-3432"</f>
        <v>0123-3432</v>
      </c>
      <c r="E17073" t="s">
        <v>8</v>
      </c>
      <c r="F17073" t="s">
        <v>17079</v>
      </c>
      <c r="G17073">
        <v>1</v>
      </c>
    </row>
    <row r="17074" spans="1:7" x14ac:dyDescent="0.25">
      <c r="A17074">
        <v>5</v>
      </c>
      <c r="B17074" t="s">
        <v>16809</v>
      </c>
      <c r="C17074">
        <v>15351</v>
      </c>
      <c r="D17074" t="str">
        <f>"1385-7908"</f>
        <v>1385-7908</v>
      </c>
      <c r="E17074" t="s">
        <v>15</v>
      </c>
      <c r="F17074" t="s">
        <v>17080</v>
      </c>
      <c r="G17074">
        <v>1</v>
      </c>
    </row>
    <row r="17075" spans="1:7" x14ac:dyDescent="0.25">
      <c r="A17075">
        <v>5</v>
      </c>
      <c r="B17075" t="s">
        <v>16809</v>
      </c>
      <c r="C17075">
        <v>27367</v>
      </c>
      <c r="D17075" t="str">
        <f>"0390-2412"</f>
        <v>0390-2412</v>
      </c>
      <c r="E17075" t="s">
        <v>8</v>
      </c>
      <c r="F17075" t="s">
        <v>17081</v>
      </c>
      <c r="G17075">
        <v>1</v>
      </c>
    </row>
    <row r="17076" spans="1:7" x14ac:dyDescent="0.25">
      <c r="A17076">
        <v>5</v>
      </c>
      <c r="B17076" t="s">
        <v>16809</v>
      </c>
      <c r="C17076">
        <v>7737099</v>
      </c>
      <c r="D17076" t="str">
        <f>"2212-5884"</f>
        <v>2212-5884</v>
      </c>
      <c r="E17076" t="s">
        <v>8</v>
      </c>
      <c r="F17076" t="s">
        <v>17082</v>
      </c>
      <c r="G17076">
        <v>1</v>
      </c>
    </row>
    <row r="17077" spans="1:7" x14ac:dyDescent="0.25">
      <c r="A17077">
        <v>5</v>
      </c>
      <c r="B17077" t="s">
        <v>16809</v>
      </c>
      <c r="C17077">
        <v>27876</v>
      </c>
      <c r="D17077" t="str">
        <f>"1876-486X"</f>
        <v>1876-486X</v>
      </c>
      <c r="E17077" t="s">
        <v>8</v>
      </c>
      <c r="F17077" t="s">
        <v>17083</v>
      </c>
      <c r="G17077">
        <v>1</v>
      </c>
    </row>
    <row r="17078" spans="1:7" x14ac:dyDescent="0.25">
      <c r="A17078">
        <v>5</v>
      </c>
      <c r="B17078" t="s">
        <v>16809</v>
      </c>
      <c r="C17078">
        <v>7739866</v>
      </c>
      <c r="D17078" t="str">
        <f>"2050-5965"</f>
        <v>2050-5965</v>
      </c>
      <c r="E17078" t="s">
        <v>8</v>
      </c>
      <c r="F17078" t="s">
        <v>17084</v>
      </c>
      <c r="G17078">
        <v>1</v>
      </c>
    </row>
    <row r="17079" spans="1:7" x14ac:dyDescent="0.25">
      <c r="A17079">
        <v>5</v>
      </c>
      <c r="B17079" t="s">
        <v>16809</v>
      </c>
      <c r="C17079">
        <v>8782762</v>
      </c>
      <c r="D17079" t="str">
        <f>"2333-2042"</f>
        <v>2333-2042</v>
      </c>
      <c r="E17079" t="s">
        <v>2100</v>
      </c>
      <c r="F17079" t="s">
        <v>17085</v>
      </c>
      <c r="G17079">
        <v>1</v>
      </c>
    </row>
    <row r="17080" spans="1:7" x14ac:dyDescent="0.25">
      <c r="A17080">
        <v>5</v>
      </c>
      <c r="B17080" t="s">
        <v>16809</v>
      </c>
      <c r="C17080">
        <v>5010463</v>
      </c>
      <c r="D17080" t="str">
        <f>"1525-2477"</f>
        <v>1525-2477</v>
      </c>
      <c r="E17080" t="s">
        <v>2100</v>
      </c>
      <c r="F17080" t="s">
        <v>17086</v>
      </c>
      <c r="G17080">
        <v>1</v>
      </c>
    </row>
    <row r="17081" spans="1:7" x14ac:dyDescent="0.25">
      <c r="A17081">
        <v>5</v>
      </c>
      <c r="B17081" t="s">
        <v>16809</v>
      </c>
      <c r="C17081">
        <v>8782885</v>
      </c>
      <c r="E17081" t="s">
        <v>2100</v>
      </c>
      <c r="F17081" t="s">
        <v>17087</v>
      </c>
      <c r="G17081">
        <v>1</v>
      </c>
    </row>
    <row r="17082" spans="1:7" x14ac:dyDescent="0.25">
      <c r="A17082">
        <v>5</v>
      </c>
      <c r="B17082" t="s">
        <v>16809</v>
      </c>
      <c r="C17082">
        <v>8782840</v>
      </c>
      <c r="E17082" t="s">
        <v>2100</v>
      </c>
      <c r="F17082" t="s">
        <v>17088</v>
      </c>
      <c r="G17082">
        <v>1</v>
      </c>
    </row>
    <row r="17083" spans="1:7" x14ac:dyDescent="0.25">
      <c r="A17083">
        <v>5</v>
      </c>
      <c r="B17083" t="s">
        <v>16809</v>
      </c>
      <c r="C17083">
        <v>5020067</v>
      </c>
      <c r="E17083" t="s">
        <v>2100</v>
      </c>
      <c r="F17083" t="s">
        <v>17089</v>
      </c>
      <c r="G17083">
        <v>1</v>
      </c>
    </row>
    <row r="17084" spans="1:7" x14ac:dyDescent="0.25">
      <c r="A17084">
        <v>5</v>
      </c>
      <c r="B17084" t="s">
        <v>16809</v>
      </c>
      <c r="C17084">
        <v>11362</v>
      </c>
      <c r="D17084" t="str">
        <f>"1367-0050"</f>
        <v>1367-0050</v>
      </c>
      <c r="E17084" t="s">
        <v>8</v>
      </c>
      <c r="F17084" t="s">
        <v>17090</v>
      </c>
      <c r="G17084">
        <v>1</v>
      </c>
    </row>
    <row r="17085" spans="1:7" x14ac:dyDescent="0.25">
      <c r="A17085">
        <v>5</v>
      </c>
      <c r="B17085" t="s">
        <v>16809</v>
      </c>
      <c r="C17085">
        <v>7751555</v>
      </c>
      <c r="D17085" t="str">
        <f>"2213-8706"</f>
        <v>2213-8706</v>
      </c>
      <c r="E17085" t="s">
        <v>8</v>
      </c>
      <c r="F17085" t="s">
        <v>17091</v>
      </c>
      <c r="G17085">
        <v>1</v>
      </c>
    </row>
    <row r="17086" spans="1:7" x14ac:dyDescent="0.25">
      <c r="A17086">
        <v>5</v>
      </c>
      <c r="B17086" t="s">
        <v>16809</v>
      </c>
      <c r="C17086">
        <v>7722939</v>
      </c>
      <c r="D17086" t="str">
        <f>"1614-5291"</f>
        <v>1614-5291</v>
      </c>
      <c r="E17086" t="s">
        <v>8</v>
      </c>
      <c r="F17086" t="s">
        <v>17092</v>
      </c>
      <c r="G17086">
        <v>1</v>
      </c>
    </row>
    <row r="17087" spans="1:7" x14ac:dyDescent="0.25">
      <c r="A17087">
        <v>5</v>
      </c>
      <c r="B17087" t="s">
        <v>16809</v>
      </c>
      <c r="C17087">
        <v>7758214</v>
      </c>
      <c r="D17087" t="str">
        <f>"2215-1478"</f>
        <v>2215-1478</v>
      </c>
      <c r="E17087" t="s">
        <v>8</v>
      </c>
      <c r="F17087" t="s">
        <v>17093</v>
      </c>
      <c r="G17087">
        <v>1</v>
      </c>
    </row>
    <row r="17088" spans="1:7" x14ac:dyDescent="0.25">
      <c r="A17088">
        <v>5</v>
      </c>
      <c r="B17088" t="s">
        <v>16809</v>
      </c>
      <c r="C17088">
        <v>118485</v>
      </c>
      <c r="D17088" t="str">
        <f>"1934-5267"</f>
        <v>1934-5267</v>
      </c>
      <c r="E17088" t="s">
        <v>8</v>
      </c>
      <c r="F17088" t="s">
        <v>17094</v>
      </c>
      <c r="G17088">
        <v>1</v>
      </c>
    </row>
    <row r="17089" spans="1:7" x14ac:dyDescent="0.25">
      <c r="A17089">
        <v>5</v>
      </c>
      <c r="B17089" t="s">
        <v>16809</v>
      </c>
      <c r="C17089">
        <v>14626</v>
      </c>
      <c r="D17089" t="str">
        <f>"1479-0718"</f>
        <v>1479-0718</v>
      </c>
      <c r="E17089" t="s">
        <v>8</v>
      </c>
      <c r="F17089" t="s">
        <v>17095</v>
      </c>
      <c r="G17089">
        <v>1</v>
      </c>
    </row>
    <row r="17090" spans="1:7" x14ac:dyDescent="0.25">
      <c r="A17090">
        <v>5</v>
      </c>
      <c r="B17090" t="s">
        <v>16809</v>
      </c>
      <c r="C17090">
        <v>7345</v>
      </c>
      <c r="D17090" t="str">
        <f>"1381-2416"</f>
        <v>1381-2416</v>
      </c>
      <c r="E17090" t="s">
        <v>8</v>
      </c>
      <c r="F17090" t="s">
        <v>17096</v>
      </c>
      <c r="G17090">
        <v>1</v>
      </c>
    </row>
    <row r="17091" spans="1:7" x14ac:dyDescent="0.25">
      <c r="A17091">
        <v>5</v>
      </c>
      <c r="B17091" t="s">
        <v>16809</v>
      </c>
      <c r="C17091">
        <v>17796</v>
      </c>
      <c r="D17091" t="str">
        <f>"1748-8885"</f>
        <v>1748-8885</v>
      </c>
      <c r="E17091" t="s">
        <v>8</v>
      </c>
      <c r="F17091" t="s">
        <v>17097</v>
      </c>
      <c r="G17091">
        <v>1</v>
      </c>
    </row>
    <row r="17092" spans="1:7" x14ac:dyDescent="0.25">
      <c r="A17092">
        <v>5</v>
      </c>
      <c r="B17092" t="s">
        <v>16809</v>
      </c>
      <c r="C17092">
        <v>19002</v>
      </c>
      <c r="D17092" t="str">
        <f>"1931-3152"</f>
        <v>1931-3152</v>
      </c>
      <c r="E17092" t="s">
        <v>8</v>
      </c>
      <c r="F17092" t="s">
        <v>17098</v>
      </c>
      <c r="G17092">
        <v>1</v>
      </c>
    </row>
    <row r="17093" spans="1:7" x14ac:dyDescent="0.25">
      <c r="A17093">
        <v>5</v>
      </c>
      <c r="B17093" t="s">
        <v>16809</v>
      </c>
      <c r="C17093">
        <v>16841</v>
      </c>
      <c r="D17093" t="str">
        <f>"0019-042X"</f>
        <v>0019-042X</v>
      </c>
      <c r="E17093" t="s">
        <v>8</v>
      </c>
      <c r="F17093" t="s">
        <v>17099</v>
      </c>
      <c r="G17093">
        <v>1</v>
      </c>
    </row>
    <row r="17094" spans="1:7" x14ac:dyDescent="0.25">
      <c r="A17094">
        <v>5</v>
      </c>
      <c r="B17094" t="s">
        <v>16809</v>
      </c>
      <c r="C17094">
        <v>6159482</v>
      </c>
      <c r="D17094" t="str">
        <f>"1877-3095"</f>
        <v>1877-3095</v>
      </c>
      <c r="E17094" t="s">
        <v>8</v>
      </c>
      <c r="F17094" t="s">
        <v>17100</v>
      </c>
      <c r="G17094">
        <v>1</v>
      </c>
    </row>
    <row r="17095" spans="1:7" x14ac:dyDescent="0.25">
      <c r="A17095">
        <v>5</v>
      </c>
      <c r="B17095" t="s">
        <v>16809</v>
      </c>
      <c r="C17095">
        <v>8782839</v>
      </c>
      <c r="E17095" t="s">
        <v>2100</v>
      </c>
      <c r="F17095" t="s">
        <v>17101</v>
      </c>
      <c r="G17095">
        <v>1</v>
      </c>
    </row>
    <row r="17096" spans="1:7" x14ac:dyDescent="0.25">
      <c r="A17096">
        <v>5</v>
      </c>
      <c r="B17096" t="s">
        <v>16809</v>
      </c>
      <c r="C17096">
        <v>27011</v>
      </c>
      <c r="D17096" t="str">
        <f>"1827-000X"</f>
        <v>1827-000X</v>
      </c>
      <c r="E17096" t="s">
        <v>8</v>
      </c>
      <c r="F17096" t="s">
        <v>17102</v>
      </c>
      <c r="G17096">
        <v>1</v>
      </c>
    </row>
    <row r="17097" spans="1:7" x14ac:dyDescent="0.25">
      <c r="A17097">
        <v>5</v>
      </c>
      <c r="B17097" t="s">
        <v>16809</v>
      </c>
      <c r="C17097">
        <v>7388</v>
      </c>
      <c r="D17097" t="str">
        <f>"1397-7431"</f>
        <v>1397-7431</v>
      </c>
      <c r="E17097" t="s">
        <v>15</v>
      </c>
      <c r="F17097" t="s">
        <v>17103</v>
      </c>
      <c r="G17097">
        <v>1</v>
      </c>
    </row>
    <row r="17098" spans="1:7" x14ac:dyDescent="0.25">
      <c r="A17098">
        <v>5</v>
      </c>
      <c r="B17098" t="s">
        <v>16809</v>
      </c>
      <c r="C17098">
        <v>8758211</v>
      </c>
      <c r="D17098" t="str">
        <f>"2385-4138"</f>
        <v>2385-4138</v>
      </c>
      <c r="E17098" t="s">
        <v>8</v>
      </c>
      <c r="F17098" t="s">
        <v>17104</v>
      </c>
      <c r="G17098">
        <v>1</v>
      </c>
    </row>
    <row r="17099" spans="1:7" x14ac:dyDescent="0.25">
      <c r="A17099">
        <v>5</v>
      </c>
      <c r="B17099" t="s">
        <v>16809</v>
      </c>
      <c r="C17099">
        <v>21184</v>
      </c>
      <c r="D17099" t="str">
        <f>"0019-0829"</f>
        <v>0019-0829</v>
      </c>
      <c r="E17099" t="s">
        <v>8</v>
      </c>
      <c r="F17099" t="s">
        <v>17105</v>
      </c>
      <c r="G17099">
        <v>1</v>
      </c>
    </row>
    <row r="17100" spans="1:7" x14ac:dyDescent="0.25">
      <c r="A17100">
        <v>5</v>
      </c>
      <c r="B17100" t="s">
        <v>16809</v>
      </c>
      <c r="C17100">
        <v>27759</v>
      </c>
      <c r="D17100" t="str">
        <f>"0021-6933"</f>
        <v>0021-6933</v>
      </c>
      <c r="E17100" t="s">
        <v>8</v>
      </c>
      <c r="F17100" t="s">
        <v>17106</v>
      </c>
      <c r="G17100">
        <v>1</v>
      </c>
    </row>
    <row r="17101" spans="1:7" x14ac:dyDescent="0.25">
      <c r="A17101">
        <v>5</v>
      </c>
      <c r="B17101" t="s">
        <v>16809</v>
      </c>
      <c r="C17101">
        <v>64232</v>
      </c>
      <c r="D17101" t="str">
        <f>"0354-0448"</f>
        <v>0354-0448</v>
      </c>
      <c r="E17101" t="s">
        <v>8</v>
      </c>
      <c r="F17101" t="s">
        <v>17107</v>
      </c>
      <c r="G17101">
        <v>1</v>
      </c>
    </row>
    <row r="17102" spans="1:7" x14ac:dyDescent="0.25">
      <c r="A17102">
        <v>5</v>
      </c>
      <c r="B17102" t="s">
        <v>16809</v>
      </c>
      <c r="C17102">
        <v>26245</v>
      </c>
      <c r="D17102" t="str">
        <f>"2040-3658"</f>
        <v>2040-3658</v>
      </c>
      <c r="E17102" t="s">
        <v>8</v>
      </c>
      <c r="F17102" t="s">
        <v>17108</v>
      </c>
      <c r="G17102">
        <v>1</v>
      </c>
    </row>
    <row r="17103" spans="1:7" x14ac:dyDescent="0.25">
      <c r="A17103">
        <v>5</v>
      </c>
      <c r="B17103" t="s">
        <v>16809</v>
      </c>
      <c r="C17103">
        <v>1598</v>
      </c>
      <c r="D17103" t="str">
        <f>"0957-6851"</f>
        <v>0957-6851</v>
      </c>
      <c r="E17103" t="s">
        <v>8</v>
      </c>
      <c r="F17103" t="s">
        <v>17109</v>
      </c>
      <c r="G17103">
        <v>1</v>
      </c>
    </row>
    <row r="17104" spans="1:7" x14ac:dyDescent="0.25">
      <c r="A17104">
        <v>5</v>
      </c>
      <c r="B17104" t="s">
        <v>16809</v>
      </c>
      <c r="C17104">
        <v>71293</v>
      </c>
      <c r="D17104" t="str">
        <f>"0962-1377"</f>
        <v>0962-1377</v>
      </c>
      <c r="E17104" t="s">
        <v>8</v>
      </c>
      <c r="F17104" t="s">
        <v>17110</v>
      </c>
      <c r="G17104">
        <v>1</v>
      </c>
    </row>
    <row r="17105" spans="1:7" x14ac:dyDescent="0.25">
      <c r="A17105">
        <v>5</v>
      </c>
      <c r="B17105" t="s">
        <v>16809</v>
      </c>
      <c r="C17105">
        <v>180134</v>
      </c>
      <c r="D17105" t="str">
        <f>"1823-464X"</f>
        <v>1823-464X</v>
      </c>
      <c r="E17105" t="s">
        <v>8</v>
      </c>
      <c r="F17105" t="s">
        <v>17111</v>
      </c>
      <c r="G17105">
        <v>1</v>
      </c>
    </row>
    <row r="17106" spans="1:7" x14ac:dyDescent="0.25">
      <c r="A17106">
        <v>5</v>
      </c>
      <c r="B17106" t="s">
        <v>16809</v>
      </c>
      <c r="C17106">
        <v>15882</v>
      </c>
      <c r="D17106" t="str">
        <f>"1566-5844"</f>
        <v>1566-5844</v>
      </c>
      <c r="E17106" t="s">
        <v>8</v>
      </c>
      <c r="F17106" t="s">
        <v>17112</v>
      </c>
      <c r="G17106">
        <v>1</v>
      </c>
    </row>
    <row r="17107" spans="1:7" x14ac:dyDescent="0.25">
      <c r="A17107">
        <v>5</v>
      </c>
      <c r="B17107" t="s">
        <v>16809</v>
      </c>
      <c r="C17107">
        <v>7696712</v>
      </c>
      <c r="D17107" t="str">
        <f>"2210-2116"</f>
        <v>2210-2116</v>
      </c>
      <c r="E17107" t="s">
        <v>8</v>
      </c>
      <c r="F17107" t="s">
        <v>17113</v>
      </c>
      <c r="G17107">
        <v>1</v>
      </c>
    </row>
    <row r="17108" spans="1:7" x14ac:dyDescent="0.25">
      <c r="A17108">
        <v>5</v>
      </c>
      <c r="B17108" t="s">
        <v>16809</v>
      </c>
      <c r="C17108">
        <v>8767028</v>
      </c>
      <c r="D17108" t="str">
        <f>"2199-2894"</f>
        <v>2199-2894</v>
      </c>
      <c r="E17108" t="s">
        <v>8</v>
      </c>
      <c r="F17108" t="s">
        <v>17114</v>
      </c>
      <c r="G17108">
        <v>1</v>
      </c>
    </row>
    <row r="17109" spans="1:7" x14ac:dyDescent="0.25">
      <c r="A17109">
        <v>5</v>
      </c>
      <c r="B17109" t="s">
        <v>16809</v>
      </c>
      <c r="C17109">
        <v>7737044</v>
      </c>
      <c r="D17109" t="str">
        <f>"2212-8433"</f>
        <v>2212-8433</v>
      </c>
      <c r="E17109" t="s">
        <v>8</v>
      </c>
      <c r="F17109" t="s">
        <v>17115</v>
      </c>
      <c r="G17109">
        <v>1</v>
      </c>
    </row>
    <row r="17110" spans="1:7" x14ac:dyDescent="0.25">
      <c r="A17110">
        <v>5</v>
      </c>
      <c r="B17110" t="s">
        <v>16809</v>
      </c>
      <c r="C17110">
        <v>6170211</v>
      </c>
      <c r="D17110" t="str">
        <f>"2040-5111"</f>
        <v>2040-5111</v>
      </c>
      <c r="E17110" t="s">
        <v>8</v>
      </c>
      <c r="F17110" t="s">
        <v>17116</v>
      </c>
      <c r="G17110">
        <v>1</v>
      </c>
    </row>
    <row r="17111" spans="1:7" x14ac:dyDescent="0.25">
      <c r="A17111">
        <v>5</v>
      </c>
      <c r="B17111" t="s">
        <v>16809</v>
      </c>
      <c r="C17111">
        <v>7737102</v>
      </c>
      <c r="D17111" t="str">
        <f>"2213-4387"</f>
        <v>2213-4387</v>
      </c>
      <c r="E17111" t="s">
        <v>8</v>
      </c>
      <c r="F17111" t="s">
        <v>17117</v>
      </c>
      <c r="G17111">
        <v>1</v>
      </c>
    </row>
    <row r="17112" spans="1:7" x14ac:dyDescent="0.25">
      <c r="A17112">
        <v>5</v>
      </c>
      <c r="B17112" t="s">
        <v>16809</v>
      </c>
      <c r="C17112">
        <v>7737046</v>
      </c>
      <c r="D17112" t="str">
        <f>"2213-1272"</f>
        <v>2213-1272</v>
      </c>
      <c r="E17112" t="s">
        <v>8</v>
      </c>
      <c r="F17112" t="s">
        <v>17118</v>
      </c>
      <c r="G17112">
        <v>1</v>
      </c>
    </row>
    <row r="17113" spans="1:7" x14ac:dyDescent="0.25">
      <c r="A17113">
        <v>5</v>
      </c>
      <c r="B17113" t="s">
        <v>16809</v>
      </c>
      <c r="C17113">
        <v>7717363</v>
      </c>
      <c r="D17113" t="str">
        <f>"2211-3770"</f>
        <v>2211-3770</v>
      </c>
      <c r="E17113" t="s">
        <v>8</v>
      </c>
      <c r="F17113" t="s">
        <v>17119</v>
      </c>
      <c r="G17113">
        <v>1</v>
      </c>
    </row>
    <row r="17114" spans="1:7" x14ac:dyDescent="0.25">
      <c r="A17114">
        <v>5</v>
      </c>
      <c r="B17114" t="s">
        <v>16809</v>
      </c>
      <c r="C17114">
        <v>27568</v>
      </c>
      <c r="D17114" t="str">
        <f>"1877-4091"</f>
        <v>1877-4091</v>
      </c>
      <c r="E17114" t="s">
        <v>8</v>
      </c>
      <c r="F17114" t="s">
        <v>17120</v>
      </c>
      <c r="G17114">
        <v>1</v>
      </c>
    </row>
    <row r="17115" spans="1:7" x14ac:dyDescent="0.25">
      <c r="A17115">
        <v>5</v>
      </c>
      <c r="B17115" t="s">
        <v>16809</v>
      </c>
      <c r="C17115">
        <v>180121</v>
      </c>
      <c r="D17115" t="str">
        <f>"2299-856X"</f>
        <v>2299-856X</v>
      </c>
      <c r="E17115" t="s">
        <v>8</v>
      </c>
      <c r="F17115" t="s">
        <v>17121</v>
      </c>
      <c r="G17115">
        <v>1</v>
      </c>
    </row>
    <row r="17116" spans="1:7" x14ac:dyDescent="0.25">
      <c r="A17116">
        <v>5</v>
      </c>
      <c r="B17116" t="s">
        <v>16809</v>
      </c>
      <c r="C17116">
        <v>7744579</v>
      </c>
      <c r="D17116" t="str">
        <f>"2194-8739"</f>
        <v>2194-8739</v>
      </c>
      <c r="E17116" t="s">
        <v>8</v>
      </c>
      <c r="F17116" t="s">
        <v>17122</v>
      </c>
      <c r="G17116">
        <v>1</v>
      </c>
    </row>
    <row r="17117" spans="1:7" x14ac:dyDescent="0.25">
      <c r="A17117">
        <v>5</v>
      </c>
      <c r="B17117" t="s">
        <v>16809</v>
      </c>
      <c r="C17117">
        <v>7737636</v>
      </c>
      <c r="E17117" t="s">
        <v>8</v>
      </c>
      <c r="F17117" t="s">
        <v>17123</v>
      </c>
      <c r="G17117">
        <v>1</v>
      </c>
    </row>
    <row r="17118" spans="1:7" x14ac:dyDescent="0.25">
      <c r="A17118">
        <v>5</v>
      </c>
      <c r="B17118" t="s">
        <v>16809</v>
      </c>
      <c r="C17118">
        <v>12626</v>
      </c>
      <c r="D17118" t="str">
        <f>"0341-7638"</f>
        <v>0341-7638</v>
      </c>
      <c r="E17118" t="s">
        <v>8</v>
      </c>
      <c r="F17118" t="s">
        <v>17124</v>
      </c>
      <c r="G17118">
        <v>1</v>
      </c>
    </row>
    <row r="17119" spans="1:7" x14ac:dyDescent="0.25">
      <c r="A17119">
        <v>5</v>
      </c>
      <c r="B17119" t="s">
        <v>16809</v>
      </c>
      <c r="C17119">
        <v>180138</v>
      </c>
      <c r="D17119" t="str">
        <f>"1675-526X"</f>
        <v>1675-526X</v>
      </c>
      <c r="E17119" t="s">
        <v>8</v>
      </c>
      <c r="F17119" t="s">
        <v>17125</v>
      </c>
      <c r="G17119">
        <v>1</v>
      </c>
    </row>
    <row r="17120" spans="1:7" x14ac:dyDescent="0.25">
      <c r="A17120">
        <v>5</v>
      </c>
      <c r="B17120" t="s">
        <v>16809</v>
      </c>
      <c r="C17120">
        <v>3631</v>
      </c>
      <c r="D17120" t="str">
        <f>"0090-6905"</f>
        <v>0090-6905</v>
      </c>
      <c r="E17120" t="s">
        <v>8</v>
      </c>
      <c r="F17120" t="s">
        <v>17126</v>
      </c>
      <c r="G17120">
        <v>1</v>
      </c>
    </row>
    <row r="17121" spans="1:7" x14ac:dyDescent="0.25">
      <c r="A17121">
        <v>5</v>
      </c>
      <c r="B17121" t="s">
        <v>16809</v>
      </c>
      <c r="C17121">
        <v>456</v>
      </c>
      <c r="D17121" t="str">
        <f>"0929-6174"</f>
        <v>0929-6174</v>
      </c>
      <c r="E17121" t="s">
        <v>8</v>
      </c>
      <c r="F17121" t="s">
        <v>17127</v>
      </c>
      <c r="G17121">
        <v>1</v>
      </c>
    </row>
    <row r="17122" spans="1:7" x14ac:dyDescent="0.25">
      <c r="A17122">
        <v>5</v>
      </c>
      <c r="B17122" t="s">
        <v>16809</v>
      </c>
      <c r="C17122">
        <v>7750175</v>
      </c>
      <c r="D17122" t="str">
        <f>"2052-417X"</f>
        <v>2052-417X</v>
      </c>
      <c r="E17122" t="s">
        <v>8</v>
      </c>
      <c r="F17122" t="s">
        <v>17128</v>
      </c>
      <c r="G17122">
        <v>1</v>
      </c>
    </row>
    <row r="17123" spans="1:7" x14ac:dyDescent="0.25">
      <c r="A17123">
        <v>5</v>
      </c>
      <c r="B17123" t="s">
        <v>16809</v>
      </c>
      <c r="C17123">
        <v>180149</v>
      </c>
      <c r="D17123" t="str">
        <f>"2215-1931"</f>
        <v>2215-1931</v>
      </c>
      <c r="E17123" t="s">
        <v>8</v>
      </c>
      <c r="F17123" t="s">
        <v>17129</v>
      </c>
      <c r="G17123">
        <v>1</v>
      </c>
    </row>
    <row r="17124" spans="1:7" x14ac:dyDescent="0.25">
      <c r="A17124">
        <v>5</v>
      </c>
      <c r="B17124" t="s">
        <v>16809</v>
      </c>
      <c r="C17124">
        <v>7733786</v>
      </c>
      <c r="D17124" t="str">
        <f>"2045-4031"</f>
        <v>2045-4031</v>
      </c>
      <c r="E17124" t="s">
        <v>8</v>
      </c>
      <c r="F17124" t="s">
        <v>17130</v>
      </c>
      <c r="G17124">
        <v>1</v>
      </c>
    </row>
    <row r="17125" spans="1:7" x14ac:dyDescent="0.25">
      <c r="A17125">
        <v>5</v>
      </c>
      <c r="B17125" t="s">
        <v>16809</v>
      </c>
      <c r="C17125">
        <v>12513</v>
      </c>
      <c r="D17125" t="str">
        <f>"1060-3743"</f>
        <v>1060-3743</v>
      </c>
      <c r="E17125" t="s">
        <v>8</v>
      </c>
      <c r="F17125" t="s">
        <v>17131</v>
      </c>
      <c r="G17125">
        <v>1</v>
      </c>
    </row>
    <row r="17126" spans="1:7" x14ac:dyDescent="0.25">
      <c r="A17126">
        <v>5</v>
      </c>
      <c r="B17126" t="s">
        <v>16809</v>
      </c>
      <c r="C17126">
        <v>7751956</v>
      </c>
      <c r="D17126" t="str">
        <f>"2196-0771"</f>
        <v>2196-0771</v>
      </c>
      <c r="E17126" t="s">
        <v>8</v>
      </c>
      <c r="F17126" t="s">
        <v>17132</v>
      </c>
      <c r="G17126">
        <v>1</v>
      </c>
    </row>
    <row r="17127" spans="1:7" x14ac:dyDescent="0.25">
      <c r="A17127">
        <v>5</v>
      </c>
      <c r="B17127" t="s">
        <v>16809</v>
      </c>
      <c r="C17127">
        <v>7755581</v>
      </c>
      <c r="D17127" t="str">
        <f>"2324-7797"</f>
        <v>2324-7797</v>
      </c>
      <c r="E17127" t="s">
        <v>8</v>
      </c>
      <c r="F17127" t="s">
        <v>17133</v>
      </c>
      <c r="G17127">
        <v>1</v>
      </c>
    </row>
    <row r="17128" spans="1:7" x14ac:dyDescent="0.25">
      <c r="A17128">
        <v>5</v>
      </c>
      <c r="B17128" t="s">
        <v>16809</v>
      </c>
      <c r="C17128">
        <v>7758039</v>
      </c>
      <c r="D17128" t="str">
        <f>"2084-2996"</f>
        <v>2084-2996</v>
      </c>
      <c r="E17128" t="s">
        <v>8</v>
      </c>
      <c r="F17128" t="s">
        <v>17134</v>
      </c>
      <c r="G17128">
        <v>1</v>
      </c>
    </row>
    <row r="17129" spans="1:7" x14ac:dyDescent="0.25">
      <c r="A17129">
        <v>5</v>
      </c>
      <c r="B17129" t="s">
        <v>16809</v>
      </c>
      <c r="C17129">
        <v>6249</v>
      </c>
      <c r="D17129" t="str">
        <f>"0025-1003"</f>
        <v>0025-1003</v>
      </c>
      <c r="E17129" t="s">
        <v>8</v>
      </c>
      <c r="F17129" t="s">
        <v>17135</v>
      </c>
      <c r="G17129">
        <v>1</v>
      </c>
    </row>
    <row r="17130" spans="1:7" x14ac:dyDescent="0.25">
      <c r="A17130">
        <v>5</v>
      </c>
      <c r="B17130" t="s">
        <v>16809</v>
      </c>
      <c r="C17130">
        <v>27224</v>
      </c>
      <c r="D17130" t="str">
        <f>"1558-7282"</f>
        <v>1558-7282</v>
      </c>
      <c r="E17130" t="s">
        <v>8</v>
      </c>
      <c r="F17130" t="s">
        <v>17136</v>
      </c>
      <c r="G17130">
        <v>1</v>
      </c>
    </row>
    <row r="17131" spans="1:7" x14ac:dyDescent="0.25">
      <c r="A17131">
        <v>5</v>
      </c>
      <c r="B17131" t="s">
        <v>16809</v>
      </c>
      <c r="C17131">
        <v>80356</v>
      </c>
      <c r="D17131" t="str">
        <f>"1598-6381"</f>
        <v>1598-6381</v>
      </c>
      <c r="E17131" t="s">
        <v>8</v>
      </c>
      <c r="F17131" t="s">
        <v>17137</v>
      </c>
      <c r="G17131">
        <v>1</v>
      </c>
    </row>
    <row r="17132" spans="1:7" x14ac:dyDescent="0.25">
      <c r="A17132">
        <v>5</v>
      </c>
      <c r="B17132" t="s">
        <v>16809</v>
      </c>
      <c r="C17132">
        <v>20276</v>
      </c>
      <c r="D17132" t="str">
        <f>"0022-5401"</f>
        <v>0022-5401</v>
      </c>
      <c r="E17132" t="s">
        <v>8</v>
      </c>
      <c r="F17132" t="s">
        <v>17138</v>
      </c>
      <c r="G17132">
        <v>1</v>
      </c>
    </row>
    <row r="17133" spans="1:7" x14ac:dyDescent="0.25">
      <c r="A17133">
        <v>5</v>
      </c>
      <c r="B17133" t="s">
        <v>16809</v>
      </c>
      <c r="C17133">
        <v>7755610</v>
      </c>
      <c r="D17133" t="str">
        <f>"2169-8252"</f>
        <v>2169-8252</v>
      </c>
      <c r="E17133" t="s">
        <v>8</v>
      </c>
      <c r="F17133" t="s">
        <v>17139</v>
      </c>
      <c r="G17133">
        <v>1</v>
      </c>
    </row>
    <row r="17134" spans="1:7" x14ac:dyDescent="0.25">
      <c r="A17134">
        <v>5</v>
      </c>
      <c r="B17134" t="s">
        <v>16809</v>
      </c>
      <c r="C17134">
        <v>7758208</v>
      </c>
      <c r="D17134" t="str">
        <f>"2193-8105"</f>
        <v>2193-8105</v>
      </c>
      <c r="E17134" t="s">
        <v>8</v>
      </c>
      <c r="F17134" t="s">
        <v>17140</v>
      </c>
      <c r="G17134">
        <v>1</v>
      </c>
    </row>
    <row r="17135" spans="1:7" x14ac:dyDescent="0.25">
      <c r="A17135">
        <v>5</v>
      </c>
      <c r="B17135" t="s">
        <v>16809</v>
      </c>
      <c r="C17135">
        <v>17497</v>
      </c>
      <c r="D17135" t="str">
        <f>"0171-0834"</f>
        <v>0171-0834</v>
      </c>
      <c r="E17135" t="s">
        <v>8</v>
      </c>
      <c r="F17135" t="s">
        <v>17141</v>
      </c>
      <c r="G17135">
        <v>1</v>
      </c>
    </row>
    <row r="17136" spans="1:7" x14ac:dyDescent="0.25">
      <c r="A17136">
        <v>5</v>
      </c>
      <c r="B17136" t="s">
        <v>16809</v>
      </c>
      <c r="C17136">
        <v>7740234</v>
      </c>
      <c r="D17136" t="str">
        <f>"2063-7330"</f>
        <v>2063-7330</v>
      </c>
      <c r="E17136" t="s">
        <v>8</v>
      </c>
      <c r="F17136" t="s">
        <v>17142</v>
      </c>
      <c r="G17136">
        <v>1</v>
      </c>
    </row>
    <row r="17137" spans="1:7" x14ac:dyDescent="0.25">
      <c r="A17137">
        <v>5</v>
      </c>
      <c r="B17137" t="s">
        <v>16809</v>
      </c>
      <c r="C17137">
        <v>7737048</v>
      </c>
      <c r="D17137" t="str">
        <f>"0257-3784"</f>
        <v>0257-3784</v>
      </c>
      <c r="E17137" t="s">
        <v>8</v>
      </c>
      <c r="F17137" t="s">
        <v>17143</v>
      </c>
      <c r="G17137">
        <v>1</v>
      </c>
    </row>
    <row r="17138" spans="1:7" x14ac:dyDescent="0.25">
      <c r="A17138">
        <v>5</v>
      </c>
      <c r="B17138" t="s">
        <v>16809</v>
      </c>
      <c r="C17138">
        <v>180120</v>
      </c>
      <c r="D17138" t="str">
        <f>"1945-0222"</f>
        <v>1945-0222</v>
      </c>
      <c r="E17138" t="s">
        <v>8</v>
      </c>
      <c r="F17138" t="s">
        <v>17144</v>
      </c>
      <c r="G17138">
        <v>1</v>
      </c>
    </row>
    <row r="17139" spans="1:7" x14ac:dyDescent="0.25">
      <c r="A17139">
        <v>5</v>
      </c>
      <c r="B17139" t="s">
        <v>16809</v>
      </c>
      <c r="C17139">
        <v>15806</v>
      </c>
      <c r="D17139" t="str">
        <f>"0075-966X"</f>
        <v>0075-966X</v>
      </c>
      <c r="E17139" t="s">
        <v>8</v>
      </c>
      <c r="F17139" t="s">
        <v>17145</v>
      </c>
      <c r="G17139">
        <v>1</v>
      </c>
    </row>
    <row r="17140" spans="1:7" x14ac:dyDescent="0.25">
      <c r="A17140">
        <v>5</v>
      </c>
      <c r="B17140" t="s">
        <v>16809</v>
      </c>
      <c r="C17140">
        <v>6181395</v>
      </c>
      <c r="D17140" t="str">
        <f>"1868-6346"</f>
        <v>1868-6346</v>
      </c>
      <c r="E17140" t="s">
        <v>8</v>
      </c>
      <c r="F17140" t="s">
        <v>17146</v>
      </c>
      <c r="G17140">
        <v>1</v>
      </c>
    </row>
    <row r="17141" spans="1:7" x14ac:dyDescent="0.25">
      <c r="A17141">
        <v>5</v>
      </c>
      <c r="B17141" t="s">
        <v>16809</v>
      </c>
      <c r="C17141">
        <v>27030</v>
      </c>
      <c r="D17141" t="str">
        <f>"0181-4095"</f>
        <v>0181-4095</v>
      </c>
      <c r="E17141" t="s">
        <v>8</v>
      </c>
      <c r="F17141" t="s">
        <v>17147</v>
      </c>
      <c r="G17141">
        <v>1</v>
      </c>
    </row>
    <row r="17142" spans="1:7" x14ac:dyDescent="0.25">
      <c r="A17142">
        <v>5</v>
      </c>
      <c r="B17142" t="s">
        <v>16809</v>
      </c>
      <c r="C17142">
        <v>2920</v>
      </c>
      <c r="D17142" t="str">
        <f>"0271-5309"</f>
        <v>0271-5309</v>
      </c>
      <c r="E17142" t="s">
        <v>8</v>
      </c>
      <c r="F17142" t="s">
        <v>17148</v>
      </c>
      <c r="G17142">
        <v>1</v>
      </c>
    </row>
    <row r="17143" spans="1:7" x14ac:dyDescent="0.25">
      <c r="A17143">
        <v>5</v>
      </c>
      <c r="B17143" t="s">
        <v>16809</v>
      </c>
      <c r="C17143">
        <v>77025</v>
      </c>
      <c r="D17143" t="str">
        <f>"1745-3631"</f>
        <v>1745-3631</v>
      </c>
      <c r="E17143" t="s">
        <v>8</v>
      </c>
      <c r="F17143" t="s">
        <v>17149</v>
      </c>
      <c r="G17143">
        <v>1</v>
      </c>
    </row>
    <row r="17144" spans="1:7" x14ac:dyDescent="0.25">
      <c r="A17144">
        <v>5</v>
      </c>
      <c r="B17144" t="s">
        <v>16809</v>
      </c>
      <c r="C17144">
        <v>5740</v>
      </c>
      <c r="D17144" t="str">
        <f>"0925-0123"</f>
        <v>0925-0123</v>
      </c>
      <c r="E17144" t="s">
        <v>15</v>
      </c>
      <c r="F17144" t="s">
        <v>17150</v>
      </c>
      <c r="G17144">
        <v>1</v>
      </c>
    </row>
    <row r="17145" spans="1:7" x14ac:dyDescent="0.25">
      <c r="A17145">
        <v>5</v>
      </c>
      <c r="B17145" t="s">
        <v>16809</v>
      </c>
      <c r="C17145">
        <v>16763</v>
      </c>
      <c r="D17145" t="str">
        <f>"0921-5034"</f>
        <v>0921-5034</v>
      </c>
      <c r="E17145" t="s">
        <v>15</v>
      </c>
      <c r="F17145" t="s">
        <v>17151</v>
      </c>
      <c r="G17145">
        <v>1</v>
      </c>
    </row>
    <row r="17146" spans="1:7" x14ac:dyDescent="0.25">
      <c r="A17146">
        <v>5</v>
      </c>
      <c r="B17146" t="s">
        <v>16809</v>
      </c>
      <c r="C17146">
        <v>7696714</v>
      </c>
      <c r="D17146" t="str">
        <f>"2210-4119"</f>
        <v>2210-4119</v>
      </c>
      <c r="E17146" t="s">
        <v>8</v>
      </c>
      <c r="F17146" t="s">
        <v>17152</v>
      </c>
      <c r="G17146">
        <v>1</v>
      </c>
    </row>
    <row r="17147" spans="1:7" x14ac:dyDescent="0.25">
      <c r="A17147">
        <v>5</v>
      </c>
      <c r="B17147" t="s">
        <v>16809</v>
      </c>
      <c r="C17147">
        <v>155939</v>
      </c>
      <c r="D17147" t="str">
        <f>"1759-7536"</f>
        <v>1759-7536</v>
      </c>
      <c r="E17147" t="s">
        <v>8</v>
      </c>
      <c r="F17147" t="s">
        <v>17153</v>
      </c>
      <c r="G17147">
        <v>1</v>
      </c>
    </row>
    <row r="17148" spans="1:7" x14ac:dyDescent="0.25">
      <c r="A17148">
        <v>5</v>
      </c>
      <c r="B17148" t="s">
        <v>16809</v>
      </c>
      <c r="C17148">
        <v>15848</v>
      </c>
      <c r="D17148" t="str">
        <f>"1470-8477"</f>
        <v>1470-8477</v>
      </c>
      <c r="E17148" t="s">
        <v>8</v>
      </c>
      <c r="F17148" t="s">
        <v>17154</v>
      </c>
      <c r="G17148">
        <v>1</v>
      </c>
    </row>
    <row r="17149" spans="1:7" x14ac:dyDescent="0.25">
      <c r="A17149">
        <v>5</v>
      </c>
      <c r="B17149" t="s">
        <v>16809</v>
      </c>
      <c r="C17149">
        <v>114114</v>
      </c>
      <c r="D17149" t="str">
        <f>"1606-822X"</f>
        <v>1606-822X</v>
      </c>
      <c r="E17149" t="s">
        <v>8</v>
      </c>
      <c r="F17149" t="s">
        <v>17155</v>
      </c>
      <c r="G17149">
        <v>1</v>
      </c>
    </row>
    <row r="17150" spans="1:7" x14ac:dyDescent="0.25">
      <c r="A17150">
        <v>5</v>
      </c>
      <c r="B17150" t="s">
        <v>16809</v>
      </c>
      <c r="C17150">
        <v>15993</v>
      </c>
      <c r="E17150" t="s">
        <v>8</v>
      </c>
      <c r="F17150" t="s">
        <v>17156</v>
      </c>
      <c r="G17150">
        <v>1</v>
      </c>
    </row>
    <row r="17151" spans="1:7" x14ac:dyDescent="0.25">
      <c r="A17151">
        <v>5</v>
      </c>
      <c r="B17151" t="s">
        <v>16809</v>
      </c>
      <c r="C17151">
        <v>6177782</v>
      </c>
      <c r="D17151" t="str">
        <f>"0023-1959"</f>
        <v>0023-1959</v>
      </c>
      <c r="E17151" t="s">
        <v>8</v>
      </c>
      <c r="F17151" t="s">
        <v>17157</v>
      </c>
      <c r="G17151">
        <v>1</v>
      </c>
    </row>
    <row r="17152" spans="1:7" x14ac:dyDescent="0.25">
      <c r="A17152">
        <v>5</v>
      </c>
      <c r="B17152" t="s">
        <v>16809</v>
      </c>
      <c r="C17152">
        <v>180119</v>
      </c>
      <c r="E17152" t="s">
        <v>8</v>
      </c>
      <c r="F17152" t="s">
        <v>17158</v>
      </c>
      <c r="G17152">
        <v>1</v>
      </c>
    </row>
    <row r="17153" spans="1:7" x14ac:dyDescent="0.25">
      <c r="A17153">
        <v>5</v>
      </c>
      <c r="B17153" t="s">
        <v>16809</v>
      </c>
      <c r="C17153">
        <v>7750182</v>
      </c>
      <c r="D17153" t="str">
        <f>"2051-9699"</f>
        <v>2051-9699</v>
      </c>
      <c r="E17153" t="s">
        <v>8</v>
      </c>
      <c r="F17153" t="s">
        <v>17159</v>
      </c>
      <c r="G17153">
        <v>1</v>
      </c>
    </row>
    <row r="17154" spans="1:7" x14ac:dyDescent="0.25">
      <c r="A17154">
        <v>5</v>
      </c>
      <c r="B17154" t="s">
        <v>16809</v>
      </c>
      <c r="C17154">
        <v>8782833</v>
      </c>
      <c r="D17154" t="str">
        <f>"2196-8314"</f>
        <v>2196-8314</v>
      </c>
      <c r="E17154" t="s">
        <v>15</v>
      </c>
      <c r="F17154" t="s">
        <v>17160</v>
      </c>
      <c r="G17154">
        <v>1</v>
      </c>
    </row>
    <row r="17155" spans="1:7" x14ac:dyDescent="0.25">
      <c r="A17155">
        <v>5</v>
      </c>
      <c r="B17155" t="s">
        <v>16809</v>
      </c>
      <c r="C17155">
        <v>16779</v>
      </c>
      <c r="D17155" t="str">
        <f>"0965-8416"</f>
        <v>0965-8416</v>
      </c>
      <c r="E17155" t="s">
        <v>8</v>
      </c>
      <c r="F17155" t="s">
        <v>17161</v>
      </c>
      <c r="G17155">
        <v>1</v>
      </c>
    </row>
    <row r="17156" spans="1:7" x14ac:dyDescent="0.25">
      <c r="A17156">
        <v>5</v>
      </c>
      <c r="B17156" t="s">
        <v>16809</v>
      </c>
      <c r="C17156">
        <v>115291</v>
      </c>
      <c r="E17156" t="s">
        <v>8</v>
      </c>
      <c r="F17156" t="s">
        <v>17162</v>
      </c>
      <c r="G17156">
        <v>1</v>
      </c>
    </row>
    <row r="17157" spans="1:7" x14ac:dyDescent="0.25">
      <c r="A17157">
        <v>5</v>
      </c>
      <c r="B17157" t="s">
        <v>16809</v>
      </c>
      <c r="C17157">
        <v>7704016</v>
      </c>
      <c r="D17157" t="str">
        <f>"2210-5824"</f>
        <v>2210-5824</v>
      </c>
      <c r="E17157" t="s">
        <v>8</v>
      </c>
      <c r="F17157" t="s">
        <v>17163</v>
      </c>
      <c r="G17157">
        <v>1</v>
      </c>
    </row>
    <row r="17158" spans="1:7" x14ac:dyDescent="0.25">
      <c r="A17158">
        <v>5</v>
      </c>
      <c r="B17158" t="s">
        <v>16809</v>
      </c>
      <c r="C17158">
        <v>6182505</v>
      </c>
      <c r="D17158" t="str">
        <f>"1877-6531"</f>
        <v>1877-6531</v>
      </c>
      <c r="E17158" t="s">
        <v>15</v>
      </c>
      <c r="F17158" t="s">
        <v>17164</v>
      </c>
      <c r="G17158">
        <v>1</v>
      </c>
    </row>
    <row r="17159" spans="1:7" x14ac:dyDescent="0.25">
      <c r="A17159">
        <v>5</v>
      </c>
      <c r="B17159" t="s">
        <v>16809</v>
      </c>
      <c r="C17159">
        <v>25020</v>
      </c>
      <c r="D17159" t="str">
        <f>"1547-5441"</f>
        <v>1547-5441</v>
      </c>
      <c r="E17159" t="s">
        <v>8</v>
      </c>
      <c r="F17159" t="s">
        <v>17165</v>
      </c>
      <c r="G17159">
        <v>1</v>
      </c>
    </row>
    <row r="17160" spans="1:7" x14ac:dyDescent="0.25">
      <c r="A17160">
        <v>5</v>
      </c>
      <c r="B17160" t="s">
        <v>16809</v>
      </c>
      <c r="C17160">
        <v>13849</v>
      </c>
      <c r="D17160" t="str">
        <f>"1569-9471"</f>
        <v>1569-9471</v>
      </c>
      <c r="E17160" t="s">
        <v>15</v>
      </c>
      <c r="F17160" t="s">
        <v>17166</v>
      </c>
      <c r="G17160">
        <v>1</v>
      </c>
    </row>
    <row r="17161" spans="1:7" x14ac:dyDescent="0.25">
      <c r="A17161">
        <v>5</v>
      </c>
      <c r="B17161" t="s">
        <v>16809</v>
      </c>
      <c r="C17161">
        <v>7718272</v>
      </c>
      <c r="D17161" t="str">
        <f>"2191-611X"</f>
        <v>2191-611X</v>
      </c>
      <c r="E17161" t="s">
        <v>8</v>
      </c>
      <c r="F17161" t="s">
        <v>17167</v>
      </c>
      <c r="G17161">
        <v>1</v>
      </c>
    </row>
    <row r="17162" spans="1:7" x14ac:dyDescent="0.25">
      <c r="A17162">
        <v>5</v>
      </c>
      <c r="B17162" t="s">
        <v>16809</v>
      </c>
      <c r="C17162">
        <v>23133</v>
      </c>
      <c r="D17162" t="str">
        <f>"1022-8195"</f>
        <v>1022-8195</v>
      </c>
      <c r="E17162" t="s">
        <v>8</v>
      </c>
      <c r="F17162" t="s">
        <v>17168</v>
      </c>
      <c r="G17162">
        <v>1</v>
      </c>
    </row>
    <row r="17163" spans="1:7" x14ac:dyDescent="0.25">
      <c r="A17163">
        <v>5</v>
      </c>
      <c r="B17163" t="s">
        <v>16809</v>
      </c>
      <c r="C17163">
        <v>8783648</v>
      </c>
      <c r="D17163" t="str">
        <f>"2363-7749"</f>
        <v>2363-7749</v>
      </c>
      <c r="E17163" t="s">
        <v>15</v>
      </c>
      <c r="F17163" t="s">
        <v>17169</v>
      </c>
      <c r="G17163">
        <v>1</v>
      </c>
    </row>
    <row r="17164" spans="1:7" x14ac:dyDescent="0.25">
      <c r="A17164">
        <v>5</v>
      </c>
      <c r="B17164" t="s">
        <v>16809</v>
      </c>
      <c r="C17164">
        <v>960</v>
      </c>
      <c r="D17164" t="str">
        <f>"0272-2690"</f>
        <v>0272-2690</v>
      </c>
      <c r="E17164" t="s">
        <v>8</v>
      </c>
      <c r="F17164" t="s">
        <v>17170</v>
      </c>
      <c r="G17164">
        <v>1</v>
      </c>
    </row>
    <row r="17165" spans="1:7" x14ac:dyDescent="0.25">
      <c r="A17165">
        <v>5</v>
      </c>
      <c r="B17165" t="s">
        <v>16809</v>
      </c>
      <c r="C17165">
        <v>180118</v>
      </c>
      <c r="E17165" t="s">
        <v>8</v>
      </c>
      <c r="F17165" t="s">
        <v>17171</v>
      </c>
      <c r="G17165">
        <v>1</v>
      </c>
    </row>
    <row r="17166" spans="1:7" x14ac:dyDescent="0.25">
      <c r="A17166">
        <v>5</v>
      </c>
      <c r="B17166" t="s">
        <v>16809</v>
      </c>
      <c r="C17166">
        <v>180139</v>
      </c>
      <c r="D17166" t="str">
        <f>"1989-7103"</f>
        <v>1989-7103</v>
      </c>
      <c r="E17166" t="s">
        <v>8</v>
      </c>
      <c r="F17166" t="s">
        <v>17172</v>
      </c>
      <c r="G17166">
        <v>1</v>
      </c>
    </row>
    <row r="17167" spans="1:7" x14ac:dyDescent="0.25">
      <c r="A17167">
        <v>5</v>
      </c>
      <c r="B17167" t="s">
        <v>16809</v>
      </c>
      <c r="C17167">
        <v>8780599</v>
      </c>
      <c r="D17167" t="str">
        <f>"2366-7818"</f>
        <v>2366-7818</v>
      </c>
      <c r="E17167" t="s">
        <v>15</v>
      </c>
      <c r="F17167" t="s">
        <v>17173</v>
      </c>
      <c r="G17167">
        <v>1</v>
      </c>
    </row>
    <row r="17168" spans="1:7" x14ac:dyDescent="0.25">
      <c r="A17168">
        <v>5</v>
      </c>
      <c r="B17168" t="s">
        <v>16809</v>
      </c>
      <c r="C17168">
        <v>80019</v>
      </c>
      <c r="D17168" t="str">
        <f>"1866-8313"</f>
        <v>1866-8313</v>
      </c>
      <c r="E17168" t="s">
        <v>15</v>
      </c>
      <c r="F17168" t="s">
        <v>17174</v>
      </c>
      <c r="G17168">
        <v>1</v>
      </c>
    </row>
    <row r="17169" spans="1:7" x14ac:dyDescent="0.25">
      <c r="A17169">
        <v>5</v>
      </c>
      <c r="B17169" t="s">
        <v>16809</v>
      </c>
      <c r="C17169">
        <v>27332</v>
      </c>
      <c r="D17169" t="str">
        <f>"1879-7865"</f>
        <v>1879-7865</v>
      </c>
      <c r="E17169" t="s">
        <v>8</v>
      </c>
      <c r="F17169" t="s">
        <v>17175</v>
      </c>
      <c r="G17169">
        <v>1</v>
      </c>
    </row>
    <row r="17170" spans="1:7" x14ac:dyDescent="0.25">
      <c r="A17170">
        <v>5</v>
      </c>
      <c r="B17170" t="s">
        <v>16809</v>
      </c>
      <c r="C17170">
        <v>8782635</v>
      </c>
      <c r="D17170" t="str">
        <f>"2544-6886"</f>
        <v>2544-6886</v>
      </c>
      <c r="E17170" t="s">
        <v>8</v>
      </c>
      <c r="F17170" t="s">
        <v>17176</v>
      </c>
      <c r="G17170">
        <v>1</v>
      </c>
    </row>
    <row r="17171" spans="1:7" x14ac:dyDescent="0.25">
      <c r="A17171">
        <v>5</v>
      </c>
      <c r="B17171" t="s">
        <v>16809</v>
      </c>
      <c r="C17171">
        <v>7340590</v>
      </c>
      <c r="D17171" t="str">
        <f>"0161-1461"</f>
        <v>0161-1461</v>
      </c>
      <c r="E17171" t="s">
        <v>8</v>
      </c>
      <c r="F17171" t="s">
        <v>17177</v>
      </c>
      <c r="G17171">
        <v>1</v>
      </c>
    </row>
    <row r="17172" spans="1:7" x14ac:dyDescent="0.25">
      <c r="A17172">
        <v>5</v>
      </c>
      <c r="B17172" t="s">
        <v>16809</v>
      </c>
      <c r="C17172">
        <v>71314</v>
      </c>
      <c r="D17172" t="str">
        <f>"1860-2029"</f>
        <v>1860-2029</v>
      </c>
      <c r="E17172" t="s">
        <v>8</v>
      </c>
      <c r="F17172" t="s">
        <v>17178</v>
      </c>
      <c r="G17172">
        <v>1</v>
      </c>
    </row>
    <row r="17173" spans="1:7" x14ac:dyDescent="0.25">
      <c r="A17173">
        <v>5</v>
      </c>
      <c r="B17173" t="s">
        <v>16809</v>
      </c>
      <c r="C17173">
        <v>15654</v>
      </c>
      <c r="D17173" t="str">
        <f>"1387-6759"</f>
        <v>1387-6759</v>
      </c>
      <c r="E17173" t="s">
        <v>8</v>
      </c>
      <c r="F17173" t="s">
        <v>17179</v>
      </c>
      <c r="G17173">
        <v>1</v>
      </c>
    </row>
    <row r="17174" spans="1:7" x14ac:dyDescent="0.25">
      <c r="A17174">
        <v>5</v>
      </c>
      <c r="B17174" t="s">
        <v>16809</v>
      </c>
      <c r="C17174">
        <v>7743903</v>
      </c>
      <c r="D17174" t="str">
        <f>"2011-6721"</f>
        <v>2011-6721</v>
      </c>
      <c r="E17174" t="s">
        <v>8</v>
      </c>
      <c r="F17174" t="s">
        <v>17180</v>
      </c>
      <c r="G17174">
        <v>1</v>
      </c>
    </row>
    <row r="17175" spans="1:7" x14ac:dyDescent="0.25">
      <c r="A17175">
        <v>5</v>
      </c>
      <c r="B17175" t="s">
        <v>16809</v>
      </c>
      <c r="C17175">
        <v>146302</v>
      </c>
      <c r="D17175" t="str">
        <f>"0926-5856"</f>
        <v>0926-5856</v>
      </c>
      <c r="E17175" t="s">
        <v>15</v>
      </c>
      <c r="F17175" t="s">
        <v>17181</v>
      </c>
      <c r="G17175">
        <v>1</v>
      </c>
    </row>
    <row r="17176" spans="1:7" x14ac:dyDescent="0.25">
      <c r="A17176">
        <v>5</v>
      </c>
      <c r="B17176" t="s">
        <v>16809</v>
      </c>
      <c r="C17176">
        <v>22169</v>
      </c>
      <c r="D17176" t="str">
        <f>"0153-0313"</f>
        <v>0153-0313</v>
      </c>
      <c r="E17176" t="s">
        <v>8</v>
      </c>
      <c r="F17176" t="s">
        <v>17182</v>
      </c>
      <c r="G17176">
        <v>1</v>
      </c>
    </row>
    <row r="17177" spans="1:7" x14ac:dyDescent="0.25">
      <c r="A17177">
        <v>5</v>
      </c>
      <c r="B17177" t="s">
        <v>16809</v>
      </c>
      <c r="C17177">
        <v>180122</v>
      </c>
      <c r="D17177" t="str">
        <f>"1889-5425"</f>
        <v>1889-5425</v>
      </c>
      <c r="E17177" t="s">
        <v>8</v>
      </c>
      <c r="F17177" t="s">
        <v>17183</v>
      </c>
      <c r="G17177">
        <v>1</v>
      </c>
    </row>
    <row r="17178" spans="1:7" x14ac:dyDescent="0.25">
      <c r="A17178">
        <v>5</v>
      </c>
      <c r="B17178" t="s">
        <v>16809</v>
      </c>
      <c r="C17178">
        <v>2691</v>
      </c>
      <c r="D17178" t="str">
        <f>"0716-0542"</f>
        <v>0716-0542</v>
      </c>
      <c r="E17178" t="s">
        <v>8</v>
      </c>
      <c r="F17178" t="s">
        <v>17184</v>
      </c>
      <c r="G17178">
        <v>1</v>
      </c>
    </row>
    <row r="17179" spans="1:7" x14ac:dyDescent="0.25">
      <c r="A17179">
        <v>5</v>
      </c>
      <c r="B17179" t="s">
        <v>16809</v>
      </c>
      <c r="C17179">
        <v>6399</v>
      </c>
      <c r="D17179" t="str">
        <f>"0024-1482"</f>
        <v>0024-1482</v>
      </c>
      <c r="E17179" t="s">
        <v>8</v>
      </c>
      <c r="F17179" t="s">
        <v>17185</v>
      </c>
      <c r="G17179">
        <v>1</v>
      </c>
    </row>
    <row r="17180" spans="1:7" x14ac:dyDescent="0.25">
      <c r="A17180">
        <v>5</v>
      </c>
      <c r="B17180" t="s">
        <v>16809</v>
      </c>
      <c r="C17180">
        <v>7756242</v>
      </c>
      <c r="D17180" t="str">
        <f>"2197-4292"</f>
        <v>2197-4292</v>
      </c>
      <c r="E17180" t="s">
        <v>8</v>
      </c>
      <c r="F17180" t="s">
        <v>17186</v>
      </c>
      <c r="G17180">
        <v>1</v>
      </c>
    </row>
    <row r="17181" spans="1:7" x14ac:dyDescent="0.25">
      <c r="A17181">
        <v>5</v>
      </c>
      <c r="B17181" t="s">
        <v>16809</v>
      </c>
      <c r="C17181">
        <v>6580</v>
      </c>
      <c r="E17181" t="s">
        <v>8</v>
      </c>
      <c r="F17181" t="s">
        <v>17187</v>
      </c>
      <c r="G17181">
        <v>1</v>
      </c>
    </row>
    <row r="17182" spans="1:7" x14ac:dyDescent="0.25">
      <c r="A17182">
        <v>5</v>
      </c>
      <c r="B17182" t="s">
        <v>16809</v>
      </c>
      <c r="C17182">
        <v>17073</v>
      </c>
      <c r="D17182" t="str">
        <f>"1684-4904"</f>
        <v>1684-4904</v>
      </c>
      <c r="E17182" t="s">
        <v>8</v>
      </c>
      <c r="F17182" t="s">
        <v>17188</v>
      </c>
      <c r="G17182">
        <v>1</v>
      </c>
    </row>
    <row r="17183" spans="1:7" x14ac:dyDescent="0.25">
      <c r="A17183">
        <v>5</v>
      </c>
      <c r="B17183" t="s">
        <v>16809</v>
      </c>
      <c r="C17183">
        <v>3768</v>
      </c>
      <c r="D17183" t="str">
        <f>"0254-9239"</f>
        <v>0254-9239</v>
      </c>
      <c r="E17183" t="s">
        <v>8</v>
      </c>
      <c r="F17183" t="s">
        <v>17189</v>
      </c>
      <c r="G17183">
        <v>1</v>
      </c>
    </row>
    <row r="17184" spans="1:7" x14ac:dyDescent="0.25">
      <c r="A17184">
        <v>5</v>
      </c>
      <c r="B17184" t="s">
        <v>16809</v>
      </c>
      <c r="C17184">
        <v>8782633</v>
      </c>
      <c r="E17184" t="s">
        <v>8</v>
      </c>
      <c r="F17184" t="s">
        <v>17190</v>
      </c>
      <c r="G17184">
        <v>1</v>
      </c>
    </row>
    <row r="17185" spans="1:7" x14ac:dyDescent="0.25">
      <c r="A17185">
        <v>5</v>
      </c>
      <c r="B17185" t="s">
        <v>16809</v>
      </c>
      <c r="C17185">
        <v>7397</v>
      </c>
      <c r="D17185" t="str">
        <f>"0222-9838"</f>
        <v>0222-9838</v>
      </c>
      <c r="E17185" t="s">
        <v>8</v>
      </c>
      <c r="F17185" t="s">
        <v>17191</v>
      </c>
      <c r="G17185">
        <v>1</v>
      </c>
    </row>
    <row r="17186" spans="1:7" x14ac:dyDescent="0.25">
      <c r="A17186">
        <v>5</v>
      </c>
      <c r="B17186" t="s">
        <v>16809</v>
      </c>
      <c r="C17186">
        <v>15977</v>
      </c>
      <c r="D17186" t="str">
        <f>"0024-3841"</f>
        <v>0024-3841</v>
      </c>
      <c r="E17186" t="s">
        <v>8</v>
      </c>
      <c r="F17186" t="s">
        <v>17192</v>
      </c>
      <c r="G17186">
        <v>1</v>
      </c>
    </row>
    <row r="17187" spans="1:7" x14ac:dyDescent="0.25">
      <c r="A17187">
        <v>5</v>
      </c>
      <c r="B17187" t="s">
        <v>16809</v>
      </c>
      <c r="C17187">
        <v>9655</v>
      </c>
      <c r="D17187" t="str">
        <f>"0024-385X"</f>
        <v>0024-385X</v>
      </c>
      <c r="E17187" t="s">
        <v>8</v>
      </c>
      <c r="F17187" t="s">
        <v>17193</v>
      </c>
      <c r="G17187">
        <v>1</v>
      </c>
    </row>
    <row r="17188" spans="1:7" x14ac:dyDescent="0.25">
      <c r="A17188">
        <v>5</v>
      </c>
      <c r="B17188" t="s">
        <v>16809</v>
      </c>
      <c r="C17188">
        <v>7758051</v>
      </c>
      <c r="D17188" t="str">
        <f>"2067-9696"</f>
        <v>2067-9696</v>
      </c>
      <c r="E17188" t="s">
        <v>8</v>
      </c>
      <c r="F17188" t="s">
        <v>17194</v>
      </c>
      <c r="G17188">
        <v>1</v>
      </c>
    </row>
    <row r="17189" spans="1:7" x14ac:dyDescent="0.25">
      <c r="A17189">
        <v>5</v>
      </c>
      <c r="B17189" t="s">
        <v>16809</v>
      </c>
      <c r="C17189">
        <v>7716697</v>
      </c>
      <c r="D17189" t="str">
        <f>"1869-7054"</f>
        <v>1869-7054</v>
      </c>
      <c r="E17189" t="s">
        <v>15</v>
      </c>
      <c r="F17189" t="s">
        <v>17195</v>
      </c>
      <c r="G17189">
        <v>1</v>
      </c>
    </row>
    <row r="17190" spans="1:7" x14ac:dyDescent="0.25">
      <c r="A17190">
        <v>5</v>
      </c>
      <c r="B17190" t="s">
        <v>16809</v>
      </c>
      <c r="C17190">
        <v>7690834</v>
      </c>
      <c r="D17190" t="str">
        <f>"1647-0818"</f>
        <v>1647-0818</v>
      </c>
      <c r="E17190" t="s">
        <v>8</v>
      </c>
      <c r="F17190" t="s">
        <v>17196</v>
      </c>
      <c r="G17190">
        <v>1</v>
      </c>
    </row>
    <row r="17191" spans="1:7" x14ac:dyDescent="0.25">
      <c r="A17191">
        <v>5</v>
      </c>
      <c r="B17191" t="s">
        <v>16809</v>
      </c>
      <c r="C17191">
        <v>7745021</v>
      </c>
      <c r="D17191" t="str">
        <f>"2281-4841"</f>
        <v>2281-4841</v>
      </c>
      <c r="E17191" t="s">
        <v>8</v>
      </c>
      <c r="F17191" t="s">
        <v>17197</v>
      </c>
      <c r="G17191">
        <v>1</v>
      </c>
    </row>
    <row r="17192" spans="1:7" x14ac:dyDescent="0.25">
      <c r="A17192">
        <v>5</v>
      </c>
      <c r="B17192" t="s">
        <v>16809</v>
      </c>
      <c r="C17192">
        <v>7718250</v>
      </c>
      <c r="D17192" t="str">
        <f>"2239-0367"</f>
        <v>2239-0367</v>
      </c>
      <c r="E17192" t="s">
        <v>8</v>
      </c>
      <c r="F17192" t="s">
        <v>17198</v>
      </c>
      <c r="G17192">
        <v>1</v>
      </c>
    </row>
    <row r="17193" spans="1:7" x14ac:dyDescent="0.25">
      <c r="A17193">
        <v>5</v>
      </c>
      <c r="B17193" t="s">
        <v>16809</v>
      </c>
      <c r="C17193">
        <v>2781</v>
      </c>
      <c r="D17193" t="str">
        <f>"0098-9053"</f>
        <v>0098-9053</v>
      </c>
      <c r="E17193" t="s">
        <v>8</v>
      </c>
      <c r="F17193" t="s">
        <v>17199</v>
      </c>
      <c r="G17193">
        <v>1</v>
      </c>
    </row>
    <row r="17194" spans="1:7" x14ac:dyDescent="0.25">
      <c r="A17194">
        <v>5</v>
      </c>
      <c r="B17194" t="s">
        <v>16809</v>
      </c>
      <c r="C17194">
        <v>160003</v>
      </c>
      <c r="D17194" t="str">
        <f>"1879-9264"</f>
        <v>1879-9264</v>
      </c>
      <c r="E17194" t="s">
        <v>8</v>
      </c>
      <c r="F17194" t="s">
        <v>17200</v>
      </c>
      <c r="G17194">
        <v>1</v>
      </c>
    </row>
    <row r="17195" spans="1:7" x14ac:dyDescent="0.25">
      <c r="A17195">
        <v>5</v>
      </c>
      <c r="B17195" t="s">
        <v>16809</v>
      </c>
      <c r="C17195">
        <v>4369</v>
      </c>
      <c r="E17195" t="s">
        <v>8</v>
      </c>
      <c r="F17195" t="s">
        <v>17201</v>
      </c>
      <c r="G17195">
        <v>1</v>
      </c>
    </row>
    <row r="17196" spans="1:7" x14ac:dyDescent="0.25">
      <c r="A17196">
        <v>5</v>
      </c>
      <c r="B17196" t="s">
        <v>16809</v>
      </c>
      <c r="C17196">
        <v>9240</v>
      </c>
      <c r="D17196" t="str">
        <f>"1424-8689"</f>
        <v>1424-8689</v>
      </c>
      <c r="E17196" t="s">
        <v>15</v>
      </c>
      <c r="F17196" t="s">
        <v>17202</v>
      </c>
      <c r="G17196">
        <v>1</v>
      </c>
    </row>
    <row r="17197" spans="1:7" x14ac:dyDescent="0.25">
      <c r="A17197">
        <v>5</v>
      </c>
      <c r="B17197" t="s">
        <v>16809</v>
      </c>
      <c r="C17197">
        <v>7758206</v>
      </c>
      <c r="D17197" t="str">
        <f>"2214-9953"</f>
        <v>2214-9953</v>
      </c>
      <c r="E17197" t="s">
        <v>8</v>
      </c>
      <c r="F17197" t="s">
        <v>17203</v>
      </c>
      <c r="G17197">
        <v>1</v>
      </c>
    </row>
    <row r="17198" spans="1:7" x14ac:dyDescent="0.25">
      <c r="A17198">
        <v>5</v>
      </c>
      <c r="B17198" t="s">
        <v>16809</v>
      </c>
      <c r="C17198">
        <v>180140</v>
      </c>
      <c r="D17198" t="str">
        <f>"1229-1374"</f>
        <v>1229-1374</v>
      </c>
      <c r="E17198" t="s">
        <v>8</v>
      </c>
      <c r="F17198" t="s">
        <v>17204</v>
      </c>
      <c r="G17198">
        <v>1</v>
      </c>
    </row>
    <row r="17199" spans="1:7" x14ac:dyDescent="0.25">
      <c r="A17199">
        <v>5</v>
      </c>
      <c r="B17199" t="s">
        <v>16809</v>
      </c>
      <c r="C17199">
        <v>14866</v>
      </c>
      <c r="D17199" t="str">
        <f>"2211-6834"</f>
        <v>2211-6834</v>
      </c>
      <c r="E17199" t="s">
        <v>8</v>
      </c>
      <c r="F17199" t="s">
        <v>17205</v>
      </c>
      <c r="G17199">
        <v>1</v>
      </c>
    </row>
    <row r="17200" spans="1:7" x14ac:dyDescent="0.25">
      <c r="A17200">
        <v>5</v>
      </c>
      <c r="B17200" t="s">
        <v>16809</v>
      </c>
      <c r="C17200">
        <v>8093</v>
      </c>
      <c r="D17200" t="str">
        <f>"0304-2294"</f>
        <v>0304-2294</v>
      </c>
      <c r="E17200" t="s">
        <v>8</v>
      </c>
      <c r="F17200" t="s">
        <v>17206</v>
      </c>
      <c r="G17200">
        <v>1</v>
      </c>
    </row>
    <row r="17201" spans="1:7" x14ac:dyDescent="0.25">
      <c r="A17201">
        <v>5</v>
      </c>
      <c r="B17201" t="s">
        <v>16809</v>
      </c>
      <c r="C17201">
        <v>88450</v>
      </c>
      <c r="D17201" t="str">
        <f>"1188-9322"</f>
        <v>1188-9322</v>
      </c>
      <c r="E17201" t="s">
        <v>8</v>
      </c>
      <c r="F17201" t="s">
        <v>17207</v>
      </c>
      <c r="G17201">
        <v>1</v>
      </c>
    </row>
    <row r="17202" spans="1:7" x14ac:dyDescent="0.25">
      <c r="A17202">
        <v>5</v>
      </c>
      <c r="B17202" t="s">
        <v>16809</v>
      </c>
      <c r="C17202">
        <v>16703</v>
      </c>
      <c r="D17202" t="str">
        <f>"0862-8432"</f>
        <v>0862-8432</v>
      </c>
      <c r="E17202" t="s">
        <v>8</v>
      </c>
      <c r="F17202" t="s">
        <v>17208</v>
      </c>
      <c r="G17202">
        <v>1</v>
      </c>
    </row>
    <row r="17203" spans="1:7" x14ac:dyDescent="0.25">
      <c r="A17203">
        <v>5</v>
      </c>
      <c r="B17203" t="s">
        <v>16809</v>
      </c>
      <c r="C17203">
        <v>147313</v>
      </c>
      <c r="D17203" t="str">
        <f>"0208-4228"</f>
        <v>0208-4228</v>
      </c>
      <c r="E17203" t="s">
        <v>8</v>
      </c>
      <c r="F17203" t="s">
        <v>17209</v>
      </c>
      <c r="G17203">
        <v>1</v>
      </c>
    </row>
    <row r="17204" spans="1:7" x14ac:dyDescent="0.25">
      <c r="A17204">
        <v>5</v>
      </c>
      <c r="B17204" t="s">
        <v>16809</v>
      </c>
      <c r="C17204">
        <v>12248</v>
      </c>
      <c r="D17204" t="str">
        <f>"0898-5898"</f>
        <v>0898-5898</v>
      </c>
      <c r="E17204" t="s">
        <v>8</v>
      </c>
      <c r="F17204" t="s">
        <v>17210</v>
      </c>
      <c r="G17204">
        <v>1</v>
      </c>
    </row>
    <row r="17205" spans="1:7" x14ac:dyDescent="0.25">
      <c r="A17205">
        <v>5</v>
      </c>
      <c r="B17205" t="s">
        <v>16809</v>
      </c>
      <c r="C17205">
        <v>16708</v>
      </c>
      <c r="D17205" t="str">
        <f>"1742-2906"</f>
        <v>1742-2906</v>
      </c>
      <c r="E17205" t="s">
        <v>8</v>
      </c>
      <c r="F17205" t="s">
        <v>17211</v>
      </c>
      <c r="G17205">
        <v>1</v>
      </c>
    </row>
    <row r="17206" spans="1:7" x14ac:dyDescent="0.25">
      <c r="A17206">
        <v>5</v>
      </c>
      <c r="B17206" t="s">
        <v>16809</v>
      </c>
      <c r="C17206">
        <v>180141</v>
      </c>
      <c r="D17206" t="str">
        <f>"1689-7765"</f>
        <v>1689-7765</v>
      </c>
      <c r="E17206" t="s">
        <v>8</v>
      </c>
      <c r="F17206" t="s">
        <v>17212</v>
      </c>
      <c r="G17206">
        <v>1</v>
      </c>
    </row>
    <row r="17207" spans="1:7" x14ac:dyDescent="0.25">
      <c r="A17207">
        <v>5</v>
      </c>
      <c r="B17207" t="s">
        <v>16809</v>
      </c>
      <c r="C17207">
        <v>7202</v>
      </c>
      <c r="D17207" t="str">
        <f>"0929-7332"</f>
        <v>0929-7332</v>
      </c>
      <c r="E17207" t="s">
        <v>8</v>
      </c>
      <c r="F17207" t="s">
        <v>17213</v>
      </c>
      <c r="G17207">
        <v>1</v>
      </c>
    </row>
    <row r="17208" spans="1:7" x14ac:dyDescent="0.25">
      <c r="A17208">
        <v>5</v>
      </c>
      <c r="B17208" t="s">
        <v>16809</v>
      </c>
      <c r="C17208">
        <v>7758209</v>
      </c>
      <c r="D17208" t="str">
        <f>"2199-174X"</f>
        <v>2199-174X</v>
      </c>
      <c r="E17208" t="s">
        <v>8</v>
      </c>
      <c r="F17208" t="s">
        <v>17214</v>
      </c>
      <c r="G17208">
        <v>1</v>
      </c>
    </row>
    <row r="17209" spans="1:7" x14ac:dyDescent="0.25">
      <c r="A17209">
        <v>5</v>
      </c>
      <c r="B17209" t="s">
        <v>16809</v>
      </c>
      <c r="C17209">
        <v>14055</v>
      </c>
      <c r="D17209" t="str">
        <f>"0166-0829"</f>
        <v>0166-0829</v>
      </c>
      <c r="E17209" t="s">
        <v>15</v>
      </c>
      <c r="F17209" t="s">
        <v>17215</v>
      </c>
      <c r="G17209">
        <v>1</v>
      </c>
    </row>
    <row r="17210" spans="1:7" x14ac:dyDescent="0.25">
      <c r="A17210">
        <v>5</v>
      </c>
      <c r="B17210" t="s">
        <v>16809</v>
      </c>
      <c r="C17210">
        <v>992</v>
      </c>
      <c r="E17210" t="s">
        <v>8</v>
      </c>
      <c r="F17210" t="s">
        <v>17216</v>
      </c>
      <c r="G17210">
        <v>1</v>
      </c>
    </row>
    <row r="17211" spans="1:7" x14ac:dyDescent="0.25">
      <c r="A17211">
        <v>5</v>
      </c>
      <c r="B17211" t="s">
        <v>16809</v>
      </c>
      <c r="C17211">
        <v>15593</v>
      </c>
      <c r="D17211" t="str">
        <f>"0344-6727"</f>
        <v>0344-6727</v>
      </c>
      <c r="E17211" t="s">
        <v>15</v>
      </c>
      <c r="F17211" t="s">
        <v>17217</v>
      </c>
      <c r="G17211">
        <v>1</v>
      </c>
    </row>
    <row r="17212" spans="1:7" x14ac:dyDescent="0.25">
      <c r="A17212">
        <v>5</v>
      </c>
      <c r="B17212" t="s">
        <v>16809</v>
      </c>
      <c r="C17212">
        <v>2369</v>
      </c>
      <c r="D17212" t="str">
        <f>"0024-3930"</f>
        <v>0024-3930</v>
      </c>
      <c r="E17212" t="s">
        <v>8</v>
      </c>
      <c r="F17212" t="s">
        <v>17218</v>
      </c>
      <c r="G17212">
        <v>1</v>
      </c>
    </row>
    <row r="17213" spans="1:7" x14ac:dyDescent="0.25">
      <c r="A17213">
        <v>5</v>
      </c>
      <c r="B17213" t="s">
        <v>16809</v>
      </c>
      <c r="C17213">
        <v>13034</v>
      </c>
      <c r="D17213" t="str">
        <f>"0378-4169"</f>
        <v>0378-4169</v>
      </c>
      <c r="E17213" t="s">
        <v>8</v>
      </c>
      <c r="F17213" t="s">
        <v>17219</v>
      </c>
      <c r="G17213">
        <v>1</v>
      </c>
    </row>
    <row r="17214" spans="1:7" x14ac:dyDescent="0.25">
      <c r="A17214">
        <v>5</v>
      </c>
      <c r="B17214" t="s">
        <v>16809</v>
      </c>
      <c r="C17214">
        <v>14522</v>
      </c>
      <c r="D17214" t="str">
        <f>"0165-7569"</f>
        <v>0165-7569</v>
      </c>
      <c r="E17214" t="s">
        <v>15</v>
      </c>
      <c r="F17214" t="s">
        <v>17220</v>
      </c>
      <c r="G17214">
        <v>1</v>
      </c>
    </row>
    <row r="17215" spans="1:7" x14ac:dyDescent="0.25">
      <c r="A17215">
        <v>5</v>
      </c>
      <c r="B17215" t="s">
        <v>16809</v>
      </c>
      <c r="C17215">
        <v>10147</v>
      </c>
      <c r="D17215" t="str">
        <f>"1741-4350"</f>
        <v>1741-4350</v>
      </c>
      <c r="E17215" t="s">
        <v>8</v>
      </c>
      <c r="F17215" t="s">
        <v>17221</v>
      </c>
      <c r="G17215">
        <v>1</v>
      </c>
    </row>
    <row r="17216" spans="1:7" x14ac:dyDescent="0.25">
      <c r="A17216">
        <v>5</v>
      </c>
      <c r="B17216" t="s">
        <v>16809</v>
      </c>
      <c r="C17216">
        <v>8782691</v>
      </c>
      <c r="E17216" t="s">
        <v>2100</v>
      </c>
      <c r="F17216" t="s">
        <v>17222</v>
      </c>
      <c r="G17216">
        <v>1</v>
      </c>
    </row>
    <row r="17217" spans="1:7" x14ac:dyDescent="0.25">
      <c r="A17217">
        <v>5</v>
      </c>
      <c r="B17217" t="s">
        <v>16809</v>
      </c>
      <c r="C17217">
        <v>7742821</v>
      </c>
      <c r="D17217" t="str">
        <f>"2214-000X"</f>
        <v>2214-000X</v>
      </c>
      <c r="E17217" t="s">
        <v>15</v>
      </c>
      <c r="F17217" t="s">
        <v>17223</v>
      </c>
      <c r="G17217">
        <v>1</v>
      </c>
    </row>
    <row r="17218" spans="1:7" x14ac:dyDescent="0.25">
      <c r="A17218">
        <v>5</v>
      </c>
      <c r="B17218" t="s">
        <v>16809</v>
      </c>
      <c r="C17218">
        <v>6188253</v>
      </c>
      <c r="D17218" t="str">
        <f>"1697-5928"</f>
        <v>1697-5928</v>
      </c>
      <c r="E17218" t="s">
        <v>8</v>
      </c>
      <c r="F17218" t="s">
        <v>17224</v>
      </c>
      <c r="G17218">
        <v>1</v>
      </c>
    </row>
    <row r="17219" spans="1:7" x14ac:dyDescent="0.25">
      <c r="A17219">
        <v>5</v>
      </c>
      <c r="B17219" t="s">
        <v>16809</v>
      </c>
      <c r="C17219">
        <v>6189126</v>
      </c>
      <c r="D17219" t="str">
        <f>"1895-6106"</f>
        <v>1895-6106</v>
      </c>
      <c r="E17219" t="s">
        <v>8</v>
      </c>
      <c r="F17219" t="s">
        <v>17225</v>
      </c>
      <c r="G17219">
        <v>1</v>
      </c>
    </row>
    <row r="17220" spans="1:7" x14ac:dyDescent="0.25">
      <c r="A17220">
        <v>5</v>
      </c>
      <c r="B17220" t="s">
        <v>16809</v>
      </c>
      <c r="C17220">
        <v>6324</v>
      </c>
      <c r="D17220" t="str">
        <f>"1437-5281"</f>
        <v>1437-5281</v>
      </c>
      <c r="E17220" t="s">
        <v>15</v>
      </c>
      <c r="F17220" t="s">
        <v>17226</v>
      </c>
      <c r="G17220">
        <v>1</v>
      </c>
    </row>
    <row r="17221" spans="1:7" x14ac:dyDescent="0.25">
      <c r="A17221">
        <v>5</v>
      </c>
      <c r="B17221" t="s">
        <v>16809</v>
      </c>
      <c r="C17221">
        <v>8773232</v>
      </c>
      <c r="D17221" t="str">
        <f>"2336-9884"</f>
        <v>2336-9884</v>
      </c>
      <c r="E17221" t="s">
        <v>8</v>
      </c>
      <c r="F17221" t="s">
        <v>17227</v>
      </c>
      <c r="G17221">
        <v>1</v>
      </c>
    </row>
    <row r="17222" spans="1:7" x14ac:dyDescent="0.25">
      <c r="A17222">
        <v>5</v>
      </c>
      <c r="B17222" t="s">
        <v>16809</v>
      </c>
      <c r="C17222">
        <v>11729</v>
      </c>
      <c r="D17222" t="str">
        <f>"1382-3485"</f>
        <v>1382-3485</v>
      </c>
      <c r="E17222" t="s">
        <v>15</v>
      </c>
      <c r="F17222" t="s">
        <v>17228</v>
      </c>
      <c r="G17222">
        <v>1</v>
      </c>
    </row>
    <row r="17223" spans="1:7" x14ac:dyDescent="0.25">
      <c r="A17223">
        <v>5</v>
      </c>
      <c r="B17223" t="s">
        <v>16809</v>
      </c>
      <c r="C17223">
        <v>12016</v>
      </c>
      <c r="D17223" t="str">
        <f>"0724-7567"</f>
        <v>0724-7567</v>
      </c>
      <c r="E17223" t="s">
        <v>8</v>
      </c>
      <c r="F17223" t="s">
        <v>17229</v>
      </c>
      <c r="G17223">
        <v>1</v>
      </c>
    </row>
    <row r="17224" spans="1:7" x14ac:dyDescent="0.25">
      <c r="A17224">
        <v>5</v>
      </c>
      <c r="B17224" t="s">
        <v>16809</v>
      </c>
      <c r="C17224">
        <v>7696720</v>
      </c>
      <c r="D17224" t="str">
        <f>"2210-4070"</f>
        <v>2210-4070</v>
      </c>
      <c r="E17224" t="s">
        <v>8</v>
      </c>
      <c r="F17224" t="s">
        <v>17230</v>
      </c>
      <c r="G17224">
        <v>1</v>
      </c>
    </row>
    <row r="17225" spans="1:7" x14ac:dyDescent="0.25">
      <c r="A17225">
        <v>5</v>
      </c>
      <c r="B17225" t="s">
        <v>16809</v>
      </c>
      <c r="C17225">
        <v>7717370</v>
      </c>
      <c r="D17225" t="str">
        <f>"2210-4836"</f>
        <v>2210-4836</v>
      </c>
      <c r="E17225" t="s">
        <v>15</v>
      </c>
      <c r="F17225" t="s">
        <v>17231</v>
      </c>
      <c r="G17225">
        <v>1</v>
      </c>
    </row>
    <row r="17226" spans="1:7" x14ac:dyDescent="0.25">
      <c r="A17226">
        <v>5</v>
      </c>
      <c r="B17226" t="s">
        <v>16809</v>
      </c>
      <c r="C17226">
        <v>27198</v>
      </c>
      <c r="D17226" t="str">
        <f>"1865-0716"</f>
        <v>1865-0716</v>
      </c>
      <c r="E17226" t="s">
        <v>8</v>
      </c>
      <c r="F17226" t="s">
        <v>17232</v>
      </c>
      <c r="G17226">
        <v>1</v>
      </c>
    </row>
    <row r="17227" spans="1:7" x14ac:dyDescent="0.25">
      <c r="A17227">
        <v>5</v>
      </c>
      <c r="B17227" t="s">
        <v>16809</v>
      </c>
      <c r="C17227">
        <v>13804</v>
      </c>
      <c r="E17227" t="s">
        <v>8</v>
      </c>
      <c r="F17227" t="s">
        <v>17233</v>
      </c>
      <c r="G17227">
        <v>1</v>
      </c>
    </row>
    <row r="17228" spans="1:7" x14ac:dyDescent="0.25">
      <c r="A17228">
        <v>5</v>
      </c>
      <c r="B17228" t="s">
        <v>16809</v>
      </c>
      <c r="C17228">
        <v>8758285</v>
      </c>
      <c r="D17228" t="str">
        <f>"1889-4178"</f>
        <v>1889-4178</v>
      </c>
      <c r="E17228" t="s">
        <v>15</v>
      </c>
      <c r="F17228" t="s">
        <v>17234</v>
      </c>
      <c r="G17228">
        <v>1</v>
      </c>
    </row>
    <row r="17229" spans="1:7" x14ac:dyDescent="0.25">
      <c r="A17229">
        <v>5</v>
      </c>
      <c r="B17229" t="s">
        <v>16809</v>
      </c>
      <c r="C17229">
        <v>7716705</v>
      </c>
      <c r="D17229" t="str">
        <f>"1864-6409"</f>
        <v>1864-6409</v>
      </c>
      <c r="E17229" t="s">
        <v>15</v>
      </c>
      <c r="F17229" t="s">
        <v>17235</v>
      </c>
      <c r="G17229">
        <v>1</v>
      </c>
    </row>
    <row r="17230" spans="1:7" x14ac:dyDescent="0.25">
      <c r="A17230">
        <v>5</v>
      </c>
      <c r="B17230" t="s">
        <v>16809</v>
      </c>
      <c r="C17230">
        <v>180142</v>
      </c>
      <c r="E17230" t="s">
        <v>8</v>
      </c>
      <c r="F17230" t="s">
        <v>17236</v>
      </c>
      <c r="G17230">
        <v>1</v>
      </c>
    </row>
    <row r="17231" spans="1:7" x14ac:dyDescent="0.25">
      <c r="A17231">
        <v>5</v>
      </c>
      <c r="B17231" t="s">
        <v>16809</v>
      </c>
      <c r="C17231">
        <v>7751</v>
      </c>
      <c r="D17231" t="str">
        <f>"0077-1910"</f>
        <v>0077-1910</v>
      </c>
      <c r="E17231" t="s">
        <v>8</v>
      </c>
      <c r="F17231" t="s">
        <v>17237</v>
      </c>
      <c r="G17231">
        <v>1</v>
      </c>
    </row>
    <row r="17232" spans="1:7" x14ac:dyDescent="0.25">
      <c r="A17232">
        <v>5</v>
      </c>
      <c r="B17232" t="s">
        <v>16809</v>
      </c>
      <c r="C17232">
        <v>15743</v>
      </c>
      <c r="D17232" t="str">
        <f>"0167-8507"</f>
        <v>0167-8507</v>
      </c>
      <c r="E17232" t="s">
        <v>8</v>
      </c>
      <c r="F17232" t="s">
        <v>17238</v>
      </c>
      <c r="G17232">
        <v>1</v>
      </c>
    </row>
    <row r="17233" spans="1:7" x14ac:dyDescent="0.25">
      <c r="A17233">
        <v>5</v>
      </c>
      <c r="B17233" t="s">
        <v>16809</v>
      </c>
      <c r="C17233">
        <v>7742824</v>
      </c>
      <c r="D17233" t="str">
        <f>"2213-3208"</f>
        <v>2213-3208</v>
      </c>
      <c r="E17233" t="s">
        <v>15</v>
      </c>
      <c r="F17233" t="s">
        <v>17239</v>
      </c>
      <c r="G17233">
        <v>1</v>
      </c>
    </row>
    <row r="17234" spans="1:7" x14ac:dyDescent="0.25">
      <c r="A17234">
        <v>5</v>
      </c>
      <c r="B17234" t="s">
        <v>16809</v>
      </c>
      <c r="C17234">
        <v>6208802</v>
      </c>
      <c r="E17234" t="s">
        <v>15</v>
      </c>
      <c r="F17234" t="s">
        <v>17240</v>
      </c>
      <c r="G17234">
        <v>1</v>
      </c>
    </row>
    <row r="17235" spans="1:7" x14ac:dyDescent="0.25">
      <c r="A17235">
        <v>5</v>
      </c>
      <c r="B17235" t="s">
        <v>16809</v>
      </c>
      <c r="C17235">
        <v>15117</v>
      </c>
      <c r="D17235" t="str">
        <f>"0027-514X"</f>
        <v>0027-514X</v>
      </c>
      <c r="E17235" t="s">
        <v>8</v>
      </c>
      <c r="F17235" t="s">
        <v>17241</v>
      </c>
      <c r="G17235">
        <v>1</v>
      </c>
    </row>
    <row r="17236" spans="1:7" x14ac:dyDescent="0.25">
      <c r="A17236">
        <v>5</v>
      </c>
      <c r="B17236" t="s">
        <v>16809</v>
      </c>
      <c r="C17236">
        <v>59914</v>
      </c>
      <c r="D17236" t="str">
        <f>"0943-0849"</f>
        <v>0943-0849</v>
      </c>
      <c r="E17236" t="s">
        <v>8</v>
      </c>
      <c r="F17236" t="s">
        <v>17242</v>
      </c>
      <c r="G17236">
        <v>1</v>
      </c>
    </row>
    <row r="17237" spans="1:7" x14ac:dyDescent="0.25">
      <c r="A17237">
        <v>5</v>
      </c>
      <c r="B17237" t="s">
        <v>16809</v>
      </c>
      <c r="C17237">
        <v>7790</v>
      </c>
      <c r="D17237" t="str">
        <f>"0027-7738"</f>
        <v>0027-7738</v>
      </c>
      <c r="E17237" t="s">
        <v>8</v>
      </c>
      <c r="F17237" t="s">
        <v>17243</v>
      </c>
      <c r="G17237">
        <v>1</v>
      </c>
    </row>
    <row r="17238" spans="1:7" x14ac:dyDescent="0.25">
      <c r="A17238">
        <v>5</v>
      </c>
      <c r="B17238" t="s">
        <v>16809</v>
      </c>
      <c r="C17238">
        <v>6214762</v>
      </c>
      <c r="D17238" t="str">
        <f>"1567-8202"</f>
        <v>1567-8202</v>
      </c>
      <c r="E17238" t="s">
        <v>15</v>
      </c>
      <c r="F17238" t="s">
        <v>17244</v>
      </c>
      <c r="G17238">
        <v>1</v>
      </c>
    </row>
    <row r="17239" spans="1:7" x14ac:dyDescent="0.25">
      <c r="A17239">
        <v>5</v>
      </c>
      <c r="B17239" t="s">
        <v>16809</v>
      </c>
      <c r="C17239">
        <v>156426</v>
      </c>
      <c r="D17239" t="str">
        <f>"1736-6305"</f>
        <v>1736-6305</v>
      </c>
      <c r="E17239" t="s">
        <v>8</v>
      </c>
      <c r="F17239" t="s">
        <v>17245</v>
      </c>
      <c r="G17239">
        <v>1</v>
      </c>
    </row>
    <row r="17240" spans="1:7" x14ac:dyDescent="0.25">
      <c r="A17240">
        <v>5</v>
      </c>
      <c r="B17240" t="s">
        <v>16809</v>
      </c>
      <c r="C17240">
        <v>12591</v>
      </c>
      <c r="D17240" t="str">
        <f>"0028-3754"</f>
        <v>0028-3754</v>
      </c>
      <c r="E17240" t="s">
        <v>8</v>
      </c>
      <c r="F17240" t="s">
        <v>17246</v>
      </c>
      <c r="G17240">
        <v>1</v>
      </c>
    </row>
    <row r="17241" spans="1:7" x14ac:dyDescent="0.25">
      <c r="A17241">
        <v>5</v>
      </c>
      <c r="B17241" t="s">
        <v>16809</v>
      </c>
      <c r="C17241">
        <v>60045</v>
      </c>
      <c r="D17241" t="str">
        <f>"0139-2190"</f>
        <v>0139-2190</v>
      </c>
      <c r="E17241" t="s">
        <v>8</v>
      </c>
      <c r="F17241" t="s">
        <v>17247</v>
      </c>
      <c r="G17241">
        <v>1</v>
      </c>
    </row>
    <row r="17242" spans="1:7" x14ac:dyDescent="0.25">
      <c r="A17242">
        <v>5</v>
      </c>
      <c r="B17242" t="s">
        <v>16809</v>
      </c>
      <c r="C17242">
        <v>8417</v>
      </c>
      <c r="D17242" t="str">
        <f>"0800-3076"</f>
        <v>0800-3076</v>
      </c>
      <c r="E17242" t="s">
        <v>8</v>
      </c>
      <c r="F17242" t="s">
        <v>17248</v>
      </c>
      <c r="G17242">
        <v>1</v>
      </c>
    </row>
    <row r="17243" spans="1:7" x14ac:dyDescent="0.25">
      <c r="A17243">
        <v>5</v>
      </c>
      <c r="B17243" t="s">
        <v>16809</v>
      </c>
      <c r="C17243">
        <v>156424</v>
      </c>
      <c r="D17243" t="str">
        <f>"2000-1533"</f>
        <v>2000-1533</v>
      </c>
      <c r="E17243" t="s">
        <v>8</v>
      </c>
      <c r="F17243" t="s">
        <v>17249</v>
      </c>
      <c r="G17243">
        <v>1</v>
      </c>
    </row>
    <row r="17244" spans="1:7" x14ac:dyDescent="0.25">
      <c r="A17244">
        <v>5</v>
      </c>
      <c r="B17244" t="s">
        <v>16809</v>
      </c>
      <c r="C17244">
        <v>130945</v>
      </c>
      <c r="D17244" t="str">
        <f>"1307-4733"</f>
        <v>1307-4733</v>
      </c>
      <c r="E17244" t="s">
        <v>8</v>
      </c>
      <c r="F17244" t="s">
        <v>17250</v>
      </c>
      <c r="G17244">
        <v>1</v>
      </c>
    </row>
    <row r="17245" spans="1:7" x14ac:dyDescent="0.25">
      <c r="A17245">
        <v>5</v>
      </c>
      <c r="B17245" t="s">
        <v>16809</v>
      </c>
      <c r="C17245">
        <v>329</v>
      </c>
      <c r="D17245" t="str">
        <f>"0108-8416"</f>
        <v>0108-8416</v>
      </c>
      <c r="E17245" t="s">
        <v>8</v>
      </c>
      <c r="F17245" t="s">
        <v>17251</v>
      </c>
      <c r="G17245">
        <v>1</v>
      </c>
    </row>
    <row r="17246" spans="1:7" x14ac:dyDescent="0.25">
      <c r="A17246">
        <v>5</v>
      </c>
      <c r="B17246" t="s">
        <v>16809</v>
      </c>
      <c r="C17246">
        <v>57085</v>
      </c>
      <c r="D17246" t="str">
        <f>"0900-8675"</f>
        <v>0900-8675</v>
      </c>
      <c r="E17246" t="s">
        <v>15</v>
      </c>
      <c r="F17246" t="s">
        <v>17252</v>
      </c>
      <c r="G17246">
        <v>1</v>
      </c>
    </row>
    <row r="17247" spans="1:7" x14ac:dyDescent="0.25">
      <c r="A17247">
        <v>5</v>
      </c>
      <c r="B17247" t="s">
        <v>16809</v>
      </c>
      <c r="C17247">
        <v>27125</v>
      </c>
      <c r="D17247" t="str">
        <f>"1902-1291"</f>
        <v>1902-1291</v>
      </c>
      <c r="E17247" t="s">
        <v>8</v>
      </c>
      <c r="F17247" t="s">
        <v>17253</v>
      </c>
      <c r="G17247">
        <v>1</v>
      </c>
    </row>
    <row r="17248" spans="1:7" x14ac:dyDescent="0.25">
      <c r="A17248">
        <v>5</v>
      </c>
      <c r="B17248" t="s">
        <v>16809</v>
      </c>
      <c r="C17248">
        <v>180116</v>
      </c>
      <c r="D17248" t="str">
        <f>"2332-8541"</f>
        <v>2332-8541</v>
      </c>
      <c r="E17248" t="s">
        <v>8</v>
      </c>
      <c r="F17248" t="s">
        <v>17254</v>
      </c>
      <c r="G17248">
        <v>1</v>
      </c>
    </row>
    <row r="17249" spans="1:7" x14ac:dyDescent="0.25">
      <c r="A17249">
        <v>5</v>
      </c>
      <c r="B17249" t="s">
        <v>16809</v>
      </c>
      <c r="C17249">
        <v>3539</v>
      </c>
      <c r="D17249" t="str">
        <f>"0029-8115"</f>
        <v>0029-8115</v>
      </c>
      <c r="E17249" t="s">
        <v>8</v>
      </c>
      <c r="F17249" t="s">
        <v>17255</v>
      </c>
      <c r="G17249">
        <v>1</v>
      </c>
    </row>
    <row r="17250" spans="1:7" x14ac:dyDescent="0.25">
      <c r="A17250">
        <v>5</v>
      </c>
      <c r="B17250" t="s">
        <v>16809</v>
      </c>
      <c r="C17250">
        <v>14023</v>
      </c>
      <c r="D17250" t="str">
        <f>"0078-463X"</f>
        <v>0078-463X</v>
      </c>
      <c r="E17250" t="s">
        <v>8</v>
      </c>
      <c r="F17250" t="s">
        <v>17256</v>
      </c>
      <c r="G17250">
        <v>1</v>
      </c>
    </row>
    <row r="17251" spans="1:7" x14ac:dyDescent="0.25">
      <c r="A17251">
        <v>5</v>
      </c>
      <c r="B17251" t="s">
        <v>16809</v>
      </c>
      <c r="C17251">
        <v>109979</v>
      </c>
      <c r="D17251" t="str">
        <f>"0474-1471"</f>
        <v>0474-1471</v>
      </c>
      <c r="E17251" t="s">
        <v>15</v>
      </c>
      <c r="F17251" t="s">
        <v>17257</v>
      </c>
      <c r="G17251">
        <v>1</v>
      </c>
    </row>
    <row r="17252" spans="1:7" x14ac:dyDescent="0.25">
      <c r="A17252">
        <v>5</v>
      </c>
      <c r="B17252" t="s">
        <v>16809</v>
      </c>
      <c r="C17252">
        <v>7758222</v>
      </c>
      <c r="E17252" t="s">
        <v>8</v>
      </c>
      <c r="F17252" t="s">
        <v>17258</v>
      </c>
      <c r="G17252">
        <v>1</v>
      </c>
    </row>
    <row r="17253" spans="1:7" x14ac:dyDescent="0.25">
      <c r="A17253">
        <v>5</v>
      </c>
      <c r="B17253" t="s">
        <v>16809</v>
      </c>
      <c r="C17253">
        <v>16837</v>
      </c>
      <c r="D17253" t="str">
        <f>"0030-4379"</f>
        <v>0030-4379</v>
      </c>
      <c r="E17253" t="s">
        <v>8</v>
      </c>
      <c r="F17253" t="s">
        <v>17259</v>
      </c>
      <c r="G17253">
        <v>1</v>
      </c>
    </row>
    <row r="17254" spans="1:7" x14ac:dyDescent="0.25">
      <c r="A17254">
        <v>5</v>
      </c>
      <c r="B17254" t="s">
        <v>16809</v>
      </c>
      <c r="C17254">
        <v>89484</v>
      </c>
      <c r="D17254" t="str">
        <f>"1022-4610"</f>
        <v>1022-4610</v>
      </c>
      <c r="E17254" t="s">
        <v>15</v>
      </c>
      <c r="F17254" t="s">
        <v>17260</v>
      </c>
      <c r="G17254">
        <v>1</v>
      </c>
    </row>
    <row r="17255" spans="1:7" x14ac:dyDescent="0.25">
      <c r="A17255">
        <v>5</v>
      </c>
      <c r="B17255" t="s">
        <v>16809</v>
      </c>
      <c r="C17255">
        <v>6232152</v>
      </c>
      <c r="E17255" t="s">
        <v>8</v>
      </c>
      <c r="F17255" t="s">
        <v>17261</v>
      </c>
      <c r="G17255">
        <v>1</v>
      </c>
    </row>
    <row r="17256" spans="1:7" x14ac:dyDescent="0.25">
      <c r="A17256">
        <v>5</v>
      </c>
      <c r="B17256" t="s">
        <v>16809</v>
      </c>
      <c r="C17256">
        <v>8783649</v>
      </c>
      <c r="E17256" t="s">
        <v>15</v>
      </c>
      <c r="F17256" t="s">
        <v>17262</v>
      </c>
      <c r="G17256">
        <v>1</v>
      </c>
    </row>
    <row r="17257" spans="1:7" x14ac:dyDescent="0.25">
      <c r="A17257">
        <v>5</v>
      </c>
      <c r="B17257" t="s">
        <v>16809</v>
      </c>
      <c r="C17257">
        <v>6233179</v>
      </c>
      <c r="E17257" t="s">
        <v>15</v>
      </c>
      <c r="F17257" t="s">
        <v>17263</v>
      </c>
      <c r="G17257">
        <v>1</v>
      </c>
    </row>
    <row r="17258" spans="1:7" x14ac:dyDescent="0.25">
      <c r="A17258">
        <v>5</v>
      </c>
      <c r="B17258" t="s">
        <v>16809</v>
      </c>
      <c r="C17258">
        <v>8669</v>
      </c>
      <c r="D17258" t="str">
        <f>"1274-9036"</f>
        <v>1274-9036</v>
      </c>
      <c r="E17258" t="s">
        <v>8</v>
      </c>
      <c r="F17258" t="s">
        <v>17264</v>
      </c>
      <c r="G17258">
        <v>1</v>
      </c>
    </row>
    <row r="17259" spans="1:7" x14ac:dyDescent="0.25">
      <c r="A17259">
        <v>5</v>
      </c>
      <c r="B17259" t="s">
        <v>16809</v>
      </c>
      <c r="C17259">
        <v>7703686</v>
      </c>
      <c r="D17259" t="str">
        <f>"0103-9415"</f>
        <v>0103-9415</v>
      </c>
      <c r="E17259" t="s">
        <v>8</v>
      </c>
      <c r="F17259" t="s">
        <v>17265</v>
      </c>
      <c r="G17259">
        <v>1</v>
      </c>
    </row>
    <row r="17260" spans="1:7" x14ac:dyDescent="0.25">
      <c r="A17260">
        <v>5</v>
      </c>
      <c r="B17260" t="s">
        <v>16809</v>
      </c>
      <c r="C17260">
        <v>43438</v>
      </c>
      <c r="D17260" t="str">
        <f>"1861-4191"</f>
        <v>1861-4191</v>
      </c>
      <c r="E17260" t="s">
        <v>15</v>
      </c>
      <c r="F17260" t="s">
        <v>17266</v>
      </c>
      <c r="G17260">
        <v>1</v>
      </c>
    </row>
    <row r="17261" spans="1:7" x14ac:dyDescent="0.25">
      <c r="A17261">
        <v>5</v>
      </c>
      <c r="B17261" t="s">
        <v>16809</v>
      </c>
      <c r="C17261">
        <v>30994</v>
      </c>
      <c r="D17261" t="str">
        <f>"0874-1085"</f>
        <v>0874-1085</v>
      </c>
      <c r="E17261" t="s">
        <v>8</v>
      </c>
      <c r="F17261" t="s">
        <v>17267</v>
      </c>
      <c r="G17261">
        <v>1</v>
      </c>
    </row>
    <row r="17262" spans="1:7" x14ac:dyDescent="0.25">
      <c r="A17262">
        <v>5</v>
      </c>
      <c r="B17262" t="s">
        <v>16809</v>
      </c>
      <c r="C17262">
        <v>40011</v>
      </c>
      <c r="D17262" t="str">
        <f>"0032-3802"</f>
        <v>0032-3802</v>
      </c>
      <c r="E17262" t="s">
        <v>8</v>
      </c>
      <c r="F17262" t="s">
        <v>17268</v>
      </c>
      <c r="G17262">
        <v>1</v>
      </c>
    </row>
    <row r="17263" spans="1:7" x14ac:dyDescent="0.25">
      <c r="A17263">
        <v>5</v>
      </c>
      <c r="B17263" t="s">
        <v>16809</v>
      </c>
      <c r="C17263">
        <v>12335</v>
      </c>
      <c r="D17263" t="str">
        <f>"1600-4647"</f>
        <v>1600-4647</v>
      </c>
      <c r="E17263" t="s">
        <v>8</v>
      </c>
      <c r="F17263" t="s">
        <v>17269</v>
      </c>
      <c r="G17263">
        <v>1</v>
      </c>
    </row>
    <row r="17264" spans="1:7" x14ac:dyDescent="0.25">
      <c r="A17264">
        <v>5</v>
      </c>
      <c r="B17264" t="s">
        <v>16809</v>
      </c>
      <c r="C17264">
        <v>2067</v>
      </c>
      <c r="D17264" t="str">
        <f>"1732-0747"</f>
        <v>1732-0747</v>
      </c>
      <c r="E17264" t="s">
        <v>8</v>
      </c>
      <c r="F17264" t="s">
        <v>17270</v>
      </c>
      <c r="G17264">
        <v>1</v>
      </c>
    </row>
    <row r="17265" spans="1:7" x14ac:dyDescent="0.25">
      <c r="A17265">
        <v>5</v>
      </c>
      <c r="B17265" t="s">
        <v>16809</v>
      </c>
      <c r="C17265">
        <v>3022</v>
      </c>
      <c r="D17265" t="str">
        <f>"1133-682X"</f>
        <v>1133-682X</v>
      </c>
      <c r="E17265" t="s">
        <v>8</v>
      </c>
      <c r="F17265" t="s">
        <v>17271</v>
      </c>
      <c r="G17265">
        <v>1</v>
      </c>
    </row>
    <row r="17266" spans="1:7" x14ac:dyDescent="0.25">
      <c r="A17266">
        <v>5</v>
      </c>
      <c r="B17266" t="s">
        <v>16809</v>
      </c>
      <c r="C17266">
        <v>7758066</v>
      </c>
      <c r="D17266" t="str">
        <f>"2194-8305"</f>
        <v>2194-8305</v>
      </c>
      <c r="E17266" t="s">
        <v>8</v>
      </c>
      <c r="F17266" t="s">
        <v>17272</v>
      </c>
      <c r="G17266">
        <v>1</v>
      </c>
    </row>
    <row r="17267" spans="1:7" x14ac:dyDescent="0.25">
      <c r="A17267">
        <v>5</v>
      </c>
      <c r="B17267" t="s">
        <v>16809</v>
      </c>
      <c r="C17267">
        <v>7759</v>
      </c>
      <c r="D17267" t="str">
        <f>"1018-2101"</f>
        <v>1018-2101</v>
      </c>
      <c r="E17267" t="s">
        <v>8</v>
      </c>
      <c r="F17267" t="s">
        <v>17273</v>
      </c>
      <c r="G17267">
        <v>1</v>
      </c>
    </row>
    <row r="17268" spans="1:7" x14ac:dyDescent="0.25">
      <c r="A17268">
        <v>5</v>
      </c>
      <c r="B17268" t="s">
        <v>16809</v>
      </c>
      <c r="C17268">
        <v>6156169</v>
      </c>
      <c r="D17268" t="str">
        <f>"0074-414X"</f>
        <v>0074-414X</v>
      </c>
      <c r="E17268" t="s">
        <v>8</v>
      </c>
      <c r="F17268" t="s">
        <v>17274</v>
      </c>
      <c r="G17268">
        <v>1</v>
      </c>
    </row>
    <row r="17269" spans="1:7" x14ac:dyDescent="0.25">
      <c r="A17269">
        <v>5</v>
      </c>
      <c r="B17269" t="s">
        <v>16809</v>
      </c>
      <c r="C17269">
        <v>8572</v>
      </c>
      <c r="E17269" t="s">
        <v>8</v>
      </c>
      <c r="F17269" t="s">
        <v>17275</v>
      </c>
      <c r="G17269">
        <v>1</v>
      </c>
    </row>
    <row r="17270" spans="1:7" x14ac:dyDescent="0.25">
      <c r="A17270">
        <v>5</v>
      </c>
      <c r="B17270" t="s">
        <v>16809</v>
      </c>
      <c r="C17270">
        <v>27705</v>
      </c>
      <c r="D17270" t="str">
        <f>"1042-1068"</f>
        <v>1042-1068</v>
      </c>
      <c r="E17270" t="s">
        <v>8</v>
      </c>
      <c r="F17270" t="s">
        <v>17276</v>
      </c>
      <c r="G17270">
        <v>1</v>
      </c>
    </row>
    <row r="17271" spans="1:7" x14ac:dyDescent="0.25">
      <c r="A17271">
        <v>5</v>
      </c>
      <c r="B17271" t="s">
        <v>16809</v>
      </c>
      <c r="C17271">
        <v>95129</v>
      </c>
      <c r="D17271" t="str">
        <f>"1135-5948"</f>
        <v>1135-5948</v>
      </c>
      <c r="E17271" t="s">
        <v>8</v>
      </c>
      <c r="F17271" t="s">
        <v>17277</v>
      </c>
      <c r="G17271">
        <v>1</v>
      </c>
    </row>
    <row r="17272" spans="1:7" x14ac:dyDescent="0.25">
      <c r="A17272">
        <v>5</v>
      </c>
      <c r="B17272" t="s">
        <v>16809</v>
      </c>
      <c r="C17272">
        <v>6249124</v>
      </c>
      <c r="D17272" t="str">
        <f>"2210-6480"</f>
        <v>2210-6480</v>
      </c>
      <c r="E17272" t="s">
        <v>15</v>
      </c>
      <c r="F17272" t="s">
        <v>17278</v>
      </c>
      <c r="G17272">
        <v>1</v>
      </c>
    </row>
    <row r="17273" spans="1:7" x14ac:dyDescent="0.25">
      <c r="A17273">
        <v>5</v>
      </c>
      <c r="B17273" t="s">
        <v>16809</v>
      </c>
      <c r="C17273">
        <v>180148</v>
      </c>
      <c r="E17273" t="s">
        <v>8</v>
      </c>
      <c r="F17273" t="s">
        <v>17279</v>
      </c>
      <c r="G17273">
        <v>1</v>
      </c>
    </row>
    <row r="17274" spans="1:7" x14ac:dyDescent="0.25">
      <c r="A17274">
        <v>5</v>
      </c>
      <c r="B17274" t="s">
        <v>16809</v>
      </c>
      <c r="C17274">
        <v>9525</v>
      </c>
      <c r="D17274" t="str">
        <f>"1458-3410"</f>
        <v>1458-3410</v>
      </c>
      <c r="E17274" t="s">
        <v>8</v>
      </c>
      <c r="F17274" t="s">
        <v>17280</v>
      </c>
      <c r="G17274">
        <v>1</v>
      </c>
    </row>
    <row r="17275" spans="1:7" x14ac:dyDescent="0.25">
      <c r="A17275">
        <v>5</v>
      </c>
      <c r="B17275" t="s">
        <v>16809</v>
      </c>
      <c r="C17275">
        <v>132635</v>
      </c>
      <c r="D17275" t="str">
        <f>"1138-5790"</f>
        <v>1138-5790</v>
      </c>
      <c r="E17275" t="s">
        <v>8</v>
      </c>
      <c r="F17275" t="s">
        <v>17281</v>
      </c>
      <c r="G17275">
        <v>1</v>
      </c>
    </row>
    <row r="17276" spans="1:7" x14ac:dyDescent="0.25">
      <c r="A17276">
        <v>5</v>
      </c>
      <c r="B17276" t="s">
        <v>16809</v>
      </c>
      <c r="C17276">
        <v>180117</v>
      </c>
      <c r="E17276" t="s">
        <v>8</v>
      </c>
      <c r="F17276" t="s">
        <v>17282</v>
      </c>
      <c r="G17276">
        <v>1</v>
      </c>
    </row>
    <row r="17277" spans="1:7" x14ac:dyDescent="0.25">
      <c r="A17277">
        <v>5</v>
      </c>
      <c r="B17277" t="s">
        <v>16809</v>
      </c>
      <c r="C17277">
        <v>31768</v>
      </c>
      <c r="D17277" t="str">
        <f>"0909-8976"</f>
        <v>0909-8976</v>
      </c>
      <c r="E17277" t="s">
        <v>8</v>
      </c>
      <c r="F17277" t="s">
        <v>17283</v>
      </c>
      <c r="G17277">
        <v>1</v>
      </c>
    </row>
    <row r="17278" spans="1:7" x14ac:dyDescent="0.25">
      <c r="A17278">
        <v>5</v>
      </c>
      <c r="B17278" t="s">
        <v>16809</v>
      </c>
      <c r="C17278">
        <v>123242</v>
      </c>
      <c r="D17278" t="str">
        <f>"1395-7236"</f>
        <v>1395-7236</v>
      </c>
      <c r="E17278" t="s">
        <v>15</v>
      </c>
      <c r="F17278" t="s">
        <v>17284</v>
      </c>
      <c r="G17278">
        <v>1</v>
      </c>
    </row>
    <row r="17279" spans="1:7" x14ac:dyDescent="0.25">
      <c r="A17279">
        <v>5</v>
      </c>
      <c r="B17279" t="s">
        <v>16809</v>
      </c>
      <c r="C17279">
        <v>80285</v>
      </c>
      <c r="D17279" t="str">
        <f>"0986-6124"</f>
        <v>0986-6124</v>
      </c>
      <c r="E17279" t="s">
        <v>15</v>
      </c>
      <c r="F17279" t="s">
        <v>17285</v>
      </c>
      <c r="G17279">
        <v>1</v>
      </c>
    </row>
    <row r="17280" spans="1:7" x14ac:dyDescent="0.25">
      <c r="A17280">
        <v>5</v>
      </c>
      <c r="B17280" t="s">
        <v>16809</v>
      </c>
      <c r="C17280">
        <v>11936</v>
      </c>
      <c r="D17280" t="str">
        <f>"0229-8651"</f>
        <v>0229-8651</v>
      </c>
      <c r="E17280" t="s">
        <v>8</v>
      </c>
      <c r="F17280" t="s">
        <v>17286</v>
      </c>
      <c r="G17280">
        <v>1</v>
      </c>
    </row>
    <row r="17281" spans="1:7" x14ac:dyDescent="0.25">
      <c r="A17281">
        <v>5</v>
      </c>
      <c r="B17281" t="s">
        <v>16809</v>
      </c>
      <c r="C17281">
        <v>8712</v>
      </c>
      <c r="D17281" t="str">
        <f>"0033-6882"</f>
        <v>0033-6882</v>
      </c>
      <c r="E17281" t="s">
        <v>8</v>
      </c>
      <c r="F17281" t="s">
        <v>17287</v>
      </c>
      <c r="G17281">
        <v>1</v>
      </c>
    </row>
    <row r="17282" spans="1:7" x14ac:dyDescent="0.25">
      <c r="A17282">
        <v>5</v>
      </c>
      <c r="B17282" t="s">
        <v>16809</v>
      </c>
      <c r="C17282">
        <v>39494</v>
      </c>
      <c r="D17282" t="str">
        <f>"1731-7533"</f>
        <v>1731-7533</v>
      </c>
      <c r="E17282" t="s">
        <v>8</v>
      </c>
      <c r="F17282" t="s">
        <v>17288</v>
      </c>
      <c r="G17282">
        <v>1</v>
      </c>
    </row>
    <row r="17283" spans="1:7" x14ac:dyDescent="0.25">
      <c r="A17283">
        <v>5</v>
      </c>
      <c r="B17283" t="s">
        <v>16809</v>
      </c>
      <c r="C17283">
        <v>6261627</v>
      </c>
      <c r="D17283" t="str">
        <f>"1877-9751"</f>
        <v>1877-9751</v>
      </c>
      <c r="E17283" t="s">
        <v>8</v>
      </c>
      <c r="F17283" t="s">
        <v>17289</v>
      </c>
      <c r="G17283">
        <v>1</v>
      </c>
    </row>
    <row r="17284" spans="1:7" x14ac:dyDescent="0.25">
      <c r="A17284">
        <v>5</v>
      </c>
      <c r="B17284" t="s">
        <v>16809</v>
      </c>
      <c r="C17284">
        <v>8939</v>
      </c>
      <c r="D17284" t="str">
        <f>"0034-7981"</f>
        <v>0034-7981</v>
      </c>
      <c r="E17284" t="s">
        <v>8</v>
      </c>
      <c r="F17284" t="s">
        <v>17290</v>
      </c>
      <c r="G17284">
        <v>1</v>
      </c>
    </row>
    <row r="17285" spans="1:7" x14ac:dyDescent="0.25">
      <c r="A17285">
        <v>5</v>
      </c>
      <c r="B17285" t="s">
        <v>16809</v>
      </c>
      <c r="C17285">
        <v>128165</v>
      </c>
      <c r="D17285" t="str">
        <f>"1133-1127"</f>
        <v>1133-1127</v>
      </c>
      <c r="E17285" t="s">
        <v>8</v>
      </c>
      <c r="F17285" t="s">
        <v>17291</v>
      </c>
      <c r="G17285">
        <v>1</v>
      </c>
    </row>
    <row r="17286" spans="1:7" x14ac:dyDescent="0.25">
      <c r="A17286">
        <v>5</v>
      </c>
      <c r="B17286" t="s">
        <v>16809</v>
      </c>
      <c r="C17286">
        <v>11353</v>
      </c>
      <c r="D17286" t="str">
        <f>"1134-4539"</f>
        <v>1134-4539</v>
      </c>
      <c r="E17286" t="s">
        <v>8</v>
      </c>
      <c r="F17286" t="s">
        <v>17292</v>
      </c>
      <c r="G17286">
        <v>1</v>
      </c>
    </row>
    <row r="17287" spans="1:7" x14ac:dyDescent="0.25">
      <c r="A17287">
        <v>5</v>
      </c>
      <c r="B17287" t="s">
        <v>16809</v>
      </c>
      <c r="C17287">
        <v>15498</v>
      </c>
      <c r="D17287" t="str">
        <f>"1886-2438"</f>
        <v>1886-2438</v>
      </c>
      <c r="E17287" t="s">
        <v>8</v>
      </c>
      <c r="F17287" t="s">
        <v>17293</v>
      </c>
      <c r="G17287">
        <v>1</v>
      </c>
    </row>
    <row r="17288" spans="1:7" x14ac:dyDescent="0.25">
      <c r="A17288">
        <v>5</v>
      </c>
      <c r="B17288" t="s">
        <v>16809</v>
      </c>
      <c r="C17288">
        <v>27072</v>
      </c>
      <c r="D17288" t="str">
        <f>"0212-5056"</f>
        <v>0212-5056</v>
      </c>
      <c r="E17288" t="s">
        <v>8</v>
      </c>
      <c r="F17288" t="s">
        <v>17294</v>
      </c>
      <c r="G17288">
        <v>1</v>
      </c>
    </row>
    <row r="17289" spans="1:7" x14ac:dyDescent="0.25">
      <c r="A17289">
        <v>5</v>
      </c>
      <c r="B17289" t="s">
        <v>16809</v>
      </c>
      <c r="C17289">
        <v>12442</v>
      </c>
      <c r="D17289" t="str">
        <f>"0213-2028"</f>
        <v>0213-2028</v>
      </c>
      <c r="E17289" t="s">
        <v>8</v>
      </c>
      <c r="F17289" t="s">
        <v>17295</v>
      </c>
      <c r="G17289">
        <v>1</v>
      </c>
    </row>
    <row r="17290" spans="1:7" x14ac:dyDescent="0.25">
      <c r="A17290">
        <v>5</v>
      </c>
      <c r="B17290" t="s">
        <v>16809</v>
      </c>
      <c r="C17290">
        <v>6263897</v>
      </c>
      <c r="D17290" t="str">
        <f>"1578-7559"</f>
        <v>1578-7559</v>
      </c>
      <c r="E17290" t="s">
        <v>8</v>
      </c>
      <c r="F17290" t="s">
        <v>17296</v>
      </c>
      <c r="G17290">
        <v>1</v>
      </c>
    </row>
    <row r="17291" spans="1:7" x14ac:dyDescent="0.25">
      <c r="A17291">
        <v>5</v>
      </c>
      <c r="B17291" t="s">
        <v>16809</v>
      </c>
      <c r="C17291">
        <v>27636</v>
      </c>
      <c r="D17291" t="str">
        <f>"1386-1204"</f>
        <v>1386-1204</v>
      </c>
      <c r="E17291" t="s">
        <v>8</v>
      </c>
      <c r="F17291" t="s">
        <v>17297</v>
      </c>
      <c r="G17291">
        <v>1</v>
      </c>
    </row>
    <row r="17292" spans="1:7" x14ac:dyDescent="0.25">
      <c r="A17292">
        <v>5</v>
      </c>
      <c r="B17292" t="s">
        <v>16809</v>
      </c>
      <c r="C17292">
        <v>7702818</v>
      </c>
      <c r="D17292" t="str">
        <f>"2037-4569"</f>
        <v>2037-4569</v>
      </c>
      <c r="E17292" t="s">
        <v>8</v>
      </c>
      <c r="F17292" t="s">
        <v>17298</v>
      </c>
      <c r="G17292">
        <v>1</v>
      </c>
    </row>
    <row r="17293" spans="1:7" x14ac:dyDescent="0.25">
      <c r="A17293">
        <v>5</v>
      </c>
      <c r="B17293" t="s">
        <v>16809</v>
      </c>
      <c r="C17293">
        <v>7699444</v>
      </c>
      <c r="E17293" t="s">
        <v>8</v>
      </c>
      <c r="F17293" t="s">
        <v>17299</v>
      </c>
      <c r="G17293">
        <v>1</v>
      </c>
    </row>
    <row r="17294" spans="1:7" x14ac:dyDescent="0.25">
      <c r="A17294">
        <v>5</v>
      </c>
      <c r="B17294" t="s">
        <v>16809</v>
      </c>
      <c r="C17294">
        <v>7880</v>
      </c>
      <c r="D17294" t="str">
        <f>"0033-698X"</f>
        <v>0033-698X</v>
      </c>
      <c r="E17294" t="s">
        <v>8</v>
      </c>
      <c r="F17294" t="s">
        <v>17300</v>
      </c>
      <c r="G17294">
        <v>1</v>
      </c>
    </row>
    <row r="17295" spans="1:7" x14ac:dyDescent="0.25">
      <c r="A17295">
        <v>5</v>
      </c>
      <c r="B17295" t="s">
        <v>16809</v>
      </c>
      <c r="C17295">
        <v>103498</v>
      </c>
      <c r="D17295" t="str">
        <f>"1574-552X"</f>
        <v>1574-552X</v>
      </c>
      <c r="E17295" t="s">
        <v>15</v>
      </c>
      <c r="F17295" t="s">
        <v>17301</v>
      </c>
      <c r="G17295">
        <v>1</v>
      </c>
    </row>
    <row r="17296" spans="1:7" x14ac:dyDescent="0.25">
      <c r="A17296">
        <v>5</v>
      </c>
      <c r="B17296" t="s">
        <v>16809</v>
      </c>
      <c r="C17296">
        <v>23262</v>
      </c>
      <c r="D17296" t="str">
        <f>"1528-0748"</f>
        <v>1528-0748</v>
      </c>
      <c r="E17296" t="s">
        <v>8</v>
      </c>
      <c r="F17296" t="s">
        <v>17302</v>
      </c>
      <c r="G17296">
        <v>1</v>
      </c>
    </row>
    <row r="17297" spans="1:7" x14ac:dyDescent="0.25">
      <c r="A17297">
        <v>5</v>
      </c>
      <c r="B17297" t="s">
        <v>16809</v>
      </c>
      <c r="C17297">
        <v>8783650</v>
      </c>
      <c r="E17297" t="s">
        <v>15</v>
      </c>
      <c r="F17297" t="s">
        <v>17303</v>
      </c>
      <c r="G17297">
        <v>1</v>
      </c>
    </row>
    <row r="17298" spans="1:7" x14ac:dyDescent="0.25">
      <c r="A17298">
        <v>5</v>
      </c>
      <c r="B17298" t="s">
        <v>16809</v>
      </c>
      <c r="C17298">
        <v>8783651</v>
      </c>
      <c r="E17298" t="s">
        <v>15</v>
      </c>
      <c r="F17298" t="s">
        <v>17304</v>
      </c>
      <c r="G17298">
        <v>1</v>
      </c>
    </row>
    <row r="17299" spans="1:7" x14ac:dyDescent="0.25">
      <c r="A17299">
        <v>5</v>
      </c>
      <c r="B17299" t="s">
        <v>16809</v>
      </c>
      <c r="C17299">
        <v>8783654</v>
      </c>
      <c r="E17299" t="s">
        <v>15</v>
      </c>
      <c r="F17299" t="s">
        <v>17305</v>
      </c>
      <c r="G17299">
        <v>1</v>
      </c>
    </row>
    <row r="17300" spans="1:7" x14ac:dyDescent="0.25">
      <c r="A17300">
        <v>5</v>
      </c>
      <c r="B17300" t="s">
        <v>16809</v>
      </c>
      <c r="C17300">
        <v>8783656</v>
      </c>
      <c r="E17300" t="s">
        <v>15</v>
      </c>
      <c r="F17300" t="s">
        <v>17306</v>
      </c>
      <c r="G17300">
        <v>1</v>
      </c>
    </row>
    <row r="17301" spans="1:7" x14ac:dyDescent="0.25">
      <c r="A17301">
        <v>5</v>
      </c>
      <c r="B17301" t="s">
        <v>16809</v>
      </c>
      <c r="C17301">
        <v>8783657</v>
      </c>
      <c r="E17301" t="s">
        <v>15</v>
      </c>
      <c r="F17301" t="s">
        <v>17307</v>
      </c>
      <c r="G17301">
        <v>1</v>
      </c>
    </row>
    <row r="17302" spans="1:7" x14ac:dyDescent="0.25">
      <c r="A17302">
        <v>5</v>
      </c>
      <c r="B17302" t="s">
        <v>16809</v>
      </c>
      <c r="C17302">
        <v>119942</v>
      </c>
      <c r="D17302" t="str">
        <f>"1854-2042"</f>
        <v>1854-2042</v>
      </c>
      <c r="E17302" t="s">
        <v>8</v>
      </c>
      <c r="F17302" t="s">
        <v>17308</v>
      </c>
      <c r="G17302">
        <v>1</v>
      </c>
    </row>
    <row r="17303" spans="1:7" x14ac:dyDescent="0.25">
      <c r="A17303">
        <v>5</v>
      </c>
      <c r="B17303" t="s">
        <v>16809</v>
      </c>
      <c r="C17303">
        <v>7758221</v>
      </c>
      <c r="D17303" t="str">
        <f>"2046-9144"</f>
        <v>2046-9144</v>
      </c>
      <c r="E17303" t="s">
        <v>15</v>
      </c>
      <c r="F17303" t="s">
        <v>17309</v>
      </c>
      <c r="G17303">
        <v>1</v>
      </c>
    </row>
    <row r="17304" spans="1:7" x14ac:dyDescent="0.25">
      <c r="A17304">
        <v>5</v>
      </c>
      <c r="B17304" t="s">
        <v>16809</v>
      </c>
      <c r="C17304">
        <v>7716897</v>
      </c>
      <c r="D17304" t="str">
        <f>"1867-0873"</f>
        <v>1867-0873</v>
      </c>
      <c r="E17304" t="s">
        <v>15</v>
      </c>
      <c r="F17304" t="s">
        <v>17310</v>
      </c>
      <c r="G17304">
        <v>1</v>
      </c>
    </row>
    <row r="17305" spans="1:7" x14ac:dyDescent="0.25">
      <c r="A17305">
        <v>5</v>
      </c>
      <c r="B17305" t="s">
        <v>16809</v>
      </c>
      <c r="C17305">
        <v>13196</v>
      </c>
      <c r="D17305" t="str">
        <f>"1130-5509"</f>
        <v>1130-5509</v>
      </c>
      <c r="E17305" t="s">
        <v>8</v>
      </c>
      <c r="F17305" t="s">
        <v>17311</v>
      </c>
      <c r="G17305">
        <v>1</v>
      </c>
    </row>
    <row r="17306" spans="1:7" x14ac:dyDescent="0.25">
      <c r="A17306">
        <v>5</v>
      </c>
      <c r="B17306" t="s">
        <v>16809</v>
      </c>
      <c r="C17306">
        <v>7320</v>
      </c>
      <c r="D17306" t="str">
        <f>"0302-1475"</f>
        <v>0302-1475</v>
      </c>
      <c r="E17306" t="s">
        <v>8</v>
      </c>
      <c r="F17306" t="s">
        <v>17312</v>
      </c>
      <c r="G17306">
        <v>1</v>
      </c>
    </row>
    <row r="17307" spans="1:7" x14ac:dyDescent="0.25">
      <c r="A17307">
        <v>5</v>
      </c>
      <c r="B17307" t="s">
        <v>16809</v>
      </c>
      <c r="C17307">
        <v>7750098</v>
      </c>
      <c r="D17307" t="str">
        <f>"2192-5186"</f>
        <v>2192-5186</v>
      </c>
      <c r="E17307" t="s">
        <v>15</v>
      </c>
      <c r="F17307" t="s">
        <v>17313</v>
      </c>
      <c r="G17307">
        <v>1</v>
      </c>
    </row>
    <row r="17308" spans="1:7" x14ac:dyDescent="0.25">
      <c r="A17308">
        <v>5</v>
      </c>
      <c r="B17308" t="s">
        <v>16809</v>
      </c>
      <c r="C17308">
        <v>82110</v>
      </c>
      <c r="D17308" t="str">
        <f>"1874-7833"</f>
        <v>1874-7833</v>
      </c>
      <c r="E17308" t="s">
        <v>15</v>
      </c>
      <c r="F17308" t="s">
        <v>17314</v>
      </c>
      <c r="G17308">
        <v>1</v>
      </c>
    </row>
    <row r="17309" spans="1:7" x14ac:dyDescent="0.25">
      <c r="A17309">
        <v>5</v>
      </c>
      <c r="B17309" t="s">
        <v>16809</v>
      </c>
      <c r="C17309">
        <v>27505</v>
      </c>
      <c r="D17309" t="str">
        <f>"1133-3634"</f>
        <v>1133-3634</v>
      </c>
      <c r="E17309" t="s">
        <v>8</v>
      </c>
      <c r="F17309" t="s">
        <v>17315</v>
      </c>
      <c r="G17309">
        <v>1</v>
      </c>
    </row>
    <row r="17310" spans="1:7" x14ac:dyDescent="0.25">
      <c r="A17310">
        <v>5</v>
      </c>
      <c r="B17310" t="s">
        <v>16809</v>
      </c>
      <c r="C17310">
        <v>27516</v>
      </c>
      <c r="D17310" t="str">
        <f>"1902-8822"</f>
        <v>1902-8822</v>
      </c>
      <c r="E17310" t="s">
        <v>8</v>
      </c>
      <c r="F17310" t="s">
        <v>17316</v>
      </c>
      <c r="G17310">
        <v>1</v>
      </c>
    </row>
    <row r="17311" spans="1:7" x14ac:dyDescent="0.25">
      <c r="A17311">
        <v>5</v>
      </c>
      <c r="B17311" t="s">
        <v>16809</v>
      </c>
      <c r="C17311">
        <v>7359</v>
      </c>
      <c r="D17311" t="str">
        <f>"1456-8438"</f>
        <v>1456-8438</v>
      </c>
      <c r="E17311" t="s">
        <v>8</v>
      </c>
      <c r="F17311" t="s">
        <v>17317</v>
      </c>
      <c r="G17311">
        <v>1</v>
      </c>
    </row>
    <row r="17312" spans="1:7" x14ac:dyDescent="0.25">
      <c r="A17312">
        <v>5</v>
      </c>
      <c r="B17312" t="s">
        <v>16809</v>
      </c>
      <c r="C17312">
        <v>8782690</v>
      </c>
      <c r="E17312" t="s">
        <v>8</v>
      </c>
      <c r="F17312" t="s">
        <v>17318</v>
      </c>
      <c r="G17312">
        <v>1</v>
      </c>
    </row>
    <row r="17313" spans="1:7" x14ac:dyDescent="0.25">
      <c r="A17313">
        <v>5</v>
      </c>
      <c r="B17313" t="s">
        <v>16809</v>
      </c>
      <c r="C17313">
        <v>2395</v>
      </c>
      <c r="D17313" t="str">
        <f>"1035-0330"</f>
        <v>1035-0330</v>
      </c>
      <c r="E17313" t="s">
        <v>8</v>
      </c>
      <c r="F17313" t="s">
        <v>17319</v>
      </c>
      <c r="G17313">
        <v>1</v>
      </c>
    </row>
    <row r="17314" spans="1:7" x14ac:dyDescent="0.25">
      <c r="A17314">
        <v>5</v>
      </c>
      <c r="B17314" t="s">
        <v>16809</v>
      </c>
      <c r="C17314">
        <v>10471</v>
      </c>
      <c r="D17314" t="str">
        <f>"0164-2472"</f>
        <v>0164-2472</v>
      </c>
      <c r="E17314" t="s">
        <v>8</v>
      </c>
      <c r="F17314" t="s">
        <v>17320</v>
      </c>
      <c r="G17314">
        <v>1</v>
      </c>
    </row>
    <row r="17315" spans="1:7" x14ac:dyDescent="0.25">
      <c r="A17315">
        <v>5</v>
      </c>
      <c r="B17315" t="s">
        <v>16809</v>
      </c>
      <c r="C17315">
        <v>4584</v>
      </c>
      <c r="D17315" t="str">
        <f>"1750-8649"</f>
        <v>1750-8649</v>
      </c>
      <c r="E17315" t="s">
        <v>8</v>
      </c>
      <c r="F17315" t="s">
        <v>17321</v>
      </c>
      <c r="G17315">
        <v>1</v>
      </c>
    </row>
    <row r="17316" spans="1:7" x14ac:dyDescent="0.25">
      <c r="A17316">
        <v>5</v>
      </c>
      <c r="B17316" t="s">
        <v>16809</v>
      </c>
      <c r="C17316">
        <v>2804</v>
      </c>
      <c r="D17316" t="str">
        <f>"0933-1883"</f>
        <v>0933-1883</v>
      </c>
      <c r="E17316" t="s">
        <v>8</v>
      </c>
      <c r="F17316" t="s">
        <v>17322</v>
      </c>
      <c r="G17316">
        <v>1</v>
      </c>
    </row>
    <row r="17317" spans="1:7" x14ac:dyDescent="0.25">
      <c r="A17317">
        <v>5</v>
      </c>
      <c r="B17317" t="s">
        <v>16809</v>
      </c>
      <c r="C17317">
        <v>132522</v>
      </c>
      <c r="D17317" t="str">
        <f>"1080-5494"</f>
        <v>1080-5494</v>
      </c>
      <c r="E17317" t="s">
        <v>15</v>
      </c>
      <c r="F17317" t="s">
        <v>17323</v>
      </c>
      <c r="G17317">
        <v>1</v>
      </c>
    </row>
    <row r="17318" spans="1:7" x14ac:dyDescent="0.25">
      <c r="A17318">
        <v>5</v>
      </c>
      <c r="B17318" t="s">
        <v>16809</v>
      </c>
      <c r="C17318">
        <v>36461</v>
      </c>
      <c r="D17318" t="str">
        <f>"0257-2117"</f>
        <v>0257-2117</v>
      </c>
      <c r="E17318" t="s">
        <v>8</v>
      </c>
      <c r="F17318" t="s">
        <v>17324</v>
      </c>
      <c r="G17318">
        <v>1</v>
      </c>
    </row>
    <row r="17319" spans="1:7" x14ac:dyDescent="0.25">
      <c r="A17319">
        <v>5</v>
      </c>
      <c r="B17319" t="s">
        <v>16809</v>
      </c>
      <c r="C17319">
        <v>44952</v>
      </c>
      <c r="D17319" t="str">
        <f>"1607-3614"</f>
        <v>1607-3614</v>
      </c>
      <c r="E17319" t="s">
        <v>8</v>
      </c>
      <c r="F17319" t="s">
        <v>17325</v>
      </c>
      <c r="G17319">
        <v>1</v>
      </c>
    </row>
    <row r="17320" spans="1:7" x14ac:dyDescent="0.25">
      <c r="A17320">
        <v>5</v>
      </c>
      <c r="B17320" t="s">
        <v>16809</v>
      </c>
      <c r="C17320">
        <v>7728754</v>
      </c>
      <c r="D17320" t="str">
        <f>"1857-4149"</f>
        <v>1857-4149</v>
      </c>
      <c r="E17320" t="s">
        <v>8</v>
      </c>
      <c r="F17320" t="s">
        <v>17326</v>
      </c>
      <c r="G17320">
        <v>1</v>
      </c>
    </row>
    <row r="17321" spans="1:7" x14ac:dyDescent="0.25">
      <c r="A17321">
        <v>5</v>
      </c>
      <c r="B17321" t="s">
        <v>16809</v>
      </c>
      <c r="C17321">
        <v>24059</v>
      </c>
      <c r="D17321" t="str">
        <f>"0038-8475"</f>
        <v>0038-8475</v>
      </c>
      <c r="E17321" t="s">
        <v>8</v>
      </c>
      <c r="F17321" t="s">
        <v>17327</v>
      </c>
      <c r="G17321">
        <v>1</v>
      </c>
    </row>
    <row r="17322" spans="1:7" x14ac:dyDescent="0.25">
      <c r="A17322">
        <v>5</v>
      </c>
      <c r="B17322" t="s">
        <v>16809</v>
      </c>
      <c r="C17322">
        <v>47413</v>
      </c>
      <c r="D17322" t="str">
        <f>"0938-6718"</f>
        <v>0938-6718</v>
      </c>
      <c r="E17322" t="s">
        <v>15</v>
      </c>
      <c r="F17322" t="s">
        <v>17328</v>
      </c>
      <c r="G17322">
        <v>1</v>
      </c>
    </row>
    <row r="17323" spans="1:7" x14ac:dyDescent="0.25">
      <c r="A17323">
        <v>5</v>
      </c>
      <c r="B17323" t="s">
        <v>16809</v>
      </c>
      <c r="C17323">
        <v>8783658</v>
      </c>
      <c r="D17323" t="str">
        <f>"2197-0009"</f>
        <v>2197-0009</v>
      </c>
      <c r="E17323" t="s">
        <v>15</v>
      </c>
      <c r="F17323" t="s">
        <v>17329</v>
      </c>
      <c r="G17323">
        <v>1</v>
      </c>
    </row>
    <row r="17324" spans="1:7" x14ac:dyDescent="0.25">
      <c r="A17324">
        <v>5</v>
      </c>
      <c r="B17324" t="s">
        <v>16809</v>
      </c>
      <c r="C17324">
        <v>114095</v>
      </c>
      <c r="D17324" t="str">
        <f>"1027-3417"</f>
        <v>1027-3417</v>
      </c>
      <c r="E17324" t="s">
        <v>8</v>
      </c>
      <c r="F17324" t="s">
        <v>17330</v>
      </c>
      <c r="G17324">
        <v>1</v>
      </c>
    </row>
    <row r="17325" spans="1:7" x14ac:dyDescent="0.25">
      <c r="A17325">
        <v>5</v>
      </c>
      <c r="B17325" t="s">
        <v>16809</v>
      </c>
      <c r="C17325">
        <v>50267</v>
      </c>
      <c r="D17325" t="str">
        <f>"0085-6827"</f>
        <v>0085-6827</v>
      </c>
      <c r="E17325" t="s">
        <v>8</v>
      </c>
      <c r="F17325" t="s">
        <v>17331</v>
      </c>
      <c r="G17325">
        <v>1</v>
      </c>
    </row>
    <row r="17326" spans="1:7" x14ac:dyDescent="0.25">
      <c r="A17326">
        <v>5</v>
      </c>
      <c r="B17326" t="s">
        <v>16809</v>
      </c>
      <c r="C17326">
        <v>77051</v>
      </c>
      <c r="D17326" t="str">
        <f>"1427-8219"</f>
        <v>1427-8219</v>
      </c>
      <c r="E17326" t="s">
        <v>15</v>
      </c>
      <c r="F17326" t="s">
        <v>17332</v>
      </c>
      <c r="G17326">
        <v>1</v>
      </c>
    </row>
    <row r="17327" spans="1:7" x14ac:dyDescent="0.25">
      <c r="A17327">
        <v>5</v>
      </c>
      <c r="B17327" t="s">
        <v>16809</v>
      </c>
      <c r="C17327">
        <v>11899</v>
      </c>
      <c r="D17327" t="str">
        <f>"0081-6469"</f>
        <v>0081-6469</v>
      </c>
      <c r="E17327" t="s">
        <v>15</v>
      </c>
      <c r="F17327" t="s">
        <v>17333</v>
      </c>
      <c r="G17327">
        <v>1</v>
      </c>
    </row>
    <row r="17328" spans="1:7" x14ac:dyDescent="0.25">
      <c r="A17328">
        <v>5</v>
      </c>
      <c r="B17328" t="s">
        <v>16809</v>
      </c>
      <c r="C17328">
        <v>7741048</v>
      </c>
      <c r="D17328" t="str">
        <f>"2212-8042"</f>
        <v>2212-8042</v>
      </c>
      <c r="E17328" t="s">
        <v>15</v>
      </c>
      <c r="F17328" t="s">
        <v>17334</v>
      </c>
      <c r="G17328">
        <v>1</v>
      </c>
    </row>
    <row r="17329" spans="1:7" x14ac:dyDescent="0.25">
      <c r="A17329">
        <v>5</v>
      </c>
      <c r="B17329" t="s">
        <v>16809</v>
      </c>
      <c r="C17329">
        <v>9174</v>
      </c>
      <c r="D17329" t="str">
        <f>"0928-1533"</f>
        <v>0928-1533</v>
      </c>
      <c r="E17329" t="s">
        <v>15</v>
      </c>
      <c r="F17329" t="s">
        <v>17335</v>
      </c>
      <c r="G17329">
        <v>1</v>
      </c>
    </row>
    <row r="17330" spans="1:7" x14ac:dyDescent="0.25">
      <c r="A17330">
        <v>5</v>
      </c>
      <c r="B17330" t="s">
        <v>16809</v>
      </c>
      <c r="C17330">
        <v>7717372</v>
      </c>
      <c r="D17330" t="str">
        <f>"1879-5382"</f>
        <v>1879-5382</v>
      </c>
      <c r="E17330" t="s">
        <v>15</v>
      </c>
      <c r="F17330" t="s">
        <v>17336</v>
      </c>
      <c r="G17330">
        <v>1</v>
      </c>
    </row>
    <row r="17331" spans="1:7" x14ac:dyDescent="0.25">
      <c r="A17331">
        <v>5</v>
      </c>
      <c r="B17331" t="s">
        <v>16809</v>
      </c>
      <c r="C17331">
        <v>7738094</v>
      </c>
      <c r="D17331" t="str">
        <f>"1017-1274"</f>
        <v>1017-1274</v>
      </c>
      <c r="E17331" t="s">
        <v>8</v>
      </c>
      <c r="F17331" t="s">
        <v>17337</v>
      </c>
      <c r="G17331">
        <v>1</v>
      </c>
    </row>
    <row r="17332" spans="1:7" x14ac:dyDescent="0.25">
      <c r="A17332">
        <v>5</v>
      </c>
      <c r="B17332" t="s">
        <v>16809</v>
      </c>
      <c r="C17332">
        <v>1303</v>
      </c>
      <c r="D17332" t="str">
        <f>"1388-0373"</f>
        <v>1388-0373</v>
      </c>
      <c r="E17332" t="s">
        <v>15</v>
      </c>
      <c r="F17332" t="s">
        <v>17338</v>
      </c>
      <c r="G17332">
        <v>1</v>
      </c>
    </row>
    <row r="17333" spans="1:7" x14ac:dyDescent="0.25">
      <c r="A17333">
        <v>5</v>
      </c>
      <c r="B17333" t="s">
        <v>16809</v>
      </c>
      <c r="C17333">
        <v>8826</v>
      </c>
      <c r="D17333" t="str">
        <f>"1385-7916"</f>
        <v>1385-7916</v>
      </c>
      <c r="E17333" t="s">
        <v>15</v>
      </c>
      <c r="F17333" t="s">
        <v>17339</v>
      </c>
      <c r="G17333">
        <v>1</v>
      </c>
    </row>
    <row r="17334" spans="1:7" x14ac:dyDescent="0.25">
      <c r="A17334">
        <v>5</v>
      </c>
      <c r="B17334" t="s">
        <v>16809</v>
      </c>
      <c r="C17334">
        <v>27206</v>
      </c>
      <c r="D17334" t="str">
        <f>"0167-4331"</f>
        <v>0167-4331</v>
      </c>
      <c r="E17334" t="s">
        <v>15</v>
      </c>
      <c r="F17334" t="s">
        <v>17340</v>
      </c>
      <c r="G17334">
        <v>1</v>
      </c>
    </row>
    <row r="17335" spans="1:7" x14ac:dyDescent="0.25">
      <c r="A17335">
        <v>5</v>
      </c>
      <c r="B17335" t="s">
        <v>16809</v>
      </c>
      <c r="C17335">
        <v>6293062</v>
      </c>
      <c r="E17335" t="s">
        <v>15</v>
      </c>
      <c r="F17335" t="s">
        <v>17341</v>
      </c>
      <c r="G17335">
        <v>1</v>
      </c>
    </row>
    <row r="17336" spans="1:7" x14ac:dyDescent="0.25">
      <c r="A17336">
        <v>5</v>
      </c>
      <c r="B17336" t="s">
        <v>16809</v>
      </c>
      <c r="C17336">
        <v>11815</v>
      </c>
      <c r="D17336" t="str">
        <f>"1879-3983"</f>
        <v>1879-3983</v>
      </c>
      <c r="E17336" t="s">
        <v>15</v>
      </c>
      <c r="F17336" t="s">
        <v>17342</v>
      </c>
      <c r="G17336">
        <v>1</v>
      </c>
    </row>
    <row r="17337" spans="1:7" x14ac:dyDescent="0.25">
      <c r="A17337">
        <v>5</v>
      </c>
      <c r="B17337" t="s">
        <v>16809</v>
      </c>
      <c r="C17337">
        <v>3447</v>
      </c>
      <c r="D17337" t="str">
        <f>"0165-7763"</f>
        <v>0165-7763</v>
      </c>
      <c r="E17337" t="s">
        <v>15</v>
      </c>
      <c r="F17337" t="s">
        <v>17343</v>
      </c>
      <c r="G17337">
        <v>1</v>
      </c>
    </row>
    <row r="17338" spans="1:7" x14ac:dyDescent="0.25">
      <c r="A17338">
        <v>5</v>
      </c>
      <c r="B17338" t="s">
        <v>16809</v>
      </c>
      <c r="C17338">
        <v>8783659</v>
      </c>
      <c r="D17338" t="str">
        <f>"0165-7763"</f>
        <v>0165-7763</v>
      </c>
      <c r="E17338" t="s">
        <v>15</v>
      </c>
      <c r="F17338" t="s">
        <v>17344</v>
      </c>
      <c r="G17338">
        <v>1</v>
      </c>
    </row>
    <row r="17339" spans="1:7" x14ac:dyDescent="0.25">
      <c r="A17339">
        <v>5</v>
      </c>
      <c r="B17339" t="s">
        <v>16809</v>
      </c>
      <c r="C17339">
        <v>14191</v>
      </c>
      <c r="D17339" t="str">
        <f>"1872-9592"</f>
        <v>1872-9592</v>
      </c>
      <c r="E17339" t="s">
        <v>15</v>
      </c>
      <c r="F17339" t="s">
        <v>17345</v>
      </c>
      <c r="G17339">
        <v>1</v>
      </c>
    </row>
    <row r="17340" spans="1:7" x14ac:dyDescent="0.25">
      <c r="A17340">
        <v>5</v>
      </c>
      <c r="B17340" t="s">
        <v>16809</v>
      </c>
      <c r="C17340">
        <v>117831</v>
      </c>
      <c r="D17340" t="str">
        <f>"1750-368X"</f>
        <v>1750-368X</v>
      </c>
      <c r="E17340" t="s">
        <v>15</v>
      </c>
      <c r="F17340" t="s">
        <v>17346</v>
      </c>
      <c r="G17340">
        <v>1</v>
      </c>
    </row>
    <row r="17341" spans="1:7" x14ac:dyDescent="0.25">
      <c r="A17341">
        <v>5</v>
      </c>
      <c r="B17341" t="s">
        <v>16809</v>
      </c>
      <c r="C17341">
        <v>180144</v>
      </c>
      <c r="D17341" t="str">
        <f>"2083-5205"</f>
        <v>2083-5205</v>
      </c>
      <c r="E17341" t="s">
        <v>8</v>
      </c>
      <c r="F17341" t="s">
        <v>17347</v>
      </c>
      <c r="G17341">
        <v>1</v>
      </c>
    </row>
    <row r="17342" spans="1:7" x14ac:dyDescent="0.25">
      <c r="A17342">
        <v>5</v>
      </c>
      <c r="B17342" t="s">
        <v>16809</v>
      </c>
      <c r="C17342">
        <v>12898</v>
      </c>
      <c r="D17342" t="str">
        <f>"0081-8461"</f>
        <v>0081-8461</v>
      </c>
      <c r="E17342" t="s">
        <v>15</v>
      </c>
      <c r="F17342" t="s">
        <v>17348</v>
      </c>
      <c r="G17342">
        <v>1</v>
      </c>
    </row>
    <row r="17343" spans="1:7" x14ac:dyDescent="0.25">
      <c r="A17343">
        <v>5</v>
      </c>
      <c r="B17343" t="s">
        <v>16809</v>
      </c>
      <c r="C17343">
        <v>180145</v>
      </c>
      <c r="D17343" t="str">
        <f>"1797-4453"</f>
        <v>1797-4453</v>
      </c>
      <c r="E17343" t="s">
        <v>8</v>
      </c>
      <c r="F17343" t="s">
        <v>17349</v>
      </c>
      <c r="G17343">
        <v>1</v>
      </c>
    </row>
    <row r="17344" spans="1:7" x14ac:dyDescent="0.25">
      <c r="A17344">
        <v>5</v>
      </c>
      <c r="B17344" t="s">
        <v>16809</v>
      </c>
      <c r="C17344">
        <v>12711</v>
      </c>
      <c r="D17344" t="str">
        <f>"1572-1183"</f>
        <v>1572-1183</v>
      </c>
      <c r="E17344" t="s">
        <v>15</v>
      </c>
      <c r="F17344" t="s">
        <v>17350</v>
      </c>
      <c r="G17344">
        <v>1</v>
      </c>
    </row>
    <row r="17345" spans="1:7" x14ac:dyDescent="0.25">
      <c r="A17345">
        <v>5</v>
      </c>
      <c r="B17345" t="s">
        <v>16809</v>
      </c>
      <c r="C17345">
        <v>72135</v>
      </c>
      <c r="D17345" t="str">
        <f>"1572-6304"</f>
        <v>1572-6304</v>
      </c>
      <c r="E17345" t="s">
        <v>15</v>
      </c>
      <c r="F17345" t="s">
        <v>17351</v>
      </c>
      <c r="G17345">
        <v>1</v>
      </c>
    </row>
    <row r="17346" spans="1:7" x14ac:dyDescent="0.25">
      <c r="A17346">
        <v>5</v>
      </c>
      <c r="B17346" t="s">
        <v>16809</v>
      </c>
      <c r="C17346">
        <v>52192</v>
      </c>
      <c r="D17346" t="str">
        <f>"0929-7324"</f>
        <v>0929-7324</v>
      </c>
      <c r="E17346" t="s">
        <v>15</v>
      </c>
      <c r="F17346" t="s">
        <v>17352</v>
      </c>
      <c r="G17346">
        <v>1</v>
      </c>
    </row>
    <row r="17347" spans="1:7" x14ac:dyDescent="0.25">
      <c r="A17347">
        <v>5</v>
      </c>
      <c r="B17347" t="s">
        <v>16809</v>
      </c>
      <c r="C17347">
        <v>9026</v>
      </c>
      <c r="D17347" t="str">
        <f>"1861-4248"</f>
        <v>1861-4248</v>
      </c>
      <c r="E17347" t="s">
        <v>15</v>
      </c>
      <c r="F17347" t="s">
        <v>17353</v>
      </c>
      <c r="G17347">
        <v>1</v>
      </c>
    </row>
    <row r="17348" spans="1:7" x14ac:dyDescent="0.25">
      <c r="A17348">
        <v>5</v>
      </c>
      <c r="B17348" t="s">
        <v>16809</v>
      </c>
      <c r="C17348">
        <v>7706060</v>
      </c>
      <c r="D17348" t="str">
        <f>"1584-143X"</f>
        <v>1584-143X</v>
      </c>
      <c r="E17348" t="s">
        <v>8</v>
      </c>
      <c r="F17348" t="s">
        <v>17354</v>
      </c>
      <c r="G17348">
        <v>1</v>
      </c>
    </row>
    <row r="17349" spans="1:7" x14ac:dyDescent="0.25">
      <c r="A17349">
        <v>5</v>
      </c>
      <c r="B17349" t="s">
        <v>16809</v>
      </c>
      <c r="C17349">
        <v>7728713</v>
      </c>
      <c r="D17349" t="str">
        <f>"2248-2547"</f>
        <v>2248-2547</v>
      </c>
      <c r="E17349" t="s">
        <v>8</v>
      </c>
      <c r="F17349" t="s">
        <v>17355</v>
      </c>
      <c r="G17349">
        <v>1</v>
      </c>
    </row>
    <row r="17350" spans="1:7" x14ac:dyDescent="0.25">
      <c r="A17350">
        <v>5</v>
      </c>
      <c r="B17350" t="s">
        <v>16809</v>
      </c>
      <c r="C17350">
        <v>27434</v>
      </c>
      <c r="D17350" t="str">
        <f>"0039-405X"</f>
        <v>0039-405X</v>
      </c>
      <c r="E17350" t="s">
        <v>8</v>
      </c>
      <c r="F17350" t="s">
        <v>17356</v>
      </c>
      <c r="G17350">
        <v>1</v>
      </c>
    </row>
    <row r="17351" spans="1:7" x14ac:dyDescent="0.25">
      <c r="A17351">
        <v>5</v>
      </c>
      <c r="B17351" t="s">
        <v>16809</v>
      </c>
      <c r="C17351">
        <v>8774662</v>
      </c>
      <c r="D17351" t="str">
        <f>"2405-5522"</f>
        <v>2405-5522</v>
      </c>
      <c r="E17351" t="s">
        <v>8</v>
      </c>
      <c r="F17351" t="s">
        <v>17357</v>
      </c>
      <c r="G17351">
        <v>1</v>
      </c>
    </row>
    <row r="17352" spans="1:7" x14ac:dyDescent="0.25">
      <c r="A17352">
        <v>5</v>
      </c>
      <c r="B17352" t="s">
        <v>16809</v>
      </c>
      <c r="C17352">
        <v>180146</v>
      </c>
      <c r="D17352" t="str">
        <f>"2335-2019"</f>
        <v>2335-2019</v>
      </c>
      <c r="E17352" t="s">
        <v>8</v>
      </c>
      <c r="F17352" t="s">
        <v>17358</v>
      </c>
      <c r="G17352">
        <v>1</v>
      </c>
    </row>
    <row r="17353" spans="1:7" x14ac:dyDescent="0.25">
      <c r="A17353">
        <v>5</v>
      </c>
      <c r="B17353" t="s">
        <v>16809</v>
      </c>
      <c r="C17353">
        <v>7719914</v>
      </c>
      <c r="D17353" t="str">
        <f>"1724-0700"</f>
        <v>1724-0700</v>
      </c>
      <c r="E17353" t="s">
        <v>8</v>
      </c>
      <c r="F17353" t="s">
        <v>17359</v>
      </c>
      <c r="G17353">
        <v>1</v>
      </c>
    </row>
    <row r="17354" spans="1:7" x14ac:dyDescent="0.25">
      <c r="A17354">
        <v>5</v>
      </c>
      <c r="B17354" t="s">
        <v>16809</v>
      </c>
      <c r="C17354">
        <v>9515</v>
      </c>
      <c r="D17354" t="str">
        <f>"0346-251X"</f>
        <v>0346-251X</v>
      </c>
      <c r="E17354" t="s">
        <v>8</v>
      </c>
      <c r="F17354" t="s">
        <v>17360</v>
      </c>
      <c r="G17354">
        <v>1</v>
      </c>
    </row>
    <row r="17355" spans="1:7" x14ac:dyDescent="0.25">
      <c r="A17355">
        <v>5</v>
      </c>
      <c r="B17355" t="s">
        <v>16809</v>
      </c>
      <c r="C17355">
        <v>6298667</v>
      </c>
      <c r="D17355" t="str">
        <f>"1877-346X"</f>
        <v>1877-346X</v>
      </c>
      <c r="E17355" t="s">
        <v>15</v>
      </c>
      <c r="F17355" t="s">
        <v>17361</v>
      </c>
      <c r="G17355">
        <v>1</v>
      </c>
    </row>
    <row r="17356" spans="1:7" x14ac:dyDescent="0.25">
      <c r="A17356">
        <v>5</v>
      </c>
      <c r="B17356" t="s">
        <v>16809</v>
      </c>
      <c r="C17356">
        <v>25049</v>
      </c>
      <c r="D17356" t="str">
        <f>"0826-435X"</f>
        <v>0826-435X</v>
      </c>
      <c r="E17356" t="s">
        <v>8</v>
      </c>
      <c r="F17356" t="s">
        <v>17362</v>
      </c>
      <c r="G17356">
        <v>1</v>
      </c>
    </row>
    <row r="17357" spans="1:7" x14ac:dyDescent="0.25">
      <c r="A17357">
        <v>5</v>
      </c>
      <c r="B17357" t="s">
        <v>16809</v>
      </c>
      <c r="C17357">
        <v>6297001</v>
      </c>
      <c r="D17357" t="str">
        <f>"1949-3533"</f>
        <v>1949-3533</v>
      </c>
      <c r="E17357" t="s">
        <v>8</v>
      </c>
      <c r="F17357" t="s">
        <v>17363</v>
      </c>
      <c r="G17357">
        <v>1</v>
      </c>
    </row>
    <row r="17358" spans="1:7" x14ac:dyDescent="0.25">
      <c r="A17358">
        <v>5</v>
      </c>
      <c r="B17358" t="s">
        <v>16809</v>
      </c>
      <c r="C17358">
        <v>14930</v>
      </c>
      <c r="D17358" t="str">
        <f>"0277-7126"</f>
        <v>0277-7126</v>
      </c>
      <c r="E17358" t="s">
        <v>8</v>
      </c>
      <c r="F17358" t="s">
        <v>17364</v>
      </c>
      <c r="G17358">
        <v>1</v>
      </c>
    </row>
    <row r="17359" spans="1:7" x14ac:dyDescent="0.25">
      <c r="A17359">
        <v>5</v>
      </c>
      <c r="B17359" t="s">
        <v>16809</v>
      </c>
      <c r="C17359">
        <v>7034</v>
      </c>
      <c r="D17359" t="str">
        <f>"0890-4111"</f>
        <v>0890-4111</v>
      </c>
      <c r="E17359" t="s">
        <v>15</v>
      </c>
      <c r="F17359" t="s">
        <v>17365</v>
      </c>
      <c r="G17359">
        <v>1</v>
      </c>
    </row>
    <row r="17360" spans="1:7" x14ac:dyDescent="0.25">
      <c r="A17360">
        <v>5</v>
      </c>
      <c r="B17360" t="s">
        <v>16809</v>
      </c>
      <c r="C17360">
        <v>2225</v>
      </c>
      <c r="D17360" t="str">
        <f>"0102-7077"</f>
        <v>0102-7077</v>
      </c>
      <c r="E17360" t="s">
        <v>8</v>
      </c>
      <c r="F17360" t="s">
        <v>17366</v>
      </c>
      <c r="G17360">
        <v>1</v>
      </c>
    </row>
    <row r="17361" spans="1:7" x14ac:dyDescent="0.25">
      <c r="A17361">
        <v>5</v>
      </c>
      <c r="B17361" t="s">
        <v>16809</v>
      </c>
      <c r="C17361">
        <v>180137</v>
      </c>
      <c r="D17361" t="str">
        <f>"1832-4215"</f>
        <v>1832-4215</v>
      </c>
      <c r="E17361" t="s">
        <v>8</v>
      </c>
      <c r="F17361" t="s">
        <v>17367</v>
      </c>
      <c r="G17361">
        <v>1</v>
      </c>
    </row>
    <row r="17362" spans="1:7" x14ac:dyDescent="0.25">
      <c r="A17362">
        <v>5</v>
      </c>
      <c r="B17362" t="s">
        <v>16809</v>
      </c>
      <c r="C17362">
        <v>10281</v>
      </c>
      <c r="D17362" t="str">
        <f>"0092-2323"</f>
        <v>0092-2323</v>
      </c>
      <c r="E17362" t="s">
        <v>8</v>
      </c>
      <c r="F17362" t="s">
        <v>17368</v>
      </c>
      <c r="G17362">
        <v>1</v>
      </c>
    </row>
    <row r="17363" spans="1:7" x14ac:dyDescent="0.25">
      <c r="A17363">
        <v>5</v>
      </c>
      <c r="B17363" t="s">
        <v>16809</v>
      </c>
      <c r="C17363">
        <v>21183</v>
      </c>
      <c r="D17363" t="str">
        <f>"1871-1340"</f>
        <v>1871-1340</v>
      </c>
      <c r="E17363" t="s">
        <v>8</v>
      </c>
      <c r="F17363" t="s">
        <v>17369</v>
      </c>
      <c r="G17363">
        <v>1</v>
      </c>
    </row>
    <row r="17364" spans="1:7" x14ac:dyDescent="0.25">
      <c r="A17364">
        <v>5</v>
      </c>
      <c r="B17364" t="s">
        <v>16809</v>
      </c>
      <c r="C17364">
        <v>66966</v>
      </c>
      <c r="D17364" t="str">
        <f>"0741-6164"</f>
        <v>0741-6164</v>
      </c>
      <c r="E17364" t="s">
        <v>8</v>
      </c>
      <c r="F17364" t="s">
        <v>17370</v>
      </c>
      <c r="G17364">
        <v>1</v>
      </c>
    </row>
    <row r="17365" spans="1:7" x14ac:dyDescent="0.25">
      <c r="A17365">
        <v>5</v>
      </c>
      <c r="B17365" t="s">
        <v>16809</v>
      </c>
      <c r="C17365">
        <v>2966</v>
      </c>
      <c r="D17365" t="str">
        <f>"1533-242X"</f>
        <v>1533-242X</v>
      </c>
      <c r="E17365" t="s">
        <v>8</v>
      </c>
      <c r="F17365" t="s">
        <v>17371</v>
      </c>
      <c r="G17365">
        <v>1</v>
      </c>
    </row>
    <row r="17366" spans="1:7" x14ac:dyDescent="0.25">
      <c r="A17366">
        <v>5</v>
      </c>
      <c r="B17366" t="s">
        <v>16809</v>
      </c>
      <c r="C17366">
        <v>24295</v>
      </c>
      <c r="D17366" t="str">
        <f>"1573-9775"</f>
        <v>1573-9775</v>
      </c>
      <c r="E17366" t="s">
        <v>8</v>
      </c>
      <c r="F17366" t="s">
        <v>17372</v>
      </c>
      <c r="G17366">
        <v>1</v>
      </c>
    </row>
    <row r="17367" spans="1:7" x14ac:dyDescent="0.25">
      <c r="A17367">
        <v>5</v>
      </c>
      <c r="B17367" t="s">
        <v>16809</v>
      </c>
      <c r="C17367">
        <v>7718165</v>
      </c>
      <c r="D17367" t="str">
        <f>"1012-9286"</f>
        <v>1012-9286</v>
      </c>
      <c r="E17367" t="s">
        <v>8</v>
      </c>
      <c r="F17367" t="s">
        <v>17373</v>
      </c>
      <c r="G17367">
        <v>1</v>
      </c>
    </row>
    <row r="17368" spans="1:7" x14ac:dyDescent="0.25">
      <c r="A17368">
        <v>5</v>
      </c>
      <c r="B17368" t="s">
        <v>16809</v>
      </c>
      <c r="C17368">
        <v>27298</v>
      </c>
      <c r="D17368" t="str">
        <f>"1577-6921"</f>
        <v>1577-6921</v>
      </c>
      <c r="E17368" t="s">
        <v>8</v>
      </c>
      <c r="F17368" t="s">
        <v>17374</v>
      </c>
      <c r="G17368">
        <v>1</v>
      </c>
    </row>
    <row r="17369" spans="1:7" x14ac:dyDescent="0.25">
      <c r="A17369">
        <v>5</v>
      </c>
      <c r="B17369" t="s">
        <v>16809</v>
      </c>
      <c r="C17369">
        <v>7741052</v>
      </c>
      <c r="D17369" t="str">
        <f>"2212-8999"</f>
        <v>2212-8999</v>
      </c>
      <c r="E17369" t="s">
        <v>15</v>
      </c>
      <c r="F17369" t="s">
        <v>17375</v>
      </c>
      <c r="G17369">
        <v>1</v>
      </c>
    </row>
    <row r="17370" spans="1:7" x14ac:dyDescent="0.25">
      <c r="A17370">
        <v>5</v>
      </c>
      <c r="B17370" t="s">
        <v>16809</v>
      </c>
      <c r="C17370">
        <v>11329</v>
      </c>
      <c r="D17370" t="str">
        <f>"1137-2311"</f>
        <v>1137-2311</v>
      </c>
      <c r="E17370" t="s">
        <v>8</v>
      </c>
      <c r="F17370" t="s">
        <v>17376</v>
      </c>
      <c r="G17370">
        <v>1</v>
      </c>
    </row>
    <row r="17371" spans="1:7" x14ac:dyDescent="0.25">
      <c r="A17371">
        <v>5</v>
      </c>
      <c r="B17371" t="s">
        <v>16809</v>
      </c>
      <c r="C17371">
        <v>9888</v>
      </c>
      <c r="D17371" t="str">
        <f>"0009-1774"</f>
        <v>0009-1774</v>
      </c>
      <c r="E17371" t="s">
        <v>8</v>
      </c>
      <c r="F17371" t="s">
        <v>17377</v>
      </c>
      <c r="G17371">
        <v>1</v>
      </c>
    </row>
    <row r="17372" spans="1:7" x14ac:dyDescent="0.25">
      <c r="A17372">
        <v>5</v>
      </c>
      <c r="B17372" t="s">
        <v>16809</v>
      </c>
      <c r="C17372">
        <v>180152</v>
      </c>
      <c r="D17372" t="str">
        <f>"2364-8899"</f>
        <v>2364-8899</v>
      </c>
      <c r="E17372" t="s">
        <v>15</v>
      </c>
      <c r="F17372" t="s">
        <v>17378</v>
      </c>
      <c r="G17372">
        <v>1</v>
      </c>
    </row>
    <row r="17373" spans="1:7" x14ac:dyDescent="0.25">
      <c r="A17373">
        <v>5</v>
      </c>
      <c r="B17373" t="s">
        <v>16809</v>
      </c>
      <c r="C17373">
        <v>8758284</v>
      </c>
      <c r="D17373" t="str">
        <f>"2352-1805"</f>
        <v>2352-1805</v>
      </c>
      <c r="E17373" t="s">
        <v>8</v>
      </c>
      <c r="F17373" t="s">
        <v>17379</v>
      </c>
      <c r="G17373">
        <v>1</v>
      </c>
    </row>
    <row r="17374" spans="1:7" x14ac:dyDescent="0.25">
      <c r="A17374">
        <v>5</v>
      </c>
      <c r="B17374" t="s">
        <v>16809</v>
      </c>
      <c r="C17374">
        <v>6465</v>
      </c>
      <c r="D17374" t="str">
        <f>"0737-4836"</f>
        <v>0737-4836</v>
      </c>
      <c r="E17374" t="s">
        <v>8</v>
      </c>
      <c r="F17374" t="s">
        <v>17380</v>
      </c>
      <c r="G17374">
        <v>1</v>
      </c>
    </row>
    <row r="17375" spans="1:7" x14ac:dyDescent="0.25">
      <c r="A17375">
        <v>5</v>
      </c>
      <c r="B17375" t="s">
        <v>16809</v>
      </c>
      <c r="C17375">
        <v>7717365</v>
      </c>
      <c r="D17375" t="str">
        <f>"2211-3711"</f>
        <v>2211-3711</v>
      </c>
      <c r="E17375" t="s">
        <v>8</v>
      </c>
      <c r="F17375" t="s">
        <v>17381</v>
      </c>
      <c r="G17375">
        <v>1</v>
      </c>
    </row>
    <row r="17376" spans="1:7" x14ac:dyDescent="0.25">
      <c r="A17376">
        <v>5</v>
      </c>
      <c r="B17376" t="s">
        <v>16809</v>
      </c>
      <c r="C17376">
        <v>5272</v>
      </c>
      <c r="D17376" t="str">
        <f>"0082-6049"</f>
        <v>0082-6049</v>
      </c>
      <c r="E17376" t="s">
        <v>8</v>
      </c>
      <c r="F17376" t="s">
        <v>17382</v>
      </c>
      <c r="G17376">
        <v>1</v>
      </c>
    </row>
    <row r="17377" spans="1:7" x14ac:dyDescent="0.25">
      <c r="A17377">
        <v>5</v>
      </c>
      <c r="B17377" t="s">
        <v>16809</v>
      </c>
      <c r="C17377">
        <v>7758227</v>
      </c>
      <c r="D17377" t="str">
        <f>"2264-7082"</f>
        <v>2264-7082</v>
      </c>
      <c r="E17377" t="s">
        <v>8</v>
      </c>
      <c r="F17377" t="s">
        <v>17383</v>
      </c>
      <c r="G17377">
        <v>1</v>
      </c>
    </row>
    <row r="17378" spans="1:7" x14ac:dyDescent="0.25">
      <c r="A17378">
        <v>5</v>
      </c>
      <c r="B17378" t="s">
        <v>16809</v>
      </c>
      <c r="C17378">
        <v>15782</v>
      </c>
      <c r="D17378" t="str">
        <f>"2013-9136"</f>
        <v>2013-9136</v>
      </c>
      <c r="E17378" t="s">
        <v>8</v>
      </c>
      <c r="F17378" t="s">
        <v>17384</v>
      </c>
      <c r="G17378">
        <v>1</v>
      </c>
    </row>
    <row r="17379" spans="1:7" x14ac:dyDescent="0.25">
      <c r="A17379">
        <v>5</v>
      </c>
      <c r="B17379" t="s">
        <v>16809</v>
      </c>
      <c r="C17379">
        <v>8783660</v>
      </c>
      <c r="D17379" t="str">
        <f>"1868-6362"</f>
        <v>1868-6362</v>
      </c>
      <c r="E17379" t="s">
        <v>15</v>
      </c>
      <c r="F17379" t="s">
        <v>17385</v>
      </c>
      <c r="G17379">
        <v>1</v>
      </c>
    </row>
    <row r="17380" spans="1:7" x14ac:dyDescent="0.25">
      <c r="A17380">
        <v>5</v>
      </c>
      <c r="B17380" t="s">
        <v>16809</v>
      </c>
      <c r="C17380">
        <v>12399</v>
      </c>
      <c r="D17380" t="str">
        <f>"1569-0644"</f>
        <v>1569-0644</v>
      </c>
      <c r="E17380" t="s">
        <v>15</v>
      </c>
      <c r="F17380" t="s">
        <v>17386</v>
      </c>
      <c r="G17380">
        <v>1</v>
      </c>
    </row>
    <row r="17381" spans="1:7" x14ac:dyDescent="0.25">
      <c r="A17381">
        <v>5</v>
      </c>
      <c r="B17381" t="s">
        <v>16809</v>
      </c>
      <c r="C17381">
        <v>11626</v>
      </c>
      <c r="D17381" t="str">
        <f>"0564-7959"</f>
        <v>0564-7959</v>
      </c>
      <c r="E17381" t="s">
        <v>15</v>
      </c>
      <c r="F17381" t="s">
        <v>17387</v>
      </c>
      <c r="G17381">
        <v>1</v>
      </c>
    </row>
    <row r="17382" spans="1:7" x14ac:dyDescent="0.25">
      <c r="A17382">
        <v>5</v>
      </c>
      <c r="B17382" t="s">
        <v>16809</v>
      </c>
      <c r="C17382">
        <v>6183</v>
      </c>
      <c r="D17382" t="str">
        <f>"0167-7373"</f>
        <v>0167-7373</v>
      </c>
      <c r="E17382" t="s">
        <v>15</v>
      </c>
      <c r="F17382" t="s">
        <v>17388</v>
      </c>
      <c r="G17382">
        <v>1</v>
      </c>
    </row>
    <row r="17383" spans="1:7" x14ac:dyDescent="0.25">
      <c r="A17383">
        <v>5</v>
      </c>
      <c r="B17383" t="s">
        <v>16809</v>
      </c>
      <c r="C17383">
        <v>27522</v>
      </c>
      <c r="D17383" t="str">
        <f>"0039-8691"</f>
        <v>0039-8691</v>
      </c>
      <c r="E17383" t="s">
        <v>8</v>
      </c>
      <c r="F17383" t="s">
        <v>17389</v>
      </c>
      <c r="G17383">
        <v>1</v>
      </c>
    </row>
    <row r="17384" spans="1:7" x14ac:dyDescent="0.25">
      <c r="A17384">
        <v>5</v>
      </c>
      <c r="B17384" t="s">
        <v>16809</v>
      </c>
      <c r="C17384">
        <v>10209</v>
      </c>
      <c r="D17384" t="str">
        <f>"1872-2091"</f>
        <v>1872-2091</v>
      </c>
      <c r="E17384" t="s">
        <v>15</v>
      </c>
      <c r="F17384" t="s">
        <v>17390</v>
      </c>
      <c r="G17384">
        <v>1</v>
      </c>
    </row>
    <row r="17385" spans="1:7" x14ac:dyDescent="0.25">
      <c r="A17385">
        <v>5</v>
      </c>
      <c r="B17385" t="s">
        <v>16809</v>
      </c>
      <c r="C17385">
        <v>99695</v>
      </c>
      <c r="D17385" t="str">
        <f>"0927-7706"</f>
        <v>0927-7706</v>
      </c>
      <c r="E17385" t="s">
        <v>15</v>
      </c>
      <c r="F17385" t="s">
        <v>17391</v>
      </c>
      <c r="G17385">
        <v>1</v>
      </c>
    </row>
    <row r="17386" spans="1:7" x14ac:dyDescent="0.25">
      <c r="A17386">
        <v>5</v>
      </c>
      <c r="B17386" t="s">
        <v>16809</v>
      </c>
      <c r="C17386">
        <v>27615</v>
      </c>
      <c r="D17386" t="str">
        <f>"1697-0381"</f>
        <v>1697-0381</v>
      </c>
      <c r="E17386" t="s">
        <v>8</v>
      </c>
      <c r="F17386" t="s">
        <v>17392</v>
      </c>
      <c r="G17386">
        <v>1</v>
      </c>
    </row>
    <row r="17387" spans="1:7" x14ac:dyDescent="0.25">
      <c r="A17387">
        <v>5</v>
      </c>
      <c r="B17387" t="s">
        <v>16809</v>
      </c>
      <c r="C17387">
        <v>8782636</v>
      </c>
      <c r="D17387" t="str">
        <f>"2187-2767"</f>
        <v>2187-2767</v>
      </c>
      <c r="E17387" t="s">
        <v>8</v>
      </c>
      <c r="F17387" t="s">
        <v>17393</v>
      </c>
      <c r="G17387">
        <v>1</v>
      </c>
    </row>
    <row r="17388" spans="1:7" x14ac:dyDescent="0.25">
      <c r="A17388">
        <v>5</v>
      </c>
      <c r="B17388" t="s">
        <v>16809</v>
      </c>
      <c r="C17388">
        <v>7751465</v>
      </c>
      <c r="D17388" t="str">
        <f>"2326-8263"</f>
        <v>2326-8263</v>
      </c>
      <c r="E17388" t="s">
        <v>8</v>
      </c>
      <c r="F17388" t="s">
        <v>17394</v>
      </c>
      <c r="G17388">
        <v>1</v>
      </c>
    </row>
    <row r="17389" spans="1:7" x14ac:dyDescent="0.25">
      <c r="A17389">
        <v>5</v>
      </c>
      <c r="B17389" t="s">
        <v>16809</v>
      </c>
      <c r="C17389">
        <v>16665</v>
      </c>
      <c r="D17389" t="str">
        <f>"1750-1245"</f>
        <v>1750-1245</v>
      </c>
      <c r="E17389" t="s">
        <v>8</v>
      </c>
      <c r="F17389" t="s">
        <v>17395</v>
      </c>
      <c r="G17389">
        <v>1</v>
      </c>
    </row>
    <row r="17390" spans="1:7" x14ac:dyDescent="0.25">
      <c r="A17390">
        <v>5</v>
      </c>
      <c r="B17390" t="s">
        <v>16809</v>
      </c>
      <c r="C17390">
        <v>13927</v>
      </c>
      <c r="D17390" t="str">
        <f>"0043-7956"</f>
        <v>0043-7956</v>
      </c>
      <c r="E17390" t="s">
        <v>8</v>
      </c>
      <c r="F17390" t="s">
        <v>17396</v>
      </c>
      <c r="G17390">
        <v>1</v>
      </c>
    </row>
    <row r="17391" spans="1:7" x14ac:dyDescent="0.25">
      <c r="A17391">
        <v>5</v>
      </c>
      <c r="B17391" t="s">
        <v>16809</v>
      </c>
      <c r="C17391">
        <v>8783189</v>
      </c>
      <c r="E17391" t="s">
        <v>2100</v>
      </c>
      <c r="F17391" t="s">
        <v>17397</v>
      </c>
      <c r="G17391">
        <v>1</v>
      </c>
    </row>
    <row r="17392" spans="1:7" x14ac:dyDescent="0.25">
      <c r="A17392">
        <v>5</v>
      </c>
      <c r="B17392" t="s">
        <v>16809</v>
      </c>
      <c r="C17392">
        <v>6333301</v>
      </c>
      <c r="D17392" t="str">
        <f>"1758-6801"</f>
        <v>1758-6801</v>
      </c>
      <c r="E17392" t="s">
        <v>8</v>
      </c>
      <c r="F17392" t="s">
        <v>17398</v>
      </c>
      <c r="G17392">
        <v>1</v>
      </c>
    </row>
    <row r="17393" spans="1:7" x14ac:dyDescent="0.25">
      <c r="A17393">
        <v>5</v>
      </c>
      <c r="B17393" t="s">
        <v>16809</v>
      </c>
      <c r="C17393">
        <v>7756500</v>
      </c>
      <c r="D17393" t="str">
        <f>"2213-6819"</f>
        <v>2213-6819</v>
      </c>
      <c r="E17393" t="s">
        <v>8</v>
      </c>
      <c r="F17393" t="s">
        <v>17399</v>
      </c>
      <c r="G17393">
        <v>1</v>
      </c>
    </row>
    <row r="17394" spans="1:7" x14ac:dyDescent="0.25">
      <c r="A17394">
        <v>5</v>
      </c>
      <c r="B17394" t="s">
        <v>16809</v>
      </c>
      <c r="C17394">
        <v>6334654</v>
      </c>
      <c r="D17394" t="str">
        <f>"1868-632X"</f>
        <v>1868-632X</v>
      </c>
      <c r="E17394" t="s">
        <v>8</v>
      </c>
      <c r="F17394" t="s">
        <v>17400</v>
      </c>
      <c r="G17394">
        <v>1</v>
      </c>
    </row>
    <row r="17395" spans="1:7" x14ac:dyDescent="0.25">
      <c r="A17395">
        <v>5</v>
      </c>
      <c r="B17395" t="s">
        <v>16809</v>
      </c>
      <c r="C17395">
        <v>63964</v>
      </c>
      <c r="D17395" t="str">
        <f>"2166-2177"</f>
        <v>2166-2177</v>
      </c>
      <c r="E17395" t="s">
        <v>8</v>
      </c>
      <c r="F17395" t="s">
        <v>17401</v>
      </c>
      <c r="G17395">
        <v>1</v>
      </c>
    </row>
    <row r="17396" spans="1:7" x14ac:dyDescent="0.25">
      <c r="A17396">
        <v>5</v>
      </c>
      <c r="B17396" t="s">
        <v>16809</v>
      </c>
      <c r="C17396">
        <v>9786</v>
      </c>
      <c r="E17396" t="s">
        <v>8</v>
      </c>
      <c r="F17396" t="s">
        <v>17402</v>
      </c>
      <c r="G17396">
        <v>1</v>
      </c>
    </row>
    <row r="17397" spans="1:7" x14ac:dyDescent="0.25">
      <c r="A17397">
        <v>5</v>
      </c>
      <c r="B17397" t="s">
        <v>16809</v>
      </c>
      <c r="C17397">
        <v>14636</v>
      </c>
      <c r="D17397" t="str">
        <f>"0341-0838"</f>
        <v>0341-0838</v>
      </c>
      <c r="E17397" t="s">
        <v>15</v>
      </c>
      <c r="F17397" t="s">
        <v>17403</v>
      </c>
      <c r="G17397">
        <v>1</v>
      </c>
    </row>
    <row r="17398" spans="1:7" x14ac:dyDescent="0.25">
      <c r="A17398">
        <v>5</v>
      </c>
      <c r="B17398" t="s">
        <v>16809</v>
      </c>
      <c r="C17398">
        <v>13460</v>
      </c>
      <c r="E17398" t="s">
        <v>8</v>
      </c>
      <c r="F17398" t="s">
        <v>17404</v>
      </c>
      <c r="G17398">
        <v>1</v>
      </c>
    </row>
    <row r="17399" spans="1:7" x14ac:dyDescent="0.25">
      <c r="A17399">
        <v>5</v>
      </c>
      <c r="B17399" t="s">
        <v>16809</v>
      </c>
      <c r="C17399">
        <v>3988</v>
      </c>
      <c r="D17399" t="str">
        <f>"0170-6241"</f>
        <v>0170-6241</v>
      </c>
      <c r="E17399" t="s">
        <v>8</v>
      </c>
      <c r="F17399" t="s">
        <v>17405</v>
      </c>
      <c r="G17399">
        <v>1</v>
      </c>
    </row>
    <row r="17400" spans="1:7" x14ac:dyDescent="0.25">
      <c r="A17400">
        <v>5</v>
      </c>
      <c r="B17400" t="s">
        <v>16809</v>
      </c>
      <c r="C17400">
        <v>7889</v>
      </c>
      <c r="D17400" t="str">
        <f>"0721-9067"</f>
        <v>0721-9067</v>
      </c>
      <c r="E17400" t="s">
        <v>8</v>
      </c>
      <c r="F17400" t="s">
        <v>17406</v>
      </c>
      <c r="G17400">
        <v>1</v>
      </c>
    </row>
    <row r="17401" spans="1:7" x14ac:dyDescent="0.25">
      <c r="A17401">
        <v>5</v>
      </c>
      <c r="B17401" t="s">
        <v>16809</v>
      </c>
      <c r="C17401">
        <v>6485</v>
      </c>
      <c r="D17401" t="str">
        <f>"0044-216X"</f>
        <v>0044-216X</v>
      </c>
      <c r="E17401" t="s">
        <v>8</v>
      </c>
      <c r="F17401" t="s">
        <v>17407</v>
      </c>
      <c r="G17401">
        <v>1</v>
      </c>
    </row>
    <row r="17402" spans="1:7" x14ac:dyDescent="0.25">
      <c r="A17402">
        <v>5</v>
      </c>
      <c r="B17402" t="s">
        <v>16809</v>
      </c>
      <c r="C17402">
        <v>7660</v>
      </c>
      <c r="D17402" t="str">
        <f>"0939-7299"</f>
        <v>0939-7299</v>
      </c>
      <c r="E17402" t="s">
        <v>8</v>
      </c>
      <c r="F17402" t="s">
        <v>17408</v>
      </c>
      <c r="G17402">
        <v>1</v>
      </c>
    </row>
    <row r="17403" spans="1:7" x14ac:dyDescent="0.25">
      <c r="A17403">
        <v>5</v>
      </c>
      <c r="B17403" t="s">
        <v>16809</v>
      </c>
      <c r="C17403">
        <v>7624</v>
      </c>
      <c r="D17403" t="str">
        <f>"0341-5864"</f>
        <v>0341-5864</v>
      </c>
      <c r="E17403" t="s">
        <v>8</v>
      </c>
      <c r="F17403" t="s">
        <v>17409</v>
      </c>
      <c r="G17403">
        <v>1</v>
      </c>
    </row>
    <row r="17404" spans="1:7" x14ac:dyDescent="0.25">
      <c r="A17404">
        <v>50</v>
      </c>
      <c r="B17404" t="s">
        <v>17410</v>
      </c>
      <c r="C17404">
        <v>10257</v>
      </c>
      <c r="D17404" t="str">
        <f>"1073-449X"</f>
        <v>1073-449X</v>
      </c>
      <c r="E17404" t="s">
        <v>8</v>
      </c>
      <c r="F17404" t="s">
        <v>17411</v>
      </c>
      <c r="G17404">
        <v>2</v>
      </c>
    </row>
    <row r="17405" spans="1:7" x14ac:dyDescent="0.25">
      <c r="A17405">
        <v>50</v>
      </c>
      <c r="B17405" t="s">
        <v>17410</v>
      </c>
      <c r="C17405">
        <v>11670</v>
      </c>
      <c r="D17405" t="str">
        <f>"0003-3022"</f>
        <v>0003-3022</v>
      </c>
      <c r="E17405" t="s">
        <v>8</v>
      </c>
      <c r="F17405" t="s">
        <v>17412</v>
      </c>
      <c r="G17405">
        <v>2</v>
      </c>
    </row>
    <row r="17406" spans="1:7" x14ac:dyDescent="0.25">
      <c r="A17406">
        <v>50</v>
      </c>
      <c r="B17406" t="s">
        <v>17410</v>
      </c>
      <c r="C17406">
        <v>10100</v>
      </c>
      <c r="D17406" t="str">
        <f>"0007-0912"</f>
        <v>0007-0912</v>
      </c>
      <c r="E17406" t="s">
        <v>8</v>
      </c>
      <c r="F17406" t="s">
        <v>17413</v>
      </c>
      <c r="G17406">
        <v>2</v>
      </c>
    </row>
    <row r="17407" spans="1:7" x14ac:dyDescent="0.25">
      <c r="A17407">
        <v>50</v>
      </c>
      <c r="B17407" t="s">
        <v>17410</v>
      </c>
      <c r="C17407">
        <v>6764</v>
      </c>
      <c r="D17407" t="str">
        <f>"0090-3493"</f>
        <v>0090-3493</v>
      </c>
      <c r="E17407" t="s">
        <v>8</v>
      </c>
      <c r="F17407" t="s">
        <v>17414</v>
      </c>
      <c r="G17407">
        <v>2</v>
      </c>
    </row>
    <row r="17408" spans="1:7" x14ac:dyDescent="0.25">
      <c r="A17408">
        <v>50</v>
      </c>
      <c r="B17408" t="s">
        <v>17410</v>
      </c>
      <c r="C17408">
        <v>12206</v>
      </c>
      <c r="D17408" t="str">
        <f>"0342-4642"</f>
        <v>0342-4642</v>
      </c>
      <c r="E17408" t="s">
        <v>8</v>
      </c>
      <c r="F17408" t="s">
        <v>17415</v>
      </c>
      <c r="G17408">
        <v>2</v>
      </c>
    </row>
    <row r="17409" spans="1:7" x14ac:dyDescent="0.25">
      <c r="A17409">
        <v>50</v>
      </c>
      <c r="B17409" t="s">
        <v>17410</v>
      </c>
      <c r="C17409">
        <v>654</v>
      </c>
      <c r="D17409" t="str">
        <f>"1526-5900"</f>
        <v>1526-5900</v>
      </c>
      <c r="E17409" t="s">
        <v>8</v>
      </c>
      <c r="F17409" t="s">
        <v>17416</v>
      </c>
      <c r="G17409">
        <v>2</v>
      </c>
    </row>
    <row r="17410" spans="1:7" x14ac:dyDescent="0.25">
      <c r="A17410">
        <v>50</v>
      </c>
      <c r="B17410" t="s">
        <v>17410</v>
      </c>
      <c r="C17410">
        <v>16301</v>
      </c>
      <c r="D17410" t="str">
        <f>"1069-6563"</f>
        <v>1069-6563</v>
      </c>
      <c r="E17410" t="s">
        <v>8</v>
      </c>
      <c r="F17410" t="s">
        <v>17417</v>
      </c>
      <c r="G17410">
        <v>1</v>
      </c>
    </row>
    <row r="17411" spans="1:7" x14ac:dyDescent="0.25">
      <c r="A17411">
        <v>50</v>
      </c>
      <c r="B17411" t="s">
        <v>17410</v>
      </c>
      <c r="C17411">
        <v>21760</v>
      </c>
      <c r="D17411" t="str">
        <f>"0001-5164"</f>
        <v>0001-5164</v>
      </c>
      <c r="E17411" t="s">
        <v>8</v>
      </c>
      <c r="F17411" t="s">
        <v>17418</v>
      </c>
      <c r="G17411">
        <v>1</v>
      </c>
    </row>
    <row r="17412" spans="1:7" x14ac:dyDescent="0.25">
      <c r="A17412">
        <v>50</v>
      </c>
      <c r="B17412" t="s">
        <v>17410</v>
      </c>
      <c r="C17412">
        <v>7351</v>
      </c>
      <c r="D17412" t="str">
        <f>"0001-5172"</f>
        <v>0001-5172</v>
      </c>
      <c r="E17412" t="s">
        <v>8</v>
      </c>
      <c r="F17412" t="s">
        <v>17419</v>
      </c>
      <c r="G17412">
        <v>1</v>
      </c>
    </row>
    <row r="17413" spans="1:7" x14ac:dyDescent="0.25">
      <c r="A17413">
        <v>50</v>
      </c>
      <c r="B17413" t="s">
        <v>17410</v>
      </c>
      <c r="C17413">
        <v>15617</v>
      </c>
      <c r="D17413" t="str">
        <f>"1931-4485"</f>
        <v>1931-4485</v>
      </c>
      <c r="E17413" t="s">
        <v>8</v>
      </c>
      <c r="F17413" t="s">
        <v>17420</v>
      </c>
      <c r="G17413">
        <v>1</v>
      </c>
    </row>
    <row r="17414" spans="1:7" x14ac:dyDescent="0.25">
      <c r="A17414">
        <v>50</v>
      </c>
      <c r="B17414" t="s">
        <v>17410</v>
      </c>
      <c r="C17414">
        <v>12919</v>
      </c>
      <c r="D17414" t="str">
        <f>"1090-820X"</f>
        <v>1090-820X</v>
      </c>
      <c r="E17414" t="s">
        <v>8</v>
      </c>
      <c r="F17414" t="s">
        <v>17421</v>
      </c>
      <c r="G17414">
        <v>1</v>
      </c>
    </row>
    <row r="17415" spans="1:7" x14ac:dyDescent="0.25">
      <c r="A17415">
        <v>50</v>
      </c>
      <c r="B17415" t="s">
        <v>17410</v>
      </c>
      <c r="C17415">
        <v>10062</v>
      </c>
      <c r="D17415" t="str">
        <f>"1062-3264"</f>
        <v>1062-3264</v>
      </c>
      <c r="E17415" t="s">
        <v>8</v>
      </c>
      <c r="F17415" t="s">
        <v>17422</v>
      </c>
      <c r="G17415">
        <v>1</v>
      </c>
    </row>
    <row r="17416" spans="1:7" x14ac:dyDescent="0.25">
      <c r="A17416">
        <v>50</v>
      </c>
      <c r="B17416" t="s">
        <v>17410</v>
      </c>
      <c r="C17416">
        <v>1771</v>
      </c>
      <c r="D17416" t="str">
        <f>"0735-6757"</f>
        <v>0735-6757</v>
      </c>
      <c r="E17416" t="s">
        <v>8</v>
      </c>
      <c r="F17416" t="s">
        <v>17423</v>
      </c>
      <c r="G17416">
        <v>1</v>
      </c>
    </row>
    <row r="17417" spans="1:7" x14ac:dyDescent="0.25">
      <c r="A17417">
        <v>50</v>
      </c>
      <c r="B17417" t="s">
        <v>17410</v>
      </c>
      <c r="C17417">
        <v>5377</v>
      </c>
      <c r="D17417" t="str">
        <f>"0003-2409"</f>
        <v>0003-2409</v>
      </c>
      <c r="E17417" t="s">
        <v>8</v>
      </c>
      <c r="F17417" t="s">
        <v>17424</v>
      </c>
      <c r="G17417">
        <v>1</v>
      </c>
    </row>
    <row r="17418" spans="1:7" x14ac:dyDescent="0.25">
      <c r="A17418">
        <v>50</v>
      </c>
      <c r="B17418" t="s">
        <v>17410</v>
      </c>
      <c r="C17418">
        <v>2609</v>
      </c>
      <c r="D17418" t="str">
        <f>"0310-057X"</f>
        <v>0310-057X</v>
      </c>
      <c r="E17418" t="s">
        <v>8</v>
      </c>
      <c r="F17418" t="s">
        <v>17425</v>
      </c>
      <c r="G17418">
        <v>1</v>
      </c>
    </row>
    <row r="17419" spans="1:7" x14ac:dyDescent="0.25">
      <c r="A17419">
        <v>50</v>
      </c>
      <c r="B17419" t="s">
        <v>17410</v>
      </c>
      <c r="C17419">
        <v>947</v>
      </c>
      <c r="D17419" t="str">
        <f>"0003-2999"</f>
        <v>0003-2999</v>
      </c>
      <c r="E17419" t="s">
        <v>8</v>
      </c>
      <c r="F17419" t="s">
        <v>17426</v>
      </c>
      <c r="G17419">
        <v>1</v>
      </c>
    </row>
    <row r="17420" spans="1:7" x14ac:dyDescent="0.25">
      <c r="A17420">
        <v>50</v>
      </c>
      <c r="B17420" t="s">
        <v>17410</v>
      </c>
      <c r="C17420">
        <v>9976</v>
      </c>
      <c r="D17420" t="str">
        <f>"0003-3006"</f>
        <v>0003-3006</v>
      </c>
      <c r="E17420" t="s">
        <v>8</v>
      </c>
      <c r="F17420" t="s">
        <v>17427</v>
      </c>
      <c r="G17420">
        <v>1</v>
      </c>
    </row>
    <row r="17421" spans="1:7" x14ac:dyDescent="0.25">
      <c r="A17421">
        <v>50</v>
      </c>
      <c r="B17421" t="s">
        <v>17410</v>
      </c>
      <c r="C17421">
        <v>27397</v>
      </c>
      <c r="D17421" t="str">
        <f>"1932-2275"</f>
        <v>1932-2275</v>
      </c>
      <c r="E17421" t="s">
        <v>8</v>
      </c>
      <c r="F17421" t="s">
        <v>17428</v>
      </c>
      <c r="G17421">
        <v>1</v>
      </c>
    </row>
    <row r="17422" spans="1:7" x14ac:dyDescent="0.25">
      <c r="A17422">
        <v>50</v>
      </c>
      <c r="B17422" t="s">
        <v>17410</v>
      </c>
      <c r="C17422">
        <v>8275</v>
      </c>
      <c r="D17422" t="str">
        <f>"0971-9784"</f>
        <v>0971-9784</v>
      </c>
      <c r="E17422" t="s">
        <v>8</v>
      </c>
      <c r="F17422" t="s">
        <v>17429</v>
      </c>
      <c r="G17422">
        <v>1</v>
      </c>
    </row>
    <row r="17423" spans="1:7" x14ac:dyDescent="0.25">
      <c r="A17423">
        <v>50</v>
      </c>
      <c r="B17423" t="s">
        <v>17410</v>
      </c>
      <c r="C17423">
        <v>5541</v>
      </c>
      <c r="D17423" t="str">
        <f>"0196-0644"</f>
        <v>0196-0644</v>
      </c>
      <c r="E17423" t="s">
        <v>8</v>
      </c>
      <c r="F17423" t="s">
        <v>17430</v>
      </c>
      <c r="G17423">
        <v>1</v>
      </c>
    </row>
    <row r="17424" spans="1:7" x14ac:dyDescent="0.25">
      <c r="A17424">
        <v>50</v>
      </c>
      <c r="B17424" t="s">
        <v>17410</v>
      </c>
      <c r="C17424">
        <v>16526</v>
      </c>
      <c r="D17424" t="str">
        <f>"0936-8051"</f>
        <v>0936-8051</v>
      </c>
      <c r="E17424" t="s">
        <v>8</v>
      </c>
      <c r="F17424" t="s">
        <v>17431</v>
      </c>
      <c r="G17424">
        <v>1</v>
      </c>
    </row>
    <row r="17425" spans="1:7" x14ac:dyDescent="0.25">
      <c r="A17425">
        <v>50</v>
      </c>
      <c r="B17425" t="s">
        <v>17410</v>
      </c>
      <c r="C17425">
        <v>10069</v>
      </c>
      <c r="E17425" t="s">
        <v>8</v>
      </c>
      <c r="F17425" t="s">
        <v>17432</v>
      </c>
      <c r="G17425">
        <v>1</v>
      </c>
    </row>
    <row r="17426" spans="1:7" x14ac:dyDescent="0.25">
      <c r="A17426">
        <v>50</v>
      </c>
      <c r="B17426" t="s">
        <v>17410</v>
      </c>
      <c r="C17426">
        <v>15924</v>
      </c>
      <c r="D17426" t="str">
        <f>"1753-3740"</f>
        <v>1753-3740</v>
      </c>
      <c r="E17426" t="s">
        <v>8</v>
      </c>
      <c r="F17426" t="s">
        <v>17433</v>
      </c>
      <c r="G17426">
        <v>1</v>
      </c>
    </row>
    <row r="17427" spans="1:7" x14ac:dyDescent="0.25">
      <c r="A17427">
        <v>50</v>
      </c>
      <c r="B17427" t="s">
        <v>17410</v>
      </c>
      <c r="C17427">
        <v>16854</v>
      </c>
      <c r="D17427" t="str">
        <f>"0253-5068"</f>
        <v>0253-5068</v>
      </c>
      <c r="E17427" t="s">
        <v>8</v>
      </c>
      <c r="F17427" t="s">
        <v>17434</v>
      </c>
      <c r="G17427">
        <v>1</v>
      </c>
    </row>
    <row r="17428" spans="1:7" x14ac:dyDescent="0.25">
      <c r="A17428">
        <v>50</v>
      </c>
      <c r="B17428" t="s">
        <v>17410</v>
      </c>
      <c r="C17428">
        <v>12902</v>
      </c>
      <c r="E17428" t="s">
        <v>8</v>
      </c>
      <c r="F17428" t="s">
        <v>17435</v>
      </c>
      <c r="G17428">
        <v>1</v>
      </c>
    </row>
    <row r="17429" spans="1:7" x14ac:dyDescent="0.25">
      <c r="A17429">
        <v>50</v>
      </c>
      <c r="B17429" t="s">
        <v>17410</v>
      </c>
      <c r="C17429">
        <v>13740</v>
      </c>
      <c r="E17429" t="s">
        <v>8</v>
      </c>
      <c r="F17429" t="s">
        <v>17436</v>
      </c>
      <c r="G17429">
        <v>1</v>
      </c>
    </row>
    <row r="17430" spans="1:7" x14ac:dyDescent="0.25">
      <c r="A17430">
        <v>50</v>
      </c>
      <c r="B17430" t="s">
        <v>17410</v>
      </c>
      <c r="C17430">
        <v>11716</v>
      </c>
      <c r="D17430" t="str">
        <f>"0305-4179"</f>
        <v>0305-4179</v>
      </c>
      <c r="E17430" t="s">
        <v>8</v>
      </c>
      <c r="F17430" t="s">
        <v>17437</v>
      </c>
      <c r="G17430">
        <v>1</v>
      </c>
    </row>
    <row r="17431" spans="1:7" x14ac:dyDescent="0.25">
      <c r="A17431">
        <v>50</v>
      </c>
      <c r="B17431" t="s">
        <v>17410</v>
      </c>
      <c r="C17431">
        <v>12234</v>
      </c>
      <c r="D17431" t="str">
        <f>"0832-610X"</f>
        <v>0832-610X</v>
      </c>
      <c r="E17431" t="s">
        <v>8</v>
      </c>
      <c r="F17431" t="s">
        <v>17438</v>
      </c>
      <c r="G17431">
        <v>1</v>
      </c>
    </row>
    <row r="17432" spans="1:7" x14ac:dyDescent="0.25">
      <c r="A17432">
        <v>50</v>
      </c>
      <c r="B17432" t="s">
        <v>17410</v>
      </c>
      <c r="C17432">
        <v>7403</v>
      </c>
      <c r="D17432" t="str">
        <f>"1481-8035"</f>
        <v>1481-8035</v>
      </c>
      <c r="E17432" t="s">
        <v>8</v>
      </c>
      <c r="F17432" t="s">
        <v>17439</v>
      </c>
      <c r="G17432">
        <v>1</v>
      </c>
    </row>
    <row r="17433" spans="1:7" x14ac:dyDescent="0.25">
      <c r="A17433">
        <v>50</v>
      </c>
      <c r="B17433" t="s">
        <v>17410</v>
      </c>
      <c r="C17433">
        <v>10773</v>
      </c>
      <c r="D17433" t="str">
        <f>"0749-0704"</f>
        <v>0749-0704</v>
      </c>
      <c r="E17433" t="s">
        <v>8</v>
      </c>
      <c r="F17433" t="s">
        <v>17440</v>
      </c>
      <c r="G17433">
        <v>1</v>
      </c>
    </row>
    <row r="17434" spans="1:7" x14ac:dyDescent="0.25">
      <c r="A17434">
        <v>50</v>
      </c>
      <c r="B17434" t="s">
        <v>17410</v>
      </c>
      <c r="C17434">
        <v>4707</v>
      </c>
      <c r="D17434" t="str">
        <f>"0952-7907"</f>
        <v>0952-7907</v>
      </c>
      <c r="E17434" t="s">
        <v>8</v>
      </c>
      <c r="F17434" t="s">
        <v>17441</v>
      </c>
      <c r="G17434">
        <v>1</v>
      </c>
    </row>
    <row r="17435" spans="1:7" x14ac:dyDescent="0.25">
      <c r="A17435">
        <v>50</v>
      </c>
      <c r="B17435" t="s">
        <v>17410</v>
      </c>
      <c r="C17435">
        <v>3381</v>
      </c>
      <c r="D17435" t="str">
        <f>"1070-5295"</f>
        <v>1070-5295</v>
      </c>
      <c r="E17435" t="s">
        <v>8</v>
      </c>
      <c r="F17435" t="s">
        <v>17442</v>
      </c>
      <c r="G17435">
        <v>1</v>
      </c>
    </row>
    <row r="17436" spans="1:7" x14ac:dyDescent="0.25">
      <c r="A17436">
        <v>50</v>
      </c>
      <c r="B17436" t="s">
        <v>17410</v>
      </c>
      <c r="C17436">
        <v>1734</v>
      </c>
      <c r="D17436" t="str">
        <f>"0003-2417"</f>
        <v>0003-2417</v>
      </c>
      <c r="E17436" t="s">
        <v>8</v>
      </c>
      <c r="F17436" t="s">
        <v>17443</v>
      </c>
      <c r="G17436">
        <v>1</v>
      </c>
    </row>
    <row r="17437" spans="1:7" x14ac:dyDescent="0.25">
      <c r="A17437">
        <v>50</v>
      </c>
      <c r="B17437" t="s">
        <v>17410</v>
      </c>
      <c r="C17437">
        <v>4343</v>
      </c>
      <c r="D17437" t="str">
        <f>"0013-6654"</f>
        <v>0013-6654</v>
      </c>
      <c r="E17437" t="s">
        <v>8</v>
      </c>
      <c r="F17437" t="s">
        <v>17444</v>
      </c>
      <c r="G17437">
        <v>1</v>
      </c>
    </row>
    <row r="17438" spans="1:7" x14ac:dyDescent="0.25">
      <c r="A17438">
        <v>50</v>
      </c>
      <c r="B17438" t="s">
        <v>17410</v>
      </c>
      <c r="C17438">
        <v>14429</v>
      </c>
      <c r="D17438" t="str">
        <f>"0733-8627"</f>
        <v>0733-8627</v>
      </c>
      <c r="E17438" t="s">
        <v>8</v>
      </c>
      <c r="F17438" t="s">
        <v>17445</v>
      </c>
      <c r="G17438">
        <v>1</v>
      </c>
    </row>
    <row r="17439" spans="1:7" x14ac:dyDescent="0.25">
      <c r="A17439">
        <v>50</v>
      </c>
      <c r="B17439" t="s">
        <v>17410</v>
      </c>
      <c r="C17439">
        <v>1410</v>
      </c>
      <c r="D17439" t="str">
        <f>"1472-0205"</f>
        <v>1472-0205</v>
      </c>
      <c r="E17439" t="s">
        <v>8</v>
      </c>
      <c r="F17439" t="s">
        <v>17446</v>
      </c>
      <c r="G17439">
        <v>1</v>
      </c>
    </row>
    <row r="17440" spans="1:7" x14ac:dyDescent="0.25">
      <c r="A17440">
        <v>50</v>
      </c>
      <c r="B17440" t="s">
        <v>17410</v>
      </c>
      <c r="C17440">
        <v>8485</v>
      </c>
      <c r="D17440" t="str">
        <f>"0265-0215"</f>
        <v>0265-0215</v>
      </c>
      <c r="E17440" t="s">
        <v>8</v>
      </c>
      <c r="F17440" t="s">
        <v>17447</v>
      </c>
      <c r="G17440">
        <v>1</v>
      </c>
    </row>
    <row r="17441" spans="1:7" x14ac:dyDescent="0.25">
      <c r="A17441">
        <v>50</v>
      </c>
      <c r="B17441" t="s">
        <v>17410</v>
      </c>
      <c r="C17441">
        <v>5638</v>
      </c>
      <c r="D17441" t="str">
        <f>"0969-9546"</f>
        <v>0969-9546</v>
      </c>
      <c r="E17441" t="s">
        <v>8</v>
      </c>
      <c r="F17441" t="s">
        <v>17448</v>
      </c>
      <c r="G17441">
        <v>1</v>
      </c>
    </row>
    <row r="17442" spans="1:7" x14ac:dyDescent="0.25">
      <c r="A17442">
        <v>50</v>
      </c>
      <c r="B17442" t="s">
        <v>17410</v>
      </c>
      <c r="C17442">
        <v>12289</v>
      </c>
      <c r="D17442" t="str">
        <f>"1090-3801"</f>
        <v>1090-3801</v>
      </c>
      <c r="E17442" t="s">
        <v>8</v>
      </c>
      <c r="F17442" t="s">
        <v>17449</v>
      </c>
      <c r="G17442">
        <v>1</v>
      </c>
    </row>
    <row r="17443" spans="1:7" x14ac:dyDescent="0.25">
      <c r="A17443">
        <v>50</v>
      </c>
      <c r="B17443" t="s">
        <v>17410</v>
      </c>
      <c r="C17443">
        <v>13027</v>
      </c>
      <c r="D17443" t="str">
        <f>"1863-9933"</f>
        <v>1863-9933</v>
      </c>
      <c r="E17443" t="s">
        <v>8</v>
      </c>
      <c r="F17443" t="s">
        <v>17450</v>
      </c>
      <c r="G17443">
        <v>1</v>
      </c>
    </row>
    <row r="17444" spans="1:7" x14ac:dyDescent="0.25">
      <c r="A17444">
        <v>50</v>
      </c>
      <c r="B17444" t="s">
        <v>17410</v>
      </c>
      <c r="C17444">
        <v>10373</v>
      </c>
      <c r="D17444" t="str">
        <f>"0020-1383"</f>
        <v>0020-1383</v>
      </c>
      <c r="E17444" t="s">
        <v>8</v>
      </c>
      <c r="F17444" t="s">
        <v>17451</v>
      </c>
      <c r="G17444">
        <v>1</v>
      </c>
    </row>
    <row r="17445" spans="1:7" x14ac:dyDescent="0.25">
      <c r="A17445">
        <v>50</v>
      </c>
      <c r="B17445" t="s">
        <v>17410</v>
      </c>
      <c r="C17445">
        <v>7735</v>
      </c>
      <c r="D17445" t="str">
        <f>"0020-5907"</f>
        <v>0020-5907</v>
      </c>
      <c r="E17445" t="s">
        <v>8</v>
      </c>
      <c r="F17445" t="s">
        <v>17452</v>
      </c>
      <c r="G17445">
        <v>1</v>
      </c>
    </row>
    <row r="17446" spans="1:7" x14ac:dyDescent="0.25">
      <c r="A17446">
        <v>50</v>
      </c>
      <c r="B17446" t="s">
        <v>17410</v>
      </c>
      <c r="C17446">
        <v>10885</v>
      </c>
      <c r="D17446" t="str">
        <f>"0959-289X"</f>
        <v>0959-289X</v>
      </c>
      <c r="E17446" t="s">
        <v>8</v>
      </c>
      <c r="F17446" t="s">
        <v>17453</v>
      </c>
      <c r="G17446">
        <v>1</v>
      </c>
    </row>
    <row r="17447" spans="1:7" x14ac:dyDescent="0.25">
      <c r="A17447">
        <v>50</v>
      </c>
      <c r="B17447" t="s">
        <v>17410</v>
      </c>
      <c r="C17447">
        <v>1642</v>
      </c>
      <c r="D17447" t="str">
        <f>"0913-8668"</f>
        <v>0913-8668</v>
      </c>
      <c r="E17447" t="s">
        <v>8</v>
      </c>
      <c r="F17447" t="s">
        <v>17454</v>
      </c>
      <c r="G17447">
        <v>1</v>
      </c>
    </row>
    <row r="17448" spans="1:7" x14ac:dyDescent="0.25">
      <c r="A17448">
        <v>50</v>
      </c>
      <c r="B17448" t="s">
        <v>17410</v>
      </c>
      <c r="C17448">
        <v>6725</v>
      </c>
      <c r="D17448" t="str">
        <f>"1053-0770"</f>
        <v>1053-0770</v>
      </c>
      <c r="E17448" t="s">
        <v>8</v>
      </c>
      <c r="F17448" t="s">
        <v>17455</v>
      </c>
      <c r="G17448">
        <v>1</v>
      </c>
    </row>
    <row r="17449" spans="1:7" x14ac:dyDescent="0.25">
      <c r="A17449">
        <v>50</v>
      </c>
      <c r="B17449" t="s">
        <v>17410</v>
      </c>
      <c r="C17449">
        <v>6368</v>
      </c>
      <c r="D17449" t="str">
        <f>"0952-8180"</f>
        <v>0952-8180</v>
      </c>
      <c r="E17449" t="s">
        <v>8</v>
      </c>
      <c r="F17449" t="s">
        <v>17456</v>
      </c>
      <c r="G17449">
        <v>1</v>
      </c>
    </row>
    <row r="17450" spans="1:7" x14ac:dyDescent="0.25">
      <c r="A17450">
        <v>50</v>
      </c>
      <c r="B17450" t="s">
        <v>17410</v>
      </c>
      <c r="C17450">
        <v>4658</v>
      </c>
      <c r="D17450" t="str">
        <f>"1387-1307"</f>
        <v>1387-1307</v>
      </c>
      <c r="E17450" t="s">
        <v>8</v>
      </c>
      <c r="F17450" t="s">
        <v>17457</v>
      </c>
      <c r="G17450">
        <v>1</v>
      </c>
    </row>
    <row r="17451" spans="1:7" x14ac:dyDescent="0.25">
      <c r="A17451">
        <v>50</v>
      </c>
      <c r="B17451" t="s">
        <v>17410</v>
      </c>
      <c r="C17451">
        <v>13489</v>
      </c>
      <c r="D17451" t="str">
        <f>"0883-9441"</f>
        <v>0883-9441</v>
      </c>
      <c r="E17451" t="s">
        <v>8</v>
      </c>
      <c r="F17451" t="s">
        <v>17458</v>
      </c>
      <c r="G17451">
        <v>1</v>
      </c>
    </row>
    <row r="17452" spans="1:7" x14ac:dyDescent="0.25">
      <c r="A17452">
        <v>50</v>
      </c>
      <c r="B17452" t="s">
        <v>17410</v>
      </c>
      <c r="C17452">
        <v>7749118</v>
      </c>
      <c r="E17452" t="s">
        <v>8</v>
      </c>
      <c r="F17452" t="s">
        <v>17459</v>
      </c>
      <c r="G17452">
        <v>1</v>
      </c>
    </row>
    <row r="17453" spans="1:7" x14ac:dyDescent="0.25">
      <c r="A17453">
        <v>50</v>
      </c>
      <c r="B17453" t="s">
        <v>17410</v>
      </c>
      <c r="C17453">
        <v>16716</v>
      </c>
      <c r="D17453" t="str">
        <f>"0885-0666"</f>
        <v>0885-0666</v>
      </c>
      <c r="E17453" t="s">
        <v>8</v>
      </c>
      <c r="F17453" t="s">
        <v>17460</v>
      </c>
      <c r="G17453">
        <v>1</v>
      </c>
    </row>
    <row r="17454" spans="1:7" x14ac:dyDescent="0.25">
      <c r="A17454">
        <v>50</v>
      </c>
      <c r="B17454" t="s">
        <v>17410</v>
      </c>
      <c r="C17454">
        <v>8285</v>
      </c>
      <c r="D17454" t="str">
        <f>"0898-4921"</f>
        <v>0898-4921</v>
      </c>
      <c r="E17454" t="s">
        <v>8</v>
      </c>
      <c r="F17454" t="s">
        <v>17461</v>
      </c>
      <c r="G17454">
        <v>1</v>
      </c>
    </row>
    <row r="17455" spans="1:7" x14ac:dyDescent="0.25">
      <c r="A17455">
        <v>50</v>
      </c>
      <c r="B17455" t="s">
        <v>17410</v>
      </c>
      <c r="C17455">
        <v>6491</v>
      </c>
      <c r="D17455" t="str">
        <f>"0148-6071"</f>
        <v>0148-6071</v>
      </c>
      <c r="E17455" t="s">
        <v>8</v>
      </c>
      <c r="F17455" t="s">
        <v>17462</v>
      </c>
      <c r="G17455">
        <v>1</v>
      </c>
    </row>
    <row r="17456" spans="1:7" x14ac:dyDescent="0.25">
      <c r="A17456">
        <v>50</v>
      </c>
      <c r="B17456" t="s">
        <v>17410</v>
      </c>
      <c r="C17456">
        <v>12393</v>
      </c>
      <c r="D17456" t="str">
        <f>"1529-9732"</f>
        <v>1529-9732</v>
      </c>
      <c r="E17456" t="s">
        <v>8</v>
      </c>
      <c r="F17456" t="s">
        <v>17463</v>
      </c>
      <c r="G17456">
        <v>1</v>
      </c>
    </row>
    <row r="17457" spans="1:7" x14ac:dyDescent="0.25">
      <c r="A17457">
        <v>50</v>
      </c>
      <c r="B17457" t="s">
        <v>17410</v>
      </c>
      <c r="C17457">
        <v>11959</v>
      </c>
      <c r="D17457" t="str">
        <f>"0210-5691"</f>
        <v>0210-5691</v>
      </c>
      <c r="E17457" t="s">
        <v>8</v>
      </c>
      <c r="F17457" t="s">
        <v>17464</v>
      </c>
      <c r="G17457">
        <v>1</v>
      </c>
    </row>
    <row r="17458" spans="1:7" x14ac:dyDescent="0.25">
      <c r="A17458">
        <v>50</v>
      </c>
      <c r="B17458" t="s">
        <v>17410</v>
      </c>
      <c r="C17458">
        <v>8744</v>
      </c>
      <c r="D17458" t="str">
        <f>"1541-6933"</f>
        <v>1541-6933</v>
      </c>
      <c r="E17458" t="s">
        <v>8</v>
      </c>
      <c r="F17458" t="s">
        <v>17465</v>
      </c>
      <c r="G17458">
        <v>1</v>
      </c>
    </row>
    <row r="17459" spans="1:7" x14ac:dyDescent="0.25">
      <c r="A17459">
        <v>50</v>
      </c>
      <c r="B17459" t="s">
        <v>17410</v>
      </c>
      <c r="C17459">
        <v>4383</v>
      </c>
      <c r="D17459" t="str">
        <f>"1434-6222"</f>
        <v>1434-6222</v>
      </c>
      <c r="E17459" t="s">
        <v>8</v>
      </c>
      <c r="F17459" t="s">
        <v>17466</v>
      </c>
      <c r="G17459">
        <v>1</v>
      </c>
    </row>
    <row r="17460" spans="1:7" x14ac:dyDescent="0.25">
      <c r="A17460">
        <v>50</v>
      </c>
      <c r="B17460" t="s">
        <v>17410</v>
      </c>
      <c r="C17460">
        <v>16271</v>
      </c>
      <c r="D17460" t="str">
        <f>"1155-5645"</f>
        <v>1155-5645</v>
      </c>
      <c r="E17460" t="s">
        <v>8</v>
      </c>
      <c r="F17460" t="s">
        <v>17467</v>
      </c>
      <c r="G17460">
        <v>1</v>
      </c>
    </row>
    <row r="17461" spans="1:7" x14ac:dyDescent="0.25">
      <c r="A17461">
        <v>50</v>
      </c>
      <c r="B17461" t="s">
        <v>17410</v>
      </c>
      <c r="C17461">
        <v>2934</v>
      </c>
      <c r="D17461" t="str">
        <f>"1526-2375"</f>
        <v>1526-2375</v>
      </c>
      <c r="E17461" t="s">
        <v>8</v>
      </c>
      <c r="F17461" t="s">
        <v>17468</v>
      </c>
      <c r="G17461">
        <v>1</v>
      </c>
    </row>
    <row r="17462" spans="1:7" x14ac:dyDescent="0.25">
      <c r="A17462">
        <v>50</v>
      </c>
      <c r="B17462" t="s">
        <v>17410</v>
      </c>
      <c r="C17462">
        <v>6235126</v>
      </c>
      <c r="D17462" t="str">
        <f>"2090-1542"</f>
        <v>2090-1542</v>
      </c>
      <c r="E17462" t="s">
        <v>8</v>
      </c>
      <c r="F17462" t="s">
        <v>17469</v>
      </c>
      <c r="G17462">
        <v>1</v>
      </c>
    </row>
    <row r="17463" spans="1:7" x14ac:dyDescent="0.25">
      <c r="A17463">
        <v>50</v>
      </c>
      <c r="B17463" t="s">
        <v>17410</v>
      </c>
      <c r="C17463">
        <v>9884</v>
      </c>
      <c r="D17463" t="str">
        <f>"1529-7535"</f>
        <v>1529-7535</v>
      </c>
      <c r="E17463" t="s">
        <v>8</v>
      </c>
      <c r="F17463" t="s">
        <v>17470</v>
      </c>
      <c r="G17463">
        <v>1</v>
      </c>
    </row>
    <row r="17464" spans="1:7" x14ac:dyDescent="0.25">
      <c r="A17464">
        <v>50</v>
      </c>
      <c r="B17464" t="s">
        <v>17410</v>
      </c>
      <c r="C17464">
        <v>11500</v>
      </c>
      <c r="D17464" t="str">
        <f>"0749-5161"</f>
        <v>0749-5161</v>
      </c>
      <c r="E17464" t="s">
        <v>8</v>
      </c>
      <c r="F17464" t="s">
        <v>17471</v>
      </c>
      <c r="G17464">
        <v>1</v>
      </c>
    </row>
    <row r="17465" spans="1:7" x14ac:dyDescent="0.25">
      <c r="A17465">
        <v>50</v>
      </c>
      <c r="B17465" t="s">
        <v>17410</v>
      </c>
      <c r="C17465">
        <v>12365</v>
      </c>
      <c r="D17465" t="str">
        <f>"1090-3127"</f>
        <v>1090-3127</v>
      </c>
      <c r="E17465" t="s">
        <v>8</v>
      </c>
      <c r="F17465" t="s">
        <v>17472</v>
      </c>
      <c r="G17465">
        <v>1</v>
      </c>
    </row>
    <row r="17466" spans="1:7" x14ac:dyDescent="0.25">
      <c r="A17466">
        <v>50</v>
      </c>
      <c r="B17466" t="s">
        <v>17410</v>
      </c>
      <c r="C17466">
        <v>13082</v>
      </c>
      <c r="D17466" t="str">
        <f>"1471-4418"</f>
        <v>1471-4418</v>
      </c>
      <c r="E17466" t="s">
        <v>8</v>
      </c>
      <c r="F17466" t="s">
        <v>17473</v>
      </c>
      <c r="G17466">
        <v>1</v>
      </c>
    </row>
    <row r="17467" spans="1:7" x14ac:dyDescent="0.25">
      <c r="A17467">
        <v>50</v>
      </c>
      <c r="B17467" t="s">
        <v>17410</v>
      </c>
      <c r="C17467">
        <v>1606</v>
      </c>
      <c r="D17467" t="str">
        <f>"1098-7339"</f>
        <v>1098-7339</v>
      </c>
      <c r="E17467" t="s">
        <v>8</v>
      </c>
      <c r="F17467" t="s">
        <v>17474</v>
      </c>
      <c r="G17467">
        <v>1</v>
      </c>
    </row>
    <row r="17468" spans="1:7" x14ac:dyDescent="0.25">
      <c r="A17468">
        <v>50</v>
      </c>
      <c r="B17468" t="s">
        <v>17410</v>
      </c>
      <c r="C17468">
        <v>5255</v>
      </c>
      <c r="D17468" t="str">
        <f>"0886-022X"</f>
        <v>0886-022X</v>
      </c>
      <c r="E17468" t="s">
        <v>8</v>
      </c>
      <c r="F17468" t="s">
        <v>17475</v>
      </c>
      <c r="G17468">
        <v>1</v>
      </c>
    </row>
    <row r="17469" spans="1:7" x14ac:dyDescent="0.25">
      <c r="A17469">
        <v>50</v>
      </c>
      <c r="B17469" t="s">
        <v>17410</v>
      </c>
      <c r="C17469">
        <v>16688</v>
      </c>
      <c r="D17469" t="str">
        <f>"0300-9572"</f>
        <v>0300-9572</v>
      </c>
      <c r="E17469" t="s">
        <v>8</v>
      </c>
      <c r="F17469" t="s">
        <v>17476</v>
      </c>
      <c r="G17469">
        <v>1</v>
      </c>
    </row>
    <row r="17470" spans="1:7" x14ac:dyDescent="0.25">
      <c r="A17470">
        <v>50</v>
      </c>
      <c r="B17470" t="s">
        <v>17410</v>
      </c>
      <c r="C17470">
        <v>7702756</v>
      </c>
      <c r="D17470" t="str">
        <f>"1877-8860"</f>
        <v>1877-8860</v>
      </c>
      <c r="E17470" t="s">
        <v>8</v>
      </c>
      <c r="F17470" t="s">
        <v>17477</v>
      </c>
      <c r="G17470">
        <v>1</v>
      </c>
    </row>
    <row r="17471" spans="1:7" x14ac:dyDescent="0.25">
      <c r="A17471">
        <v>50</v>
      </c>
      <c r="B17471" t="s">
        <v>17410</v>
      </c>
      <c r="C17471">
        <v>144699</v>
      </c>
      <c r="E17471" t="s">
        <v>8</v>
      </c>
      <c r="F17471" t="s">
        <v>17478</v>
      </c>
      <c r="G17471">
        <v>1</v>
      </c>
    </row>
    <row r="17472" spans="1:7" x14ac:dyDescent="0.25">
      <c r="A17472">
        <v>50</v>
      </c>
      <c r="B17472" t="s">
        <v>17410</v>
      </c>
      <c r="C17472">
        <v>18943</v>
      </c>
      <c r="D17472" t="str">
        <f>"1089-2532"</f>
        <v>1089-2532</v>
      </c>
      <c r="E17472" t="s">
        <v>8</v>
      </c>
      <c r="F17472" t="s">
        <v>17479</v>
      </c>
      <c r="G17472">
        <v>1</v>
      </c>
    </row>
    <row r="17473" spans="1:7" x14ac:dyDescent="0.25">
      <c r="A17473">
        <v>50</v>
      </c>
      <c r="B17473" t="s">
        <v>17410</v>
      </c>
      <c r="C17473">
        <v>5992</v>
      </c>
      <c r="D17473" t="str">
        <f>"1069-3424"</f>
        <v>1069-3424</v>
      </c>
      <c r="E17473" t="s">
        <v>8</v>
      </c>
      <c r="F17473" t="s">
        <v>17480</v>
      </c>
      <c r="G17473">
        <v>1</v>
      </c>
    </row>
    <row r="17474" spans="1:7" x14ac:dyDescent="0.25">
      <c r="A17474">
        <v>50</v>
      </c>
      <c r="B17474" t="s">
        <v>17410</v>
      </c>
      <c r="C17474">
        <v>6335</v>
      </c>
      <c r="D17474" t="str">
        <f>"1073-2322"</f>
        <v>1073-2322</v>
      </c>
      <c r="E17474" t="s">
        <v>8</v>
      </c>
      <c r="F17474" t="s">
        <v>17481</v>
      </c>
      <c r="G17474">
        <v>1</v>
      </c>
    </row>
    <row r="17475" spans="1:7" x14ac:dyDescent="0.25">
      <c r="A17475">
        <v>50</v>
      </c>
      <c r="B17475" t="s">
        <v>17410</v>
      </c>
      <c r="C17475">
        <v>4719</v>
      </c>
      <c r="D17475" t="str">
        <f>"0736-4679"</f>
        <v>0736-4679</v>
      </c>
      <c r="E17475" t="s">
        <v>8</v>
      </c>
      <c r="F17475" t="s">
        <v>17482</v>
      </c>
      <c r="G17475">
        <v>1</v>
      </c>
    </row>
    <row r="17476" spans="1:7" x14ac:dyDescent="0.25">
      <c r="A17476">
        <v>50</v>
      </c>
      <c r="B17476" t="s">
        <v>17410</v>
      </c>
      <c r="C17476">
        <v>1783</v>
      </c>
      <c r="D17476" t="str">
        <f>"2163-0755"</f>
        <v>2163-0755</v>
      </c>
      <c r="E17476" t="s">
        <v>8</v>
      </c>
      <c r="F17476" t="s">
        <v>17483</v>
      </c>
      <c r="G17476">
        <v>1</v>
      </c>
    </row>
    <row r="17477" spans="1:7" x14ac:dyDescent="0.25">
      <c r="A17477">
        <v>50</v>
      </c>
      <c r="B17477" t="s">
        <v>17410</v>
      </c>
      <c r="C17477">
        <v>4258</v>
      </c>
      <c r="D17477" t="str">
        <f>"1460-4086"</f>
        <v>1460-4086</v>
      </c>
      <c r="E17477" t="s">
        <v>8</v>
      </c>
      <c r="F17477" t="s">
        <v>17484</v>
      </c>
      <c r="G17477">
        <v>1</v>
      </c>
    </row>
    <row r="17478" spans="1:7" x14ac:dyDescent="0.25">
      <c r="A17478">
        <v>50</v>
      </c>
      <c r="B17478" t="s">
        <v>17410</v>
      </c>
      <c r="C17478">
        <v>12736</v>
      </c>
      <c r="D17478" t="str">
        <f>"2210-8440"</f>
        <v>2210-8440</v>
      </c>
      <c r="E17478" t="s">
        <v>8</v>
      </c>
      <c r="F17478" t="s">
        <v>17485</v>
      </c>
      <c r="G17478">
        <v>1</v>
      </c>
    </row>
    <row r="17479" spans="1:7" x14ac:dyDescent="0.25">
      <c r="A17479">
        <v>51</v>
      </c>
      <c r="B17479" t="s">
        <v>17486</v>
      </c>
      <c r="C17479">
        <v>901</v>
      </c>
      <c r="D17479" t="str">
        <f>"0364-5134"</f>
        <v>0364-5134</v>
      </c>
      <c r="E17479" t="s">
        <v>8</v>
      </c>
      <c r="F17479" t="s">
        <v>17487</v>
      </c>
      <c r="G17479">
        <v>2</v>
      </c>
    </row>
    <row r="17480" spans="1:7" x14ac:dyDescent="0.25">
      <c r="A17480">
        <v>51</v>
      </c>
      <c r="B17480" t="s">
        <v>17486</v>
      </c>
      <c r="C17480">
        <v>7040</v>
      </c>
      <c r="D17480" t="str">
        <f>"0147-006X"</f>
        <v>0147-006X</v>
      </c>
      <c r="E17480" t="s">
        <v>8</v>
      </c>
      <c r="F17480" t="s">
        <v>17488</v>
      </c>
      <c r="G17480">
        <v>2</v>
      </c>
    </row>
    <row r="17481" spans="1:7" x14ac:dyDescent="0.25">
      <c r="A17481">
        <v>51</v>
      </c>
      <c r="B17481" t="s">
        <v>17486</v>
      </c>
      <c r="C17481">
        <v>1869</v>
      </c>
      <c r="D17481" t="str">
        <f>"0140-525X"</f>
        <v>0140-525X</v>
      </c>
      <c r="E17481" t="s">
        <v>8</v>
      </c>
      <c r="F17481" t="s">
        <v>17489</v>
      </c>
      <c r="G17481">
        <v>2</v>
      </c>
    </row>
    <row r="17482" spans="1:7" x14ac:dyDescent="0.25">
      <c r="A17482">
        <v>51</v>
      </c>
      <c r="B17482" t="s">
        <v>17486</v>
      </c>
      <c r="C17482">
        <v>10783</v>
      </c>
      <c r="D17482" t="str">
        <f>"0006-3223"</f>
        <v>0006-3223</v>
      </c>
      <c r="E17482" t="s">
        <v>8</v>
      </c>
      <c r="F17482" t="s">
        <v>17490</v>
      </c>
      <c r="G17482">
        <v>2</v>
      </c>
    </row>
    <row r="17483" spans="1:7" x14ac:dyDescent="0.25">
      <c r="A17483">
        <v>51</v>
      </c>
      <c r="B17483" t="s">
        <v>17486</v>
      </c>
      <c r="C17483">
        <v>3884</v>
      </c>
      <c r="D17483" t="str">
        <f>"0006-8950"</f>
        <v>0006-8950</v>
      </c>
      <c r="E17483" t="s">
        <v>8</v>
      </c>
      <c r="F17483" t="s">
        <v>17491</v>
      </c>
      <c r="G17483">
        <v>2</v>
      </c>
    </row>
    <row r="17484" spans="1:7" x14ac:dyDescent="0.25">
      <c r="A17484">
        <v>51</v>
      </c>
      <c r="B17484" t="s">
        <v>17486</v>
      </c>
      <c r="C17484">
        <v>12227</v>
      </c>
      <c r="D17484" t="str">
        <f>"0006-8993"</f>
        <v>0006-8993</v>
      </c>
      <c r="E17484" t="s">
        <v>8</v>
      </c>
      <c r="F17484" t="s">
        <v>17492</v>
      </c>
      <c r="G17484">
        <v>2</v>
      </c>
    </row>
    <row r="17485" spans="1:7" x14ac:dyDescent="0.25">
      <c r="A17485">
        <v>51</v>
      </c>
      <c r="B17485" t="s">
        <v>17486</v>
      </c>
      <c r="C17485">
        <v>13864</v>
      </c>
      <c r="D17485" t="str">
        <f>"0007-1250"</f>
        <v>0007-1250</v>
      </c>
      <c r="E17485" t="s">
        <v>8</v>
      </c>
      <c r="F17485" t="s">
        <v>17493</v>
      </c>
      <c r="G17485">
        <v>2</v>
      </c>
    </row>
    <row r="17486" spans="1:7" x14ac:dyDescent="0.25">
      <c r="A17486">
        <v>51</v>
      </c>
      <c r="B17486" t="s">
        <v>17486</v>
      </c>
      <c r="C17486">
        <v>13561</v>
      </c>
      <c r="D17486" t="str">
        <f>"1047-3211"</f>
        <v>1047-3211</v>
      </c>
      <c r="E17486" t="s">
        <v>8</v>
      </c>
      <c r="F17486" t="s">
        <v>17494</v>
      </c>
      <c r="G17486">
        <v>2</v>
      </c>
    </row>
    <row r="17487" spans="1:7" x14ac:dyDescent="0.25">
      <c r="A17487">
        <v>51</v>
      </c>
      <c r="B17487" t="s">
        <v>17486</v>
      </c>
      <c r="C17487">
        <v>15892</v>
      </c>
      <c r="D17487" t="str">
        <f>"0959-4388"</f>
        <v>0959-4388</v>
      </c>
      <c r="E17487" t="s">
        <v>8</v>
      </c>
      <c r="F17487" t="s">
        <v>17495</v>
      </c>
      <c r="G17487">
        <v>2</v>
      </c>
    </row>
    <row r="17488" spans="1:7" x14ac:dyDescent="0.25">
      <c r="A17488">
        <v>51</v>
      </c>
      <c r="B17488" t="s">
        <v>17486</v>
      </c>
      <c r="C17488">
        <v>8054</v>
      </c>
      <c r="D17488" t="str">
        <f>"1535-7597"</f>
        <v>1535-7597</v>
      </c>
      <c r="E17488" t="s">
        <v>8</v>
      </c>
      <c r="F17488" t="s">
        <v>17496</v>
      </c>
      <c r="G17488">
        <v>2</v>
      </c>
    </row>
    <row r="17489" spans="1:7" x14ac:dyDescent="0.25">
      <c r="A17489">
        <v>51</v>
      </c>
      <c r="B17489" t="s">
        <v>17486</v>
      </c>
      <c r="C17489">
        <v>14233</v>
      </c>
      <c r="D17489" t="str">
        <f>"0091-3022"</f>
        <v>0091-3022</v>
      </c>
      <c r="E17489" t="s">
        <v>8</v>
      </c>
      <c r="F17489" t="s">
        <v>17497</v>
      </c>
      <c r="G17489">
        <v>2</v>
      </c>
    </row>
    <row r="17490" spans="1:7" x14ac:dyDescent="0.25">
      <c r="A17490">
        <v>51</v>
      </c>
      <c r="B17490" t="s">
        <v>17486</v>
      </c>
      <c r="C17490">
        <v>6358</v>
      </c>
      <c r="D17490" t="str">
        <f>"2168-6149"</f>
        <v>2168-6149</v>
      </c>
      <c r="E17490" t="s">
        <v>8</v>
      </c>
      <c r="F17490" t="s">
        <v>17498</v>
      </c>
      <c r="G17490">
        <v>2</v>
      </c>
    </row>
    <row r="17491" spans="1:7" x14ac:dyDescent="0.25">
      <c r="A17491">
        <v>51</v>
      </c>
      <c r="B17491" t="s">
        <v>17486</v>
      </c>
      <c r="C17491">
        <v>4411</v>
      </c>
      <c r="D17491" t="str">
        <f>"2168-622X"</f>
        <v>2168-622X</v>
      </c>
      <c r="E17491" t="s">
        <v>8</v>
      </c>
      <c r="F17491" t="s">
        <v>17499</v>
      </c>
      <c r="G17491">
        <v>2</v>
      </c>
    </row>
    <row r="17492" spans="1:7" x14ac:dyDescent="0.25">
      <c r="A17492">
        <v>51</v>
      </c>
      <c r="B17492" t="s">
        <v>17486</v>
      </c>
      <c r="C17492">
        <v>16263</v>
      </c>
      <c r="D17492" t="str">
        <f>"0271-678X"</f>
        <v>0271-678X</v>
      </c>
      <c r="E17492" t="s">
        <v>8</v>
      </c>
      <c r="F17492" t="s">
        <v>17500</v>
      </c>
      <c r="G17492">
        <v>2</v>
      </c>
    </row>
    <row r="17493" spans="1:7" x14ac:dyDescent="0.25">
      <c r="A17493">
        <v>51</v>
      </c>
      <c r="B17493" t="s">
        <v>17486</v>
      </c>
      <c r="C17493">
        <v>9558</v>
      </c>
      <c r="D17493" t="str">
        <f>"0890-8567"</f>
        <v>0890-8567</v>
      </c>
      <c r="E17493" t="s">
        <v>8</v>
      </c>
      <c r="F17493" t="s">
        <v>17501</v>
      </c>
      <c r="G17493">
        <v>2</v>
      </c>
    </row>
    <row r="17494" spans="1:7" x14ac:dyDescent="0.25">
      <c r="A17494">
        <v>51</v>
      </c>
      <c r="B17494" t="s">
        <v>17486</v>
      </c>
      <c r="C17494">
        <v>7375</v>
      </c>
      <c r="D17494" t="str">
        <f>"1359-4184"</f>
        <v>1359-4184</v>
      </c>
      <c r="E17494" t="s">
        <v>8</v>
      </c>
      <c r="F17494" t="s">
        <v>17502</v>
      </c>
      <c r="G17494">
        <v>2</v>
      </c>
    </row>
    <row r="17495" spans="1:7" x14ac:dyDescent="0.25">
      <c r="A17495">
        <v>51</v>
      </c>
      <c r="B17495" t="s">
        <v>17486</v>
      </c>
      <c r="C17495">
        <v>14073</v>
      </c>
      <c r="D17495" t="str">
        <f>"0885-3185"</f>
        <v>0885-3185</v>
      </c>
      <c r="E17495" t="s">
        <v>8</v>
      </c>
      <c r="F17495" t="s">
        <v>17503</v>
      </c>
      <c r="G17495">
        <v>2</v>
      </c>
    </row>
    <row r="17496" spans="1:7" x14ac:dyDescent="0.25">
      <c r="A17496">
        <v>51</v>
      </c>
      <c r="B17496" t="s">
        <v>17486</v>
      </c>
      <c r="C17496">
        <v>7579</v>
      </c>
      <c r="D17496" t="str">
        <f>"1745-834X"</f>
        <v>1745-834X</v>
      </c>
      <c r="E17496" t="s">
        <v>8</v>
      </c>
      <c r="F17496" t="s">
        <v>17504</v>
      </c>
      <c r="G17496">
        <v>2</v>
      </c>
    </row>
    <row r="17497" spans="1:7" x14ac:dyDescent="0.25">
      <c r="A17497">
        <v>51</v>
      </c>
      <c r="B17497" t="s">
        <v>17486</v>
      </c>
      <c r="C17497">
        <v>15335</v>
      </c>
      <c r="D17497" t="str">
        <f>"1097-6256"</f>
        <v>1097-6256</v>
      </c>
      <c r="E17497" t="s">
        <v>8</v>
      </c>
      <c r="F17497" t="s">
        <v>17505</v>
      </c>
      <c r="G17497">
        <v>2</v>
      </c>
    </row>
    <row r="17498" spans="1:7" x14ac:dyDescent="0.25">
      <c r="A17498">
        <v>51</v>
      </c>
      <c r="B17498" t="s">
        <v>17486</v>
      </c>
      <c r="C17498">
        <v>151939</v>
      </c>
      <c r="D17498" t="str">
        <f>"1471-003X"</f>
        <v>1471-003X</v>
      </c>
      <c r="E17498" t="s">
        <v>8</v>
      </c>
      <c r="F17498" t="s">
        <v>17506</v>
      </c>
      <c r="G17498">
        <v>2</v>
      </c>
    </row>
    <row r="17499" spans="1:7" x14ac:dyDescent="0.25">
      <c r="A17499">
        <v>51</v>
      </c>
      <c r="B17499" t="s">
        <v>17486</v>
      </c>
      <c r="C17499">
        <v>12746</v>
      </c>
      <c r="D17499" t="str">
        <f>"0969-9961"</f>
        <v>0969-9961</v>
      </c>
      <c r="E17499" t="s">
        <v>8</v>
      </c>
      <c r="F17499" t="s">
        <v>17507</v>
      </c>
      <c r="G17499">
        <v>2</v>
      </c>
    </row>
    <row r="17500" spans="1:7" x14ac:dyDescent="0.25">
      <c r="A17500">
        <v>51</v>
      </c>
      <c r="B17500" t="s">
        <v>17486</v>
      </c>
      <c r="C17500">
        <v>7641</v>
      </c>
      <c r="D17500" t="str">
        <f>"1053-8119"</f>
        <v>1053-8119</v>
      </c>
      <c r="E17500" t="s">
        <v>8</v>
      </c>
      <c r="F17500" t="s">
        <v>17508</v>
      </c>
      <c r="G17500">
        <v>2</v>
      </c>
    </row>
    <row r="17501" spans="1:7" x14ac:dyDescent="0.25">
      <c r="A17501">
        <v>51</v>
      </c>
      <c r="B17501" t="s">
        <v>17486</v>
      </c>
      <c r="C17501">
        <v>7760</v>
      </c>
      <c r="D17501" t="str">
        <f>"0028-3878"</f>
        <v>0028-3878</v>
      </c>
      <c r="E17501" t="s">
        <v>8</v>
      </c>
      <c r="F17501" t="s">
        <v>17509</v>
      </c>
      <c r="G17501">
        <v>2</v>
      </c>
    </row>
    <row r="17502" spans="1:7" x14ac:dyDescent="0.25">
      <c r="A17502">
        <v>51</v>
      </c>
      <c r="B17502" t="s">
        <v>17486</v>
      </c>
      <c r="C17502">
        <v>11649</v>
      </c>
      <c r="D17502" t="str">
        <f>"0896-6273"</f>
        <v>0896-6273</v>
      </c>
      <c r="E17502" t="s">
        <v>8</v>
      </c>
      <c r="F17502" t="s">
        <v>17510</v>
      </c>
      <c r="G17502">
        <v>2</v>
      </c>
    </row>
    <row r="17503" spans="1:7" x14ac:dyDescent="0.25">
      <c r="A17503">
        <v>51</v>
      </c>
      <c r="B17503" t="s">
        <v>17486</v>
      </c>
      <c r="C17503">
        <v>13734</v>
      </c>
      <c r="D17503" t="str">
        <f>"0149-7634"</f>
        <v>0149-7634</v>
      </c>
      <c r="E17503" t="s">
        <v>8</v>
      </c>
      <c r="F17503" t="s">
        <v>17511</v>
      </c>
      <c r="G17503">
        <v>2</v>
      </c>
    </row>
    <row r="17504" spans="1:7" x14ac:dyDescent="0.25">
      <c r="A17504">
        <v>51</v>
      </c>
      <c r="B17504" t="s">
        <v>17486</v>
      </c>
      <c r="C17504">
        <v>2436</v>
      </c>
      <c r="D17504" t="str">
        <f>"0304-3959"</f>
        <v>0304-3959</v>
      </c>
      <c r="E17504" t="s">
        <v>8</v>
      </c>
      <c r="F17504" t="s">
        <v>17512</v>
      </c>
      <c r="G17504">
        <v>2</v>
      </c>
    </row>
    <row r="17505" spans="1:7" x14ac:dyDescent="0.25">
      <c r="A17505">
        <v>51</v>
      </c>
      <c r="B17505" t="s">
        <v>17486</v>
      </c>
      <c r="C17505">
        <v>2221</v>
      </c>
      <c r="D17505" t="str">
        <f>"0301-0082"</f>
        <v>0301-0082</v>
      </c>
      <c r="E17505" t="s">
        <v>8</v>
      </c>
      <c r="F17505" t="s">
        <v>17513</v>
      </c>
      <c r="G17505">
        <v>2</v>
      </c>
    </row>
    <row r="17506" spans="1:7" x14ac:dyDescent="0.25">
      <c r="A17506">
        <v>51</v>
      </c>
      <c r="B17506" t="s">
        <v>17486</v>
      </c>
      <c r="C17506">
        <v>12454</v>
      </c>
      <c r="D17506" t="str">
        <f>"0033-2917"</f>
        <v>0033-2917</v>
      </c>
      <c r="E17506" t="s">
        <v>8</v>
      </c>
      <c r="F17506" t="s">
        <v>17514</v>
      </c>
      <c r="G17506">
        <v>2</v>
      </c>
    </row>
    <row r="17507" spans="1:7" x14ac:dyDescent="0.25">
      <c r="A17507">
        <v>51</v>
      </c>
      <c r="B17507" t="s">
        <v>17486</v>
      </c>
      <c r="C17507">
        <v>766</v>
      </c>
      <c r="D17507" t="str">
        <f>"0586-7614"</f>
        <v>0586-7614</v>
      </c>
      <c r="E17507" t="s">
        <v>8</v>
      </c>
      <c r="F17507" t="s">
        <v>17515</v>
      </c>
      <c r="G17507">
        <v>2</v>
      </c>
    </row>
    <row r="17508" spans="1:7" x14ac:dyDescent="0.25">
      <c r="A17508">
        <v>51</v>
      </c>
      <c r="B17508" t="s">
        <v>17486</v>
      </c>
      <c r="C17508">
        <v>6880</v>
      </c>
      <c r="D17508" t="str">
        <f>"1087-0792"</f>
        <v>1087-0792</v>
      </c>
      <c r="E17508" t="s">
        <v>8</v>
      </c>
      <c r="F17508" t="s">
        <v>17516</v>
      </c>
      <c r="G17508">
        <v>2</v>
      </c>
    </row>
    <row r="17509" spans="1:7" x14ac:dyDescent="0.25">
      <c r="A17509">
        <v>51</v>
      </c>
      <c r="B17509" t="s">
        <v>17486</v>
      </c>
      <c r="C17509">
        <v>4583</v>
      </c>
      <c r="D17509" t="str">
        <f>"0039-2499"</f>
        <v>0039-2499</v>
      </c>
      <c r="E17509" t="s">
        <v>8</v>
      </c>
      <c r="F17509" t="s">
        <v>17517</v>
      </c>
      <c r="G17509">
        <v>2</v>
      </c>
    </row>
    <row r="17510" spans="1:7" x14ac:dyDescent="0.25">
      <c r="A17510">
        <v>51</v>
      </c>
      <c r="B17510" t="s">
        <v>17486</v>
      </c>
      <c r="C17510">
        <v>16906</v>
      </c>
      <c r="D17510" t="str">
        <f>"0002-953X"</f>
        <v>0002-953X</v>
      </c>
      <c r="E17510" t="s">
        <v>8</v>
      </c>
      <c r="F17510" t="s">
        <v>17518</v>
      </c>
      <c r="G17510">
        <v>2</v>
      </c>
    </row>
    <row r="17511" spans="1:7" x14ac:dyDescent="0.25">
      <c r="A17511">
        <v>51</v>
      </c>
      <c r="B17511" t="s">
        <v>17486</v>
      </c>
      <c r="C17511">
        <v>9266</v>
      </c>
      <c r="D17511" t="str">
        <f>"0270-6474"</f>
        <v>0270-6474</v>
      </c>
      <c r="E17511" t="s">
        <v>8</v>
      </c>
      <c r="F17511" t="s">
        <v>17519</v>
      </c>
      <c r="G17511">
        <v>2</v>
      </c>
    </row>
    <row r="17512" spans="1:7" x14ac:dyDescent="0.25">
      <c r="A17512">
        <v>51</v>
      </c>
      <c r="B17512" t="s">
        <v>17486</v>
      </c>
      <c r="C17512">
        <v>14484</v>
      </c>
      <c r="D17512" t="str">
        <f>"1474-4422"</f>
        <v>1474-4422</v>
      </c>
      <c r="E17512" t="s">
        <v>8</v>
      </c>
      <c r="F17512" t="s">
        <v>17520</v>
      </c>
      <c r="G17512">
        <v>2</v>
      </c>
    </row>
    <row r="17513" spans="1:7" x14ac:dyDescent="0.25">
      <c r="A17513">
        <v>51</v>
      </c>
      <c r="B17513" t="s">
        <v>17486</v>
      </c>
      <c r="C17513">
        <v>8770021</v>
      </c>
      <c r="D17513" t="str">
        <f>"2215-0366"</f>
        <v>2215-0366</v>
      </c>
      <c r="E17513" t="s">
        <v>8</v>
      </c>
      <c r="F17513" t="s">
        <v>17521</v>
      </c>
      <c r="G17513">
        <v>2</v>
      </c>
    </row>
    <row r="17514" spans="1:7" x14ac:dyDescent="0.25">
      <c r="A17514">
        <v>51</v>
      </c>
      <c r="B17514" t="s">
        <v>17486</v>
      </c>
      <c r="C17514">
        <v>10047</v>
      </c>
      <c r="D17514" t="str">
        <f>"0166-2236"</f>
        <v>0166-2236</v>
      </c>
      <c r="E17514" t="s">
        <v>8</v>
      </c>
      <c r="F17514" t="s">
        <v>17522</v>
      </c>
      <c r="G17514">
        <v>2</v>
      </c>
    </row>
    <row r="17515" spans="1:7" x14ac:dyDescent="0.25">
      <c r="A17515">
        <v>51</v>
      </c>
      <c r="B17515" t="s">
        <v>17486</v>
      </c>
      <c r="C17515">
        <v>735</v>
      </c>
      <c r="D17515" t="str">
        <f>"1723-8617"</f>
        <v>1723-8617</v>
      </c>
      <c r="E17515" t="s">
        <v>8</v>
      </c>
      <c r="F17515" t="s">
        <v>17523</v>
      </c>
      <c r="G17515">
        <v>2</v>
      </c>
    </row>
    <row r="17516" spans="1:7" x14ac:dyDescent="0.25">
      <c r="A17516">
        <v>51</v>
      </c>
      <c r="B17516" t="s">
        <v>17486</v>
      </c>
      <c r="C17516">
        <v>6669</v>
      </c>
      <c r="D17516" t="str">
        <f>"1042-9670"</f>
        <v>1042-9670</v>
      </c>
      <c r="E17516" t="s">
        <v>8</v>
      </c>
      <c r="F17516" t="s">
        <v>17524</v>
      </c>
      <c r="G17516">
        <v>1</v>
      </c>
    </row>
    <row r="17517" spans="1:7" x14ac:dyDescent="0.25">
      <c r="A17517">
        <v>51</v>
      </c>
      <c r="B17517" t="s">
        <v>17486</v>
      </c>
      <c r="C17517">
        <v>4169</v>
      </c>
      <c r="D17517" t="str">
        <f>"0065-1400"</f>
        <v>0065-1400</v>
      </c>
      <c r="E17517" t="s">
        <v>8</v>
      </c>
      <c r="F17517" t="s">
        <v>17525</v>
      </c>
      <c r="G17517">
        <v>1</v>
      </c>
    </row>
    <row r="17518" spans="1:7" x14ac:dyDescent="0.25">
      <c r="A17518">
        <v>51</v>
      </c>
      <c r="B17518" t="s">
        <v>17486</v>
      </c>
      <c r="C17518">
        <v>15033</v>
      </c>
      <c r="D17518" t="str">
        <f>"0001-6268"</f>
        <v>0001-6268</v>
      </c>
      <c r="E17518" t="s">
        <v>8</v>
      </c>
      <c r="F17518" t="s">
        <v>17526</v>
      </c>
      <c r="G17518">
        <v>1</v>
      </c>
    </row>
    <row r="17519" spans="1:7" x14ac:dyDescent="0.25">
      <c r="A17519">
        <v>51</v>
      </c>
      <c r="B17519" t="s">
        <v>17486</v>
      </c>
      <c r="C17519">
        <v>26433</v>
      </c>
      <c r="D17519" t="str">
        <f>"0065-1419"</f>
        <v>0065-1419</v>
      </c>
      <c r="E17519" t="s">
        <v>15</v>
      </c>
      <c r="F17519" t="s">
        <v>17527</v>
      </c>
      <c r="G17519">
        <v>1</v>
      </c>
    </row>
    <row r="17520" spans="1:7" x14ac:dyDescent="0.25">
      <c r="A17520">
        <v>51</v>
      </c>
      <c r="B17520" t="s">
        <v>17486</v>
      </c>
      <c r="C17520">
        <v>11055</v>
      </c>
      <c r="D17520" t="str">
        <f>"0300-9009"</f>
        <v>0300-9009</v>
      </c>
      <c r="E17520" t="s">
        <v>8</v>
      </c>
      <c r="F17520" t="s">
        <v>17528</v>
      </c>
      <c r="G17520">
        <v>1</v>
      </c>
    </row>
    <row r="17521" spans="1:7" x14ac:dyDescent="0.25">
      <c r="A17521">
        <v>51</v>
      </c>
      <c r="B17521" t="s">
        <v>17486</v>
      </c>
      <c r="C17521">
        <v>1877</v>
      </c>
      <c r="D17521" t="str">
        <f>"0001-6314"</f>
        <v>0001-6314</v>
      </c>
      <c r="E17521" t="s">
        <v>8</v>
      </c>
      <c r="F17521" t="s">
        <v>17529</v>
      </c>
      <c r="G17521">
        <v>1</v>
      </c>
    </row>
    <row r="17522" spans="1:7" x14ac:dyDescent="0.25">
      <c r="A17522">
        <v>51</v>
      </c>
      <c r="B17522" t="s">
        <v>17486</v>
      </c>
      <c r="C17522">
        <v>9936</v>
      </c>
      <c r="D17522" t="str">
        <f>"0065-1427"</f>
        <v>0065-1427</v>
      </c>
      <c r="E17522" t="s">
        <v>15</v>
      </c>
      <c r="F17522" t="s">
        <v>17530</v>
      </c>
      <c r="G17522">
        <v>1</v>
      </c>
    </row>
    <row r="17523" spans="1:7" x14ac:dyDescent="0.25">
      <c r="A17523">
        <v>51</v>
      </c>
      <c r="B17523" t="s">
        <v>17486</v>
      </c>
      <c r="C17523">
        <v>7398388</v>
      </c>
      <c r="D17523" t="str">
        <f>"0924-2708"</f>
        <v>0924-2708</v>
      </c>
      <c r="E17523" t="s">
        <v>8</v>
      </c>
      <c r="F17523" t="s">
        <v>17531</v>
      </c>
      <c r="G17523">
        <v>1</v>
      </c>
    </row>
    <row r="17524" spans="1:7" x14ac:dyDescent="0.25">
      <c r="A17524">
        <v>51</v>
      </c>
      <c r="B17524" t="s">
        <v>17486</v>
      </c>
      <c r="C17524">
        <v>8273</v>
      </c>
      <c r="D17524" t="str">
        <f>"0001-690X"</f>
        <v>0001-690X</v>
      </c>
      <c r="E17524" t="s">
        <v>8</v>
      </c>
      <c r="F17524" t="s">
        <v>17532</v>
      </c>
      <c r="G17524">
        <v>1</v>
      </c>
    </row>
    <row r="17525" spans="1:7" x14ac:dyDescent="0.25">
      <c r="A17525">
        <v>51</v>
      </c>
      <c r="B17525" t="s">
        <v>17486</v>
      </c>
      <c r="C17525">
        <v>2202</v>
      </c>
      <c r="D17525" t="str">
        <f>"0065-1591"</f>
        <v>0065-1591</v>
      </c>
      <c r="E17525" t="s">
        <v>15</v>
      </c>
      <c r="F17525" t="s">
        <v>17533</v>
      </c>
      <c r="G17525">
        <v>1</v>
      </c>
    </row>
    <row r="17526" spans="1:7" x14ac:dyDescent="0.25">
      <c r="A17526">
        <v>51</v>
      </c>
      <c r="B17526" t="s">
        <v>17486</v>
      </c>
      <c r="C17526">
        <v>16979</v>
      </c>
      <c r="D17526" t="str">
        <f>"0065-2008"</f>
        <v>0065-2008</v>
      </c>
      <c r="E17526" t="s">
        <v>15</v>
      </c>
      <c r="F17526" t="s">
        <v>17534</v>
      </c>
      <c r="G17526">
        <v>1</v>
      </c>
    </row>
    <row r="17527" spans="1:7" x14ac:dyDescent="0.25">
      <c r="A17527">
        <v>51</v>
      </c>
      <c r="B17527" t="s">
        <v>17486</v>
      </c>
      <c r="C17527">
        <v>12373</v>
      </c>
      <c r="D17527" t="str">
        <f>"0065-3268"</f>
        <v>0065-3268</v>
      </c>
      <c r="E17527" t="s">
        <v>15</v>
      </c>
      <c r="F17527" t="s">
        <v>17535</v>
      </c>
      <c r="G17527">
        <v>1</v>
      </c>
    </row>
    <row r="17528" spans="1:7" x14ac:dyDescent="0.25">
      <c r="A17528">
        <v>51</v>
      </c>
      <c r="B17528" t="s">
        <v>17486</v>
      </c>
      <c r="C17528">
        <v>5352</v>
      </c>
      <c r="D17528" t="str">
        <f>"1015-8618"</f>
        <v>1015-8618</v>
      </c>
      <c r="E17528" t="s">
        <v>8</v>
      </c>
      <c r="F17528" t="s">
        <v>17536</v>
      </c>
      <c r="G17528">
        <v>1</v>
      </c>
    </row>
    <row r="17529" spans="1:7" x14ac:dyDescent="0.25">
      <c r="A17529">
        <v>51</v>
      </c>
      <c r="B17529" t="s">
        <v>17486</v>
      </c>
      <c r="C17529">
        <v>13908</v>
      </c>
      <c r="D17529" t="str">
        <f>"1382-5585"</f>
        <v>1382-5585</v>
      </c>
      <c r="E17529" t="s">
        <v>8</v>
      </c>
      <c r="F17529" t="s">
        <v>17537</v>
      </c>
      <c r="G17529">
        <v>1</v>
      </c>
    </row>
    <row r="17530" spans="1:7" x14ac:dyDescent="0.25">
      <c r="A17530">
        <v>51</v>
      </c>
      <c r="B17530" t="s">
        <v>17486</v>
      </c>
      <c r="C17530">
        <v>22454</v>
      </c>
      <c r="D17530" t="str">
        <f>"0734-7324"</f>
        <v>0734-7324</v>
      </c>
      <c r="E17530" t="s">
        <v>8</v>
      </c>
      <c r="F17530" t="s">
        <v>17538</v>
      </c>
      <c r="G17530">
        <v>1</v>
      </c>
    </row>
    <row r="17531" spans="1:7" x14ac:dyDescent="0.25">
      <c r="A17531">
        <v>51</v>
      </c>
      <c r="B17531" t="s">
        <v>17486</v>
      </c>
      <c r="C17531">
        <v>6723</v>
      </c>
      <c r="D17531" t="str">
        <f>"0893-0341"</f>
        <v>0893-0341</v>
      </c>
      <c r="E17531" t="s">
        <v>8</v>
      </c>
      <c r="F17531" t="s">
        <v>17539</v>
      </c>
      <c r="G17531">
        <v>1</v>
      </c>
    </row>
    <row r="17532" spans="1:7" x14ac:dyDescent="0.25">
      <c r="A17532">
        <v>51</v>
      </c>
      <c r="B17532" t="s">
        <v>17486</v>
      </c>
      <c r="C17532">
        <v>13883</v>
      </c>
      <c r="D17532" t="str">
        <f>"1533-3175"</f>
        <v>1533-3175</v>
      </c>
      <c r="E17532" t="s">
        <v>8</v>
      </c>
      <c r="F17532" t="s">
        <v>17540</v>
      </c>
      <c r="G17532">
        <v>1</v>
      </c>
    </row>
    <row r="17533" spans="1:7" x14ac:dyDescent="0.25">
      <c r="A17533">
        <v>51</v>
      </c>
      <c r="B17533" t="s">
        <v>17486</v>
      </c>
      <c r="C17533">
        <v>9018</v>
      </c>
      <c r="D17533" t="str">
        <f>"0002-9432"</f>
        <v>0002-9432</v>
      </c>
      <c r="E17533" t="s">
        <v>8</v>
      </c>
      <c r="F17533" t="s">
        <v>17541</v>
      </c>
      <c r="G17533">
        <v>1</v>
      </c>
    </row>
    <row r="17534" spans="1:7" x14ac:dyDescent="0.25">
      <c r="A17534">
        <v>51</v>
      </c>
      <c r="B17534" t="s">
        <v>17486</v>
      </c>
      <c r="C17534">
        <v>17155</v>
      </c>
      <c r="D17534" t="str">
        <f>"2167-8421"</f>
        <v>2167-8421</v>
      </c>
      <c r="E17534" t="s">
        <v>8</v>
      </c>
      <c r="F17534" t="s">
        <v>17542</v>
      </c>
      <c r="G17534">
        <v>1</v>
      </c>
    </row>
    <row r="17535" spans="1:7" x14ac:dyDescent="0.25">
      <c r="A17535">
        <v>51</v>
      </c>
      <c r="B17535" t="s">
        <v>17486</v>
      </c>
      <c r="C17535">
        <v>13798</v>
      </c>
      <c r="D17535" t="str">
        <f>"1040-1237"</f>
        <v>1040-1237</v>
      </c>
      <c r="E17535" t="s">
        <v>8</v>
      </c>
      <c r="F17535" t="s">
        <v>17543</v>
      </c>
      <c r="G17535">
        <v>1</v>
      </c>
    </row>
    <row r="17536" spans="1:7" x14ac:dyDescent="0.25">
      <c r="A17536">
        <v>51</v>
      </c>
      <c r="B17536" t="s">
        <v>17486</v>
      </c>
      <c r="C17536">
        <v>27014</v>
      </c>
      <c r="E17536" t="s">
        <v>8</v>
      </c>
      <c r="F17536" t="s">
        <v>17544</v>
      </c>
      <c r="G17536">
        <v>1</v>
      </c>
    </row>
    <row r="17537" spans="1:7" x14ac:dyDescent="0.25">
      <c r="A17537">
        <v>51</v>
      </c>
      <c r="B17537" t="s">
        <v>17486</v>
      </c>
      <c r="C17537">
        <v>8782439</v>
      </c>
      <c r="D17537" t="str">
        <f>"2327-9095"</f>
        <v>2327-9095</v>
      </c>
      <c r="E17537" t="s">
        <v>8</v>
      </c>
      <c r="F17537" t="s">
        <v>17545</v>
      </c>
      <c r="G17537">
        <v>1</v>
      </c>
    </row>
    <row r="17538" spans="1:7" x14ac:dyDescent="0.25">
      <c r="A17538">
        <v>51</v>
      </c>
      <c r="B17538" t="s">
        <v>17486</v>
      </c>
      <c r="C17538">
        <v>7728101</v>
      </c>
      <c r="D17538" t="str">
        <f>"2162-2965"</f>
        <v>2162-2965</v>
      </c>
      <c r="E17538" t="s">
        <v>8</v>
      </c>
      <c r="F17538" t="s">
        <v>17546</v>
      </c>
      <c r="G17538">
        <v>1</v>
      </c>
    </row>
    <row r="17539" spans="1:7" x14ac:dyDescent="0.25">
      <c r="A17539">
        <v>51</v>
      </c>
      <c r="B17539" t="s">
        <v>17486</v>
      </c>
      <c r="C17539">
        <v>10204</v>
      </c>
      <c r="D17539" t="str">
        <f>"0270-3092"</f>
        <v>0270-3092</v>
      </c>
      <c r="E17539" t="s">
        <v>8</v>
      </c>
      <c r="F17539" t="s">
        <v>17547</v>
      </c>
      <c r="G17539">
        <v>1</v>
      </c>
    </row>
    <row r="17540" spans="1:7" x14ac:dyDescent="0.25">
      <c r="A17540">
        <v>51</v>
      </c>
      <c r="B17540" t="s">
        <v>17486</v>
      </c>
      <c r="C17540">
        <v>6409</v>
      </c>
      <c r="D17540" t="str">
        <f>"1381-1118"</f>
        <v>1381-1118</v>
      </c>
      <c r="E17540" t="s">
        <v>8</v>
      </c>
      <c r="F17540" t="s">
        <v>17548</v>
      </c>
      <c r="G17540">
        <v>1</v>
      </c>
    </row>
    <row r="17541" spans="1:7" x14ac:dyDescent="0.25">
      <c r="A17541">
        <v>51</v>
      </c>
      <c r="B17541" t="s">
        <v>17486</v>
      </c>
      <c r="C17541">
        <v>9117</v>
      </c>
      <c r="D17541" t="str">
        <f>"1039-8562"</f>
        <v>1039-8562</v>
      </c>
      <c r="E17541" t="s">
        <v>8</v>
      </c>
      <c r="F17541" t="s">
        <v>17549</v>
      </c>
      <c r="G17541">
        <v>1</v>
      </c>
    </row>
    <row r="17542" spans="1:7" x14ac:dyDescent="0.25">
      <c r="A17542">
        <v>51</v>
      </c>
      <c r="B17542" t="s">
        <v>17486</v>
      </c>
      <c r="C17542">
        <v>7714512</v>
      </c>
      <c r="D17542" t="str">
        <f>"2090-1925"</f>
        <v>2090-1925</v>
      </c>
      <c r="E17542" t="s">
        <v>8</v>
      </c>
      <c r="F17542" t="s">
        <v>17550</v>
      </c>
      <c r="G17542">
        <v>1</v>
      </c>
    </row>
    <row r="17543" spans="1:7" x14ac:dyDescent="0.25">
      <c r="A17543">
        <v>51</v>
      </c>
      <c r="B17543" t="s">
        <v>17486</v>
      </c>
      <c r="C17543">
        <v>11914</v>
      </c>
      <c r="D17543" t="str">
        <f>"1566-0702"</f>
        <v>1566-0702</v>
      </c>
      <c r="E17543" t="s">
        <v>8</v>
      </c>
      <c r="F17543" t="s">
        <v>17551</v>
      </c>
      <c r="G17543">
        <v>1</v>
      </c>
    </row>
    <row r="17544" spans="1:7" x14ac:dyDescent="0.25">
      <c r="A17544">
        <v>51</v>
      </c>
      <c r="B17544" t="s">
        <v>17486</v>
      </c>
      <c r="C17544">
        <v>8368</v>
      </c>
      <c r="E17544" t="s">
        <v>8</v>
      </c>
      <c r="F17544" t="s">
        <v>17552</v>
      </c>
      <c r="G17544">
        <v>1</v>
      </c>
    </row>
    <row r="17545" spans="1:7" x14ac:dyDescent="0.25">
      <c r="A17545">
        <v>51</v>
      </c>
      <c r="B17545" t="s">
        <v>17486</v>
      </c>
      <c r="C17545">
        <v>11441</v>
      </c>
      <c r="D17545" t="str">
        <f>"1540-2002"</f>
        <v>1540-2002</v>
      </c>
      <c r="E17545" t="s">
        <v>8</v>
      </c>
      <c r="F17545" t="s">
        <v>17553</v>
      </c>
      <c r="G17545">
        <v>1</v>
      </c>
    </row>
    <row r="17546" spans="1:7" x14ac:dyDescent="0.25">
      <c r="A17546">
        <v>51</v>
      </c>
      <c r="B17546" t="s">
        <v>17486</v>
      </c>
      <c r="C17546">
        <v>8740</v>
      </c>
      <c r="D17546" t="str">
        <f>"0953-4180"</f>
        <v>0953-4180</v>
      </c>
      <c r="E17546" t="s">
        <v>8</v>
      </c>
      <c r="F17546" t="s">
        <v>17554</v>
      </c>
      <c r="G17546">
        <v>1</v>
      </c>
    </row>
    <row r="17547" spans="1:7" x14ac:dyDescent="0.25">
      <c r="A17547">
        <v>51</v>
      </c>
      <c r="B17547" t="s">
        <v>17486</v>
      </c>
      <c r="C17547">
        <v>7138</v>
      </c>
      <c r="D17547" t="str">
        <f>"1398-5647"</f>
        <v>1398-5647</v>
      </c>
      <c r="E17547" t="s">
        <v>8</v>
      </c>
      <c r="F17547" t="s">
        <v>17555</v>
      </c>
      <c r="G17547">
        <v>1</v>
      </c>
    </row>
    <row r="17548" spans="1:7" x14ac:dyDescent="0.25">
      <c r="A17548">
        <v>51</v>
      </c>
      <c r="B17548" t="s">
        <v>17486</v>
      </c>
      <c r="C17548">
        <v>8782004</v>
      </c>
      <c r="D17548" t="str">
        <f>"2056-4678"</f>
        <v>2056-4678</v>
      </c>
      <c r="E17548" t="s">
        <v>8</v>
      </c>
      <c r="F17548" t="s">
        <v>17556</v>
      </c>
      <c r="G17548">
        <v>1</v>
      </c>
    </row>
    <row r="17549" spans="1:7" x14ac:dyDescent="0.25">
      <c r="A17549">
        <v>51</v>
      </c>
      <c r="B17549" t="s">
        <v>17486</v>
      </c>
      <c r="C17549">
        <v>12310</v>
      </c>
      <c r="E17549" t="s">
        <v>8</v>
      </c>
      <c r="F17549" t="s">
        <v>17557</v>
      </c>
      <c r="G17549">
        <v>1</v>
      </c>
    </row>
    <row r="17550" spans="1:7" x14ac:dyDescent="0.25">
      <c r="A17550">
        <v>51</v>
      </c>
      <c r="B17550" t="s">
        <v>17486</v>
      </c>
      <c r="C17550">
        <v>11843</v>
      </c>
      <c r="E17550" t="s">
        <v>8</v>
      </c>
      <c r="F17550" t="s">
        <v>17558</v>
      </c>
      <c r="G17550">
        <v>1</v>
      </c>
    </row>
    <row r="17551" spans="1:7" x14ac:dyDescent="0.25">
      <c r="A17551">
        <v>51</v>
      </c>
      <c r="B17551" t="s">
        <v>17486</v>
      </c>
      <c r="C17551">
        <v>9839</v>
      </c>
      <c r="E17551" t="s">
        <v>8</v>
      </c>
      <c r="F17551" t="s">
        <v>17559</v>
      </c>
      <c r="G17551">
        <v>1</v>
      </c>
    </row>
    <row r="17552" spans="1:7" x14ac:dyDescent="0.25">
      <c r="A17552">
        <v>51</v>
      </c>
      <c r="B17552" t="s">
        <v>17486</v>
      </c>
      <c r="C17552">
        <v>8772478</v>
      </c>
      <c r="D17552" t="str">
        <f>"2051-6673"</f>
        <v>2051-6673</v>
      </c>
      <c r="E17552" t="s">
        <v>8</v>
      </c>
      <c r="F17552" t="s">
        <v>17560</v>
      </c>
      <c r="G17552">
        <v>1</v>
      </c>
    </row>
    <row r="17553" spans="1:7" x14ac:dyDescent="0.25">
      <c r="A17553">
        <v>51</v>
      </c>
      <c r="B17553" t="s">
        <v>17486</v>
      </c>
      <c r="C17553">
        <v>13406</v>
      </c>
      <c r="D17553" t="str">
        <f>"0387-7604"</f>
        <v>0387-7604</v>
      </c>
      <c r="E17553" t="s">
        <v>8</v>
      </c>
      <c r="F17553" t="s">
        <v>17561</v>
      </c>
      <c r="G17553">
        <v>1</v>
      </c>
    </row>
    <row r="17554" spans="1:7" x14ac:dyDescent="0.25">
      <c r="A17554">
        <v>51</v>
      </c>
      <c r="B17554" t="s">
        <v>17486</v>
      </c>
      <c r="C17554">
        <v>7727515</v>
      </c>
      <c r="E17554" t="s">
        <v>8</v>
      </c>
      <c r="F17554" t="s">
        <v>17562</v>
      </c>
      <c r="G17554">
        <v>1</v>
      </c>
    </row>
    <row r="17555" spans="1:7" x14ac:dyDescent="0.25">
      <c r="A17555">
        <v>51</v>
      </c>
      <c r="B17555" t="s">
        <v>17486</v>
      </c>
      <c r="C17555">
        <v>880</v>
      </c>
      <c r="D17555" t="str">
        <f>"0093-934X"</f>
        <v>0093-934X</v>
      </c>
      <c r="E17555" t="s">
        <v>8</v>
      </c>
      <c r="F17555" t="s">
        <v>17563</v>
      </c>
      <c r="G17555">
        <v>1</v>
      </c>
    </row>
    <row r="17556" spans="1:7" x14ac:dyDescent="0.25">
      <c r="A17556">
        <v>51</v>
      </c>
      <c r="B17556" t="s">
        <v>17486</v>
      </c>
      <c r="C17556">
        <v>20671</v>
      </c>
      <c r="D17556" t="str">
        <f>"1931-7557"</f>
        <v>1931-7557</v>
      </c>
      <c r="E17556" t="s">
        <v>8</v>
      </c>
      <c r="F17556" t="s">
        <v>17564</v>
      </c>
      <c r="G17556">
        <v>1</v>
      </c>
    </row>
    <row r="17557" spans="1:7" x14ac:dyDescent="0.25">
      <c r="A17557">
        <v>51</v>
      </c>
      <c r="B17557" t="s">
        <v>17486</v>
      </c>
      <c r="C17557">
        <v>26605</v>
      </c>
      <c r="D17557" t="str">
        <f>"1443-9646"</f>
        <v>1443-9646</v>
      </c>
      <c r="E17557" t="s">
        <v>8</v>
      </c>
      <c r="F17557" t="s">
        <v>17565</v>
      </c>
      <c r="G17557">
        <v>1</v>
      </c>
    </row>
    <row r="17558" spans="1:7" x14ac:dyDescent="0.25">
      <c r="A17558">
        <v>51</v>
      </c>
      <c r="B17558" t="s">
        <v>17486</v>
      </c>
      <c r="C17558">
        <v>5551</v>
      </c>
      <c r="D17558" t="str">
        <f>"0269-9052"</f>
        <v>0269-9052</v>
      </c>
      <c r="E17558" t="s">
        <v>8</v>
      </c>
      <c r="F17558" t="s">
        <v>17566</v>
      </c>
      <c r="G17558">
        <v>1</v>
      </c>
    </row>
    <row r="17559" spans="1:7" x14ac:dyDescent="0.25">
      <c r="A17559">
        <v>51</v>
      </c>
      <c r="B17559" t="s">
        <v>17486</v>
      </c>
      <c r="C17559">
        <v>14364</v>
      </c>
      <c r="D17559" t="str">
        <f>"0361-9230"</f>
        <v>0361-9230</v>
      </c>
      <c r="E17559" t="s">
        <v>8</v>
      </c>
      <c r="F17559" t="s">
        <v>17567</v>
      </c>
      <c r="G17559">
        <v>1</v>
      </c>
    </row>
    <row r="17560" spans="1:7" x14ac:dyDescent="0.25">
      <c r="A17560">
        <v>51</v>
      </c>
      <c r="B17560" t="s">
        <v>17486</v>
      </c>
      <c r="C17560">
        <v>22900</v>
      </c>
      <c r="D17560" t="str">
        <f>"1935-861X"</f>
        <v>1935-861X</v>
      </c>
      <c r="E17560" t="s">
        <v>8</v>
      </c>
      <c r="F17560" t="s">
        <v>17568</v>
      </c>
      <c r="G17560">
        <v>1</v>
      </c>
    </row>
    <row r="17561" spans="1:7" x14ac:dyDescent="0.25">
      <c r="A17561">
        <v>51</v>
      </c>
      <c r="B17561" t="s">
        <v>17486</v>
      </c>
      <c r="C17561">
        <v>11546</v>
      </c>
      <c r="D17561" t="str">
        <f>"1863-2653"</f>
        <v>1863-2653</v>
      </c>
      <c r="E17561" t="s">
        <v>8</v>
      </c>
      <c r="F17561" t="s">
        <v>17569</v>
      </c>
      <c r="G17561">
        <v>1</v>
      </c>
    </row>
    <row r="17562" spans="1:7" x14ac:dyDescent="0.25">
      <c r="A17562">
        <v>51</v>
      </c>
      <c r="B17562" t="s">
        <v>17486</v>
      </c>
      <c r="C17562">
        <v>2679</v>
      </c>
      <c r="D17562" t="str">
        <f>"0896-0267"</f>
        <v>0896-0267</v>
      </c>
      <c r="E17562" t="s">
        <v>8</v>
      </c>
      <c r="F17562" t="s">
        <v>17570</v>
      </c>
      <c r="G17562">
        <v>1</v>
      </c>
    </row>
    <row r="17563" spans="1:7" x14ac:dyDescent="0.25">
      <c r="A17563">
        <v>51</v>
      </c>
      <c r="B17563" t="s">
        <v>17486</v>
      </c>
      <c r="C17563">
        <v>423</v>
      </c>
      <c r="D17563" t="str">
        <f>"0006-8977"</f>
        <v>0006-8977</v>
      </c>
      <c r="E17563" t="s">
        <v>8</v>
      </c>
      <c r="F17563" t="s">
        <v>17571</v>
      </c>
      <c r="G17563">
        <v>1</v>
      </c>
    </row>
    <row r="17564" spans="1:7" x14ac:dyDescent="0.25">
      <c r="A17564">
        <v>51</v>
      </c>
      <c r="B17564" t="s">
        <v>17486</v>
      </c>
      <c r="C17564">
        <v>4641</v>
      </c>
      <c r="D17564" t="str">
        <f>"0889-1591"</f>
        <v>0889-1591</v>
      </c>
      <c r="E17564" t="s">
        <v>8</v>
      </c>
      <c r="F17564" t="s">
        <v>17572</v>
      </c>
      <c r="G17564">
        <v>1</v>
      </c>
    </row>
    <row r="17565" spans="1:7" x14ac:dyDescent="0.25">
      <c r="A17565">
        <v>51</v>
      </c>
      <c r="B17565" t="s">
        <v>17486</v>
      </c>
      <c r="C17565">
        <v>14451</v>
      </c>
      <c r="D17565" t="str">
        <f>"0268-8697"</f>
        <v>0268-8697</v>
      </c>
      <c r="E17565" t="s">
        <v>8</v>
      </c>
      <c r="F17565" t="s">
        <v>17573</v>
      </c>
      <c r="G17565">
        <v>1</v>
      </c>
    </row>
    <row r="17566" spans="1:7" x14ac:dyDescent="0.25">
      <c r="A17566">
        <v>51</v>
      </c>
      <c r="B17566" t="s">
        <v>17486</v>
      </c>
      <c r="C17566">
        <v>8168</v>
      </c>
      <c r="D17566" t="str">
        <f>"0317-1671"</f>
        <v>0317-1671</v>
      </c>
      <c r="E17566" t="s">
        <v>8</v>
      </c>
      <c r="F17566" t="s">
        <v>17574</v>
      </c>
      <c r="G17566">
        <v>1</v>
      </c>
    </row>
    <row r="17567" spans="1:7" x14ac:dyDescent="0.25">
      <c r="A17567">
        <v>51</v>
      </c>
      <c r="B17567" t="s">
        <v>17486</v>
      </c>
      <c r="C17567">
        <v>12439</v>
      </c>
      <c r="D17567" t="str">
        <f>"0333-1024"</f>
        <v>0333-1024</v>
      </c>
      <c r="E17567" t="s">
        <v>8</v>
      </c>
      <c r="F17567" t="s">
        <v>17575</v>
      </c>
      <c r="G17567">
        <v>1</v>
      </c>
    </row>
    <row r="17568" spans="1:7" x14ac:dyDescent="0.25">
      <c r="A17568">
        <v>51</v>
      </c>
      <c r="B17568" t="s">
        <v>17486</v>
      </c>
      <c r="C17568">
        <v>6352</v>
      </c>
      <c r="D17568" t="str">
        <f>"1015-9770"</f>
        <v>1015-9770</v>
      </c>
      <c r="E17568" t="s">
        <v>8</v>
      </c>
      <c r="F17568" t="s">
        <v>17576</v>
      </c>
      <c r="G17568">
        <v>1</v>
      </c>
    </row>
    <row r="17569" spans="1:7" x14ac:dyDescent="0.25">
      <c r="A17569">
        <v>51</v>
      </c>
      <c r="B17569" t="s">
        <v>17486</v>
      </c>
      <c r="C17569">
        <v>14067</v>
      </c>
      <c r="D17569" t="str">
        <f>"1056-4993"</f>
        <v>1056-4993</v>
      </c>
      <c r="E17569" t="s">
        <v>8</v>
      </c>
      <c r="F17569" t="s">
        <v>17577</v>
      </c>
      <c r="G17569">
        <v>1</v>
      </c>
    </row>
    <row r="17570" spans="1:7" x14ac:dyDescent="0.25">
      <c r="A17570">
        <v>51</v>
      </c>
      <c r="B17570" t="s">
        <v>17486</v>
      </c>
      <c r="C17570">
        <v>1131</v>
      </c>
      <c r="D17570" t="str">
        <f>"0256-7040"</f>
        <v>0256-7040</v>
      </c>
      <c r="E17570" t="s">
        <v>8</v>
      </c>
      <c r="F17570" t="s">
        <v>17578</v>
      </c>
      <c r="G17570">
        <v>1</v>
      </c>
    </row>
    <row r="17571" spans="1:7" x14ac:dyDescent="0.25">
      <c r="A17571">
        <v>51</v>
      </c>
      <c r="B17571" t="s">
        <v>17486</v>
      </c>
      <c r="C17571">
        <v>7673</v>
      </c>
      <c r="D17571" t="str">
        <f>"0959-9851"</f>
        <v>0959-9851</v>
      </c>
      <c r="E17571" t="s">
        <v>8</v>
      </c>
      <c r="F17571" t="s">
        <v>17579</v>
      </c>
      <c r="G17571">
        <v>1</v>
      </c>
    </row>
    <row r="17572" spans="1:7" x14ac:dyDescent="0.25">
      <c r="A17572">
        <v>51</v>
      </c>
      <c r="B17572" t="s">
        <v>17486</v>
      </c>
      <c r="C17572">
        <v>1668</v>
      </c>
      <c r="D17572" t="str">
        <f>"1359-1045"</f>
        <v>1359-1045</v>
      </c>
      <c r="E17572" t="s">
        <v>8</v>
      </c>
      <c r="F17572" t="s">
        <v>17580</v>
      </c>
      <c r="G17572">
        <v>1</v>
      </c>
    </row>
    <row r="17573" spans="1:7" x14ac:dyDescent="0.25">
      <c r="A17573">
        <v>51</v>
      </c>
      <c r="B17573" t="s">
        <v>17486</v>
      </c>
      <c r="C17573">
        <v>13840</v>
      </c>
      <c r="D17573" t="str">
        <f>"1550-0594"</f>
        <v>1550-0594</v>
      </c>
      <c r="E17573" t="s">
        <v>8</v>
      </c>
      <c r="F17573" t="s">
        <v>17581</v>
      </c>
      <c r="G17573">
        <v>1</v>
      </c>
    </row>
    <row r="17574" spans="1:7" x14ac:dyDescent="0.25">
      <c r="A17574">
        <v>51</v>
      </c>
      <c r="B17574" t="s">
        <v>17486</v>
      </c>
      <c r="C17574">
        <v>15064</v>
      </c>
      <c r="D17574" t="str">
        <f>"0009-9155"</f>
        <v>0009-9155</v>
      </c>
      <c r="E17574" t="s">
        <v>8</v>
      </c>
      <c r="F17574" t="s">
        <v>17582</v>
      </c>
      <c r="G17574">
        <v>1</v>
      </c>
    </row>
    <row r="17575" spans="1:7" x14ac:dyDescent="0.25">
      <c r="A17575">
        <v>51</v>
      </c>
      <c r="B17575" t="s">
        <v>17486</v>
      </c>
      <c r="C17575">
        <v>1941</v>
      </c>
      <c r="D17575" t="str">
        <f>"0303-8467"</f>
        <v>0303-8467</v>
      </c>
      <c r="E17575" t="s">
        <v>8</v>
      </c>
      <c r="F17575" t="s">
        <v>17583</v>
      </c>
      <c r="G17575">
        <v>1</v>
      </c>
    </row>
    <row r="17576" spans="1:7" x14ac:dyDescent="0.25">
      <c r="A17576">
        <v>51</v>
      </c>
      <c r="B17576" t="s">
        <v>17486</v>
      </c>
      <c r="C17576">
        <v>12927</v>
      </c>
      <c r="D17576" t="str">
        <f>"1388-2457"</f>
        <v>1388-2457</v>
      </c>
      <c r="E17576" t="s">
        <v>8</v>
      </c>
      <c r="F17576" t="s">
        <v>17584</v>
      </c>
      <c r="G17576">
        <v>1</v>
      </c>
    </row>
    <row r="17577" spans="1:7" x14ac:dyDescent="0.25">
      <c r="A17577">
        <v>51</v>
      </c>
      <c r="B17577" t="s">
        <v>17486</v>
      </c>
      <c r="C17577">
        <v>141733</v>
      </c>
      <c r="D17577" t="str">
        <f>"1567-424X"</f>
        <v>1567-424X</v>
      </c>
      <c r="E17577" t="s">
        <v>15</v>
      </c>
      <c r="F17577" t="s">
        <v>17585</v>
      </c>
      <c r="G17577">
        <v>1</v>
      </c>
    </row>
    <row r="17578" spans="1:7" x14ac:dyDescent="0.25">
      <c r="A17578">
        <v>51</v>
      </c>
      <c r="B17578" t="s">
        <v>17486</v>
      </c>
      <c r="C17578">
        <v>27033</v>
      </c>
      <c r="D17578" t="str">
        <f>"1724-4935"</f>
        <v>1724-4935</v>
      </c>
      <c r="E17578" t="s">
        <v>8</v>
      </c>
      <c r="F17578" t="s">
        <v>17586</v>
      </c>
      <c r="G17578">
        <v>1</v>
      </c>
    </row>
    <row r="17579" spans="1:7" x14ac:dyDescent="0.25">
      <c r="A17579">
        <v>51</v>
      </c>
      <c r="B17579" t="s">
        <v>17486</v>
      </c>
      <c r="C17579">
        <v>14472</v>
      </c>
      <c r="E17579" t="s">
        <v>8</v>
      </c>
      <c r="F17579" t="s">
        <v>17587</v>
      </c>
      <c r="G17579">
        <v>1</v>
      </c>
    </row>
    <row r="17580" spans="1:7" x14ac:dyDescent="0.25">
      <c r="A17580">
        <v>51</v>
      </c>
      <c r="B17580" t="s">
        <v>17486</v>
      </c>
      <c r="C17580">
        <v>76941</v>
      </c>
      <c r="D17580" t="str">
        <f>"1871-5273"</f>
        <v>1871-5273</v>
      </c>
      <c r="E17580" t="s">
        <v>8</v>
      </c>
      <c r="F17580" t="s">
        <v>17588</v>
      </c>
      <c r="G17580">
        <v>1</v>
      </c>
    </row>
    <row r="17581" spans="1:7" x14ac:dyDescent="0.25">
      <c r="A17581">
        <v>51</v>
      </c>
      <c r="B17581" t="s">
        <v>17486</v>
      </c>
      <c r="C17581">
        <v>94</v>
      </c>
      <c r="D17581" t="str">
        <f>"1092-8529"</f>
        <v>1092-8529</v>
      </c>
      <c r="E17581" t="s">
        <v>8</v>
      </c>
      <c r="F17581" t="s">
        <v>17589</v>
      </c>
      <c r="G17581">
        <v>1</v>
      </c>
    </row>
    <row r="17582" spans="1:7" x14ac:dyDescent="0.25">
      <c r="A17582">
        <v>51</v>
      </c>
      <c r="B17582" t="s">
        <v>17486</v>
      </c>
      <c r="C17582">
        <v>18066</v>
      </c>
      <c r="D17582" t="str">
        <f>"1543-3633"</f>
        <v>1543-3633</v>
      </c>
      <c r="E17582" t="s">
        <v>8</v>
      </c>
      <c r="F17582" t="s">
        <v>17590</v>
      </c>
      <c r="G17582">
        <v>1</v>
      </c>
    </row>
    <row r="17583" spans="1:7" x14ac:dyDescent="0.25">
      <c r="A17583">
        <v>51</v>
      </c>
      <c r="B17583" t="s">
        <v>17486</v>
      </c>
      <c r="C17583">
        <v>4358</v>
      </c>
      <c r="D17583" t="str">
        <f>"1354-6805"</f>
        <v>1354-6805</v>
      </c>
      <c r="E17583" t="s">
        <v>8</v>
      </c>
      <c r="F17583" t="s">
        <v>17591</v>
      </c>
      <c r="G17583">
        <v>1</v>
      </c>
    </row>
    <row r="17584" spans="1:7" x14ac:dyDescent="0.25">
      <c r="A17584">
        <v>51</v>
      </c>
      <c r="B17584" t="s">
        <v>17486</v>
      </c>
      <c r="C17584">
        <v>3139</v>
      </c>
      <c r="D17584" t="str">
        <f>"0010-440X"</f>
        <v>0010-440X</v>
      </c>
      <c r="E17584" t="s">
        <v>8</v>
      </c>
      <c r="F17584" t="s">
        <v>17592</v>
      </c>
      <c r="G17584">
        <v>1</v>
      </c>
    </row>
    <row r="17585" spans="1:7" x14ac:dyDescent="0.25">
      <c r="A17585">
        <v>51</v>
      </c>
      <c r="B17585" t="s">
        <v>17486</v>
      </c>
      <c r="C17585">
        <v>7785</v>
      </c>
      <c r="D17585" t="str">
        <f>"0010-9452"</f>
        <v>0010-9452</v>
      </c>
      <c r="E17585" t="s">
        <v>8</v>
      </c>
      <c r="F17585" t="s">
        <v>17593</v>
      </c>
      <c r="G17585">
        <v>1</v>
      </c>
    </row>
    <row r="17586" spans="1:7" x14ac:dyDescent="0.25">
      <c r="A17586">
        <v>51</v>
      </c>
      <c r="B17586" t="s">
        <v>17486</v>
      </c>
      <c r="C17586">
        <v>8115</v>
      </c>
      <c r="D17586" t="str">
        <f>"0227-5910"</f>
        <v>0227-5910</v>
      </c>
      <c r="E17586" t="s">
        <v>8</v>
      </c>
      <c r="F17586" t="s">
        <v>17594</v>
      </c>
      <c r="G17586">
        <v>1</v>
      </c>
    </row>
    <row r="17587" spans="1:7" x14ac:dyDescent="0.25">
      <c r="A17587">
        <v>51</v>
      </c>
      <c r="B17587" t="s">
        <v>17486</v>
      </c>
      <c r="C17587">
        <v>8587</v>
      </c>
      <c r="D17587" t="str">
        <f>"1528-4042"</f>
        <v>1528-4042</v>
      </c>
      <c r="E17587" t="s">
        <v>8</v>
      </c>
      <c r="F17587" t="s">
        <v>17595</v>
      </c>
      <c r="G17587">
        <v>1</v>
      </c>
    </row>
    <row r="17588" spans="1:7" x14ac:dyDescent="0.25">
      <c r="A17588">
        <v>51</v>
      </c>
      <c r="B17588" t="s">
        <v>17486</v>
      </c>
      <c r="C17588">
        <v>11402</v>
      </c>
      <c r="D17588" t="str">
        <f>"1350-7540"</f>
        <v>1350-7540</v>
      </c>
      <c r="E17588" t="s">
        <v>8</v>
      </c>
      <c r="F17588" t="s">
        <v>17596</v>
      </c>
      <c r="G17588">
        <v>1</v>
      </c>
    </row>
    <row r="17589" spans="1:7" x14ac:dyDescent="0.25">
      <c r="A17589">
        <v>51</v>
      </c>
      <c r="B17589" t="s">
        <v>17486</v>
      </c>
      <c r="C17589">
        <v>4473</v>
      </c>
      <c r="D17589" t="str">
        <f>"0951-7367"</f>
        <v>0951-7367</v>
      </c>
      <c r="E17589" t="s">
        <v>8</v>
      </c>
      <c r="F17589" t="s">
        <v>17597</v>
      </c>
      <c r="G17589">
        <v>1</v>
      </c>
    </row>
    <row r="17590" spans="1:7" x14ac:dyDescent="0.25">
      <c r="A17590">
        <v>51</v>
      </c>
      <c r="B17590" t="s">
        <v>17486</v>
      </c>
      <c r="C17590">
        <v>15878</v>
      </c>
      <c r="D17590" t="str">
        <f>"1531-3433"</f>
        <v>1531-3433</v>
      </c>
      <c r="E17590" t="s">
        <v>8</v>
      </c>
      <c r="F17590" t="s">
        <v>17598</v>
      </c>
      <c r="G17590">
        <v>1</v>
      </c>
    </row>
    <row r="17591" spans="1:7" x14ac:dyDescent="0.25">
      <c r="A17591">
        <v>51</v>
      </c>
      <c r="B17591" t="s">
        <v>17486</v>
      </c>
      <c r="C17591">
        <v>16522</v>
      </c>
      <c r="D17591" t="str">
        <f>"1523-3812"</f>
        <v>1523-3812</v>
      </c>
      <c r="E17591" t="s">
        <v>8</v>
      </c>
      <c r="F17591" t="s">
        <v>17599</v>
      </c>
      <c r="G17591">
        <v>1</v>
      </c>
    </row>
    <row r="17592" spans="1:7" x14ac:dyDescent="0.25">
      <c r="A17592">
        <v>51</v>
      </c>
      <c r="B17592" t="s">
        <v>17486</v>
      </c>
      <c r="C17592">
        <v>13944</v>
      </c>
      <c r="D17592" t="str">
        <f>"1092-8480"</f>
        <v>1092-8480</v>
      </c>
      <c r="E17592" t="s">
        <v>8</v>
      </c>
      <c r="F17592" t="s">
        <v>17600</v>
      </c>
      <c r="G17592">
        <v>1</v>
      </c>
    </row>
    <row r="17593" spans="1:7" x14ac:dyDescent="0.25">
      <c r="A17593">
        <v>51</v>
      </c>
      <c r="B17593" t="s">
        <v>17486</v>
      </c>
      <c r="C17593">
        <v>11575</v>
      </c>
      <c r="D17593" t="str">
        <f>"1471-3012"</f>
        <v>1471-3012</v>
      </c>
      <c r="E17593" t="s">
        <v>8</v>
      </c>
      <c r="F17593" t="s">
        <v>17601</v>
      </c>
      <c r="G17593">
        <v>1</v>
      </c>
    </row>
    <row r="17594" spans="1:7" x14ac:dyDescent="0.25">
      <c r="A17594">
        <v>51</v>
      </c>
      <c r="B17594" t="s">
        <v>17486</v>
      </c>
      <c r="C17594">
        <v>5293</v>
      </c>
      <c r="D17594" t="str">
        <f>"1420-8008"</f>
        <v>1420-8008</v>
      </c>
      <c r="E17594" t="s">
        <v>8</v>
      </c>
      <c r="F17594" t="s">
        <v>17602</v>
      </c>
      <c r="G17594">
        <v>1</v>
      </c>
    </row>
    <row r="17595" spans="1:7" x14ac:dyDescent="0.25">
      <c r="A17595">
        <v>51</v>
      </c>
      <c r="B17595" t="s">
        <v>17486</v>
      </c>
      <c r="C17595">
        <v>16093</v>
      </c>
      <c r="D17595" t="str">
        <f>"0012-1622"</f>
        <v>0012-1622</v>
      </c>
      <c r="E17595" t="s">
        <v>8</v>
      </c>
      <c r="F17595" t="s">
        <v>17603</v>
      </c>
      <c r="G17595">
        <v>1</v>
      </c>
    </row>
    <row r="17596" spans="1:7" x14ac:dyDescent="0.25">
      <c r="A17596">
        <v>51</v>
      </c>
      <c r="B17596" t="s">
        <v>17486</v>
      </c>
      <c r="C17596">
        <v>17485</v>
      </c>
      <c r="D17596" t="str">
        <f>"1932-8451"</f>
        <v>1932-8451</v>
      </c>
      <c r="E17596" t="s">
        <v>8</v>
      </c>
      <c r="F17596" t="s">
        <v>17604</v>
      </c>
      <c r="G17596">
        <v>1</v>
      </c>
    </row>
    <row r="17597" spans="1:7" x14ac:dyDescent="0.25">
      <c r="A17597">
        <v>51</v>
      </c>
      <c r="B17597" t="s">
        <v>17486</v>
      </c>
      <c r="C17597">
        <v>151925</v>
      </c>
      <c r="D17597" t="str">
        <f>"1751-8423"</f>
        <v>1751-8423</v>
      </c>
      <c r="E17597" t="s">
        <v>8</v>
      </c>
      <c r="F17597" t="s">
        <v>17605</v>
      </c>
      <c r="G17597">
        <v>1</v>
      </c>
    </row>
    <row r="17598" spans="1:7" x14ac:dyDescent="0.25">
      <c r="A17598">
        <v>51</v>
      </c>
      <c r="B17598" t="s">
        <v>17486</v>
      </c>
      <c r="C17598">
        <v>5336</v>
      </c>
      <c r="D17598" t="str">
        <f>"0378-5866"</f>
        <v>0378-5866</v>
      </c>
      <c r="E17598" t="s">
        <v>8</v>
      </c>
      <c r="F17598" t="s">
        <v>17606</v>
      </c>
      <c r="G17598">
        <v>1</v>
      </c>
    </row>
    <row r="17599" spans="1:7" x14ac:dyDescent="0.25">
      <c r="A17599">
        <v>51</v>
      </c>
      <c r="B17599" t="s">
        <v>17486</v>
      </c>
      <c r="C17599">
        <v>14956</v>
      </c>
      <c r="D17599" t="str">
        <f>"0012-1630"</f>
        <v>0012-1630</v>
      </c>
      <c r="E17599" t="s">
        <v>8</v>
      </c>
      <c r="F17599" t="s">
        <v>17607</v>
      </c>
      <c r="G17599">
        <v>1</v>
      </c>
    </row>
    <row r="17600" spans="1:7" x14ac:dyDescent="0.25">
      <c r="A17600">
        <v>51</v>
      </c>
      <c r="B17600" t="s">
        <v>17486</v>
      </c>
      <c r="C17600">
        <v>15629</v>
      </c>
      <c r="D17600" t="str">
        <f>"1471-0153"</f>
        <v>1471-0153</v>
      </c>
      <c r="E17600" t="s">
        <v>8</v>
      </c>
      <c r="F17600" t="s">
        <v>17608</v>
      </c>
      <c r="G17600">
        <v>1</v>
      </c>
    </row>
    <row r="17601" spans="1:7" x14ac:dyDescent="0.25">
      <c r="A17601">
        <v>51</v>
      </c>
      <c r="B17601" t="s">
        <v>17486</v>
      </c>
      <c r="C17601">
        <v>357</v>
      </c>
      <c r="D17601" t="str">
        <f>"0013-9580"</f>
        <v>0013-9580</v>
      </c>
      <c r="E17601" t="s">
        <v>8</v>
      </c>
      <c r="F17601" t="s">
        <v>17609</v>
      </c>
      <c r="G17601">
        <v>1</v>
      </c>
    </row>
    <row r="17602" spans="1:7" x14ac:dyDescent="0.25">
      <c r="A17602">
        <v>51</v>
      </c>
      <c r="B17602" t="s">
        <v>17486</v>
      </c>
      <c r="C17602">
        <v>10720</v>
      </c>
      <c r="D17602" t="str">
        <f>"1525-5050"</f>
        <v>1525-5050</v>
      </c>
      <c r="E17602" t="s">
        <v>8</v>
      </c>
      <c r="F17602" t="s">
        <v>17610</v>
      </c>
      <c r="G17602">
        <v>1</v>
      </c>
    </row>
    <row r="17603" spans="1:7" x14ac:dyDescent="0.25">
      <c r="A17603">
        <v>51</v>
      </c>
      <c r="B17603" t="s">
        <v>17486</v>
      </c>
      <c r="C17603">
        <v>15160</v>
      </c>
      <c r="D17603" t="str">
        <f>"0920-1211"</f>
        <v>0920-1211</v>
      </c>
      <c r="E17603" t="s">
        <v>8</v>
      </c>
      <c r="F17603" t="s">
        <v>17611</v>
      </c>
      <c r="G17603">
        <v>1</v>
      </c>
    </row>
    <row r="17604" spans="1:7" x14ac:dyDescent="0.25">
      <c r="A17604">
        <v>51</v>
      </c>
      <c r="B17604" t="s">
        <v>17486</v>
      </c>
      <c r="C17604">
        <v>10571</v>
      </c>
      <c r="D17604" t="str">
        <f>"1294-9361"</f>
        <v>1294-9361</v>
      </c>
      <c r="E17604" t="s">
        <v>8</v>
      </c>
      <c r="F17604" t="s">
        <v>17612</v>
      </c>
      <c r="G17604">
        <v>1</v>
      </c>
    </row>
    <row r="17605" spans="1:7" x14ac:dyDescent="0.25">
      <c r="A17605">
        <v>51</v>
      </c>
      <c r="B17605" t="s">
        <v>17486</v>
      </c>
      <c r="C17605">
        <v>9568</v>
      </c>
      <c r="D17605" t="str">
        <f>"0940-1334"</f>
        <v>0940-1334</v>
      </c>
      <c r="E17605" t="s">
        <v>8</v>
      </c>
      <c r="F17605" t="s">
        <v>17613</v>
      </c>
      <c r="G17605">
        <v>1</v>
      </c>
    </row>
    <row r="17606" spans="1:7" x14ac:dyDescent="0.25">
      <c r="A17606">
        <v>51</v>
      </c>
      <c r="B17606" t="s">
        <v>17486</v>
      </c>
      <c r="C17606">
        <v>12007</v>
      </c>
      <c r="D17606" t="str">
        <f>"1018-8827"</f>
        <v>1018-8827</v>
      </c>
      <c r="E17606" t="s">
        <v>8</v>
      </c>
      <c r="F17606" t="s">
        <v>17614</v>
      </c>
      <c r="G17606">
        <v>1</v>
      </c>
    </row>
    <row r="17607" spans="1:7" x14ac:dyDescent="0.25">
      <c r="A17607">
        <v>51</v>
      </c>
      <c r="B17607" t="s">
        <v>17486</v>
      </c>
      <c r="C17607">
        <v>15431</v>
      </c>
      <c r="D17607" t="str">
        <f>"1351-5101"</f>
        <v>1351-5101</v>
      </c>
      <c r="E17607" t="s">
        <v>8</v>
      </c>
      <c r="F17607" t="s">
        <v>17615</v>
      </c>
      <c r="G17607">
        <v>1</v>
      </c>
    </row>
    <row r="17608" spans="1:7" x14ac:dyDescent="0.25">
      <c r="A17608">
        <v>51</v>
      </c>
      <c r="B17608" t="s">
        <v>17486</v>
      </c>
      <c r="C17608">
        <v>12960</v>
      </c>
      <c r="D17608" t="str">
        <f>"0953-816X"</f>
        <v>0953-816X</v>
      </c>
      <c r="E17608" t="s">
        <v>8</v>
      </c>
      <c r="F17608" t="s">
        <v>17616</v>
      </c>
      <c r="G17608">
        <v>1</v>
      </c>
    </row>
    <row r="17609" spans="1:7" x14ac:dyDescent="0.25">
      <c r="A17609">
        <v>51</v>
      </c>
      <c r="B17609" t="s">
        <v>17486</v>
      </c>
      <c r="C17609">
        <v>2474</v>
      </c>
      <c r="D17609" t="str">
        <f>"1090-3798"</f>
        <v>1090-3798</v>
      </c>
      <c r="E17609" t="s">
        <v>8</v>
      </c>
      <c r="F17609" t="s">
        <v>17617</v>
      </c>
      <c r="G17609">
        <v>1</v>
      </c>
    </row>
    <row r="17610" spans="1:7" x14ac:dyDescent="0.25">
      <c r="A17610">
        <v>51</v>
      </c>
      <c r="B17610" t="s">
        <v>17486</v>
      </c>
      <c r="C17610">
        <v>11389</v>
      </c>
      <c r="D17610" t="str">
        <f>"0014-3022"</f>
        <v>0014-3022</v>
      </c>
      <c r="E17610" t="s">
        <v>8</v>
      </c>
      <c r="F17610" t="s">
        <v>17618</v>
      </c>
      <c r="G17610">
        <v>1</v>
      </c>
    </row>
    <row r="17611" spans="1:7" x14ac:dyDescent="0.25">
      <c r="A17611">
        <v>51</v>
      </c>
      <c r="B17611" t="s">
        <v>17486</v>
      </c>
      <c r="C17611">
        <v>9208</v>
      </c>
      <c r="D17611" t="str">
        <f>"0924-9338"</f>
        <v>0924-9338</v>
      </c>
      <c r="E17611" t="s">
        <v>8</v>
      </c>
      <c r="F17611" t="s">
        <v>17619</v>
      </c>
      <c r="G17611">
        <v>1</v>
      </c>
    </row>
    <row r="17612" spans="1:7" x14ac:dyDescent="0.25">
      <c r="A17612">
        <v>51</v>
      </c>
      <c r="B17612" t="s">
        <v>17486</v>
      </c>
      <c r="C17612">
        <v>12307</v>
      </c>
      <c r="D17612" t="str">
        <f>"1362-0347"</f>
        <v>1362-0347</v>
      </c>
      <c r="E17612" t="s">
        <v>8</v>
      </c>
      <c r="F17612" t="s">
        <v>17620</v>
      </c>
      <c r="G17612">
        <v>1</v>
      </c>
    </row>
    <row r="17613" spans="1:7" x14ac:dyDescent="0.25">
      <c r="A17613">
        <v>51</v>
      </c>
      <c r="B17613" t="s">
        <v>17486</v>
      </c>
      <c r="C17613">
        <v>3466</v>
      </c>
      <c r="D17613" t="str">
        <f>"1064-1297"</f>
        <v>1064-1297</v>
      </c>
      <c r="E17613" t="s">
        <v>8</v>
      </c>
      <c r="F17613" t="s">
        <v>17621</v>
      </c>
      <c r="G17613">
        <v>1</v>
      </c>
    </row>
    <row r="17614" spans="1:7" x14ac:dyDescent="0.25">
      <c r="A17614">
        <v>51</v>
      </c>
      <c r="B17614" t="s">
        <v>17486</v>
      </c>
      <c r="C17614">
        <v>11147</v>
      </c>
      <c r="D17614" t="str">
        <f>"0014-4819"</f>
        <v>0014-4819</v>
      </c>
      <c r="E17614" t="s">
        <v>8</v>
      </c>
      <c r="F17614" t="s">
        <v>17622</v>
      </c>
      <c r="G17614">
        <v>1</v>
      </c>
    </row>
    <row r="17615" spans="1:7" x14ac:dyDescent="0.25">
      <c r="A17615">
        <v>51</v>
      </c>
      <c r="B17615" t="s">
        <v>17486</v>
      </c>
      <c r="C17615">
        <v>13587</v>
      </c>
      <c r="D17615" t="str">
        <f>"0014-4886"</f>
        <v>0014-4886</v>
      </c>
      <c r="E17615" t="s">
        <v>8</v>
      </c>
      <c r="F17615" t="s">
        <v>17623</v>
      </c>
      <c r="G17615">
        <v>1</v>
      </c>
    </row>
    <row r="17616" spans="1:7" x14ac:dyDescent="0.25">
      <c r="A17616">
        <v>51</v>
      </c>
      <c r="B17616" t="s">
        <v>17486</v>
      </c>
      <c r="C17616">
        <v>99108</v>
      </c>
      <c r="D17616" t="str">
        <f>"2045-8118"</f>
        <v>2045-8118</v>
      </c>
      <c r="E17616" t="s">
        <v>8</v>
      </c>
      <c r="F17616" t="s">
        <v>17624</v>
      </c>
      <c r="G17616">
        <v>1</v>
      </c>
    </row>
    <row r="17617" spans="1:7" x14ac:dyDescent="0.25">
      <c r="A17617">
        <v>51</v>
      </c>
      <c r="B17617" t="s">
        <v>17486</v>
      </c>
      <c r="C17617">
        <v>5463</v>
      </c>
      <c r="D17617" t="str">
        <f>"1641-4640"</f>
        <v>1641-4640</v>
      </c>
      <c r="E17617" t="s">
        <v>8</v>
      </c>
      <c r="F17617" t="s">
        <v>17625</v>
      </c>
      <c r="G17617">
        <v>1</v>
      </c>
    </row>
    <row r="17618" spans="1:7" x14ac:dyDescent="0.25">
      <c r="A17618">
        <v>51</v>
      </c>
      <c r="B17618" t="s">
        <v>17486</v>
      </c>
      <c r="C17618">
        <v>6120238</v>
      </c>
      <c r="E17618" t="s">
        <v>8</v>
      </c>
      <c r="F17618" t="s">
        <v>17626</v>
      </c>
      <c r="G17618">
        <v>1</v>
      </c>
    </row>
    <row r="17619" spans="1:7" x14ac:dyDescent="0.25">
      <c r="A17619">
        <v>51</v>
      </c>
      <c r="B17619" t="s">
        <v>17486</v>
      </c>
      <c r="C17619">
        <v>7694562</v>
      </c>
      <c r="D17619" t="str">
        <f>"1664-2295"</f>
        <v>1664-2295</v>
      </c>
      <c r="E17619" t="s">
        <v>8</v>
      </c>
      <c r="F17619" t="s">
        <v>17627</v>
      </c>
      <c r="G17619">
        <v>1</v>
      </c>
    </row>
    <row r="17620" spans="1:7" x14ac:dyDescent="0.25">
      <c r="A17620">
        <v>51</v>
      </c>
      <c r="B17620" t="s">
        <v>17486</v>
      </c>
      <c r="C17620">
        <v>7706409</v>
      </c>
      <c r="E17620" t="s">
        <v>8</v>
      </c>
      <c r="F17620" t="s">
        <v>17628</v>
      </c>
      <c r="G17620">
        <v>1</v>
      </c>
    </row>
    <row r="17621" spans="1:7" x14ac:dyDescent="0.25">
      <c r="A17621">
        <v>51</v>
      </c>
      <c r="B17621" t="s">
        <v>17486</v>
      </c>
      <c r="C17621">
        <v>7570</v>
      </c>
      <c r="D17621" t="str">
        <f>"0393-5264"</f>
        <v>0393-5264</v>
      </c>
      <c r="E17621" t="s">
        <v>8</v>
      </c>
      <c r="F17621" t="s">
        <v>17629</v>
      </c>
      <c r="G17621">
        <v>1</v>
      </c>
    </row>
    <row r="17622" spans="1:7" x14ac:dyDescent="0.25">
      <c r="A17622">
        <v>51</v>
      </c>
      <c r="B17622" t="s">
        <v>17486</v>
      </c>
      <c r="C17622">
        <v>2730</v>
      </c>
      <c r="D17622" t="str">
        <f>"0163-8343"</f>
        <v>0163-8343</v>
      </c>
      <c r="E17622" t="s">
        <v>8</v>
      </c>
      <c r="F17622" t="s">
        <v>17630</v>
      </c>
      <c r="G17622">
        <v>1</v>
      </c>
    </row>
    <row r="17623" spans="1:7" x14ac:dyDescent="0.25">
      <c r="A17623">
        <v>51</v>
      </c>
      <c r="B17623" t="s">
        <v>17486</v>
      </c>
      <c r="C17623">
        <v>15988</v>
      </c>
      <c r="D17623" t="str">
        <f>"1601-1848"</f>
        <v>1601-1848</v>
      </c>
      <c r="E17623" t="s">
        <v>8</v>
      </c>
      <c r="F17623" t="s">
        <v>17631</v>
      </c>
      <c r="G17623">
        <v>1</v>
      </c>
    </row>
    <row r="17624" spans="1:7" x14ac:dyDescent="0.25">
      <c r="A17624">
        <v>51</v>
      </c>
      <c r="B17624" t="s">
        <v>17486</v>
      </c>
      <c r="C17624">
        <v>7471</v>
      </c>
      <c r="D17624" t="str">
        <f>"1067-3229"</f>
        <v>1067-3229</v>
      </c>
      <c r="E17624" t="s">
        <v>8</v>
      </c>
      <c r="F17624" t="s">
        <v>17632</v>
      </c>
      <c r="G17624">
        <v>1</v>
      </c>
    </row>
    <row r="17625" spans="1:7" x14ac:dyDescent="0.25">
      <c r="A17625">
        <v>51</v>
      </c>
      <c r="B17625" t="s">
        <v>17486</v>
      </c>
      <c r="C17625">
        <v>1529</v>
      </c>
      <c r="D17625" t="str">
        <f>"0017-8748"</f>
        <v>0017-8748</v>
      </c>
      <c r="E17625" t="s">
        <v>8</v>
      </c>
      <c r="F17625" t="s">
        <v>17633</v>
      </c>
      <c r="G17625">
        <v>1</v>
      </c>
    </row>
    <row r="17626" spans="1:7" x14ac:dyDescent="0.25">
      <c r="A17626">
        <v>51</v>
      </c>
      <c r="B17626" t="s">
        <v>17486</v>
      </c>
      <c r="C17626">
        <v>15951</v>
      </c>
      <c r="D17626" t="str">
        <f>"1065-9471"</f>
        <v>1065-9471</v>
      </c>
      <c r="E17626" t="s">
        <v>8</v>
      </c>
      <c r="F17626" t="s">
        <v>17634</v>
      </c>
      <c r="G17626">
        <v>1</v>
      </c>
    </row>
    <row r="17627" spans="1:7" x14ac:dyDescent="0.25">
      <c r="A17627">
        <v>51</v>
      </c>
      <c r="B17627" t="s">
        <v>17486</v>
      </c>
      <c r="C17627">
        <v>1768</v>
      </c>
      <c r="D17627" t="str">
        <f>"0885-6222"</f>
        <v>0885-6222</v>
      </c>
      <c r="E17627" t="s">
        <v>8</v>
      </c>
      <c r="F17627" t="s">
        <v>17635</v>
      </c>
      <c r="G17627">
        <v>1</v>
      </c>
    </row>
    <row r="17628" spans="1:7" x14ac:dyDescent="0.25">
      <c r="A17628">
        <v>51</v>
      </c>
      <c r="B17628" t="s">
        <v>17486</v>
      </c>
      <c r="C17628">
        <v>8216</v>
      </c>
      <c r="D17628" t="str">
        <f>"0803-706X"</f>
        <v>0803-706X</v>
      </c>
      <c r="E17628" t="s">
        <v>8</v>
      </c>
      <c r="F17628" t="s">
        <v>17636</v>
      </c>
      <c r="G17628">
        <v>1</v>
      </c>
    </row>
    <row r="17629" spans="1:7" x14ac:dyDescent="0.25">
      <c r="A17629">
        <v>51</v>
      </c>
      <c r="B17629" t="s">
        <v>17486</v>
      </c>
      <c r="C17629">
        <v>15852</v>
      </c>
      <c r="D17629" t="str">
        <f>"0736-5748"</f>
        <v>0736-5748</v>
      </c>
      <c r="E17629" t="s">
        <v>8</v>
      </c>
      <c r="F17629" t="s">
        <v>17637</v>
      </c>
      <c r="G17629">
        <v>1</v>
      </c>
    </row>
    <row r="17630" spans="1:7" x14ac:dyDescent="0.25">
      <c r="A17630">
        <v>51</v>
      </c>
      <c r="B17630" t="s">
        <v>17486</v>
      </c>
      <c r="C17630">
        <v>10011</v>
      </c>
      <c r="D17630" t="str">
        <f>"0885-6230"</f>
        <v>0885-6230</v>
      </c>
      <c r="E17630" t="s">
        <v>8</v>
      </c>
      <c r="F17630" t="s">
        <v>17638</v>
      </c>
      <c r="G17630">
        <v>1</v>
      </c>
    </row>
    <row r="17631" spans="1:7" x14ac:dyDescent="0.25">
      <c r="A17631">
        <v>51</v>
      </c>
      <c r="B17631" t="s">
        <v>17486</v>
      </c>
      <c r="C17631">
        <v>39</v>
      </c>
      <c r="D17631" t="str">
        <f>"0160-2527"</f>
        <v>0160-2527</v>
      </c>
      <c r="E17631" t="s">
        <v>8</v>
      </c>
      <c r="F17631" t="s">
        <v>17639</v>
      </c>
      <c r="G17631">
        <v>1</v>
      </c>
    </row>
    <row r="17632" spans="1:7" x14ac:dyDescent="0.25">
      <c r="A17632">
        <v>51</v>
      </c>
      <c r="B17632" t="s">
        <v>17486</v>
      </c>
      <c r="C17632">
        <v>7513469</v>
      </c>
      <c r="E17632" t="s">
        <v>8</v>
      </c>
      <c r="F17632" t="s">
        <v>17640</v>
      </c>
      <c r="G17632">
        <v>1</v>
      </c>
    </row>
    <row r="17633" spans="1:7" x14ac:dyDescent="0.25">
      <c r="A17633">
        <v>51</v>
      </c>
      <c r="B17633" t="s">
        <v>17486</v>
      </c>
      <c r="C17633">
        <v>8943</v>
      </c>
      <c r="D17633" t="str">
        <f>"1461-1457"</f>
        <v>1461-1457</v>
      </c>
      <c r="E17633" t="s">
        <v>8</v>
      </c>
      <c r="F17633" t="s">
        <v>17641</v>
      </c>
      <c r="G17633">
        <v>1</v>
      </c>
    </row>
    <row r="17634" spans="1:7" x14ac:dyDescent="0.25">
      <c r="A17634">
        <v>51</v>
      </c>
      <c r="B17634" t="s">
        <v>17486</v>
      </c>
      <c r="C17634">
        <v>143</v>
      </c>
      <c r="D17634" t="str">
        <f>"0020-7454"</f>
        <v>0020-7454</v>
      </c>
      <c r="E17634" t="s">
        <v>8</v>
      </c>
      <c r="F17634" t="s">
        <v>17642</v>
      </c>
      <c r="G17634">
        <v>1</v>
      </c>
    </row>
    <row r="17635" spans="1:7" x14ac:dyDescent="0.25">
      <c r="A17635">
        <v>51</v>
      </c>
      <c r="B17635" t="s">
        <v>17486</v>
      </c>
      <c r="C17635">
        <v>12086</v>
      </c>
      <c r="D17635" t="str">
        <f>"1365-1501"</f>
        <v>1365-1501</v>
      </c>
      <c r="E17635" t="s">
        <v>8</v>
      </c>
      <c r="F17635" t="s">
        <v>17643</v>
      </c>
      <c r="G17635">
        <v>1</v>
      </c>
    </row>
    <row r="17636" spans="1:7" x14ac:dyDescent="0.25">
      <c r="A17636">
        <v>51</v>
      </c>
      <c r="B17636" t="s">
        <v>17486</v>
      </c>
      <c r="C17636">
        <v>14269</v>
      </c>
      <c r="D17636" t="str">
        <f>"0020-7640"</f>
        <v>0020-7640</v>
      </c>
      <c r="E17636" t="s">
        <v>8</v>
      </c>
      <c r="F17636" t="s">
        <v>17644</v>
      </c>
      <c r="G17636">
        <v>1</v>
      </c>
    </row>
    <row r="17637" spans="1:7" x14ac:dyDescent="0.25">
      <c r="A17637">
        <v>51</v>
      </c>
      <c r="B17637" t="s">
        <v>17486</v>
      </c>
      <c r="C17637">
        <v>8892</v>
      </c>
      <c r="D17637" t="str">
        <f>"1747-4930"</f>
        <v>1747-4930</v>
      </c>
      <c r="E17637" t="s">
        <v>8</v>
      </c>
      <c r="F17637" t="s">
        <v>17645</v>
      </c>
      <c r="G17637">
        <v>1</v>
      </c>
    </row>
    <row r="17638" spans="1:7" x14ac:dyDescent="0.25">
      <c r="A17638">
        <v>51</v>
      </c>
      <c r="B17638" t="s">
        <v>17486</v>
      </c>
      <c r="C17638">
        <v>1462</v>
      </c>
      <c r="D17638" t="str">
        <f>"1041-6102"</f>
        <v>1041-6102</v>
      </c>
      <c r="E17638" t="s">
        <v>8</v>
      </c>
      <c r="F17638" t="s">
        <v>17646</v>
      </c>
      <c r="G17638">
        <v>1</v>
      </c>
    </row>
    <row r="17639" spans="1:7" x14ac:dyDescent="0.25">
      <c r="A17639">
        <v>51</v>
      </c>
      <c r="B17639" t="s">
        <v>17486</v>
      </c>
      <c r="C17639">
        <v>16254</v>
      </c>
      <c r="D17639" t="str">
        <f>"0074-7742"</f>
        <v>0074-7742</v>
      </c>
      <c r="E17639" t="s">
        <v>15</v>
      </c>
      <c r="F17639" t="s">
        <v>17647</v>
      </c>
      <c r="G17639">
        <v>1</v>
      </c>
    </row>
    <row r="17640" spans="1:7" x14ac:dyDescent="0.25">
      <c r="A17640">
        <v>51</v>
      </c>
      <c r="B17640" t="s">
        <v>17486</v>
      </c>
      <c r="C17640">
        <v>16209</v>
      </c>
      <c r="D17640" t="str">
        <f>"0954-0261"</f>
        <v>0954-0261</v>
      </c>
      <c r="E17640" t="s">
        <v>8</v>
      </c>
      <c r="F17640" t="s">
        <v>17648</v>
      </c>
      <c r="G17640">
        <v>1</v>
      </c>
    </row>
    <row r="17641" spans="1:7" x14ac:dyDescent="0.25">
      <c r="A17641">
        <v>51</v>
      </c>
      <c r="B17641" t="s">
        <v>17486</v>
      </c>
      <c r="C17641">
        <v>11874</v>
      </c>
      <c r="D17641" t="str">
        <f>"1354-2516"</f>
        <v>1354-2516</v>
      </c>
      <c r="E17641" t="s">
        <v>8</v>
      </c>
      <c r="F17641" t="s">
        <v>17649</v>
      </c>
      <c r="G17641">
        <v>1</v>
      </c>
    </row>
    <row r="17642" spans="1:7" x14ac:dyDescent="0.25">
      <c r="A17642">
        <v>51</v>
      </c>
      <c r="B17642" t="s">
        <v>17486</v>
      </c>
      <c r="C17642">
        <v>11386</v>
      </c>
      <c r="D17642" t="str">
        <f>"0333-7308"</f>
        <v>0333-7308</v>
      </c>
      <c r="E17642" t="s">
        <v>8</v>
      </c>
      <c r="F17642" t="s">
        <v>17650</v>
      </c>
      <c r="G17642">
        <v>1</v>
      </c>
    </row>
    <row r="17643" spans="1:7" x14ac:dyDescent="0.25">
      <c r="A17643">
        <v>51</v>
      </c>
      <c r="B17643" t="s">
        <v>17486</v>
      </c>
      <c r="C17643">
        <v>10561</v>
      </c>
      <c r="D17643" t="str">
        <f>"1387-2877"</f>
        <v>1387-2877</v>
      </c>
      <c r="E17643" t="s">
        <v>8</v>
      </c>
      <c r="F17643" t="s">
        <v>17651</v>
      </c>
      <c r="G17643">
        <v>1</v>
      </c>
    </row>
    <row r="17644" spans="1:7" x14ac:dyDescent="0.25">
      <c r="A17644">
        <v>51</v>
      </c>
      <c r="B17644" t="s">
        <v>17486</v>
      </c>
      <c r="C17644">
        <v>10178</v>
      </c>
      <c r="D17644" t="str">
        <f>"0887-6185"</f>
        <v>0887-6185</v>
      </c>
      <c r="E17644" t="s">
        <v>8</v>
      </c>
      <c r="F17644" t="s">
        <v>17652</v>
      </c>
      <c r="G17644">
        <v>1</v>
      </c>
    </row>
    <row r="17645" spans="1:7" x14ac:dyDescent="0.25">
      <c r="A17645">
        <v>51</v>
      </c>
      <c r="B17645" t="s">
        <v>17486</v>
      </c>
      <c r="C17645">
        <v>11391</v>
      </c>
      <c r="D17645" t="str">
        <f>"0005-7916"</f>
        <v>0005-7916</v>
      </c>
      <c r="E17645" t="s">
        <v>8</v>
      </c>
      <c r="F17645" t="s">
        <v>17653</v>
      </c>
      <c r="G17645">
        <v>1</v>
      </c>
    </row>
    <row r="17646" spans="1:7" x14ac:dyDescent="0.25">
      <c r="A17646">
        <v>51</v>
      </c>
      <c r="B17646" t="s">
        <v>17486</v>
      </c>
      <c r="C17646">
        <v>7728647</v>
      </c>
      <c r="D17646" t="str">
        <f>"2062-5871"</f>
        <v>2062-5871</v>
      </c>
      <c r="E17646" t="s">
        <v>8</v>
      </c>
      <c r="F17646" t="s">
        <v>17654</v>
      </c>
      <c r="G17646">
        <v>1</v>
      </c>
    </row>
    <row r="17647" spans="1:7" x14ac:dyDescent="0.25">
      <c r="A17647">
        <v>51</v>
      </c>
      <c r="B17647" t="s">
        <v>17486</v>
      </c>
      <c r="C17647">
        <v>16360</v>
      </c>
      <c r="D17647" t="str">
        <f>"0891-0618"</f>
        <v>0891-0618</v>
      </c>
      <c r="E17647" t="s">
        <v>8</v>
      </c>
      <c r="F17647" t="s">
        <v>17655</v>
      </c>
      <c r="G17647">
        <v>1</v>
      </c>
    </row>
    <row r="17648" spans="1:7" x14ac:dyDescent="0.25">
      <c r="A17648">
        <v>51</v>
      </c>
      <c r="B17648" t="s">
        <v>17486</v>
      </c>
      <c r="C17648">
        <v>15893</v>
      </c>
      <c r="D17648" t="str">
        <f>"1044-5463"</f>
        <v>1044-5463</v>
      </c>
      <c r="E17648" t="s">
        <v>8</v>
      </c>
      <c r="F17648" t="s">
        <v>17656</v>
      </c>
      <c r="G17648">
        <v>1</v>
      </c>
    </row>
    <row r="17649" spans="1:7" x14ac:dyDescent="0.25">
      <c r="A17649">
        <v>51</v>
      </c>
      <c r="B17649" t="s">
        <v>17486</v>
      </c>
      <c r="C17649">
        <v>13832</v>
      </c>
      <c r="D17649" t="str">
        <f>"1380-3395"</f>
        <v>1380-3395</v>
      </c>
      <c r="E17649" t="s">
        <v>8</v>
      </c>
      <c r="F17649" t="s">
        <v>17657</v>
      </c>
      <c r="G17649">
        <v>1</v>
      </c>
    </row>
    <row r="17650" spans="1:7" x14ac:dyDescent="0.25">
      <c r="A17650">
        <v>51</v>
      </c>
      <c r="B17650" t="s">
        <v>17486</v>
      </c>
      <c r="C17650">
        <v>16423</v>
      </c>
      <c r="D17650" t="str">
        <f>"1522-0443"</f>
        <v>1522-0443</v>
      </c>
      <c r="E17650" t="s">
        <v>8</v>
      </c>
      <c r="F17650" t="s">
        <v>17658</v>
      </c>
      <c r="G17650">
        <v>1</v>
      </c>
    </row>
    <row r="17651" spans="1:7" x14ac:dyDescent="0.25">
      <c r="A17651">
        <v>51</v>
      </c>
      <c r="B17651" t="s">
        <v>17486</v>
      </c>
      <c r="C17651">
        <v>16808</v>
      </c>
      <c r="D17651" t="str">
        <f>"0736-0258"</f>
        <v>0736-0258</v>
      </c>
      <c r="E17651" t="s">
        <v>8</v>
      </c>
      <c r="F17651" t="s">
        <v>17659</v>
      </c>
      <c r="G17651">
        <v>1</v>
      </c>
    </row>
    <row r="17652" spans="1:7" x14ac:dyDescent="0.25">
      <c r="A17652">
        <v>51</v>
      </c>
      <c r="B17652" t="s">
        <v>17486</v>
      </c>
      <c r="C17652">
        <v>6444</v>
      </c>
      <c r="D17652" t="str">
        <f>"0967-5868"</f>
        <v>0967-5868</v>
      </c>
      <c r="E17652" t="s">
        <v>8</v>
      </c>
      <c r="F17652" t="s">
        <v>17660</v>
      </c>
      <c r="G17652">
        <v>1</v>
      </c>
    </row>
    <row r="17653" spans="1:7" x14ac:dyDescent="0.25">
      <c r="A17653">
        <v>51</v>
      </c>
      <c r="B17653" t="s">
        <v>17486</v>
      </c>
      <c r="C17653">
        <v>13983</v>
      </c>
      <c r="D17653" t="str">
        <f>"0160-6689"</f>
        <v>0160-6689</v>
      </c>
      <c r="E17653" t="s">
        <v>8</v>
      </c>
      <c r="F17653" t="s">
        <v>17661</v>
      </c>
      <c r="G17653">
        <v>1</v>
      </c>
    </row>
    <row r="17654" spans="1:7" x14ac:dyDescent="0.25">
      <c r="A17654">
        <v>51</v>
      </c>
      <c r="B17654" t="s">
        <v>17486</v>
      </c>
      <c r="C17654">
        <v>13509</v>
      </c>
      <c r="D17654" t="str">
        <f>"0271-0749"</f>
        <v>0271-0749</v>
      </c>
      <c r="E17654" t="s">
        <v>8</v>
      </c>
      <c r="F17654" t="s">
        <v>17662</v>
      </c>
      <c r="G17654">
        <v>1</v>
      </c>
    </row>
    <row r="17655" spans="1:7" x14ac:dyDescent="0.25">
      <c r="A17655">
        <v>51</v>
      </c>
      <c r="B17655" t="s">
        <v>17486</v>
      </c>
      <c r="C17655">
        <v>2850</v>
      </c>
      <c r="D17655" t="str">
        <f>"0889-8391"</f>
        <v>0889-8391</v>
      </c>
      <c r="E17655" t="s">
        <v>8</v>
      </c>
      <c r="F17655" t="s">
        <v>17663</v>
      </c>
      <c r="G17655">
        <v>1</v>
      </c>
    </row>
    <row r="17656" spans="1:7" x14ac:dyDescent="0.25">
      <c r="A17656">
        <v>51</v>
      </c>
      <c r="B17656" t="s">
        <v>17486</v>
      </c>
      <c r="C17656">
        <v>6476</v>
      </c>
      <c r="D17656" t="str">
        <f>"0929-5313"</f>
        <v>0929-5313</v>
      </c>
      <c r="E17656" t="s">
        <v>8</v>
      </c>
      <c r="F17656" t="s">
        <v>17664</v>
      </c>
      <c r="G17656">
        <v>1</v>
      </c>
    </row>
    <row r="17657" spans="1:7" x14ac:dyDescent="0.25">
      <c r="A17657">
        <v>51</v>
      </c>
      <c r="B17657" t="s">
        <v>17486</v>
      </c>
      <c r="C17657">
        <v>16568</v>
      </c>
      <c r="D17657" t="str">
        <f>"1935-9705"</f>
        <v>1935-9705</v>
      </c>
      <c r="E17657" t="s">
        <v>8</v>
      </c>
      <c r="F17657" t="s">
        <v>17665</v>
      </c>
      <c r="G17657">
        <v>1</v>
      </c>
    </row>
    <row r="17658" spans="1:7" x14ac:dyDescent="0.25">
      <c r="A17658">
        <v>51</v>
      </c>
      <c r="B17658" t="s">
        <v>17486</v>
      </c>
      <c r="C17658">
        <v>14207</v>
      </c>
      <c r="D17658" t="str">
        <f>"0891-9887"</f>
        <v>0891-9887</v>
      </c>
      <c r="E17658" t="s">
        <v>8</v>
      </c>
      <c r="F17658" t="s">
        <v>17666</v>
      </c>
      <c r="G17658">
        <v>1</v>
      </c>
    </row>
    <row r="17659" spans="1:7" x14ac:dyDescent="0.25">
      <c r="A17659">
        <v>51</v>
      </c>
      <c r="B17659" t="s">
        <v>17486</v>
      </c>
      <c r="C17659">
        <v>1179</v>
      </c>
      <c r="D17659" t="str">
        <f>"0885-9701"</f>
        <v>0885-9701</v>
      </c>
      <c r="E17659" t="s">
        <v>8</v>
      </c>
      <c r="F17659" t="s">
        <v>17667</v>
      </c>
      <c r="G17659">
        <v>1</v>
      </c>
    </row>
    <row r="17660" spans="1:7" x14ac:dyDescent="0.25">
      <c r="A17660">
        <v>51</v>
      </c>
      <c r="B17660" t="s">
        <v>17486</v>
      </c>
      <c r="C17660">
        <v>6272</v>
      </c>
      <c r="D17660" t="str">
        <f>"0219-6352"</f>
        <v>0219-6352</v>
      </c>
      <c r="E17660" t="s">
        <v>8</v>
      </c>
      <c r="F17660" t="s">
        <v>17668</v>
      </c>
      <c r="G17660">
        <v>1</v>
      </c>
    </row>
    <row r="17661" spans="1:7" x14ac:dyDescent="0.25">
      <c r="A17661">
        <v>51</v>
      </c>
      <c r="B17661" t="s">
        <v>17486</v>
      </c>
      <c r="C17661">
        <v>5894</v>
      </c>
      <c r="D17661" t="str">
        <f>"0895-8696"</f>
        <v>0895-8696</v>
      </c>
      <c r="E17661" t="s">
        <v>8</v>
      </c>
      <c r="F17661" t="s">
        <v>17669</v>
      </c>
      <c r="G17661">
        <v>1</v>
      </c>
    </row>
    <row r="17662" spans="1:7" x14ac:dyDescent="0.25">
      <c r="A17662">
        <v>51</v>
      </c>
      <c r="B17662" t="s">
        <v>17486</v>
      </c>
      <c r="C17662">
        <v>10597</v>
      </c>
      <c r="D17662" t="str">
        <f>"0022-2895"</f>
        <v>0022-2895</v>
      </c>
      <c r="E17662" t="s">
        <v>8</v>
      </c>
      <c r="F17662" t="s">
        <v>17670</v>
      </c>
      <c r="G17662">
        <v>1</v>
      </c>
    </row>
    <row r="17663" spans="1:7" x14ac:dyDescent="0.25">
      <c r="A17663">
        <v>51</v>
      </c>
      <c r="B17663" t="s">
        <v>17486</v>
      </c>
      <c r="C17663">
        <v>15378</v>
      </c>
      <c r="D17663" t="str">
        <f>"0022-3018"</f>
        <v>0022-3018</v>
      </c>
      <c r="E17663" t="s">
        <v>8</v>
      </c>
      <c r="F17663" t="s">
        <v>17671</v>
      </c>
      <c r="G17663">
        <v>1</v>
      </c>
    </row>
    <row r="17664" spans="1:7" x14ac:dyDescent="0.25">
      <c r="A17664">
        <v>51</v>
      </c>
      <c r="B17664" t="s">
        <v>17486</v>
      </c>
      <c r="C17664">
        <v>9387</v>
      </c>
      <c r="D17664" t="str">
        <f>"0300-9564"</f>
        <v>0300-9564</v>
      </c>
      <c r="E17664" t="s">
        <v>8</v>
      </c>
      <c r="F17664" t="s">
        <v>17672</v>
      </c>
      <c r="G17664">
        <v>1</v>
      </c>
    </row>
    <row r="17665" spans="1:7" x14ac:dyDescent="0.25">
      <c r="A17665">
        <v>51</v>
      </c>
      <c r="B17665" t="s">
        <v>17486</v>
      </c>
      <c r="C17665">
        <v>1401</v>
      </c>
      <c r="D17665" t="str">
        <f>"0303-6995"</f>
        <v>0303-6995</v>
      </c>
      <c r="E17665" t="s">
        <v>15</v>
      </c>
      <c r="F17665" t="s">
        <v>17673</v>
      </c>
      <c r="G17665">
        <v>1</v>
      </c>
    </row>
    <row r="17666" spans="1:7" x14ac:dyDescent="0.25">
      <c r="A17666">
        <v>51</v>
      </c>
      <c r="B17666" t="s">
        <v>17486</v>
      </c>
      <c r="C17666">
        <v>7829</v>
      </c>
      <c r="D17666" t="str">
        <f>"0022-3042"</f>
        <v>0022-3042</v>
      </c>
      <c r="E17666" t="s">
        <v>8</v>
      </c>
      <c r="F17666" t="s">
        <v>17674</v>
      </c>
      <c r="G17666">
        <v>1</v>
      </c>
    </row>
    <row r="17667" spans="1:7" x14ac:dyDescent="0.25">
      <c r="A17667">
        <v>51</v>
      </c>
      <c r="B17667" t="s">
        <v>17486</v>
      </c>
      <c r="C17667">
        <v>1146</v>
      </c>
      <c r="D17667" t="str">
        <f>"0953-8194"</f>
        <v>0953-8194</v>
      </c>
      <c r="E17667" t="s">
        <v>8</v>
      </c>
      <c r="F17667" t="s">
        <v>17675</v>
      </c>
      <c r="G17667">
        <v>1</v>
      </c>
    </row>
    <row r="17668" spans="1:7" x14ac:dyDescent="0.25">
      <c r="A17668">
        <v>51</v>
      </c>
      <c r="B17668" t="s">
        <v>17486</v>
      </c>
      <c r="C17668">
        <v>14863</v>
      </c>
      <c r="D17668" t="str">
        <f>"1051-2284"</f>
        <v>1051-2284</v>
      </c>
      <c r="E17668" t="s">
        <v>8</v>
      </c>
      <c r="F17668" t="s">
        <v>17676</v>
      </c>
      <c r="G17668">
        <v>1</v>
      </c>
    </row>
    <row r="17669" spans="1:7" x14ac:dyDescent="0.25">
      <c r="A17669">
        <v>51</v>
      </c>
      <c r="B17669" t="s">
        <v>17486</v>
      </c>
      <c r="C17669">
        <v>8857</v>
      </c>
      <c r="D17669" t="str">
        <f>"0165-5728"</f>
        <v>0165-5728</v>
      </c>
      <c r="E17669" t="s">
        <v>8</v>
      </c>
      <c r="F17669" t="s">
        <v>17677</v>
      </c>
      <c r="G17669">
        <v>1</v>
      </c>
    </row>
    <row r="17670" spans="1:7" x14ac:dyDescent="0.25">
      <c r="A17670">
        <v>51</v>
      </c>
      <c r="B17670" t="s">
        <v>17486</v>
      </c>
      <c r="C17670">
        <v>10306</v>
      </c>
      <c r="D17670" t="str">
        <f>"2193-6315"</f>
        <v>2193-6315</v>
      </c>
      <c r="E17670" t="s">
        <v>8</v>
      </c>
      <c r="F17670" t="s">
        <v>17678</v>
      </c>
      <c r="G17670">
        <v>1</v>
      </c>
    </row>
    <row r="17671" spans="1:7" x14ac:dyDescent="0.25">
      <c r="A17671">
        <v>51</v>
      </c>
      <c r="B17671" t="s">
        <v>17486</v>
      </c>
      <c r="C17671">
        <v>14272</v>
      </c>
      <c r="D17671" t="str">
        <f>"2193-6331"</f>
        <v>2193-6331</v>
      </c>
      <c r="E17671" t="s">
        <v>8</v>
      </c>
      <c r="F17671" t="s">
        <v>17679</v>
      </c>
      <c r="G17671">
        <v>1</v>
      </c>
    </row>
    <row r="17672" spans="1:7" x14ac:dyDescent="0.25">
      <c r="A17672">
        <v>51</v>
      </c>
      <c r="B17672" t="s">
        <v>17486</v>
      </c>
      <c r="C17672">
        <v>1132</v>
      </c>
      <c r="D17672" t="str">
        <f>"0340-5354"</f>
        <v>0340-5354</v>
      </c>
      <c r="E17672" t="s">
        <v>8</v>
      </c>
      <c r="F17672" t="s">
        <v>17680</v>
      </c>
      <c r="G17672">
        <v>1</v>
      </c>
    </row>
    <row r="17673" spans="1:7" x14ac:dyDescent="0.25">
      <c r="A17673">
        <v>51</v>
      </c>
      <c r="B17673" t="s">
        <v>17486</v>
      </c>
      <c r="C17673">
        <v>1826</v>
      </c>
      <c r="D17673" t="str">
        <f>"0022-3050"</f>
        <v>0022-3050</v>
      </c>
      <c r="E17673" t="s">
        <v>8</v>
      </c>
      <c r="F17673" t="s">
        <v>17681</v>
      </c>
      <c r="G17673">
        <v>1</v>
      </c>
    </row>
    <row r="17674" spans="1:7" x14ac:dyDescent="0.25">
      <c r="A17674">
        <v>51</v>
      </c>
      <c r="B17674" t="s">
        <v>17486</v>
      </c>
      <c r="C17674">
        <v>9206</v>
      </c>
      <c r="D17674" t="str">
        <f>"0022-3069"</f>
        <v>0022-3069</v>
      </c>
      <c r="E17674" t="s">
        <v>8</v>
      </c>
      <c r="F17674" t="s">
        <v>17682</v>
      </c>
      <c r="G17674">
        <v>1</v>
      </c>
    </row>
    <row r="17675" spans="1:7" x14ac:dyDescent="0.25">
      <c r="A17675">
        <v>51</v>
      </c>
      <c r="B17675" t="s">
        <v>17486</v>
      </c>
      <c r="C17675">
        <v>1555</v>
      </c>
      <c r="D17675" t="str">
        <f>"0150-9861"</f>
        <v>0150-9861</v>
      </c>
      <c r="E17675" t="s">
        <v>8</v>
      </c>
      <c r="F17675" t="s">
        <v>17683</v>
      </c>
      <c r="G17675">
        <v>1</v>
      </c>
    </row>
    <row r="17676" spans="1:7" x14ac:dyDescent="0.25">
      <c r="A17676">
        <v>51</v>
      </c>
      <c r="B17676" t="s">
        <v>17486</v>
      </c>
      <c r="C17676">
        <v>4001</v>
      </c>
      <c r="D17676" t="str">
        <f>"0165-0270"</f>
        <v>0165-0270</v>
      </c>
      <c r="E17676" t="s">
        <v>8</v>
      </c>
      <c r="F17676" t="s">
        <v>17684</v>
      </c>
      <c r="G17676">
        <v>1</v>
      </c>
    </row>
    <row r="17677" spans="1:7" x14ac:dyDescent="0.25">
      <c r="A17677">
        <v>51</v>
      </c>
      <c r="B17677" t="s">
        <v>17486</v>
      </c>
      <c r="C17677">
        <v>6815</v>
      </c>
      <c r="D17677" t="str">
        <f>"0360-4012"</f>
        <v>0360-4012</v>
      </c>
      <c r="E17677" t="s">
        <v>8</v>
      </c>
      <c r="F17677" t="s">
        <v>17685</v>
      </c>
      <c r="G17677">
        <v>1</v>
      </c>
    </row>
    <row r="17678" spans="1:7" x14ac:dyDescent="0.25">
      <c r="A17678">
        <v>51</v>
      </c>
      <c r="B17678" t="s">
        <v>17486</v>
      </c>
      <c r="C17678">
        <v>13141</v>
      </c>
      <c r="D17678" t="str">
        <f>"0022-3085"</f>
        <v>0022-3085</v>
      </c>
      <c r="E17678" t="s">
        <v>8</v>
      </c>
      <c r="F17678" t="s">
        <v>17686</v>
      </c>
      <c r="G17678">
        <v>1</v>
      </c>
    </row>
    <row r="17679" spans="1:7" x14ac:dyDescent="0.25">
      <c r="A17679">
        <v>51</v>
      </c>
      <c r="B17679" t="s">
        <v>17486</v>
      </c>
      <c r="C17679">
        <v>7346</v>
      </c>
      <c r="D17679" t="str">
        <f>"1547-5654"</f>
        <v>1547-5654</v>
      </c>
      <c r="E17679" t="s">
        <v>8</v>
      </c>
      <c r="F17679" t="s">
        <v>17687</v>
      </c>
      <c r="G17679">
        <v>1</v>
      </c>
    </row>
    <row r="17680" spans="1:7" x14ac:dyDescent="0.25">
      <c r="A17680">
        <v>51</v>
      </c>
      <c r="B17680" t="s">
        <v>17486</v>
      </c>
      <c r="C17680">
        <v>7056</v>
      </c>
      <c r="D17680" t="str">
        <f>"0897-7151"</f>
        <v>0897-7151</v>
      </c>
      <c r="E17680" t="s">
        <v>8</v>
      </c>
      <c r="F17680" t="s">
        <v>17688</v>
      </c>
      <c r="G17680">
        <v>1</v>
      </c>
    </row>
    <row r="17681" spans="1:7" x14ac:dyDescent="0.25">
      <c r="A17681">
        <v>51</v>
      </c>
      <c r="B17681" t="s">
        <v>17486</v>
      </c>
      <c r="C17681">
        <v>2720</v>
      </c>
      <c r="D17681" t="str">
        <f>"1355-0284"</f>
        <v>1355-0284</v>
      </c>
      <c r="E17681" t="s">
        <v>8</v>
      </c>
      <c r="F17681" t="s">
        <v>17689</v>
      </c>
      <c r="G17681">
        <v>1</v>
      </c>
    </row>
    <row r="17682" spans="1:7" x14ac:dyDescent="0.25">
      <c r="A17682">
        <v>51</v>
      </c>
      <c r="B17682" t="s">
        <v>17486</v>
      </c>
      <c r="C17682">
        <v>16881</v>
      </c>
      <c r="D17682" t="str">
        <f>"1527-4160"</f>
        <v>1527-4160</v>
      </c>
      <c r="E17682" t="s">
        <v>8</v>
      </c>
      <c r="F17682" t="s">
        <v>17690</v>
      </c>
      <c r="G17682">
        <v>1</v>
      </c>
    </row>
    <row r="17683" spans="1:7" x14ac:dyDescent="0.25">
      <c r="A17683">
        <v>51</v>
      </c>
      <c r="B17683" t="s">
        <v>17486</v>
      </c>
      <c r="C17683">
        <v>2128</v>
      </c>
      <c r="D17683" t="str">
        <f>"0022-3956"</f>
        <v>0022-3956</v>
      </c>
      <c r="E17683" t="s">
        <v>8</v>
      </c>
      <c r="F17683" t="s">
        <v>17691</v>
      </c>
      <c r="G17683">
        <v>1</v>
      </c>
    </row>
    <row r="17684" spans="1:7" x14ac:dyDescent="0.25">
      <c r="A17684">
        <v>51</v>
      </c>
      <c r="B17684" t="s">
        <v>17486</v>
      </c>
      <c r="C17684">
        <v>13444</v>
      </c>
      <c r="D17684" t="str">
        <f>"1180-4882"</f>
        <v>1180-4882</v>
      </c>
      <c r="E17684" t="s">
        <v>8</v>
      </c>
      <c r="F17684" t="s">
        <v>17692</v>
      </c>
      <c r="G17684">
        <v>1</v>
      </c>
    </row>
    <row r="17685" spans="1:7" x14ac:dyDescent="0.25">
      <c r="A17685">
        <v>51</v>
      </c>
      <c r="B17685" t="s">
        <v>17486</v>
      </c>
      <c r="C17685">
        <v>74889</v>
      </c>
      <c r="D17685" t="str">
        <f>"1365-2869"</f>
        <v>1365-2869</v>
      </c>
      <c r="E17685" t="s">
        <v>8</v>
      </c>
      <c r="F17685" t="s">
        <v>17693</v>
      </c>
      <c r="G17685">
        <v>1</v>
      </c>
    </row>
    <row r="17686" spans="1:7" x14ac:dyDescent="0.25">
      <c r="A17686">
        <v>51</v>
      </c>
      <c r="B17686" t="s">
        <v>17486</v>
      </c>
      <c r="C17686">
        <v>15070</v>
      </c>
      <c r="D17686" t="str">
        <f>"1536-0652"</f>
        <v>1536-0652</v>
      </c>
      <c r="E17686" t="s">
        <v>8</v>
      </c>
      <c r="F17686" t="s">
        <v>17694</v>
      </c>
      <c r="G17686">
        <v>1</v>
      </c>
    </row>
    <row r="17687" spans="1:7" x14ac:dyDescent="0.25">
      <c r="A17687">
        <v>51</v>
      </c>
      <c r="B17687" t="s">
        <v>17486</v>
      </c>
      <c r="C17687">
        <v>11453</v>
      </c>
      <c r="D17687" t="str">
        <f>"1093-6793"</f>
        <v>1093-6793</v>
      </c>
      <c r="E17687" t="s">
        <v>8</v>
      </c>
      <c r="F17687" t="s">
        <v>17695</v>
      </c>
      <c r="G17687">
        <v>1</v>
      </c>
    </row>
    <row r="17688" spans="1:7" x14ac:dyDescent="0.25">
      <c r="A17688">
        <v>51</v>
      </c>
      <c r="B17688" t="s">
        <v>17486</v>
      </c>
      <c r="C17688">
        <v>14414</v>
      </c>
      <c r="D17688" t="str">
        <f>"0022-510X"</f>
        <v>0022-510X</v>
      </c>
      <c r="E17688" t="s">
        <v>8</v>
      </c>
      <c r="F17688" t="s">
        <v>17696</v>
      </c>
      <c r="G17688">
        <v>1</v>
      </c>
    </row>
    <row r="17689" spans="1:7" x14ac:dyDescent="0.25">
      <c r="A17689">
        <v>51</v>
      </c>
      <c r="B17689" t="s">
        <v>17486</v>
      </c>
      <c r="C17689">
        <v>4190</v>
      </c>
      <c r="D17689" t="str">
        <f>"1085-9489"</f>
        <v>1085-9489</v>
      </c>
      <c r="E17689" t="s">
        <v>8</v>
      </c>
      <c r="F17689" t="s">
        <v>17697</v>
      </c>
      <c r="G17689">
        <v>1</v>
      </c>
    </row>
    <row r="17690" spans="1:7" x14ac:dyDescent="0.25">
      <c r="A17690">
        <v>51</v>
      </c>
      <c r="B17690" t="s">
        <v>17486</v>
      </c>
      <c r="C17690">
        <v>13596</v>
      </c>
      <c r="D17690" t="str">
        <f>"1662-4874"</f>
        <v>1662-4874</v>
      </c>
      <c r="E17690" t="s">
        <v>15</v>
      </c>
      <c r="F17690" t="s">
        <v>17698</v>
      </c>
      <c r="G17690">
        <v>1</v>
      </c>
    </row>
    <row r="17691" spans="1:7" x14ac:dyDescent="0.25">
      <c r="A17691">
        <v>51</v>
      </c>
      <c r="B17691" t="s">
        <v>17486</v>
      </c>
      <c r="C17691">
        <v>2016</v>
      </c>
      <c r="D17691" t="str">
        <f>"0885-7490"</f>
        <v>0885-7490</v>
      </c>
      <c r="E17691" t="s">
        <v>8</v>
      </c>
      <c r="F17691" t="s">
        <v>17699</v>
      </c>
      <c r="G17691">
        <v>1</v>
      </c>
    </row>
    <row r="17692" spans="1:7" x14ac:dyDescent="0.25">
      <c r="A17692">
        <v>51</v>
      </c>
      <c r="B17692" t="s">
        <v>17486</v>
      </c>
      <c r="C17692">
        <v>140246</v>
      </c>
      <c r="D17692" t="str">
        <f>"1611-8812"</f>
        <v>1611-8812</v>
      </c>
      <c r="E17692" t="s">
        <v>8</v>
      </c>
      <c r="F17692" t="s">
        <v>17700</v>
      </c>
      <c r="G17692">
        <v>1</v>
      </c>
    </row>
    <row r="17693" spans="1:7" x14ac:dyDescent="0.25">
      <c r="A17693">
        <v>51</v>
      </c>
      <c r="B17693" t="s">
        <v>17486</v>
      </c>
      <c r="C17693">
        <v>2751</v>
      </c>
      <c r="D17693" t="str">
        <f>"1044-7431"</f>
        <v>1044-7431</v>
      </c>
      <c r="E17693" t="s">
        <v>8</v>
      </c>
      <c r="F17693" t="s">
        <v>17701</v>
      </c>
      <c r="G17693">
        <v>1</v>
      </c>
    </row>
    <row r="17694" spans="1:7" x14ac:dyDescent="0.25">
      <c r="A17694">
        <v>51</v>
      </c>
      <c r="B17694" t="s">
        <v>17486</v>
      </c>
      <c r="C17694">
        <v>7198</v>
      </c>
      <c r="D17694" t="str">
        <f>"1087-1640"</f>
        <v>1087-1640</v>
      </c>
      <c r="E17694" t="s">
        <v>8</v>
      </c>
      <c r="F17694" t="s">
        <v>17702</v>
      </c>
      <c r="G17694">
        <v>1</v>
      </c>
    </row>
    <row r="17695" spans="1:7" x14ac:dyDescent="0.25">
      <c r="A17695">
        <v>51</v>
      </c>
      <c r="B17695" t="s">
        <v>17486</v>
      </c>
      <c r="C17695">
        <v>8777230</v>
      </c>
      <c r="E17695" t="s">
        <v>8</v>
      </c>
      <c r="F17695" t="s">
        <v>17703</v>
      </c>
      <c r="G17695">
        <v>1</v>
      </c>
    </row>
    <row r="17696" spans="1:7" x14ac:dyDescent="0.25">
      <c r="A17696">
        <v>51</v>
      </c>
      <c r="B17696" t="s">
        <v>17486</v>
      </c>
      <c r="C17696">
        <v>1663</v>
      </c>
      <c r="D17696" t="str">
        <f>"1352-4585"</f>
        <v>1352-4585</v>
      </c>
      <c r="E17696" t="s">
        <v>8</v>
      </c>
      <c r="F17696" t="s">
        <v>17704</v>
      </c>
      <c r="G17696">
        <v>1</v>
      </c>
    </row>
    <row r="17697" spans="1:7" x14ac:dyDescent="0.25">
      <c r="A17697">
        <v>51</v>
      </c>
      <c r="B17697" t="s">
        <v>17486</v>
      </c>
      <c r="C17697">
        <v>6275</v>
      </c>
      <c r="D17697" t="str">
        <f>"2090-5904"</f>
        <v>2090-5904</v>
      </c>
      <c r="E17697" t="s">
        <v>8</v>
      </c>
      <c r="F17697" t="s">
        <v>17705</v>
      </c>
      <c r="G17697">
        <v>1</v>
      </c>
    </row>
    <row r="17698" spans="1:7" x14ac:dyDescent="0.25">
      <c r="A17698">
        <v>51</v>
      </c>
      <c r="B17698" t="s">
        <v>17486</v>
      </c>
      <c r="C17698">
        <v>9797</v>
      </c>
      <c r="D17698" t="str">
        <f>"0197-4580"</f>
        <v>0197-4580</v>
      </c>
      <c r="E17698" t="s">
        <v>8</v>
      </c>
      <c r="F17698" t="s">
        <v>17706</v>
      </c>
      <c r="G17698">
        <v>1</v>
      </c>
    </row>
    <row r="17699" spans="1:7" x14ac:dyDescent="0.25">
      <c r="A17699">
        <v>51</v>
      </c>
      <c r="B17699" t="s">
        <v>17486</v>
      </c>
      <c r="C17699">
        <v>16007</v>
      </c>
      <c r="D17699" t="str">
        <f>"1074-7427"</f>
        <v>1074-7427</v>
      </c>
      <c r="E17699" t="s">
        <v>8</v>
      </c>
      <c r="F17699" t="s">
        <v>17707</v>
      </c>
      <c r="G17699">
        <v>1</v>
      </c>
    </row>
    <row r="17700" spans="1:7" x14ac:dyDescent="0.25">
      <c r="A17700">
        <v>51</v>
      </c>
      <c r="B17700" t="s">
        <v>17486</v>
      </c>
      <c r="C17700">
        <v>12299</v>
      </c>
      <c r="D17700" t="str">
        <f>"1355-4794"</f>
        <v>1355-4794</v>
      </c>
      <c r="E17700" t="s">
        <v>8</v>
      </c>
      <c r="F17700" t="s">
        <v>17708</v>
      </c>
      <c r="G17700">
        <v>1</v>
      </c>
    </row>
    <row r="17701" spans="1:7" x14ac:dyDescent="0.25">
      <c r="A17701">
        <v>51</v>
      </c>
      <c r="B17701" t="s">
        <v>17486</v>
      </c>
      <c r="C17701">
        <v>13432</v>
      </c>
      <c r="D17701" t="str">
        <f>"0364-3190"</f>
        <v>0364-3190</v>
      </c>
      <c r="E17701" t="s">
        <v>8</v>
      </c>
      <c r="F17701" t="s">
        <v>17709</v>
      </c>
      <c r="G17701">
        <v>1</v>
      </c>
    </row>
    <row r="17702" spans="1:7" x14ac:dyDescent="0.25">
      <c r="A17702">
        <v>51</v>
      </c>
      <c r="B17702" t="s">
        <v>17486</v>
      </c>
      <c r="C17702">
        <v>8039</v>
      </c>
      <c r="D17702" t="str">
        <f>"0028-3835"</f>
        <v>0028-3835</v>
      </c>
      <c r="E17702" t="s">
        <v>8</v>
      </c>
      <c r="F17702" t="s">
        <v>17710</v>
      </c>
      <c r="G17702">
        <v>1</v>
      </c>
    </row>
    <row r="17703" spans="1:7" x14ac:dyDescent="0.25">
      <c r="A17703">
        <v>51</v>
      </c>
      <c r="B17703" t="s">
        <v>17486</v>
      </c>
      <c r="C17703">
        <v>8561</v>
      </c>
      <c r="D17703" t="str">
        <f>"0172-780X"</f>
        <v>0172-780X</v>
      </c>
      <c r="E17703" t="s">
        <v>8</v>
      </c>
      <c r="F17703" t="s">
        <v>17711</v>
      </c>
      <c r="G17703">
        <v>1</v>
      </c>
    </row>
    <row r="17704" spans="1:7" x14ac:dyDescent="0.25">
      <c r="A17704">
        <v>51</v>
      </c>
      <c r="B17704" t="s">
        <v>17486</v>
      </c>
      <c r="C17704">
        <v>14765</v>
      </c>
      <c r="D17704" t="str">
        <f>"0251-5350"</f>
        <v>0251-5350</v>
      </c>
      <c r="E17704" t="s">
        <v>8</v>
      </c>
      <c r="F17704" t="s">
        <v>17712</v>
      </c>
      <c r="G17704">
        <v>1</v>
      </c>
    </row>
    <row r="17705" spans="1:7" x14ac:dyDescent="0.25">
      <c r="A17705">
        <v>51</v>
      </c>
      <c r="B17705" t="s">
        <v>17486</v>
      </c>
      <c r="C17705">
        <v>11568</v>
      </c>
      <c r="D17705" t="str">
        <f>"1364-6745"</f>
        <v>1364-6745</v>
      </c>
      <c r="E17705" t="s">
        <v>8</v>
      </c>
      <c r="F17705" t="s">
        <v>17713</v>
      </c>
      <c r="G17705">
        <v>1</v>
      </c>
    </row>
    <row r="17706" spans="1:7" x14ac:dyDescent="0.25">
      <c r="A17706">
        <v>51</v>
      </c>
      <c r="B17706" t="s">
        <v>17486</v>
      </c>
      <c r="C17706">
        <v>11455</v>
      </c>
      <c r="D17706" t="str">
        <f>"1052-5149"</f>
        <v>1052-5149</v>
      </c>
      <c r="E17706" t="s">
        <v>8</v>
      </c>
      <c r="F17706" t="s">
        <v>17714</v>
      </c>
      <c r="G17706">
        <v>1</v>
      </c>
    </row>
    <row r="17707" spans="1:7" x14ac:dyDescent="0.25">
      <c r="A17707">
        <v>51</v>
      </c>
      <c r="B17707" t="s">
        <v>17486</v>
      </c>
      <c r="C17707">
        <v>6032</v>
      </c>
      <c r="D17707" t="str">
        <f>"0213-4853"</f>
        <v>0213-4853</v>
      </c>
      <c r="E17707" t="s">
        <v>8</v>
      </c>
      <c r="F17707" t="s">
        <v>17715</v>
      </c>
      <c r="G17707">
        <v>1</v>
      </c>
    </row>
    <row r="17708" spans="1:7" x14ac:dyDescent="0.25">
      <c r="A17708">
        <v>51</v>
      </c>
      <c r="B17708" t="s">
        <v>17486</v>
      </c>
      <c r="C17708">
        <v>152732</v>
      </c>
      <c r="D17708" t="str">
        <f>"0470-8105"</f>
        <v>0470-8105</v>
      </c>
      <c r="E17708" t="s">
        <v>8</v>
      </c>
      <c r="F17708" t="s">
        <v>17716</v>
      </c>
      <c r="G17708">
        <v>1</v>
      </c>
    </row>
    <row r="17709" spans="1:7" x14ac:dyDescent="0.25">
      <c r="A17709">
        <v>51</v>
      </c>
      <c r="B17709" t="s">
        <v>17486</v>
      </c>
      <c r="C17709">
        <v>10904</v>
      </c>
      <c r="D17709" t="str">
        <f>"0733-8619"</f>
        <v>0733-8619</v>
      </c>
      <c r="E17709" t="s">
        <v>8</v>
      </c>
      <c r="F17709" t="s">
        <v>17717</v>
      </c>
      <c r="G17709">
        <v>1</v>
      </c>
    </row>
    <row r="17710" spans="1:7" x14ac:dyDescent="0.25">
      <c r="A17710">
        <v>51</v>
      </c>
      <c r="B17710" t="s">
        <v>17486</v>
      </c>
      <c r="C17710">
        <v>10559</v>
      </c>
      <c r="D17710" t="str">
        <f>"0161-6412"</f>
        <v>0161-6412</v>
      </c>
      <c r="E17710" t="s">
        <v>8</v>
      </c>
      <c r="F17710" t="s">
        <v>17718</v>
      </c>
      <c r="G17710">
        <v>1</v>
      </c>
    </row>
    <row r="17711" spans="1:7" x14ac:dyDescent="0.25">
      <c r="A17711">
        <v>51</v>
      </c>
      <c r="B17711" t="s">
        <v>17486</v>
      </c>
      <c r="C17711">
        <v>13801</v>
      </c>
      <c r="D17711" t="str">
        <f>"1590-1874"</f>
        <v>1590-1874</v>
      </c>
      <c r="E17711" t="s">
        <v>8</v>
      </c>
      <c r="F17711" t="s">
        <v>17719</v>
      </c>
      <c r="G17711">
        <v>1</v>
      </c>
    </row>
    <row r="17712" spans="1:7" x14ac:dyDescent="0.25">
      <c r="A17712">
        <v>51</v>
      </c>
      <c r="B17712" t="s">
        <v>17486</v>
      </c>
      <c r="C17712">
        <v>10799</v>
      </c>
      <c r="D17712" t="str">
        <f>"0301-2603"</f>
        <v>0301-2603</v>
      </c>
      <c r="E17712" t="s">
        <v>8</v>
      </c>
      <c r="F17712" t="s">
        <v>17720</v>
      </c>
      <c r="G17712">
        <v>1</v>
      </c>
    </row>
    <row r="17713" spans="1:7" x14ac:dyDescent="0.25">
      <c r="A17713">
        <v>51</v>
      </c>
      <c r="B17713" t="s">
        <v>17486</v>
      </c>
      <c r="C17713">
        <v>1914</v>
      </c>
      <c r="D17713" t="str">
        <f>"0028-3886"</f>
        <v>0028-3886</v>
      </c>
      <c r="E17713" t="s">
        <v>8</v>
      </c>
      <c r="F17713" t="s">
        <v>17721</v>
      </c>
      <c r="G17713">
        <v>1</v>
      </c>
    </row>
    <row r="17714" spans="1:7" x14ac:dyDescent="0.25">
      <c r="A17714">
        <v>51</v>
      </c>
      <c r="B17714" t="s">
        <v>17486</v>
      </c>
      <c r="C17714">
        <v>168</v>
      </c>
      <c r="D17714" t="str">
        <f>"1094-7159"</f>
        <v>1094-7159</v>
      </c>
      <c r="E17714" t="s">
        <v>8</v>
      </c>
      <c r="F17714" t="s">
        <v>17722</v>
      </c>
      <c r="G17714">
        <v>1</v>
      </c>
    </row>
    <row r="17715" spans="1:7" x14ac:dyDescent="0.25">
      <c r="A17715">
        <v>51</v>
      </c>
      <c r="B17715" t="s">
        <v>17486</v>
      </c>
      <c r="C17715">
        <v>3598</v>
      </c>
      <c r="D17715" t="str">
        <f>"1535-1084"</f>
        <v>1535-1084</v>
      </c>
      <c r="E17715" t="s">
        <v>8</v>
      </c>
      <c r="F17715" t="s">
        <v>17723</v>
      </c>
      <c r="G17715">
        <v>1</v>
      </c>
    </row>
    <row r="17716" spans="1:7" x14ac:dyDescent="0.25">
      <c r="A17716">
        <v>51</v>
      </c>
      <c r="B17716" t="s">
        <v>17486</v>
      </c>
      <c r="C17716">
        <v>3228</v>
      </c>
      <c r="D17716" t="str">
        <f>"0960-8966"</f>
        <v>0960-8966</v>
      </c>
      <c r="E17716" t="s">
        <v>8</v>
      </c>
      <c r="F17716" t="s">
        <v>17724</v>
      </c>
      <c r="G17716">
        <v>1</v>
      </c>
    </row>
    <row r="17717" spans="1:7" x14ac:dyDescent="0.25">
      <c r="A17717">
        <v>51</v>
      </c>
      <c r="B17717" t="s">
        <v>17486</v>
      </c>
      <c r="C17717">
        <v>5682</v>
      </c>
      <c r="D17717" t="str">
        <f>"0143-4179"</f>
        <v>0143-4179</v>
      </c>
      <c r="E17717" t="s">
        <v>8</v>
      </c>
      <c r="F17717" t="s">
        <v>17725</v>
      </c>
      <c r="G17717">
        <v>1</v>
      </c>
    </row>
    <row r="17718" spans="1:7" x14ac:dyDescent="0.25">
      <c r="A17718">
        <v>51</v>
      </c>
      <c r="B17718" t="s">
        <v>17486</v>
      </c>
      <c r="C17718">
        <v>8978</v>
      </c>
      <c r="D17718" t="str">
        <f>"0090-2977"</f>
        <v>0090-2977</v>
      </c>
      <c r="E17718" t="s">
        <v>8</v>
      </c>
      <c r="F17718" t="s">
        <v>17726</v>
      </c>
      <c r="G17718">
        <v>1</v>
      </c>
    </row>
    <row r="17719" spans="1:7" x14ac:dyDescent="0.25">
      <c r="A17719">
        <v>51</v>
      </c>
      <c r="B17719" t="s">
        <v>17486</v>
      </c>
      <c r="C17719">
        <v>4311</v>
      </c>
      <c r="D17719" t="str">
        <f>"1176-6328"</f>
        <v>1176-6328</v>
      </c>
      <c r="E17719" t="s">
        <v>8</v>
      </c>
      <c r="F17719" t="s">
        <v>17727</v>
      </c>
      <c r="G17719">
        <v>1</v>
      </c>
    </row>
    <row r="17720" spans="1:7" x14ac:dyDescent="0.25">
      <c r="A17720">
        <v>51</v>
      </c>
      <c r="B17720" t="s">
        <v>17486</v>
      </c>
      <c r="C17720">
        <v>19869</v>
      </c>
      <c r="D17720" t="str">
        <f>"1529-4145"</f>
        <v>1529-4145</v>
      </c>
      <c r="E17720" t="s">
        <v>8</v>
      </c>
      <c r="F17720" t="s">
        <v>17728</v>
      </c>
      <c r="G17720">
        <v>1</v>
      </c>
    </row>
    <row r="17721" spans="1:7" x14ac:dyDescent="0.25">
      <c r="A17721">
        <v>51</v>
      </c>
      <c r="B17721" t="s">
        <v>17486</v>
      </c>
      <c r="C17721">
        <v>15362</v>
      </c>
      <c r="D17721" t="str">
        <f>"0302-282X"</f>
        <v>0302-282X</v>
      </c>
      <c r="E17721" t="s">
        <v>8</v>
      </c>
      <c r="F17721" t="s">
        <v>17729</v>
      </c>
      <c r="G17721">
        <v>1</v>
      </c>
    </row>
    <row r="17722" spans="1:7" x14ac:dyDescent="0.25">
      <c r="A17722">
        <v>51</v>
      </c>
      <c r="B17722" t="s">
        <v>17486</v>
      </c>
      <c r="C17722">
        <v>249</v>
      </c>
      <c r="D17722" t="str">
        <f>"0960-2011"</f>
        <v>0960-2011</v>
      </c>
      <c r="E17722" t="s">
        <v>8</v>
      </c>
      <c r="F17722" t="s">
        <v>17730</v>
      </c>
      <c r="G17722">
        <v>1</v>
      </c>
    </row>
    <row r="17723" spans="1:7" x14ac:dyDescent="0.25">
      <c r="A17723">
        <v>51</v>
      </c>
      <c r="B17723" t="s">
        <v>17486</v>
      </c>
      <c r="C17723">
        <v>16972</v>
      </c>
      <c r="D17723" t="str">
        <f>"0028-3940"</f>
        <v>0028-3940</v>
      </c>
      <c r="E17723" t="s">
        <v>8</v>
      </c>
      <c r="F17723" t="s">
        <v>17731</v>
      </c>
      <c r="G17723">
        <v>1</v>
      </c>
    </row>
    <row r="17724" spans="1:7" x14ac:dyDescent="0.25">
      <c r="A17724">
        <v>51</v>
      </c>
      <c r="B17724" t="s">
        <v>17486</v>
      </c>
      <c r="C17724">
        <v>5434</v>
      </c>
      <c r="D17724" t="str">
        <f>"1053-8135"</f>
        <v>1053-8135</v>
      </c>
      <c r="E17724" t="s">
        <v>8</v>
      </c>
      <c r="F17724" t="s">
        <v>17732</v>
      </c>
      <c r="G17724">
        <v>1</v>
      </c>
    </row>
    <row r="17725" spans="1:7" x14ac:dyDescent="0.25">
      <c r="A17725">
        <v>51</v>
      </c>
      <c r="B17725" t="s">
        <v>17486</v>
      </c>
      <c r="C17725">
        <v>17868</v>
      </c>
      <c r="D17725" t="str">
        <f>"1545-9683"</f>
        <v>1545-9683</v>
      </c>
      <c r="E17725" t="s">
        <v>8</v>
      </c>
      <c r="F17725" t="s">
        <v>17733</v>
      </c>
      <c r="G17725">
        <v>1</v>
      </c>
    </row>
    <row r="17726" spans="1:7" x14ac:dyDescent="0.25">
      <c r="A17726">
        <v>51</v>
      </c>
      <c r="B17726" t="s">
        <v>17486</v>
      </c>
      <c r="C17726">
        <v>1093</v>
      </c>
      <c r="D17726" t="str">
        <f>"0959-4965"</f>
        <v>0959-4965</v>
      </c>
      <c r="E17726" t="s">
        <v>8</v>
      </c>
      <c r="F17726" t="s">
        <v>17734</v>
      </c>
      <c r="G17726">
        <v>1</v>
      </c>
    </row>
    <row r="17727" spans="1:7" x14ac:dyDescent="0.25">
      <c r="A17727">
        <v>51</v>
      </c>
      <c r="B17727" t="s">
        <v>17486</v>
      </c>
      <c r="C17727">
        <v>6198</v>
      </c>
      <c r="D17727" t="str">
        <f>"0306-4522"</f>
        <v>0306-4522</v>
      </c>
      <c r="E17727" t="s">
        <v>8</v>
      </c>
      <c r="F17727" t="s">
        <v>17735</v>
      </c>
      <c r="G17727">
        <v>1</v>
      </c>
    </row>
    <row r="17728" spans="1:7" x14ac:dyDescent="0.25">
      <c r="A17728">
        <v>51</v>
      </c>
      <c r="B17728" t="s">
        <v>17486</v>
      </c>
      <c r="C17728">
        <v>11992</v>
      </c>
      <c r="D17728" t="str">
        <f>"0097-0549"</f>
        <v>0097-0549</v>
      </c>
      <c r="E17728" t="s">
        <v>8</v>
      </c>
      <c r="F17728" t="s">
        <v>17736</v>
      </c>
      <c r="G17728">
        <v>1</v>
      </c>
    </row>
    <row r="17729" spans="1:7" x14ac:dyDescent="0.25">
      <c r="A17729">
        <v>51</v>
      </c>
      <c r="B17729" t="s">
        <v>17486</v>
      </c>
      <c r="C17729">
        <v>5808</v>
      </c>
      <c r="D17729" t="str">
        <f>"0304-3940"</f>
        <v>0304-3940</v>
      </c>
      <c r="E17729" t="s">
        <v>8</v>
      </c>
      <c r="F17729" t="s">
        <v>17737</v>
      </c>
      <c r="G17729">
        <v>1</v>
      </c>
    </row>
    <row r="17730" spans="1:7" x14ac:dyDescent="0.25">
      <c r="A17730">
        <v>51</v>
      </c>
      <c r="B17730" t="s">
        <v>17486</v>
      </c>
      <c r="C17730">
        <v>15908</v>
      </c>
      <c r="D17730" t="str">
        <f>"0168-0102"</f>
        <v>0168-0102</v>
      </c>
      <c r="E17730" t="s">
        <v>8</v>
      </c>
      <c r="F17730" t="s">
        <v>17738</v>
      </c>
      <c r="G17730">
        <v>1</v>
      </c>
    </row>
    <row r="17731" spans="1:7" x14ac:dyDescent="0.25">
      <c r="A17731">
        <v>51</v>
      </c>
      <c r="B17731" t="s">
        <v>17486</v>
      </c>
      <c r="C17731">
        <v>13542</v>
      </c>
      <c r="D17731" t="str">
        <f>"1424-862X"</f>
        <v>1424-862X</v>
      </c>
      <c r="E17731" t="s">
        <v>8</v>
      </c>
      <c r="F17731" t="s">
        <v>17739</v>
      </c>
      <c r="G17731">
        <v>1</v>
      </c>
    </row>
    <row r="17732" spans="1:7" x14ac:dyDescent="0.25">
      <c r="A17732">
        <v>51</v>
      </c>
      <c r="B17732" t="s">
        <v>17486</v>
      </c>
      <c r="C17732">
        <v>6355</v>
      </c>
      <c r="D17732" t="str">
        <f>"0148-396X"</f>
        <v>0148-396X</v>
      </c>
      <c r="E17732" t="s">
        <v>8</v>
      </c>
      <c r="F17732" t="s">
        <v>17740</v>
      </c>
      <c r="G17732">
        <v>1</v>
      </c>
    </row>
    <row r="17733" spans="1:7" x14ac:dyDescent="0.25">
      <c r="A17733">
        <v>51</v>
      </c>
      <c r="B17733" t="s">
        <v>17486</v>
      </c>
      <c r="C17733">
        <v>15292</v>
      </c>
      <c r="D17733" t="str">
        <f>"1042-3680"</f>
        <v>1042-3680</v>
      </c>
      <c r="E17733" t="s">
        <v>8</v>
      </c>
      <c r="F17733" t="s">
        <v>17741</v>
      </c>
      <c r="G17733">
        <v>1</v>
      </c>
    </row>
    <row r="17734" spans="1:7" x14ac:dyDescent="0.25">
      <c r="A17734">
        <v>51</v>
      </c>
      <c r="B17734" t="s">
        <v>17486</v>
      </c>
      <c r="C17734">
        <v>1563</v>
      </c>
      <c r="D17734" t="str">
        <f>"1050-6438"</f>
        <v>1050-6438</v>
      </c>
      <c r="E17734" t="s">
        <v>8</v>
      </c>
      <c r="F17734" t="s">
        <v>17742</v>
      </c>
      <c r="G17734">
        <v>1</v>
      </c>
    </row>
    <row r="17735" spans="1:7" x14ac:dyDescent="0.25">
      <c r="A17735">
        <v>51</v>
      </c>
      <c r="B17735" t="s">
        <v>17486</v>
      </c>
      <c r="C17735">
        <v>6994</v>
      </c>
      <c r="D17735" t="str">
        <f>"0344-5607"</f>
        <v>0344-5607</v>
      </c>
      <c r="E17735" t="s">
        <v>8</v>
      </c>
      <c r="F17735" t="s">
        <v>17743</v>
      </c>
      <c r="G17735">
        <v>1</v>
      </c>
    </row>
    <row r="17736" spans="1:7" x14ac:dyDescent="0.25">
      <c r="A17736">
        <v>51</v>
      </c>
      <c r="B17736" t="s">
        <v>17486</v>
      </c>
      <c r="C17736">
        <v>14655</v>
      </c>
      <c r="D17736" t="str">
        <f>"1029-8428"</f>
        <v>1029-8428</v>
      </c>
      <c r="E17736" t="s">
        <v>8</v>
      </c>
      <c r="F17736" t="s">
        <v>17744</v>
      </c>
      <c r="G17736">
        <v>1</v>
      </c>
    </row>
    <row r="17737" spans="1:7" x14ac:dyDescent="0.25">
      <c r="A17737">
        <v>51</v>
      </c>
      <c r="B17737" t="s">
        <v>17486</v>
      </c>
      <c r="C17737">
        <v>5993</v>
      </c>
      <c r="D17737" t="str">
        <f>"0733-2467"</f>
        <v>0733-2467</v>
      </c>
      <c r="E17737" t="s">
        <v>8</v>
      </c>
      <c r="F17737" t="s">
        <v>17745</v>
      </c>
      <c r="G17737">
        <v>1</v>
      </c>
    </row>
    <row r="17738" spans="1:7" x14ac:dyDescent="0.25">
      <c r="A17738">
        <v>51</v>
      </c>
      <c r="B17738" t="s">
        <v>17486</v>
      </c>
      <c r="C17738">
        <v>10806</v>
      </c>
      <c r="D17738" t="str">
        <f>"0803-9488"</f>
        <v>0803-9488</v>
      </c>
      <c r="E17738" t="s">
        <v>8</v>
      </c>
      <c r="F17738" t="s">
        <v>17746</v>
      </c>
      <c r="G17738">
        <v>1</v>
      </c>
    </row>
    <row r="17739" spans="1:7" x14ac:dyDescent="0.25">
      <c r="A17739">
        <v>51</v>
      </c>
      <c r="B17739" t="s">
        <v>17486</v>
      </c>
      <c r="C17739">
        <v>8191</v>
      </c>
      <c r="D17739" t="str">
        <f>"0803-9496"</f>
        <v>0803-9496</v>
      </c>
      <c r="E17739" t="s">
        <v>15</v>
      </c>
      <c r="F17739" t="s">
        <v>17747</v>
      </c>
      <c r="G17739">
        <v>1</v>
      </c>
    </row>
    <row r="17740" spans="1:7" x14ac:dyDescent="0.25">
      <c r="A17740">
        <v>51</v>
      </c>
      <c r="B17740" t="s">
        <v>17486</v>
      </c>
      <c r="C17740">
        <v>3247</v>
      </c>
      <c r="D17740" t="str">
        <f>"1530-7085"</f>
        <v>1530-7085</v>
      </c>
      <c r="E17740" t="s">
        <v>8</v>
      </c>
      <c r="F17740" t="s">
        <v>17748</v>
      </c>
      <c r="G17740">
        <v>1</v>
      </c>
    </row>
    <row r="17741" spans="1:7" x14ac:dyDescent="0.25">
      <c r="A17741">
        <v>51</v>
      </c>
      <c r="B17741" t="s">
        <v>17486</v>
      </c>
      <c r="C17741">
        <v>10611</v>
      </c>
      <c r="D17741" t="str">
        <f>"1353-8020"</f>
        <v>1353-8020</v>
      </c>
      <c r="E17741" t="s">
        <v>8</v>
      </c>
      <c r="F17741" t="s">
        <v>17749</v>
      </c>
      <c r="G17741">
        <v>1</v>
      </c>
    </row>
    <row r="17742" spans="1:7" x14ac:dyDescent="0.25">
      <c r="A17742">
        <v>51</v>
      </c>
      <c r="B17742" t="s">
        <v>17486</v>
      </c>
      <c r="C17742">
        <v>5117</v>
      </c>
      <c r="D17742" t="str">
        <f>"1016-2291"</f>
        <v>1016-2291</v>
      </c>
      <c r="E17742" t="s">
        <v>8</v>
      </c>
      <c r="F17742" t="s">
        <v>17750</v>
      </c>
      <c r="G17742">
        <v>1</v>
      </c>
    </row>
    <row r="17743" spans="1:7" x14ac:dyDescent="0.25">
      <c r="A17743">
        <v>51</v>
      </c>
      <c r="B17743" t="s">
        <v>17486</v>
      </c>
      <c r="C17743">
        <v>8180</v>
      </c>
      <c r="D17743" t="str">
        <f>"1474-7758"</f>
        <v>1474-7758</v>
      </c>
      <c r="E17743" t="s">
        <v>8</v>
      </c>
      <c r="F17743" t="s">
        <v>17751</v>
      </c>
      <c r="G17743">
        <v>1</v>
      </c>
    </row>
    <row r="17744" spans="1:7" x14ac:dyDescent="0.25">
      <c r="A17744">
        <v>51</v>
      </c>
      <c r="B17744" t="s">
        <v>17486</v>
      </c>
      <c r="C17744">
        <v>10380</v>
      </c>
      <c r="D17744" t="str">
        <f>"0079-6123"</f>
        <v>0079-6123</v>
      </c>
      <c r="E17744" t="s">
        <v>15</v>
      </c>
      <c r="F17744" t="s">
        <v>17752</v>
      </c>
      <c r="G17744">
        <v>1</v>
      </c>
    </row>
    <row r="17745" spans="1:7" x14ac:dyDescent="0.25">
      <c r="A17745">
        <v>51</v>
      </c>
      <c r="B17745" t="s">
        <v>17486</v>
      </c>
      <c r="C17745">
        <v>9535</v>
      </c>
      <c r="D17745" t="str">
        <f>"0278-5846"</f>
        <v>0278-5846</v>
      </c>
      <c r="E17745" t="s">
        <v>8</v>
      </c>
      <c r="F17745" t="s">
        <v>17753</v>
      </c>
      <c r="G17745">
        <v>1</v>
      </c>
    </row>
    <row r="17746" spans="1:7" x14ac:dyDescent="0.25">
      <c r="A17746">
        <v>51</v>
      </c>
      <c r="B17746" t="s">
        <v>17486</v>
      </c>
      <c r="C17746">
        <v>7381</v>
      </c>
      <c r="D17746" t="str">
        <f>"0048-5713"</f>
        <v>0048-5713</v>
      </c>
      <c r="E17746" t="s">
        <v>8</v>
      </c>
      <c r="F17746" t="s">
        <v>17754</v>
      </c>
      <c r="G17746">
        <v>1</v>
      </c>
    </row>
    <row r="17747" spans="1:7" x14ac:dyDescent="0.25">
      <c r="A17747">
        <v>51</v>
      </c>
      <c r="B17747" t="s">
        <v>17486</v>
      </c>
      <c r="C17747">
        <v>12285</v>
      </c>
      <c r="D17747" t="str">
        <f>"0193-953X"</f>
        <v>0193-953X</v>
      </c>
      <c r="E17747" t="s">
        <v>8</v>
      </c>
      <c r="F17747" t="s">
        <v>17755</v>
      </c>
      <c r="G17747">
        <v>1</v>
      </c>
    </row>
    <row r="17748" spans="1:7" x14ac:dyDescent="0.25">
      <c r="A17748">
        <v>51</v>
      </c>
      <c r="B17748" t="s">
        <v>17486</v>
      </c>
      <c r="C17748">
        <v>8405</v>
      </c>
      <c r="D17748" t="str">
        <f>"0955-8829"</f>
        <v>0955-8829</v>
      </c>
      <c r="E17748" t="s">
        <v>8</v>
      </c>
      <c r="F17748" t="s">
        <v>17756</v>
      </c>
      <c r="G17748">
        <v>1</v>
      </c>
    </row>
    <row r="17749" spans="1:7" x14ac:dyDescent="0.25">
      <c r="A17749">
        <v>51</v>
      </c>
      <c r="B17749" t="s">
        <v>17486</v>
      </c>
      <c r="C17749">
        <v>12228</v>
      </c>
      <c r="D17749" t="str">
        <f>"0033-2720"</f>
        <v>0033-2720</v>
      </c>
      <c r="E17749" t="s">
        <v>8</v>
      </c>
      <c r="F17749" t="s">
        <v>17757</v>
      </c>
      <c r="G17749">
        <v>1</v>
      </c>
    </row>
    <row r="17750" spans="1:7" x14ac:dyDescent="0.25">
      <c r="A17750">
        <v>51</v>
      </c>
      <c r="B17750" t="s">
        <v>17486</v>
      </c>
      <c r="C17750">
        <v>6241</v>
      </c>
      <c r="D17750" t="str">
        <f>"1095-158X"</f>
        <v>1095-158X</v>
      </c>
      <c r="E17750" t="s">
        <v>8</v>
      </c>
      <c r="F17750" t="s">
        <v>17758</v>
      </c>
      <c r="G17750">
        <v>1</v>
      </c>
    </row>
    <row r="17751" spans="1:7" x14ac:dyDescent="0.25">
      <c r="A17751">
        <v>51</v>
      </c>
      <c r="B17751" t="s">
        <v>17486</v>
      </c>
      <c r="C17751">
        <v>12276</v>
      </c>
      <c r="D17751" t="str">
        <f>"1075-2730"</f>
        <v>1075-2730</v>
      </c>
      <c r="E17751" t="s">
        <v>8</v>
      </c>
      <c r="F17751" t="s">
        <v>17759</v>
      </c>
      <c r="G17751">
        <v>1</v>
      </c>
    </row>
    <row r="17752" spans="1:7" x14ac:dyDescent="0.25">
      <c r="A17752">
        <v>51</v>
      </c>
      <c r="B17752" t="s">
        <v>17486</v>
      </c>
      <c r="C17752">
        <v>2289</v>
      </c>
      <c r="D17752" t="str">
        <f>"0033-2747"</f>
        <v>0033-2747</v>
      </c>
      <c r="E17752" t="s">
        <v>8</v>
      </c>
      <c r="F17752" t="s">
        <v>17760</v>
      </c>
      <c r="G17752">
        <v>1</v>
      </c>
    </row>
    <row r="17753" spans="1:7" x14ac:dyDescent="0.25">
      <c r="A17753">
        <v>51</v>
      </c>
      <c r="B17753" t="s">
        <v>17486</v>
      </c>
      <c r="C17753">
        <v>15384</v>
      </c>
      <c r="D17753" t="str">
        <f>"1323-1316"</f>
        <v>1323-1316</v>
      </c>
      <c r="E17753" t="s">
        <v>8</v>
      </c>
      <c r="F17753" t="s">
        <v>17761</v>
      </c>
      <c r="G17753">
        <v>1</v>
      </c>
    </row>
    <row r="17754" spans="1:7" x14ac:dyDescent="0.25">
      <c r="A17754">
        <v>51</v>
      </c>
      <c r="B17754" t="s">
        <v>17486</v>
      </c>
      <c r="C17754">
        <v>1014</v>
      </c>
      <c r="D17754" t="str">
        <f>"0165-1781"</f>
        <v>0165-1781</v>
      </c>
      <c r="E17754" t="s">
        <v>8</v>
      </c>
      <c r="F17754" t="s">
        <v>17762</v>
      </c>
      <c r="G17754">
        <v>1</v>
      </c>
    </row>
    <row r="17755" spans="1:7" x14ac:dyDescent="0.25">
      <c r="A17755">
        <v>51</v>
      </c>
      <c r="B17755" t="s">
        <v>17486</v>
      </c>
      <c r="C17755">
        <v>7855</v>
      </c>
      <c r="D17755" t="str">
        <f>"0925-4927"</f>
        <v>0925-4927</v>
      </c>
      <c r="E17755" t="s">
        <v>8</v>
      </c>
      <c r="F17755" t="s">
        <v>17763</v>
      </c>
      <c r="G17755">
        <v>1</v>
      </c>
    </row>
    <row r="17756" spans="1:7" x14ac:dyDescent="0.25">
      <c r="A17756">
        <v>51</v>
      </c>
      <c r="B17756" t="s">
        <v>17486</v>
      </c>
      <c r="C17756">
        <v>3869</v>
      </c>
      <c r="D17756" t="str">
        <f>"1321-8719"</f>
        <v>1321-8719</v>
      </c>
      <c r="E17756" t="s">
        <v>8</v>
      </c>
      <c r="F17756" t="s">
        <v>17764</v>
      </c>
      <c r="G17756">
        <v>1</v>
      </c>
    </row>
    <row r="17757" spans="1:7" x14ac:dyDescent="0.25">
      <c r="A17757">
        <v>51</v>
      </c>
      <c r="B17757" t="s">
        <v>17486</v>
      </c>
      <c r="C17757">
        <v>10585</v>
      </c>
      <c r="D17757" t="str">
        <f>"1460-8235"</f>
        <v>1460-8235</v>
      </c>
      <c r="E17757" t="s">
        <v>8</v>
      </c>
      <c r="F17757" t="s">
        <v>17765</v>
      </c>
      <c r="G17757">
        <v>1</v>
      </c>
    </row>
    <row r="17758" spans="1:7" x14ac:dyDescent="0.25">
      <c r="A17758">
        <v>51</v>
      </c>
      <c r="B17758" t="s">
        <v>17486</v>
      </c>
      <c r="C17758">
        <v>15185</v>
      </c>
      <c r="D17758" t="str">
        <f>"0266-8734"</f>
        <v>0266-8734</v>
      </c>
      <c r="E17758" t="s">
        <v>8</v>
      </c>
      <c r="F17758" t="s">
        <v>17766</v>
      </c>
      <c r="G17758">
        <v>1</v>
      </c>
    </row>
    <row r="17759" spans="1:7" x14ac:dyDescent="0.25">
      <c r="A17759">
        <v>51</v>
      </c>
      <c r="B17759" t="s">
        <v>17486</v>
      </c>
      <c r="C17759">
        <v>6149</v>
      </c>
      <c r="D17759" t="str">
        <f>"1475-3634"</f>
        <v>1475-3634</v>
      </c>
      <c r="E17759" t="s">
        <v>8</v>
      </c>
      <c r="F17759" t="s">
        <v>17767</v>
      </c>
      <c r="G17759">
        <v>1</v>
      </c>
    </row>
    <row r="17760" spans="1:7" x14ac:dyDescent="0.25">
      <c r="A17760">
        <v>51</v>
      </c>
      <c r="B17760" t="s">
        <v>17486</v>
      </c>
      <c r="C17760">
        <v>15038</v>
      </c>
      <c r="D17760" t="str">
        <f>"2162-2590"</f>
        <v>2162-2590</v>
      </c>
      <c r="E17760" t="s">
        <v>8</v>
      </c>
      <c r="F17760" t="s">
        <v>17768</v>
      </c>
      <c r="G17760">
        <v>1</v>
      </c>
    </row>
    <row r="17761" spans="1:7" x14ac:dyDescent="0.25">
      <c r="A17761">
        <v>51</v>
      </c>
      <c r="B17761" t="s">
        <v>17486</v>
      </c>
      <c r="C17761">
        <v>3409</v>
      </c>
      <c r="D17761" t="str">
        <f>"0306-4530"</f>
        <v>0306-4530</v>
      </c>
      <c r="E17761" t="s">
        <v>8</v>
      </c>
      <c r="F17761" t="s">
        <v>17769</v>
      </c>
      <c r="G17761">
        <v>1</v>
      </c>
    </row>
    <row r="17762" spans="1:7" x14ac:dyDescent="0.25">
      <c r="A17762">
        <v>51</v>
      </c>
      <c r="B17762" t="s">
        <v>17486</v>
      </c>
      <c r="C17762">
        <v>1664</v>
      </c>
      <c r="D17762" t="str">
        <f>"0254-4962"</f>
        <v>0254-4962</v>
      </c>
      <c r="E17762" t="s">
        <v>8</v>
      </c>
      <c r="F17762" t="s">
        <v>17770</v>
      </c>
      <c r="G17762">
        <v>1</v>
      </c>
    </row>
    <row r="17763" spans="1:7" x14ac:dyDescent="0.25">
      <c r="A17763">
        <v>51</v>
      </c>
      <c r="B17763" t="s">
        <v>17486</v>
      </c>
      <c r="C17763">
        <v>16345</v>
      </c>
      <c r="D17763" t="str">
        <f>"0033-3190"</f>
        <v>0033-3190</v>
      </c>
      <c r="E17763" t="s">
        <v>8</v>
      </c>
      <c r="F17763" t="s">
        <v>17771</v>
      </c>
      <c r="G17763">
        <v>1</v>
      </c>
    </row>
    <row r="17764" spans="1:7" x14ac:dyDescent="0.25">
      <c r="A17764">
        <v>51</v>
      </c>
      <c r="B17764" t="s">
        <v>17486</v>
      </c>
      <c r="C17764">
        <v>1262</v>
      </c>
      <c r="D17764" t="str">
        <f>"0922-6028"</f>
        <v>0922-6028</v>
      </c>
      <c r="E17764" t="s">
        <v>8</v>
      </c>
      <c r="F17764" t="s">
        <v>17772</v>
      </c>
      <c r="G17764">
        <v>1</v>
      </c>
    </row>
    <row r="17765" spans="1:7" x14ac:dyDescent="0.25">
      <c r="A17765">
        <v>51</v>
      </c>
      <c r="B17765" t="s">
        <v>17486</v>
      </c>
      <c r="C17765">
        <v>8033</v>
      </c>
      <c r="D17765" t="str">
        <f>"0334-1763"</f>
        <v>0334-1763</v>
      </c>
      <c r="E17765" t="s">
        <v>8</v>
      </c>
      <c r="F17765" t="s">
        <v>17773</v>
      </c>
      <c r="G17765">
        <v>1</v>
      </c>
    </row>
    <row r="17766" spans="1:7" x14ac:dyDescent="0.25">
      <c r="A17766">
        <v>51</v>
      </c>
      <c r="B17766" t="s">
        <v>17486</v>
      </c>
      <c r="C17766">
        <v>16797</v>
      </c>
      <c r="D17766" t="str">
        <f>"0106-2301"</f>
        <v>0106-2301</v>
      </c>
      <c r="E17766" t="s">
        <v>8</v>
      </c>
      <c r="F17766" t="s">
        <v>17774</v>
      </c>
      <c r="G17766">
        <v>1</v>
      </c>
    </row>
    <row r="17767" spans="1:7" x14ac:dyDescent="0.25">
      <c r="A17767">
        <v>51</v>
      </c>
      <c r="B17767" t="s">
        <v>17486</v>
      </c>
      <c r="C17767">
        <v>4898</v>
      </c>
      <c r="D17767" t="str">
        <f>"0920-9964"</f>
        <v>0920-9964</v>
      </c>
      <c r="E17767" t="s">
        <v>8</v>
      </c>
      <c r="F17767" t="s">
        <v>17775</v>
      </c>
      <c r="G17767">
        <v>1</v>
      </c>
    </row>
    <row r="17768" spans="1:7" x14ac:dyDescent="0.25">
      <c r="A17768">
        <v>51</v>
      </c>
      <c r="B17768" t="s">
        <v>17486</v>
      </c>
      <c r="C17768">
        <v>12790</v>
      </c>
      <c r="D17768" t="str">
        <f>"1059-1311"</f>
        <v>1059-1311</v>
      </c>
      <c r="E17768" t="s">
        <v>8</v>
      </c>
      <c r="F17768" t="s">
        <v>17776</v>
      </c>
      <c r="G17768">
        <v>1</v>
      </c>
    </row>
    <row r="17769" spans="1:7" x14ac:dyDescent="0.25">
      <c r="A17769">
        <v>51</v>
      </c>
      <c r="B17769" t="s">
        <v>17486</v>
      </c>
      <c r="C17769">
        <v>12590</v>
      </c>
      <c r="D17769" t="str">
        <f>"0271-8235"</f>
        <v>0271-8235</v>
      </c>
      <c r="E17769" t="s">
        <v>8</v>
      </c>
      <c r="F17769" t="s">
        <v>17777</v>
      </c>
      <c r="G17769">
        <v>1</v>
      </c>
    </row>
    <row r="17770" spans="1:7" x14ac:dyDescent="0.25">
      <c r="A17770">
        <v>51</v>
      </c>
      <c r="B17770" t="s">
        <v>17486</v>
      </c>
      <c r="C17770">
        <v>8015</v>
      </c>
      <c r="D17770" t="str">
        <f>"1446-9235"</f>
        <v>1446-9235</v>
      </c>
      <c r="E17770" t="s">
        <v>8</v>
      </c>
      <c r="F17770" t="s">
        <v>17778</v>
      </c>
      <c r="G17770">
        <v>1</v>
      </c>
    </row>
    <row r="17771" spans="1:7" x14ac:dyDescent="0.25">
      <c r="A17771">
        <v>51</v>
      </c>
      <c r="B17771" t="s">
        <v>17486</v>
      </c>
      <c r="C17771">
        <v>1200</v>
      </c>
      <c r="D17771" t="str">
        <f>"1520-9512"</f>
        <v>1520-9512</v>
      </c>
      <c r="E17771" t="s">
        <v>8</v>
      </c>
      <c r="F17771" t="s">
        <v>17779</v>
      </c>
      <c r="G17771">
        <v>1</v>
      </c>
    </row>
    <row r="17772" spans="1:7" x14ac:dyDescent="0.25">
      <c r="A17772">
        <v>51</v>
      </c>
      <c r="B17772" t="s">
        <v>17486</v>
      </c>
      <c r="C17772">
        <v>6915</v>
      </c>
      <c r="D17772" t="str">
        <f>"1389-9457"</f>
        <v>1389-9457</v>
      </c>
      <c r="E17772" t="s">
        <v>8</v>
      </c>
      <c r="F17772" t="s">
        <v>17780</v>
      </c>
      <c r="G17772">
        <v>1</v>
      </c>
    </row>
    <row r="17773" spans="1:7" x14ac:dyDescent="0.25">
      <c r="A17773">
        <v>51</v>
      </c>
      <c r="B17773" t="s">
        <v>17486</v>
      </c>
      <c r="C17773">
        <v>4636</v>
      </c>
      <c r="D17773" t="str">
        <f>"1749-5016"</f>
        <v>1749-5016</v>
      </c>
      <c r="E17773" t="s">
        <v>8</v>
      </c>
      <c r="F17773" t="s">
        <v>17781</v>
      </c>
      <c r="G17773">
        <v>1</v>
      </c>
    </row>
    <row r="17774" spans="1:7" x14ac:dyDescent="0.25">
      <c r="A17774">
        <v>51</v>
      </c>
      <c r="B17774" t="s">
        <v>17486</v>
      </c>
      <c r="C17774">
        <v>6404</v>
      </c>
      <c r="D17774" t="str">
        <f>"1747-0919"</f>
        <v>1747-0919</v>
      </c>
      <c r="E17774" t="s">
        <v>8</v>
      </c>
      <c r="F17774" t="s">
        <v>17782</v>
      </c>
      <c r="G17774">
        <v>1</v>
      </c>
    </row>
    <row r="17775" spans="1:7" x14ac:dyDescent="0.25">
      <c r="A17775">
        <v>51</v>
      </c>
      <c r="B17775" t="s">
        <v>17486</v>
      </c>
      <c r="C17775">
        <v>13022</v>
      </c>
      <c r="D17775" t="str">
        <f>"0899-0220"</f>
        <v>0899-0220</v>
      </c>
      <c r="E17775" t="s">
        <v>8</v>
      </c>
      <c r="F17775" t="s">
        <v>17783</v>
      </c>
      <c r="G17775">
        <v>1</v>
      </c>
    </row>
    <row r="17776" spans="1:7" x14ac:dyDescent="0.25">
      <c r="A17776">
        <v>51</v>
      </c>
      <c r="B17776" t="s">
        <v>17486</v>
      </c>
      <c r="C17776">
        <v>9078</v>
      </c>
      <c r="D17776" t="str">
        <f>"1362-4393"</f>
        <v>1362-4393</v>
      </c>
      <c r="E17776" t="s">
        <v>8</v>
      </c>
      <c r="F17776" t="s">
        <v>17784</v>
      </c>
      <c r="G17776">
        <v>1</v>
      </c>
    </row>
    <row r="17777" spans="1:7" x14ac:dyDescent="0.25">
      <c r="A17777">
        <v>51</v>
      </c>
      <c r="B17777" t="s">
        <v>17486</v>
      </c>
      <c r="C17777">
        <v>5282</v>
      </c>
      <c r="D17777" t="str">
        <f>"1011-6125"</f>
        <v>1011-6125</v>
      </c>
      <c r="E17777" t="s">
        <v>8</v>
      </c>
      <c r="F17777" t="s">
        <v>17785</v>
      </c>
      <c r="G17777">
        <v>1</v>
      </c>
    </row>
    <row r="17778" spans="1:7" x14ac:dyDescent="0.25">
      <c r="A17778">
        <v>51</v>
      </c>
      <c r="B17778" t="s">
        <v>17486</v>
      </c>
      <c r="C17778">
        <v>9075</v>
      </c>
      <c r="D17778" t="str">
        <f>"0887-4476"</f>
        <v>0887-4476</v>
      </c>
      <c r="E17778" t="s">
        <v>8</v>
      </c>
      <c r="F17778" t="s">
        <v>17786</v>
      </c>
      <c r="G17778">
        <v>1</v>
      </c>
    </row>
    <row r="17779" spans="1:7" x14ac:dyDescent="0.25">
      <c r="A17779">
        <v>51</v>
      </c>
      <c r="B17779" t="s">
        <v>17486</v>
      </c>
      <c r="C17779">
        <v>1232</v>
      </c>
      <c r="D17779" t="str">
        <f>"1064-7481"</f>
        <v>1064-7481</v>
      </c>
      <c r="E17779" t="s">
        <v>8</v>
      </c>
      <c r="F17779" t="s">
        <v>17787</v>
      </c>
      <c r="G17779">
        <v>1</v>
      </c>
    </row>
    <row r="17780" spans="1:7" x14ac:dyDescent="0.25">
      <c r="A17780">
        <v>51</v>
      </c>
      <c r="B17780" t="s">
        <v>17486</v>
      </c>
      <c r="C17780">
        <v>5620</v>
      </c>
      <c r="D17780" t="str">
        <f>"0002-9548"</f>
        <v>0002-9548</v>
      </c>
      <c r="E17780" t="s">
        <v>8</v>
      </c>
      <c r="F17780" t="s">
        <v>17788</v>
      </c>
      <c r="G17780">
        <v>1</v>
      </c>
    </row>
    <row r="17781" spans="1:7" x14ac:dyDescent="0.25">
      <c r="A17781">
        <v>51</v>
      </c>
      <c r="B17781" t="s">
        <v>17486</v>
      </c>
      <c r="C17781">
        <v>442</v>
      </c>
      <c r="D17781" t="str">
        <f>"0004-8674"</f>
        <v>0004-8674</v>
      </c>
      <c r="E17781" t="s">
        <v>8</v>
      </c>
      <c r="F17781" t="s">
        <v>17789</v>
      </c>
      <c r="G17781">
        <v>1</v>
      </c>
    </row>
    <row r="17782" spans="1:7" x14ac:dyDescent="0.25">
      <c r="A17782">
        <v>51</v>
      </c>
      <c r="B17782" t="s">
        <v>17486</v>
      </c>
      <c r="C17782">
        <v>15849</v>
      </c>
      <c r="D17782" t="str">
        <f>"0706-7437"</f>
        <v>0706-7437</v>
      </c>
      <c r="E17782" t="s">
        <v>8</v>
      </c>
      <c r="F17782" t="s">
        <v>17790</v>
      </c>
      <c r="G17782">
        <v>1</v>
      </c>
    </row>
    <row r="17783" spans="1:7" x14ac:dyDescent="0.25">
      <c r="A17783">
        <v>51</v>
      </c>
      <c r="B17783" t="s">
        <v>17486</v>
      </c>
      <c r="C17783">
        <v>1157</v>
      </c>
      <c r="D17783" t="str">
        <f>"1473-4222"</f>
        <v>1473-4222</v>
      </c>
      <c r="E17783" t="s">
        <v>8</v>
      </c>
      <c r="F17783" t="s">
        <v>17791</v>
      </c>
      <c r="G17783">
        <v>1</v>
      </c>
    </row>
    <row r="17784" spans="1:7" x14ac:dyDescent="0.25">
      <c r="A17784">
        <v>51</v>
      </c>
      <c r="B17784" t="s">
        <v>17486</v>
      </c>
      <c r="C17784">
        <v>7231</v>
      </c>
      <c r="D17784" t="str">
        <f>"0749-8047"</f>
        <v>0749-8047</v>
      </c>
      <c r="E17784" t="s">
        <v>8</v>
      </c>
      <c r="F17784" t="s">
        <v>17792</v>
      </c>
      <c r="G17784">
        <v>1</v>
      </c>
    </row>
    <row r="17785" spans="1:7" x14ac:dyDescent="0.25">
      <c r="A17785">
        <v>51</v>
      </c>
      <c r="B17785" t="s">
        <v>17486</v>
      </c>
      <c r="C17785">
        <v>8969</v>
      </c>
      <c r="D17785" t="str">
        <f>"1385-4046"</f>
        <v>1385-4046</v>
      </c>
      <c r="E17785" t="s">
        <v>8</v>
      </c>
      <c r="F17785" t="s">
        <v>17793</v>
      </c>
      <c r="G17785">
        <v>1</v>
      </c>
    </row>
    <row r="17786" spans="1:7" x14ac:dyDescent="0.25">
      <c r="A17786">
        <v>51</v>
      </c>
      <c r="B17786" t="s">
        <v>17486</v>
      </c>
      <c r="C17786">
        <v>14921</v>
      </c>
      <c r="D17786" t="str">
        <f>"0213-6163"</f>
        <v>0213-6163</v>
      </c>
      <c r="E17786" t="s">
        <v>8</v>
      </c>
      <c r="F17786" t="s">
        <v>17794</v>
      </c>
      <c r="G17786">
        <v>1</v>
      </c>
    </row>
    <row r="17787" spans="1:7" x14ac:dyDescent="0.25">
      <c r="A17787">
        <v>51</v>
      </c>
      <c r="B17787" t="s">
        <v>17486</v>
      </c>
      <c r="C17787">
        <v>13413</v>
      </c>
      <c r="D17787" t="str">
        <f>"1050-9631"</f>
        <v>1050-9631</v>
      </c>
      <c r="E17787" t="s">
        <v>8</v>
      </c>
      <c r="F17787" t="s">
        <v>17795</v>
      </c>
      <c r="G17787">
        <v>1</v>
      </c>
    </row>
    <row r="17788" spans="1:7" x14ac:dyDescent="0.25">
      <c r="A17788">
        <v>51</v>
      </c>
      <c r="B17788" t="s">
        <v>17486</v>
      </c>
      <c r="C17788">
        <v>9205</v>
      </c>
      <c r="D17788" t="str">
        <f>"0091-2174"</f>
        <v>0091-2174</v>
      </c>
      <c r="E17788" t="s">
        <v>8</v>
      </c>
      <c r="F17788" t="s">
        <v>17796</v>
      </c>
      <c r="G17788">
        <v>1</v>
      </c>
    </row>
    <row r="17789" spans="1:7" x14ac:dyDescent="0.25">
      <c r="A17789">
        <v>51</v>
      </c>
      <c r="B17789" t="s">
        <v>17486</v>
      </c>
      <c r="C17789">
        <v>3001</v>
      </c>
      <c r="D17789" t="str">
        <f>"1055-3835"</f>
        <v>1055-3835</v>
      </c>
      <c r="E17789" t="s">
        <v>8</v>
      </c>
      <c r="F17789" t="s">
        <v>17797</v>
      </c>
      <c r="G17789">
        <v>1</v>
      </c>
    </row>
    <row r="17790" spans="1:7" x14ac:dyDescent="0.25">
      <c r="A17790">
        <v>51</v>
      </c>
      <c r="B17790" t="s">
        <v>17486</v>
      </c>
      <c r="C17790">
        <v>12195</v>
      </c>
      <c r="D17790" t="str">
        <f>"1550-9389"</f>
        <v>1550-9389</v>
      </c>
      <c r="E17790" t="s">
        <v>8</v>
      </c>
      <c r="F17790" t="s">
        <v>17798</v>
      </c>
      <c r="G17790">
        <v>1</v>
      </c>
    </row>
    <row r="17791" spans="1:7" x14ac:dyDescent="0.25">
      <c r="A17791">
        <v>51</v>
      </c>
      <c r="B17791" t="s">
        <v>17486</v>
      </c>
      <c r="C17791">
        <v>12099</v>
      </c>
      <c r="D17791" t="str">
        <f>"0021-9967"</f>
        <v>0021-9967</v>
      </c>
      <c r="E17791" t="s">
        <v>8</v>
      </c>
      <c r="F17791" t="s">
        <v>17799</v>
      </c>
      <c r="G17791">
        <v>1</v>
      </c>
    </row>
    <row r="17792" spans="1:7" x14ac:dyDescent="0.25">
      <c r="A17792">
        <v>51</v>
      </c>
      <c r="B17792" t="s">
        <v>17486</v>
      </c>
      <c r="C17792">
        <v>10343</v>
      </c>
      <c r="D17792" t="str">
        <f>"1095-0680"</f>
        <v>1095-0680</v>
      </c>
      <c r="E17792" t="s">
        <v>8</v>
      </c>
      <c r="F17792" t="s">
        <v>17800</v>
      </c>
      <c r="G17792">
        <v>1</v>
      </c>
    </row>
    <row r="17793" spans="1:7" x14ac:dyDescent="0.25">
      <c r="A17793">
        <v>51</v>
      </c>
      <c r="B17793" t="s">
        <v>17486</v>
      </c>
      <c r="C17793">
        <v>7689</v>
      </c>
      <c r="D17793" t="str">
        <f>"1478-9949"</f>
        <v>1478-9949</v>
      </c>
      <c r="E17793" t="s">
        <v>8</v>
      </c>
      <c r="F17793" t="s">
        <v>17801</v>
      </c>
      <c r="G17793">
        <v>1</v>
      </c>
    </row>
    <row r="17794" spans="1:7" x14ac:dyDescent="0.25">
      <c r="A17794">
        <v>51</v>
      </c>
      <c r="B17794" t="s">
        <v>17486</v>
      </c>
      <c r="C17794">
        <v>5517</v>
      </c>
      <c r="D17794" t="str">
        <f>"1129-2369"</f>
        <v>1129-2369</v>
      </c>
      <c r="E17794" t="s">
        <v>8</v>
      </c>
      <c r="F17794" t="s">
        <v>17802</v>
      </c>
      <c r="G17794">
        <v>1</v>
      </c>
    </row>
    <row r="17795" spans="1:7" x14ac:dyDescent="0.25">
      <c r="A17795">
        <v>51</v>
      </c>
      <c r="B17795" t="s">
        <v>17486</v>
      </c>
      <c r="C17795">
        <v>8070</v>
      </c>
      <c r="D17795" t="str">
        <f>"0895-0172"</f>
        <v>0895-0172</v>
      </c>
      <c r="E17795" t="s">
        <v>8</v>
      </c>
      <c r="F17795" t="s">
        <v>17803</v>
      </c>
      <c r="G17795">
        <v>1</v>
      </c>
    </row>
    <row r="17796" spans="1:7" x14ac:dyDescent="0.25">
      <c r="A17796">
        <v>51</v>
      </c>
      <c r="B17796" t="s">
        <v>17486</v>
      </c>
      <c r="C17796">
        <v>1576</v>
      </c>
      <c r="D17796" t="str">
        <f>"1079-0268"</f>
        <v>1079-0268</v>
      </c>
      <c r="E17796" t="s">
        <v>8</v>
      </c>
      <c r="F17796" t="s">
        <v>17804</v>
      </c>
      <c r="G17796">
        <v>1</v>
      </c>
    </row>
    <row r="17797" spans="1:7" x14ac:dyDescent="0.25">
      <c r="A17797">
        <v>51</v>
      </c>
      <c r="B17797" t="s">
        <v>17486</v>
      </c>
      <c r="C17797">
        <v>12872</v>
      </c>
      <c r="D17797" t="str">
        <f>"2164-6821"</f>
        <v>2164-6821</v>
      </c>
      <c r="E17797" t="s">
        <v>8</v>
      </c>
      <c r="F17797" t="s">
        <v>17805</v>
      </c>
      <c r="G17797">
        <v>1</v>
      </c>
    </row>
    <row r="17798" spans="1:7" x14ac:dyDescent="0.25">
      <c r="A17798">
        <v>51</v>
      </c>
      <c r="B17798" t="s">
        <v>17486</v>
      </c>
      <c r="C17798">
        <v>10004</v>
      </c>
      <c r="D17798" t="str">
        <f>"1074-7931"</f>
        <v>1074-7931</v>
      </c>
      <c r="E17798" t="s">
        <v>8</v>
      </c>
      <c r="F17798" t="s">
        <v>17806</v>
      </c>
      <c r="G17798">
        <v>1</v>
      </c>
    </row>
    <row r="17799" spans="1:7" x14ac:dyDescent="0.25">
      <c r="A17799">
        <v>51</v>
      </c>
      <c r="B17799" t="s">
        <v>17486</v>
      </c>
      <c r="C17799">
        <v>8767</v>
      </c>
      <c r="D17799" t="str">
        <f>"1073-8584"</f>
        <v>1073-8584</v>
      </c>
      <c r="E17799" t="s">
        <v>8</v>
      </c>
      <c r="F17799" t="s">
        <v>17807</v>
      </c>
      <c r="G17799">
        <v>1</v>
      </c>
    </row>
    <row r="17800" spans="1:7" x14ac:dyDescent="0.25">
      <c r="A17800">
        <v>51</v>
      </c>
      <c r="B17800" t="s">
        <v>17486</v>
      </c>
      <c r="C17800">
        <v>11728</v>
      </c>
      <c r="D17800" t="str">
        <f>"0033-2836"</f>
        <v>0033-2836</v>
      </c>
      <c r="E17800" t="s">
        <v>8</v>
      </c>
      <c r="F17800" t="s">
        <v>17808</v>
      </c>
      <c r="G17800">
        <v>1</v>
      </c>
    </row>
    <row r="17801" spans="1:7" x14ac:dyDescent="0.25">
      <c r="A17801">
        <v>51</v>
      </c>
      <c r="B17801" t="s">
        <v>17486</v>
      </c>
      <c r="C17801">
        <v>4201</v>
      </c>
      <c r="D17801" t="str">
        <f>"1529-9430"</f>
        <v>1529-9430</v>
      </c>
      <c r="E17801" t="s">
        <v>8</v>
      </c>
      <c r="F17801" t="s">
        <v>17809</v>
      </c>
      <c r="G17801">
        <v>1</v>
      </c>
    </row>
    <row r="17802" spans="1:7" x14ac:dyDescent="0.25">
      <c r="A17802">
        <v>51</v>
      </c>
      <c r="B17802" t="s">
        <v>17486</v>
      </c>
      <c r="C17802">
        <v>7919</v>
      </c>
      <c r="D17802" t="str">
        <f>"1562-2975"</f>
        <v>1562-2975</v>
      </c>
      <c r="E17802" t="s">
        <v>8</v>
      </c>
      <c r="F17802" t="s">
        <v>17810</v>
      </c>
      <c r="G17802">
        <v>1</v>
      </c>
    </row>
    <row r="17803" spans="1:7" x14ac:dyDescent="0.25">
      <c r="A17803">
        <v>51</v>
      </c>
      <c r="B17803" t="s">
        <v>17486</v>
      </c>
      <c r="C17803">
        <v>8837</v>
      </c>
      <c r="D17803" t="str">
        <f>"1082-0744"</f>
        <v>1082-0744</v>
      </c>
      <c r="E17803" t="s">
        <v>8</v>
      </c>
      <c r="F17803" t="s">
        <v>17811</v>
      </c>
      <c r="G17803">
        <v>1</v>
      </c>
    </row>
    <row r="17804" spans="1:7" x14ac:dyDescent="0.25">
      <c r="A17804">
        <v>51</v>
      </c>
      <c r="B17804" t="s">
        <v>17486</v>
      </c>
      <c r="C17804">
        <v>13013</v>
      </c>
      <c r="D17804" t="str">
        <f>"1074-9357"</f>
        <v>1074-9357</v>
      </c>
      <c r="E17804" t="s">
        <v>8</v>
      </c>
      <c r="F17804" t="s">
        <v>17812</v>
      </c>
      <c r="G17804">
        <v>1</v>
      </c>
    </row>
    <row r="17805" spans="1:7" x14ac:dyDescent="0.25">
      <c r="A17805">
        <v>51</v>
      </c>
      <c r="B17805" t="s">
        <v>17486</v>
      </c>
      <c r="C17805">
        <v>16970</v>
      </c>
      <c r="D17805" t="str">
        <f>"1363-4615"</f>
        <v>1363-4615</v>
      </c>
      <c r="E17805" t="s">
        <v>8</v>
      </c>
      <c r="F17805" t="s">
        <v>17813</v>
      </c>
      <c r="G17805">
        <v>1</v>
      </c>
    </row>
    <row r="17806" spans="1:7" x14ac:dyDescent="0.25">
      <c r="A17806">
        <v>51</v>
      </c>
      <c r="B17806" t="s">
        <v>17486</v>
      </c>
      <c r="C17806">
        <v>11652</v>
      </c>
      <c r="D17806" t="str">
        <f>"0952-5238"</f>
        <v>0952-5238</v>
      </c>
      <c r="E17806" t="s">
        <v>8</v>
      </c>
      <c r="F17806" t="s">
        <v>17814</v>
      </c>
      <c r="G17806">
        <v>1</v>
      </c>
    </row>
    <row r="17807" spans="1:7" x14ac:dyDescent="0.25">
      <c r="A17807">
        <v>51</v>
      </c>
      <c r="B17807" t="s">
        <v>17486</v>
      </c>
      <c r="C17807">
        <v>4682</v>
      </c>
      <c r="D17807" t="str">
        <f>"1878-8750"</f>
        <v>1878-8750</v>
      </c>
      <c r="E17807" t="s">
        <v>8</v>
      </c>
      <c r="F17807" t="s">
        <v>17815</v>
      </c>
      <c r="G17807">
        <v>1</v>
      </c>
    </row>
    <row r="17808" spans="1:7" x14ac:dyDescent="0.25">
      <c r="A17808">
        <v>52</v>
      </c>
      <c r="B17808" t="s">
        <v>17816</v>
      </c>
      <c r="C17808">
        <v>14550</v>
      </c>
      <c r="D17808" t="str">
        <f>"1755-375X"</f>
        <v>1755-375X</v>
      </c>
      <c r="E17808" t="s">
        <v>8</v>
      </c>
      <c r="F17808" t="s">
        <v>17817</v>
      </c>
      <c r="G17808">
        <v>2</v>
      </c>
    </row>
    <row r="17809" spans="1:7" x14ac:dyDescent="0.25">
      <c r="A17809">
        <v>52</v>
      </c>
      <c r="B17809" t="s">
        <v>17816</v>
      </c>
      <c r="C17809">
        <v>819</v>
      </c>
      <c r="D17809" t="str">
        <f>"0007-1161"</f>
        <v>0007-1161</v>
      </c>
      <c r="E17809" t="s">
        <v>8</v>
      </c>
      <c r="F17809" t="s">
        <v>17818</v>
      </c>
      <c r="G17809">
        <v>2</v>
      </c>
    </row>
    <row r="17810" spans="1:7" x14ac:dyDescent="0.25">
      <c r="A17810">
        <v>52</v>
      </c>
      <c r="B17810" t="s">
        <v>17816</v>
      </c>
      <c r="C17810">
        <v>8847</v>
      </c>
      <c r="D17810" t="str">
        <f>"0196-0202"</f>
        <v>0196-0202</v>
      </c>
      <c r="E17810" t="s">
        <v>8</v>
      </c>
      <c r="F17810" t="s">
        <v>17819</v>
      </c>
      <c r="G17810">
        <v>2</v>
      </c>
    </row>
    <row r="17811" spans="1:7" x14ac:dyDescent="0.25">
      <c r="A17811">
        <v>52</v>
      </c>
      <c r="B17811" t="s">
        <v>17816</v>
      </c>
      <c r="C17811">
        <v>13695</v>
      </c>
      <c r="D17811" t="str">
        <f>"0014-4835"</f>
        <v>0014-4835</v>
      </c>
      <c r="E17811" t="s">
        <v>8</v>
      </c>
      <c r="F17811" t="s">
        <v>17820</v>
      </c>
      <c r="G17811">
        <v>2</v>
      </c>
    </row>
    <row r="17812" spans="1:7" x14ac:dyDescent="0.25">
      <c r="A17812">
        <v>52</v>
      </c>
      <c r="B17812" t="s">
        <v>17816</v>
      </c>
      <c r="C17812">
        <v>15766</v>
      </c>
      <c r="D17812" t="str">
        <f>"1043-3074"</f>
        <v>1043-3074</v>
      </c>
      <c r="E17812" t="s">
        <v>8</v>
      </c>
      <c r="F17812" t="s">
        <v>17821</v>
      </c>
      <c r="G17812">
        <v>2</v>
      </c>
    </row>
    <row r="17813" spans="1:7" x14ac:dyDescent="0.25">
      <c r="A17813">
        <v>52</v>
      </c>
      <c r="B17813" t="s">
        <v>17816</v>
      </c>
      <c r="C17813">
        <v>1060</v>
      </c>
      <c r="D17813" t="str">
        <f>"0378-5955"</f>
        <v>0378-5955</v>
      </c>
      <c r="E17813" t="s">
        <v>8</v>
      </c>
      <c r="F17813" t="s">
        <v>17822</v>
      </c>
      <c r="G17813">
        <v>2</v>
      </c>
    </row>
    <row r="17814" spans="1:7" x14ac:dyDescent="0.25">
      <c r="A17814">
        <v>52</v>
      </c>
      <c r="B17814" t="s">
        <v>17816</v>
      </c>
      <c r="C17814">
        <v>3298</v>
      </c>
      <c r="D17814" t="str">
        <f>"0146-0404"</f>
        <v>0146-0404</v>
      </c>
      <c r="E17814" t="s">
        <v>8</v>
      </c>
      <c r="F17814" t="s">
        <v>17823</v>
      </c>
      <c r="G17814">
        <v>2</v>
      </c>
    </row>
    <row r="17815" spans="1:7" x14ac:dyDescent="0.25">
      <c r="A17815">
        <v>52</v>
      </c>
      <c r="B17815" t="s">
        <v>17816</v>
      </c>
      <c r="C17815">
        <v>9877</v>
      </c>
      <c r="D17815" t="str">
        <f>"1525-3961"</f>
        <v>1525-3961</v>
      </c>
      <c r="E17815" t="s">
        <v>8</v>
      </c>
      <c r="F17815" t="s">
        <v>17824</v>
      </c>
      <c r="G17815">
        <v>2</v>
      </c>
    </row>
    <row r="17816" spans="1:7" x14ac:dyDescent="0.25">
      <c r="A17816">
        <v>52</v>
      </c>
      <c r="B17816" t="s">
        <v>17816</v>
      </c>
      <c r="C17816">
        <v>12308</v>
      </c>
      <c r="D17816" t="str">
        <f>"0161-6420"</f>
        <v>0161-6420</v>
      </c>
      <c r="E17816" t="s">
        <v>8</v>
      </c>
      <c r="F17816" t="s">
        <v>17825</v>
      </c>
      <c r="G17816">
        <v>2</v>
      </c>
    </row>
    <row r="17817" spans="1:7" x14ac:dyDescent="0.25">
      <c r="A17817">
        <v>52</v>
      </c>
      <c r="B17817" t="s">
        <v>17816</v>
      </c>
      <c r="C17817">
        <v>280</v>
      </c>
      <c r="D17817" t="str">
        <f>"1350-9462"</f>
        <v>1350-9462</v>
      </c>
      <c r="E17817" t="s">
        <v>8</v>
      </c>
      <c r="F17817" t="s">
        <v>17826</v>
      </c>
      <c r="G17817">
        <v>2</v>
      </c>
    </row>
    <row r="17818" spans="1:7" x14ac:dyDescent="0.25">
      <c r="A17818">
        <v>52</v>
      </c>
      <c r="B17818" t="s">
        <v>17816</v>
      </c>
      <c r="C17818">
        <v>16939</v>
      </c>
      <c r="D17818" t="str">
        <f>"0023-852X"</f>
        <v>0023-852X</v>
      </c>
      <c r="E17818" t="s">
        <v>8</v>
      </c>
      <c r="F17818" t="s">
        <v>17827</v>
      </c>
      <c r="G17818">
        <v>2</v>
      </c>
    </row>
    <row r="17819" spans="1:7" x14ac:dyDescent="0.25">
      <c r="A17819">
        <v>52</v>
      </c>
      <c r="B17819" t="s">
        <v>17816</v>
      </c>
      <c r="C17819">
        <v>6279</v>
      </c>
      <c r="D17819" t="str">
        <f>"0001-6489"</f>
        <v>0001-6489</v>
      </c>
      <c r="E17819" t="s">
        <v>8</v>
      </c>
      <c r="F17819" t="s">
        <v>17828</v>
      </c>
      <c r="G17819">
        <v>1</v>
      </c>
    </row>
    <row r="17820" spans="1:7" x14ac:dyDescent="0.25">
      <c r="A17820">
        <v>52</v>
      </c>
      <c r="B17820" t="s">
        <v>17816</v>
      </c>
      <c r="C17820">
        <v>5156</v>
      </c>
      <c r="D17820" t="str">
        <f>"0065-3071"</f>
        <v>0065-3071</v>
      </c>
      <c r="E17820" t="s">
        <v>15</v>
      </c>
      <c r="F17820" t="s">
        <v>17829</v>
      </c>
      <c r="G17820">
        <v>1</v>
      </c>
    </row>
    <row r="17821" spans="1:7" x14ac:dyDescent="0.25">
      <c r="A17821">
        <v>52</v>
      </c>
      <c r="B17821" t="s">
        <v>17816</v>
      </c>
      <c r="C17821">
        <v>11726</v>
      </c>
      <c r="D17821" t="str">
        <f>"0002-9394"</f>
        <v>0002-9394</v>
      </c>
      <c r="E17821" t="s">
        <v>8</v>
      </c>
      <c r="F17821" t="s">
        <v>17830</v>
      </c>
      <c r="G17821">
        <v>1</v>
      </c>
    </row>
    <row r="17822" spans="1:7" x14ac:dyDescent="0.25">
      <c r="A17822">
        <v>52</v>
      </c>
      <c r="B17822" t="s">
        <v>17816</v>
      </c>
      <c r="C17822">
        <v>12324</v>
      </c>
      <c r="D17822" t="str">
        <f>"0196-0709"</f>
        <v>0196-0709</v>
      </c>
      <c r="E17822" t="s">
        <v>8</v>
      </c>
      <c r="F17822" t="s">
        <v>17831</v>
      </c>
      <c r="G17822">
        <v>1</v>
      </c>
    </row>
    <row r="17823" spans="1:7" x14ac:dyDescent="0.25">
      <c r="A17823">
        <v>52</v>
      </c>
      <c r="B17823" t="s">
        <v>17816</v>
      </c>
      <c r="C17823">
        <v>11189</v>
      </c>
      <c r="D17823" t="str">
        <f>"1945-8924"</f>
        <v>1945-8924</v>
      </c>
      <c r="E17823" t="s">
        <v>8</v>
      </c>
      <c r="F17823" t="s">
        <v>17832</v>
      </c>
      <c r="G17823">
        <v>1</v>
      </c>
    </row>
    <row r="17824" spans="1:7" x14ac:dyDescent="0.25">
      <c r="A17824">
        <v>52</v>
      </c>
      <c r="B17824" t="s">
        <v>17816</v>
      </c>
      <c r="C17824">
        <v>12194</v>
      </c>
      <c r="D17824" t="str">
        <f>"0003-4894"</f>
        <v>0003-4894</v>
      </c>
      <c r="E17824" t="s">
        <v>8</v>
      </c>
      <c r="F17824" t="s">
        <v>17833</v>
      </c>
      <c r="G17824">
        <v>1</v>
      </c>
    </row>
    <row r="17825" spans="1:7" x14ac:dyDescent="0.25">
      <c r="A17825">
        <v>52</v>
      </c>
      <c r="B17825" t="s">
        <v>17816</v>
      </c>
      <c r="C17825">
        <v>12510</v>
      </c>
      <c r="D17825" t="str">
        <f>"1420-3030"</f>
        <v>1420-3030</v>
      </c>
      <c r="E17825" t="s">
        <v>8</v>
      </c>
      <c r="F17825" t="s">
        <v>17834</v>
      </c>
      <c r="G17825">
        <v>1</v>
      </c>
    </row>
    <row r="17826" spans="1:7" x14ac:dyDescent="0.25">
      <c r="A17826">
        <v>52</v>
      </c>
      <c r="B17826" t="s">
        <v>17816</v>
      </c>
      <c r="C17826">
        <v>7149</v>
      </c>
      <c r="D17826" t="str">
        <f>"0385-8146"</f>
        <v>0385-8146</v>
      </c>
      <c r="E17826" t="s">
        <v>8</v>
      </c>
      <c r="F17826" t="s">
        <v>17835</v>
      </c>
      <c r="G17826">
        <v>1</v>
      </c>
    </row>
    <row r="17827" spans="1:7" x14ac:dyDescent="0.25">
      <c r="A17827">
        <v>52</v>
      </c>
      <c r="B17827" t="s">
        <v>17816</v>
      </c>
      <c r="C17827">
        <v>9163</v>
      </c>
      <c r="E17827" t="s">
        <v>8</v>
      </c>
      <c r="F17827" t="s">
        <v>17836</v>
      </c>
      <c r="G17827">
        <v>1</v>
      </c>
    </row>
    <row r="17828" spans="1:7" x14ac:dyDescent="0.25">
      <c r="A17828">
        <v>52</v>
      </c>
      <c r="B17828" t="s">
        <v>17816</v>
      </c>
      <c r="C17828">
        <v>16335</v>
      </c>
      <c r="E17828" t="s">
        <v>8</v>
      </c>
      <c r="F17828" t="s">
        <v>17837</v>
      </c>
      <c r="G17828">
        <v>1</v>
      </c>
    </row>
    <row r="17829" spans="1:7" x14ac:dyDescent="0.25">
      <c r="A17829">
        <v>52</v>
      </c>
      <c r="B17829" t="s">
        <v>17816</v>
      </c>
      <c r="C17829">
        <v>7625</v>
      </c>
      <c r="D17829" t="str">
        <f>"0008-4182"</f>
        <v>0008-4182</v>
      </c>
      <c r="E17829" t="s">
        <v>8</v>
      </c>
      <c r="F17829" t="s">
        <v>17838</v>
      </c>
      <c r="G17829">
        <v>1</v>
      </c>
    </row>
    <row r="17830" spans="1:7" x14ac:dyDescent="0.25">
      <c r="A17830">
        <v>52</v>
      </c>
      <c r="B17830" t="s">
        <v>17816</v>
      </c>
      <c r="C17830">
        <v>1639</v>
      </c>
      <c r="D17830" t="str">
        <f>"1442-6404"</f>
        <v>1442-6404</v>
      </c>
      <c r="E17830" t="s">
        <v>8</v>
      </c>
      <c r="F17830" t="s">
        <v>17839</v>
      </c>
      <c r="G17830">
        <v>1</v>
      </c>
    </row>
    <row r="17831" spans="1:7" x14ac:dyDescent="0.25">
      <c r="A17831">
        <v>52</v>
      </c>
      <c r="B17831" t="s">
        <v>17816</v>
      </c>
      <c r="C17831">
        <v>3606</v>
      </c>
      <c r="D17831" t="str">
        <f>"0816-4622"</f>
        <v>0816-4622</v>
      </c>
      <c r="E17831" t="s">
        <v>8</v>
      </c>
      <c r="F17831" t="s">
        <v>17840</v>
      </c>
      <c r="G17831">
        <v>1</v>
      </c>
    </row>
    <row r="17832" spans="1:7" x14ac:dyDescent="0.25">
      <c r="A17832">
        <v>52</v>
      </c>
      <c r="B17832" t="s">
        <v>17816</v>
      </c>
      <c r="C17832">
        <v>3423</v>
      </c>
      <c r="D17832" t="str">
        <f>"1749-4478"</f>
        <v>1749-4478</v>
      </c>
      <c r="E17832" t="s">
        <v>8</v>
      </c>
      <c r="F17832" t="s">
        <v>17841</v>
      </c>
      <c r="G17832">
        <v>1</v>
      </c>
    </row>
    <row r="17833" spans="1:7" x14ac:dyDescent="0.25">
      <c r="A17833">
        <v>52</v>
      </c>
      <c r="B17833" t="s">
        <v>17816</v>
      </c>
      <c r="C17833">
        <v>1078</v>
      </c>
      <c r="D17833" t="str">
        <f>"1367-0484"</f>
        <v>1367-0484</v>
      </c>
      <c r="E17833" t="s">
        <v>8</v>
      </c>
      <c r="F17833" t="s">
        <v>17842</v>
      </c>
      <c r="G17833">
        <v>1</v>
      </c>
    </row>
    <row r="17834" spans="1:7" x14ac:dyDescent="0.25">
      <c r="A17834">
        <v>52</v>
      </c>
      <c r="B17834" t="s">
        <v>17816</v>
      </c>
      <c r="C17834">
        <v>7536</v>
      </c>
      <c r="D17834" t="str">
        <f>"0277-3740"</f>
        <v>0277-3740</v>
      </c>
      <c r="E17834" t="s">
        <v>8</v>
      </c>
      <c r="F17834" t="s">
        <v>17843</v>
      </c>
      <c r="G17834">
        <v>1</v>
      </c>
    </row>
    <row r="17835" spans="1:7" x14ac:dyDescent="0.25">
      <c r="A17835">
        <v>52</v>
      </c>
      <c r="B17835" t="s">
        <v>17816</v>
      </c>
      <c r="C17835">
        <v>5838</v>
      </c>
      <c r="D17835" t="str">
        <f>"0271-3683"</f>
        <v>0271-3683</v>
      </c>
      <c r="E17835" t="s">
        <v>8</v>
      </c>
      <c r="F17835" t="s">
        <v>17844</v>
      </c>
      <c r="G17835">
        <v>1</v>
      </c>
    </row>
    <row r="17836" spans="1:7" x14ac:dyDescent="0.25">
      <c r="A17836">
        <v>52</v>
      </c>
      <c r="B17836" t="s">
        <v>17816</v>
      </c>
      <c r="C17836">
        <v>700</v>
      </c>
      <c r="D17836" t="str">
        <f>"1040-8738"</f>
        <v>1040-8738</v>
      </c>
      <c r="E17836" t="s">
        <v>8</v>
      </c>
      <c r="F17836" t="s">
        <v>17845</v>
      </c>
      <c r="G17836">
        <v>1</v>
      </c>
    </row>
    <row r="17837" spans="1:7" x14ac:dyDescent="0.25">
      <c r="A17837">
        <v>52</v>
      </c>
      <c r="B17837" t="s">
        <v>17816</v>
      </c>
      <c r="C17837">
        <v>16706</v>
      </c>
      <c r="D17837" t="str">
        <f>"1087-2418"</f>
        <v>1087-2418</v>
      </c>
      <c r="E17837" t="s">
        <v>8</v>
      </c>
      <c r="F17837" t="s">
        <v>17846</v>
      </c>
      <c r="G17837">
        <v>1</v>
      </c>
    </row>
    <row r="17838" spans="1:7" x14ac:dyDescent="0.25">
      <c r="A17838">
        <v>52</v>
      </c>
      <c r="B17838" t="s">
        <v>17816</v>
      </c>
      <c r="C17838">
        <v>2594</v>
      </c>
      <c r="D17838" t="str">
        <f>"1068-9508"</f>
        <v>1068-9508</v>
      </c>
      <c r="E17838" t="s">
        <v>8</v>
      </c>
      <c r="F17838" t="s">
        <v>17847</v>
      </c>
      <c r="G17838">
        <v>1</v>
      </c>
    </row>
    <row r="17839" spans="1:7" x14ac:dyDescent="0.25">
      <c r="A17839">
        <v>52</v>
      </c>
      <c r="B17839" t="s">
        <v>17816</v>
      </c>
      <c r="C17839">
        <v>259</v>
      </c>
      <c r="D17839" t="str">
        <f>"0941-293X"</f>
        <v>0941-293X</v>
      </c>
      <c r="E17839" t="s">
        <v>8</v>
      </c>
      <c r="F17839" t="s">
        <v>17848</v>
      </c>
      <c r="G17839">
        <v>1</v>
      </c>
    </row>
    <row r="17840" spans="1:7" x14ac:dyDescent="0.25">
      <c r="A17840">
        <v>52</v>
      </c>
      <c r="B17840" t="s">
        <v>17816</v>
      </c>
      <c r="C17840">
        <v>1571</v>
      </c>
      <c r="D17840" t="str">
        <f>"0012-4486"</f>
        <v>0012-4486</v>
      </c>
      <c r="E17840" t="s">
        <v>8</v>
      </c>
      <c r="F17840" t="s">
        <v>17849</v>
      </c>
      <c r="G17840">
        <v>1</v>
      </c>
    </row>
    <row r="17841" spans="1:7" x14ac:dyDescent="0.25">
      <c r="A17841">
        <v>52</v>
      </c>
      <c r="B17841" t="s">
        <v>17816</v>
      </c>
      <c r="C17841">
        <v>14795</v>
      </c>
      <c r="D17841" t="str">
        <f>"0179-051X"</f>
        <v>0179-051X</v>
      </c>
      <c r="E17841" t="s">
        <v>8</v>
      </c>
      <c r="F17841" t="s">
        <v>17850</v>
      </c>
      <c r="G17841">
        <v>1</v>
      </c>
    </row>
    <row r="17842" spans="1:7" x14ac:dyDescent="0.25">
      <c r="A17842">
        <v>52</v>
      </c>
      <c r="B17842" t="s">
        <v>17816</v>
      </c>
      <c r="C17842">
        <v>17341</v>
      </c>
      <c r="D17842" t="str">
        <f>"0145-5613"</f>
        <v>0145-5613</v>
      </c>
      <c r="E17842" t="s">
        <v>8</v>
      </c>
      <c r="F17842" t="s">
        <v>17851</v>
      </c>
      <c r="G17842">
        <v>1</v>
      </c>
    </row>
    <row r="17843" spans="1:7" x14ac:dyDescent="0.25">
      <c r="A17843">
        <v>52</v>
      </c>
      <c r="B17843" t="s">
        <v>17816</v>
      </c>
      <c r="C17843">
        <v>11919</v>
      </c>
      <c r="D17843" t="str">
        <f>"0937-4477"</f>
        <v>0937-4477</v>
      </c>
      <c r="E17843" t="s">
        <v>8</v>
      </c>
      <c r="F17843" t="s">
        <v>17852</v>
      </c>
      <c r="G17843">
        <v>1</v>
      </c>
    </row>
    <row r="17844" spans="1:7" x14ac:dyDescent="0.25">
      <c r="A17844">
        <v>52</v>
      </c>
      <c r="B17844" t="s">
        <v>17816</v>
      </c>
      <c r="C17844">
        <v>13276</v>
      </c>
      <c r="D17844" t="str">
        <f>"1120-6721"</f>
        <v>1120-6721</v>
      </c>
      <c r="E17844" t="s">
        <v>8</v>
      </c>
      <c r="F17844" t="s">
        <v>17853</v>
      </c>
      <c r="G17844">
        <v>1</v>
      </c>
    </row>
    <row r="17845" spans="1:7" x14ac:dyDescent="0.25">
      <c r="A17845">
        <v>52</v>
      </c>
      <c r="B17845" t="s">
        <v>17816</v>
      </c>
      <c r="C17845">
        <v>16003</v>
      </c>
      <c r="D17845" t="str">
        <f>"0950-222X"</f>
        <v>0950-222X</v>
      </c>
      <c r="E17845" t="s">
        <v>8</v>
      </c>
      <c r="F17845" t="s">
        <v>17854</v>
      </c>
      <c r="G17845">
        <v>1</v>
      </c>
    </row>
    <row r="17846" spans="1:7" x14ac:dyDescent="0.25">
      <c r="A17846">
        <v>52</v>
      </c>
      <c r="B17846" t="s">
        <v>17816</v>
      </c>
      <c r="C17846">
        <v>12822</v>
      </c>
      <c r="D17846" t="str">
        <f>"1542-2321"</f>
        <v>1542-2321</v>
      </c>
      <c r="E17846" t="s">
        <v>8</v>
      </c>
      <c r="F17846" t="s">
        <v>17855</v>
      </c>
      <c r="G17846">
        <v>1</v>
      </c>
    </row>
    <row r="17847" spans="1:7" x14ac:dyDescent="0.25">
      <c r="A17847">
        <v>52</v>
      </c>
      <c r="B17847" t="s">
        <v>17816</v>
      </c>
      <c r="C17847">
        <v>6512</v>
      </c>
      <c r="D17847" t="str">
        <f>"1021-7762"</f>
        <v>1021-7762</v>
      </c>
      <c r="E17847" t="s">
        <v>8</v>
      </c>
      <c r="F17847" t="s">
        <v>17856</v>
      </c>
      <c r="G17847">
        <v>1</v>
      </c>
    </row>
    <row r="17848" spans="1:7" x14ac:dyDescent="0.25">
      <c r="A17848">
        <v>52</v>
      </c>
      <c r="B17848" t="s">
        <v>17816</v>
      </c>
      <c r="C17848">
        <v>2489</v>
      </c>
      <c r="D17848" t="str">
        <f>"0721-832X"</f>
        <v>0721-832X</v>
      </c>
      <c r="E17848" t="s">
        <v>8</v>
      </c>
      <c r="F17848" t="s">
        <v>17857</v>
      </c>
      <c r="G17848">
        <v>1</v>
      </c>
    </row>
    <row r="17849" spans="1:7" x14ac:dyDescent="0.25">
      <c r="A17849">
        <v>52</v>
      </c>
      <c r="B17849" t="s">
        <v>17816</v>
      </c>
      <c r="C17849">
        <v>15183</v>
      </c>
      <c r="D17849" t="str">
        <f>"2169-5717"</f>
        <v>2169-5717</v>
      </c>
      <c r="E17849" t="s">
        <v>8</v>
      </c>
      <c r="F17849" t="s">
        <v>17858</v>
      </c>
      <c r="G17849">
        <v>1</v>
      </c>
    </row>
    <row r="17850" spans="1:7" x14ac:dyDescent="0.25">
      <c r="A17850">
        <v>52</v>
      </c>
      <c r="B17850" t="s">
        <v>17816</v>
      </c>
      <c r="C17850">
        <v>12031</v>
      </c>
      <c r="D17850" t="str">
        <f>"0017-6192"</f>
        <v>0017-6192</v>
      </c>
      <c r="E17850" t="s">
        <v>8</v>
      </c>
      <c r="F17850" t="s">
        <v>17859</v>
      </c>
      <c r="G17850">
        <v>1</v>
      </c>
    </row>
    <row r="17851" spans="1:7" x14ac:dyDescent="0.25">
      <c r="A17851">
        <v>52</v>
      </c>
      <c r="B17851" t="s">
        <v>17816</v>
      </c>
      <c r="C17851">
        <v>14613</v>
      </c>
      <c r="D17851" t="str">
        <f>"0165-5876"</f>
        <v>0165-5876</v>
      </c>
      <c r="E17851" t="s">
        <v>8</v>
      </c>
      <c r="F17851" t="s">
        <v>17860</v>
      </c>
      <c r="G17851">
        <v>1</v>
      </c>
    </row>
    <row r="17852" spans="1:7" x14ac:dyDescent="0.25">
      <c r="A17852">
        <v>52</v>
      </c>
      <c r="B17852" t="s">
        <v>17816</v>
      </c>
      <c r="C17852">
        <v>9313</v>
      </c>
      <c r="D17852" t="str">
        <f>"1754-9507"</f>
        <v>1754-9507</v>
      </c>
      <c r="E17852" t="s">
        <v>8</v>
      </c>
      <c r="F17852" t="s">
        <v>17861</v>
      </c>
      <c r="G17852">
        <v>1</v>
      </c>
    </row>
    <row r="17853" spans="1:7" x14ac:dyDescent="0.25">
      <c r="A17853">
        <v>52</v>
      </c>
      <c r="B17853" t="s">
        <v>17816</v>
      </c>
      <c r="C17853">
        <v>12409</v>
      </c>
      <c r="D17853" t="str">
        <f>"0165-5701"</f>
        <v>0165-5701</v>
      </c>
      <c r="E17853" t="s">
        <v>8</v>
      </c>
      <c r="F17853" t="s">
        <v>17862</v>
      </c>
      <c r="G17853">
        <v>1</v>
      </c>
    </row>
    <row r="17854" spans="1:7" x14ac:dyDescent="0.25">
      <c r="A17854">
        <v>52</v>
      </c>
      <c r="B17854" t="s">
        <v>17816</v>
      </c>
      <c r="C17854">
        <v>1254</v>
      </c>
      <c r="D17854" t="str">
        <f>"0020-8167"</f>
        <v>0020-8167</v>
      </c>
      <c r="E17854" t="s">
        <v>8</v>
      </c>
      <c r="F17854" t="s">
        <v>17863</v>
      </c>
      <c r="G17854">
        <v>1</v>
      </c>
    </row>
    <row r="17855" spans="1:7" x14ac:dyDescent="0.25">
      <c r="A17855">
        <v>52</v>
      </c>
      <c r="B17855" t="s">
        <v>17816</v>
      </c>
      <c r="C17855">
        <v>16728</v>
      </c>
      <c r="D17855" t="str">
        <f>"2168-6165"</f>
        <v>2168-6165</v>
      </c>
      <c r="E17855" t="s">
        <v>8</v>
      </c>
      <c r="F17855" t="s">
        <v>17864</v>
      </c>
      <c r="G17855">
        <v>1</v>
      </c>
    </row>
    <row r="17856" spans="1:7" x14ac:dyDescent="0.25">
      <c r="A17856">
        <v>52</v>
      </c>
      <c r="B17856" t="s">
        <v>17816</v>
      </c>
      <c r="C17856">
        <v>1047</v>
      </c>
      <c r="D17856" t="str">
        <f>"2168-6181"</f>
        <v>2168-6181</v>
      </c>
      <c r="E17856" t="s">
        <v>8</v>
      </c>
      <c r="F17856" t="s">
        <v>17865</v>
      </c>
      <c r="G17856">
        <v>1</v>
      </c>
    </row>
    <row r="17857" spans="1:7" x14ac:dyDescent="0.25">
      <c r="A17857">
        <v>52</v>
      </c>
      <c r="B17857" t="s">
        <v>17816</v>
      </c>
      <c r="C17857">
        <v>1645</v>
      </c>
      <c r="D17857" t="str">
        <f>"0021-5155"</f>
        <v>0021-5155</v>
      </c>
      <c r="E17857" t="s">
        <v>8</v>
      </c>
      <c r="F17857" t="s">
        <v>17866</v>
      </c>
      <c r="G17857">
        <v>1</v>
      </c>
    </row>
    <row r="17858" spans="1:7" x14ac:dyDescent="0.25">
      <c r="A17858">
        <v>52</v>
      </c>
      <c r="B17858" t="s">
        <v>17816</v>
      </c>
      <c r="C17858">
        <v>16511</v>
      </c>
      <c r="D17858" t="str">
        <f>"0301-1569"</f>
        <v>0301-1569</v>
      </c>
      <c r="E17858" t="s">
        <v>8</v>
      </c>
      <c r="F17858" t="s">
        <v>17867</v>
      </c>
      <c r="G17858">
        <v>1</v>
      </c>
    </row>
    <row r="17859" spans="1:7" x14ac:dyDescent="0.25">
      <c r="A17859">
        <v>52</v>
      </c>
      <c r="B17859" t="s">
        <v>17816</v>
      </c>
      <c r="C17859">
        <v>335</v>
      </c>
      <c r="D17859" t="str">
        <f>"0181-5512"</f>
        <v>0181-5512</v>
      </c>
      <c r="E17859" t="s">
        <v>8</v>
      </c>
      <c r="F17859" t="s">
        <v>17868</v>
      </c>
      <c r="G17859">
        <v>1</v>
      </c>
    </row>
    <row r="17860" spans="1:7" x14ac:dyDescent="0.25">
      <c r="A17860">
        <v>52</v>
      </c>
      <c r="B17860" t="s">
        <v>17816</v>
      </c>
      <c r="C17860">
        <v>11343</v>
      </c>
      <c r="D17860" t="str">
        <f>"1083-3668"</f>
        <v>1083-3668</v>
      </c>
      <c r="E17860" t="s">
        <v>8</v>
      </c>
      <c r="F17860" t="s">
        <v>17869</v>
      </c>
      <c r="G17860">
        <v>1</v>
      </c>
    </row>
    <row r="17861" spans="1:7" x14ac:dyDescent="0.25">
      <c r="A17861">
        <v>52</v>
      </c>
      <c r="B17861" t="s">
        <v>17816</v>
      </c>
      <c r="C17861">
        <v>15132</v>
      </c>
      <c r="D17861" t="str">
        <f>"0886-3350"</f>
        <v>0886-3350</v>
      </c>
      <c r="E17861" t="s">
        <v>8</v>
      </c>
      <c r="F17861" t="s">
        <v>17870</v>
      </c>
      <c r="G17861">
        <v>1</v>
      </c>
    </row>
    <row r="17862" spans="1:7" x14ac:dyDescent="0.25">
      <c r="A17862">
        <v>52</v>
      </c>
      <c r="B17862" t="s">
        <v>17816</v>
      </c>
      <c r="C17862">
        <v>16654</v>
      </c>
      <c r="D17862" t="str">
        <f>"1057-0829"</f>
        <v>1057-0829</v>
      </c>
      <c r="E17862" t="s">
        <v>8</v>
      </c>
      <c r="F17862" t="s">
        <v>17871</v>
      </c>
      <c r="G17862">
        <v>1</v>
      </c>
    </row>
    <row r="17863" spans="1:7" x14ac:dyDescent="0.25">
      <c r="A17863">
        <v>52</v>
      </c>
      <c r="B17863" t="s">
        <v>17816</v>
      </c>
      <c r="C17863">
        <v>10213</v>
      </c>
      <c r="D17863" t="str">
        <f>"0022-2151"</f>
        <v>0022-2151</v>
      </c>
      <c r="E17863" t="s">
        <v>8</v>
      </c>
      <c r="F17863" t="s">
        <v>17872</v>
      </c>
      <c r="G17863">
        <v>1</v>
      </c>
    </row>
    <row r="17864" spans="1:7" x14ac:dyDescent="0.25">
      <c r="A17864">
        <v>52</v>
      </c>
      <c r="B17864" t="s">
        <v>17816</v>
      </c>
      <c r="C17864">
        <v>9263</v>
      </c>
      <c r="D17864" t="str">
        <f>"1070-8022"</f>
        <v>1070-8022</v>
      </c>
      <c r="E17864" t="s">
        <v>8</v>
      </c>
      <c r="F17864" t="s">
        <v>17873</v>
      </c>
      <c r="G17864">
        <v>1</v>
      </c>
    </row>
    <row r="17865" spans="1:7" x14ac:dyDescent="0.25">
      <c r="A17865">
        <v>52</v>
      </c>
      <c r="B17865" t="s">
        <v>17816</v>
      </c>
      <c r="C17865">
        <v>2561</v>
      </c>
      <c r="D17865" t="str">
        <f>"1080-7683"</f>
        <v>1080-7683</v>
      </c>
      <c r="E17865" t="s">
        <v>8</v>
      </c>
      <c r="F17865" t="s">
        <v>17874</v>
      </c>
      <c r="G17865">
        <v>1</v>
      </c>
    </row>
    <row r="17866" spans="1:7" x14ac:dyDescent="0.25">
      <c r="A17866">
        <v>52</v>
      </c>
      <c r="B17866" t="s">
        <v>17816</v>
      </c>
      <c r="C17866">
        <v>3791</v>
      </c>
      <c r="D17866" t="str">
        <f>"1916-0208"</f>
        <v>1916-0208</v>
      </c>
      <c r="E17866" t="s">
        <v>8</v>
      </c>
      <c r="F17866" t="s">
        <v>17875</v>
      </c>
      <c r="G17866">
        <v>1</v>
      </c>
    </row>
    <row r="17867" spans="1:7" x14ac:dyDescent="0.25">
      <c r="A17867">
        <v>52</v>
      </c>
      <c r="B17867" t="s">
        <v>17816</v>
      </c>
      <c r="C17867">
        <v>16476</v>
      </c>
      <c r="D17867" t="str">
        <f>"0191-3913"</f>
        <v>0191-3913</v>
      </c>
      <c r="E17867" t="s">
        <v>8</v>
      </c>
      <c r="F17867" t="s">
        <v>17876</v>
      </c>
      <c r="G17867">
        <v>1</v>
      </c>
    </row>
    <row r="17868" spans="1:7" x14ac:dyDescent="0.25">
      <c r="A17868">
        <v>52</v>
      </c>
      <c r="B17868" t="s">
        <v>17816</v>
      </c>
      <c r="C17868">
        <v>10179</v>
      </c>
      <c r="D17868" t="str">
        <f>"1092-4388"</f>
        <v>1092-4388</v>
      </c>
      <c r="E17868" t="s">
        <v>8</v>
      </c>
      <c r="F17868" t="s">
        <v>17877</v>
      </c>
      <c r="G17868">
        <v>1</v>
      </c>
    </row>
    <row r="17869" spans="1:7" x14ac:dyDescent="0.25">
      <c r="A17869">
        <v>52</v>
      </c>
      <c r="B17869" t="s">
        <v>17816</v>
      </c>
      <c r="C17869">
        <v>15059</v>
      </c>
      <c r="D17869" t="str">
        <f>"0957-4271"</f>
        <v>0957-4271</v>
      </c>
      <c r="E17869" t="s">
        <v>8</v>
      </c>
      <c r="F17869" t="s">
        <v>17878</v>
      </c>
      <c r="G17869">
        <v>1</v>
      </c>
    </row>
    <row r="17870" spans="1:7" x14ac:dyDescent="0.25">
      <c r="A17870">
        <v>52</v>
      </c>
      <c r="B17870" t="s">
        <v>17816</v>
      </c>
      <c r="C17870">
        <v>15367</v>
      </c>
      <c r="E17870" t="s">
        <v>8</v>
      </c>
      <c r="F17870" t="s">
        <v>17879</v>
      </c>
      <c r="G17870">
        <v>1</v>
      </c>
    </row>
    <row r="17871" spans="1:7" x14ac:dyDescent="0.25">
      <c r="A17871">
        <v>52</v>
      </c>
      <c r="B17871" t="s">
        <v>17816</v>
      </c>
      <c r="C17871">
        <v>13793</v>
      </c>
      <c r="D17871" t="str">
        <f>"0145-482X"</f>
        <v>0145-482X</v>
      </c>
      <c r="E17871" t="s">
        <v>8</v>
      </c>
      <c r="F17871" t="s">
        <v>17880</v>
      </c>
      <c r="G17871">
        <v>1</v>
      </c>
    </row>
    <row r="17872" spans="1:7" x14ac:dyDescent="0.25">
      <c r="A17872">
        <v>52</v>
      </c>
      <c r="B17872" t="s">
        <v>17816</v>
      </c>
      <c r="C17872">
        <v>8396</v>
      </c>
      <c r="D17872" t="str">
        <f>"1091-8531"</f>
        <v>1091-8531</v>
      </c>
      <c r="E17872" t="s">
        <v>8</v>
      </c>
      <c r="F17872" t="s">
        <v>17881</v>
      </c>
      <c r="G17872">
        <v>1</v>
      </c>
    </row>
    <row r="17873" spans="1:7" x14ac:dyDescent="0.25">
      <c r="A17873">
        <v>52</v>
      </c>
      <c r="B17873" t="s">
        <v>17816</v>
      </c>
      <c r="C17873">
        <v>11315</v>
      </c>
      <c r="D17873" t="str">
        <f>"0023-2165"</f>
        <v>0023-2165</v>
      </c>
      <c r="E17873" t="s">
        <v>8</v>
      </c>
      <c r="F17873" t="s">
        <v>17882</v>
      </c>
      <c r="G17873">
        <v>1</v>
      </c>
    </row>
    <row r="17874" spans="1:7" x14ac:dyDescent="0.25">
      <c r="A17874">
        <v>52</v>
      </c>
      <c r="B17874" t="s">
        <v>17816</v>
      </c>
      <c r="C17874">
        <v>2518</v>
      </c>
      <c r="D17874" t="str">
        <f>"0935-8943"</f>
        <v>0935-8943</v>
      </c>
      <c r="E17874" t="s">
        <v>8</v>
      </c>
      <c r="F17874" t="s">
        <v>17883</v>
      </c>
      <c r="G17874">
        <v>1</v>
      </c>
    </row>
    <row r="17875" spans="1:7" x14ac:dyDescent="0.25">
      <c r="A17875">
        <v>52</v>
      </c>
      <c r="B17875" t="s">
        <v>17816</v>
      </c>
      <c r="C17875">
        <v>6568</v>
      </c>
      <c r="D17875" t="str">
        <f>"0165-8107"</f>
        <v>0165-8107</v>
      </c>
      <c r="E17875" t="s">
        <v>8</v>
      </c>
      <c r="F17875" t="s">
        <v>17884</v>
      </c>
      <c r="G17875">
        <v>1</v>
      </c>
    </row>
    <row r="17876" spans="1:7" x14ac:dyDescent="0.25">
      <c r="A17876">
        <v>52</v>
      </c>
      <c r="B17876" t="s">
        <v>17816</v>
      </c>
      <c r="C17876">
        <v>14681</v>
      </c>
      <c r="D17876" t="str">
        <f>"0927-3948"</f>
        <v>0927-3948</v>
      </c>
      <c r="E17876" t="s">
        <v>8</v>
      </c>
      <c r="F17876" t="s">
        <v>17885</v>
      </c>
      <c r="G17876">
        <v>1</v>
      </c>
    </row>
    <row r="17877" spans="1:7" x14ac:dyDescent="0.25">
      <c r="A17877">
        <v>52</v>
      </c>
      <c r="B17877" t="s">
        <v>17816</v>
      </c>
      <c r="C17877">
        <v>12933</v>
      </c>
      <c r="D17877" t="str">
        <f>"0275-5408"</f>
        <v>0275-5408</v>
      </c>
      <c r="E17877" t="s">
        <v>8</v>
      </c>
      <c r="F17877" t="s">
        <v>17886</v>
      </c>
      <c r="G17877">
        <v>1</v>
      </c>
    </row>
    <row r="17878" spans="1:7" x14ac:dyDescent="0.25">
      <c r="A17878">
        <v>52</v>
      </c>
      <c r="B17878" t="s">
        <v>17816</v>
      </c>
      <c r="C17878">
        <v>6095</v>
      </c>
      <c r="D17878" t="str">
        <f>"0928-6586"</f>
        <v>0928-6586</v>
      </c>
      <c r="E17878" t="s">
        <v>8</v>
      </c>
      <c r="F17878" t="s">
        <v>17887</v>
      </c>
      <c r="G17878">
        <v>1</v>
      </c>
    </row>
    <row r="17879" spans="1:7" x14ac:dyDescent="0.25">
      <c r="A17879">
        <v>52</v>
      </c>
      <c r="B17879" t="s">
        <v>17816</v>
      </c>
      <c r="C17879">
        <v>6084</v>
      </c>
      <c r="D17879" t="str">
        <f>"1381-6810"</f>
        <v>1381-6810</v>
      </c>
      <c r="E17879" t="s">
        <v>8</v>
      </c>
      <c r="F17879" t="s">
        <v>17888</v>
      </c>
      <c r="G17879">
        <v>1</v>
      </c>
    </row>
    <row r="17880" spans="1:7" x14ac:dyDescent="0.25">
      <c r="A17880">
        <v>52</v>
      </c>
      <c r="B17880" t="s">
        <v>17816</v>
      </c>
      <c r="C17880">
        <v>9428</v>
      </c>
      <c r="D17880" t="str">
        <f>"0740-9303"</f>
        <v>0740-9303</v>
      </c>
      <c r="E17880" t="s">
        <v>8</v>
      </c>
      <c r="F17880" t="s">
        <v>17889</v>
      </c>
      <c r="G17880">
        <v>1</v>
      </c>
    </row>
    <row r="17881" spans="1:7" x14ac:dyDescent="0.25">
      <c r="A17881">
        <v>52</v>
      </c>
      <c r="B17881" t="s">
        <v>17816</v>
      </c>
      <c r="C17881">
        <v>12022</v>
      </c>
      <c r="D17881" t="str">
        <f>"0030-3747"</f>
        <v>0030-3747</v>
      </c>
      <c r="E17881" t="s">
        <v>8</v>
      </c>
      <c r="F17881" t="s">
        <v>17890</v>
      </c>
      <c r="G17881">
        <v>1</v>
      </c>
    </row>
    <row r="17882" spans="1:7" x14ac:dyDescent="0.25">
      <c r="A17882">
        <v>52</v>
      </c>
      <c r="B17882" t="s">
        <v>17816</v>
      </c>
      <c r="C17882">
        <v>13989</v>
      </c>
      <c r="D17882" t="str">
        <f>"0030-3755"</f>
        <v>0030-3755</v>
      </c>
      <c r="E17882" t="s">
        <v>8</v>
      </c>
      <c r="F17882" t="s">
        <v>17891</v>
      </c>
      <c r="G17882">
        <v>1</v>
      </c>
    </row>
    <row r="17883" spans="1:7" x14ac:dyDescent="0.25">
      <c r="A17883">
        <v>52</v>
      </c>
      <c r="B17883" t="s">
        <v>17816</v>
      </c>
      <c r="C17883">
        <v>7670</v>
      </c>
      <c r="D17883" t="str">
        <f>"1040-5488"</f>
        <v>1040-5488</v>
      </c>
      <c r="E17883" t="s">
        <v>8</v>
      </c>
      <c r="F17883" t="s">
        <v>17892</v>
      </c>
      <c r="G17883">
        <v>1</v>
      </c>
    </row>
    <row r="17884" spans="1:7" x14ac:dyDescent="0.25">
      <c r="A17884">
        <v>52</v>
      </c>
      <c r="B17884" t="s">
        <v>17816</v>
      </c>
      <c r="C17884">
        <v>8311</v>
      </c>
      <c r="D17884" t="str">
        <f>"0167-6830"</f>
        <v>0167-6830</v>
      </c>
      <c r="E17884" t="s">
        <v>8</v>
      </c>
      <c r="F17884" t="s">
        <v>17893</v>
      </c>
      <c r="G17884">
        <v>1</v>
      </c>
    </row>
    <row r="17885" spans="1:7" x14ac:dyDescent="0.25">
      <c r="A17885">
        <v>52</v>
      </c>
      <c r="B17885" t="s">
        <v>17816</v>
      </c>
      <c r="C17885">
        <v>12163</v>
      </c>
      <c r="D17885" t="str">
        <f>"0030-6665"</f>
        <v>0030-6665</v>
      </c>
      <c r="E17885" t="s">
        <v>8</v>
      </c>
      <c r="F17885" t="s">
        <v>17894</v>
      </c>
      <c r="G17885">
        <v>1</v>
      </c>
    </row>
    <row r="17886" spans="1:7" x14ac:dyDescent="0.25">
      <c r="A17886">
        <v>52</v>
      </c>
      <c r="B17886" t="s">
        <v>17816</v>
      </c>
      <c r="C17886">
        <v>7594</v>
      </c>
      <c r="D17886" t="str">
        <f>"0194-5998"</f>
        <v>0194-5998</v>
      </c>
      <c r="E17886" t="s">
        <v>8</v>
      </c>
      <c r="F17886" t="s">
        <v>17895</v>
      </c>
      <c r="G17886">
        <v>1</v>
      </c>
    </row>
    <row r="17887" spans="1:7" x14ac:dyDescent="0.25">
      <c r="A17887">
        <v>52</v>
      </c>
      <c r="B17887" t="s">
        <v>17816</v>
      </c>
      <c r="C17887">
        <v>966</v>
      </c>
      <c r="D17887" t="str">
        <f>"1531-7129"</f>
        <v>1531-7129</v>
      </c>
      <c r="E17887" t="s">
        <v>8</v>
      </c>
      <c r="F17887" t="s">
        <v>17896</v>
      </c>
      <c r="G17887">
        <v>1</v>
      </c>
    </row>
    <row r="17888" spans="1:7" x14ac:dyDescent="0.25">
      <c r="A17888">
        <v>52</v>
      </c>
      <c r="B17888" t="s">
        <v>17816</v>
      </c>
      <c r="C17888">
        <v>1928</v>
      </c>
      <c r="D17888" t="str">
        <f>"0275-004X"</f>
        <v>0275-004X</v>
      </c>
      <c r="E17888" t="s">
        <v>8</v>
      </c>
      <c r="F17888" t="s">
        <v>17897</v>
      </c>
      <c r="G17888">
        <v>1</v>
      </c>
    </row>
    <row r="17889" spans="1:7" x14ac:dyDescent="0.25">
      <c r="A17889">
        <v>52</v>
      </c>
      <c r="B17889" t="s">
        <v>17816</v>
      </c>
      <c r="C17889">
        <v>7864</v>
      </c>
      <c r="D17889" t="str">
        <f>"0300-0729"</f>
        <v>0300-0729</v>
      </c>
      <c r="E17889" t="s">
        <v>8</v>
      </c>
      <c r="F17889" t="s">
        <v>17898</v>
      </c>
      <c r="G17889">
        <v>1</v>
      </c>
    </row>
    <row r="17890" spans="1:7" x14ac:dyDescent="0.25">
      <c r="A17890">
        <v>52</v>
      </c>
      <c r="B17890" t="s">
        <v>17816</v>
      </c>
      <c r="C17890">
        <v>6929</v>
      </c>
      <c r="D17890" t="str">
        <f>"0734-0451"</f>
        <v>0734-0451</v>
      </c>
      <c r="E17890" t="s">
        <v>8</v>
      </c>
      <c r="F17890" t="s">
        <v>17899</v>
      </c>
      <c r="G17890">
        <v>1</v>
      </c>
    </row>
    <row r="17891" spans="1:7" x14ac:dyDescent="0.25">
      <c r="A17891">
        <v>52</v>
      </c>
      <c r="B17891" t="s">
        <v>17816</v>
      </c>
      <c r="C17891">
        <v>4257</v>
      </c>
      <c r="D17891" t="str">
        <f>"0882-0538"</f>
        <v>0882-0538</v>
      </c>
      <c r="E17891" t="s">
        <v>8</v>
      </c>
      <c r="F17891" t="s">
        <v>17900</v>
      </c>
      <c r="G17891">
        <v>1</v>
      </c>
    </row>
    <row r="17892" spans="1:7" x14ac:dyDescent="0.25">
      <c r="A17892">
        <v>52</v>
      </c>
      <c r="B17892" t="s">
        <v>17816</v>
      </c>
      <c r="C17892">
        <v>1166</v>
      </c>
      <c r="D17892" t="str">
        <f>"0734-0478"</f>
        <v>0734-0478</v>
      </c>
      <c r="E17892" t="s">
        <v>8</v>
      </c>
      <c r="F17892" t="s">
        <v>17901</v>
      </c>
      <c r="G17892">
        <v>1</v>
      </c>
    </row>
    <row r="17893" spans="1:7" x14ac:dyDescent="0.25">
      <c r="A17893">
        <v>52</v>
      </c>
      <c r="B17893" t="s">
        <v>17816</v>
      </c>
      <c r="C17893">
        <v>6395</v>
      </c>
      <c r="D17893" t="str">
        <f>"0927-3972"</f>
        <v>0927-3972</v>
      </c>
      <c r="E17893" t="s">
        <v>8</v>
      </c>
      <c r="F17893" t="s">
        <v>17902</v>
      </c>
      <c r="G17893">
        <v>1</v>
      </c>
    </row>
    <row r="17894" spans="1:7" x14ac:dyDescent="0.25">
      <c r="A17894">
        <v>52</v>
      </c>
      <c r="B17894" t="s">
        <v>17816</v>
      </c>
      <c r="C17894">
        <v>11759</v>
      </c>
      <c r="D17894" t="str">
        <f>"0039-6257"</f>
        <v>0039-6257</v>
      </c>
      <c r="E17894" t="s">
        <v>8</v>
      </c>
      <c r="F17894" t="s">
        <v>17903</v>
      </c>
      <c r="G17894">
        <v>1</v>
      </c>
    </row>
    <row r="17895" spans="1:7" x14ac:dyDescent="0.25">
      <c r="A17895">
        <v>52</v>
      </c>
      <c r="B17895" t="s">
        <v>17816</v>
      </c>
      <c r="C17895">
        <v>14089</v>
      </c>
      <c r="D17895" t="str">
        <f>"0892-1997"</f>
        <v>0892-1997</v>
      </c>
      <c r="E17895" t="s">
        <v>8</v>
      </c>
      <c r="F17895" t="s">
        <v>17904</v>
      </c>
      <c r="G17895">
        <v>1</v>
      </c>
    </row>
    <row r="17896" spans="1:7" x14ac:dyDescent="0.25">
      <c r="A17896">
        <v>52</v>
      </c>
      <c r="B17896" t="s">
        <v>17816</v>
      </c>
      <c r="C17896">
        <v>8758607</v>
      </c>
      <c r="D17896" t="str">
        <f>"2331-2165"</f>
        <v>2331-2165</v>
      </c>
      <c r="E17896" t="s">
        <v>8</v>
      </c>
      <c r="F17896" t="s">
        <v>17905</v>
      </c>
      <c r="G17896">
        <v>1</v>
      </c>
    </row>
    <row r="17897" spans="1:7" x14ac:dyDescent="0.25">
      <c r="A17897">
        <v>52</v>
      </c>
      <c r="B17897" t="s">
        <v>17816</v>
      </c>
      <c r="C17897">
        <v>16045</v>
      </c>
      <c r="D17897" t="str">
        <f>"0042-6989"</f>
        <v>0042-6989</v>
      </c>
      <c r="E17897" t="s">
        <v>8</v>
      </c>
      <c r="F17897" t="s">
        <v>17906</v>
      </c>
      <c r="G17897">
        <v>1</v>
      </c>
    </row>
    <row r="17898" spans="1:7" x14ac:dyDescent="0.25">
      <c r="A17898">
        <v>53</v>
      </c>
      <c r="B17898" t="s">
        <v>17907</v>
      </c>
      <c r="C17898">
        <v>8802</v>
      </c>
      <c r="D17898" t="str">
        <f>"0002-9378"</f>
        <v>0002-9378</v>
      </c>
      <c r="E17898" t="s">
        <v>8</v>
      </c>
      <c r="F17898" t="s">
        <v>17908</v>
      </c>
      <c r="G17898">
        <v>2</v>
      </c>
    </row>
    <row r="17899" spans="1:7" x14ac:dyDescent="0.25">
      <c r="A17899">
        <v>53</v>
      </c>
      <c r="B17899" t="s">
        <v>17907</v>
      </c>
      <c r="C17899">
        <v>9423</v>
      </c>
      <c r="D17899" t="str">
        <f>"1470-0328"</f>
        <v>1470-0328</v>
      </c>
      <c r="E17899" t="s">
        <v>8</v>
      </c>
      <c r="F17899" t="s">
        <v>17909</v>
      </c>
      <c r="G17899">
        <v>2</v>
      </c>
    </row>
    <row r="17900" spans="1:7" x14ac:dyDescent="0.25">
      <c r="A17900">
        <v>53</v>
      </c>
      <c r="B17900" t="s">
        <v>17907</v>
      </c>
      <c r="C17900">
        <v>14942</v>
      </c>
      <c r="D17900" t="str">
        <f>"0090-8258"</f>
        <v>0090-8258</v>
      </c>
      <c r="E17900" t="s">
        <v>8</v>
      </c>
      <c r="F17900" t="s">
        <v>17910</v>
      </c>
      <c r="G17900">
        <v>2</v>
      </c>
    </row>
    <row r="17901" spans="1:7" x14ac:dyDescent="0.25">
      <c r="A17901">
        <v>53</v>
      </c>
      <c r="B17901" t="s">
        <v>17907</v>
      </c>
      <c r="C17901">
        <v>6649</v>
      </c>
      <c r="D17901" t="str">
        <f>"0268-1161"</f>
        <v>0268-1161</v>
      </c>
      <c r="E17901" t="s">
        <v>8</v>
      </c>
      <c r="F17901" t="s">
        <v>17911</v>
      </c>
      <c r="G17901">
        <v>2</v>
      </c>
    </row>
    <row r="17902" spans="1:7" x14ac:dyDescent="0.25">
      <c r="A17902">
        <v>53</v>
      </c>
      <c r="B17902" t="s">
        <v>17907</v>
      </c>
      <c r="C17902">
        <v>15614</v>
      </c>
      <c r="D17902" t="str">
        <f>"0960-7692"</f>
        <v>0960-7692</v>
      </c>
      <c r="E17902" t="s">
        <v>8</v>
      </c>
      <c r="F17902" t="s">
        <v>17912</v>
      </c>
      <c r="G17902">
        <v>2</v>
      </c>
    </row>
    <row r="17903" spans="1:7" x14ac:dyDescent="0.25">
      <c r="A17903">
        <v>53</v>
      </c>
      <c r="B17903" t="s">
        <v>17907</v>
      </c>
      <c r="C17903">
        <v>11774</v>
      </c>
      <c r="D17903" t="str">
        <f>"0001-6349"</f>
        <v>0001-6349</v>
      </c>
      <c r="E17903" t="s">
        <v>8</v>
      </c>
      <c r="F17903" t="s">
        <v>17913</v>
      </c>
      <c r="G17903">
        <v>1</v>
      </c>
    </row>
    <row r="17904" spans="1:7" x14ac:dyDescent="0.25">
      <c r="A17904">
        <v>53</v>
      </c>
      <c r="B17904" t="s">
        <v>17907</v>
      </c>
      <c r="C17904">
        <v>4814</v>
      </c>
      <c r="D17904" t="str">
        <f>"0735-1631"</f>
        <v>0735-1631</v>
      </c>
      <c r="E17904" t="s">
        <v>8</v>
      </c>
      <c r="F17904" t="s">
        <v>17914</v>
      </c>
      <c r="G17904">
        <v>1</v>
      </c>
    </row>
    <row r="17905" spans="1:7" x14ac:dyDescent="0.25">
      <c r="A17905">
        <v>53</v>
      </c>
      <c r="B17905" t="s">
        <v>17907</v>
      </c>
      <c r="C17905">
        <v>3175</v>
      </c>
      <c r="D17905" t="str">
        <f>"1046-7408"</f>
        <v>1046-7408</v>
      </c>
      <c r="E17905" t="s">
        <v>8</v>
      </c>
      <c r="F17905" t="s">
        <v>17915</v>
      </c>
      <c r="G17905">
        <v>1</v>
      </c>
    </row>
    <row r="17906" spans="1:7" x14ac:dyDescent="0.25">
      <c r="A17906">
        <v>53</v>
      </c>
      <c r="B17906" t="s">
        <v>17907</v>
      </c>
      <c r="C17906">
        <v>4371</v>
      </c>
      <c r="D17906" t="str">
        <f>"1359-2998"</f>
        <v>1359-2998</v>
      </c>
      <c r="E17906" t="s">
        <v>8</v>
      </c>
      <c r="F17906" t="s">
        <v>17916</v>
      </c>
      <c r="G17906">
        <v>1</v>
      </c>
    </row>
    <row r="17907" spans="1:7" x14ac:dyDescent="0.25">
      <c r="A17907">
        <v>53</v>
      </c>
      <c r="B17907" t="s">
        <v>17907</v>
      </c>
      <c r="C17907">
        <v>9847</v>
      </c>
      <c r="D17907" t="str">
        <f>"0932-0067"</f>
        <v>0932-0067</v>
      </c>
      <c r="E17907" t="s">
        <v>8</v>
      </c>
      <c r="F17907" t="s">
        <v>17917</v>
      </c>
      <c r="G17907">
        <v>1</v>
      </c>
    </row>
    <row r="17908" spans="1:7" x14ac:dyDescent="0.25">
      <c r="A17908">
        <v>53</v>
      </c>
      <c r="B17908" t="s">
        <v>17907</v>
      </c>
      <c r="C17908">
        <v>2881</v>
      </c>
      <c r="D17908" t="str">
        <f>"1521-6934"</f>
        <v>1521-6934</v>
      </c>
      <c r="E17908" t="s">
        <v>8</v>
      </c>
      <c r="F17908" t="s">
        <v>17918</v>
      </c>
      <c r="G17908">
        <v>1</v>
      </c>
    </row>
    <row r="17909" spans="1:7" x14ac:dyDescent="0.25">
      <c r="A17909">
        <v>53</v>
      </c>
      <c r="B17909" t="s">
        <v>17907</v>
      </c>
      <c r="C17909">
        <v>12882</v>
      </c>
      <c r="D17909" t="str">
        <f>"0006-3363"</f>
        <v>0006-3363</v>
      </c>
      <c r="E17909" t="s">
        <v>8</v>
      </c>
      <c r="F17909" t="s">
        <v>17919</v>
      </c>
      <c r="G17909">
        <v>1</v>
      </c>
    </row>
    <row r="17910" spans="1:7" x14ac:dyDescent="0.25">
      <c r="A17910">
        <v>53</v>
      </c>
      <c r="B17910" t="s">
        <v>17907</v>
      </c>
      <c r="C17910">
        <v>16085</v>
      </c>
      <c r="D17910" t="str">
        <f>"0730-7659"</f>
        <v>0730-7659</v>
      </c>
      <c r="E17910" t="s">
        <v>8</v>
      </c>
      <c r="F17910" t="s">
        <v>17920</v>
      </c>
      <c r="G17910">
        <v>1</v>
      </c>
    </row>
    <row r="17911" spans="1:7" x14ac:dyDescent="0.25">
      <c r="A17911">
        <v>53</v>
      </c>
      <c r="B17911" t="s">
        <v>17907</v>
      </c>
      <c r="C17911">
        <v>15891</v>
      </c>
      <c r="E17911" t="s">
        <v>8</v>
      </c>
      <c r="F17911" t="s">
        <v>17921</v>
      </c>
      <c r="G17911">
        <v>1</v>
      </c>
    </row>
    <row r="17912" spans="1:7" x14ac:dyDescent="0.25">
      <c r="A17912">
        <v>53</v>
      </c>
      <c r="B17912" t="s">
        <v>17907</v>
      </c>
      <c r="C17912">
        <v>4490</v>
      </c>
      <c r="E17912" t="s">
        <v>8</v>
      </c>
      <c r="F17912" t="s">
        <v>17922</v>
      </c>
      <c r="G17912">
        <v>1</v>
      </c>
    </row>
    <row r="17913" spans="1:7" x14ac:dyDescent="0.25">
      <c r="A17913">
        <v>53</v>
      </c>
      <c r="B17913" t="s">
        <v>17907</v>
      </c>
      <c r="C17913">
        <v>5304</v>
      </c>
      <c r="D17913" t="str">
        <f>"1369-7137"</f>
        <v>1369-7137</v>
      </c>
      <c r="E17913" t="s">
        <v>8</v>
      </c>
      <c r="F17913" t="s">
        <v>17923</v>
      </c>
      <c r="G17913">
        <v>1</v>
      </c>
    </row>
    <row r="17914" spans="1:7" x14ac:dyDescent="0.25">
      <c r="A17914">
        <v>53</v>
      </c>
      <c r="B17914" t="s">
        <v>17907</v>
      </c>
      <c r="C17914">
        <v>13200</v>
      </c>
      <c r="D17914" t="str">
        <f>"0009-9201"</f>
        <v>0009-9201</v>
      </c>
      <c r="E17914" t="s">
        <v>8</v>
      </c>
      <c r="F17914" t="s">
        <v>17924</v>
      </c>
      <c r="G17914">
        <v>1</v>
      </c>
    </row>
    <row r="17915" spans="1:7" x14ac:dyDescent="0.25">
      <c r="A17915">
        <v>53</v>
      </c>
      <c r="B17915" t="s">
        <v>17907</v>
      </c>
      <c r="C17915">
        <v>11865</v>
      </c>
      <c r="D17915" t="str">
        <f>"0095-5108"</f>
        <v>0095-5108</v>
      </c>
      <c r="E17915" t="s">
        <v>8</v>
      </c>
      <c r="F17915" t="s">
        <v>17925</v>
      </c>
      <c r="G17915">
        <v>1</v>
      </c>
    </row>
    <row r="17916" spans="1:7" x14ac:dyDescent="0.25">
      <c r="A17916">
        <v>53</v>
      </c>
      <c r="B17916" t="s">
        <v>17907</v>
      </c>
      <c r="C17916">
        <v>4108</v>
      </c>
      <c r="D17916" t="str">
        <f>"0090-3159"</f>
        <v>0090-3159</v>
      </c>
      <c r="E17916" t="s">
        <v>8</v>
      </c>
      <c r="F17916" t="s">
        <v>17926</v>
      </c>
      <c r="G17916">
        <v>1</v>
      </c>
    </row>
    <row r="17917" spans="1:7" x14ac:dyDescent="0.25">
      <c r="A17917">
        <v>53</v>
      </c>
      <c r="B17917" t="s">
        <v>17907</v>
      </c>
      <c r="C17917">
        <v>7043</v>
      </c>
      <c r="D17917" t="str">
        <f>"0010-7824"</f>
        <v>0010-7824</v>
      </c>
      <c r="E17917" t="s">
        <v>8</v>
      </c>
      <c r="F17917" t="s">
        <v>17927</v>
      </c>
      <c r="G17917">
        <v>1</v>
      </c>
    </row>
    <row r="17918" spans="1:7" x14ac:dyDescent="0.25">
      <c r="A17918">
        <v>53</v>
      </c>
      <c r="B17918" t="s">
        <v>17907</v>
      </c>
      <c r="C17918">
        <v>2222</v>
      </c>
      <c r="D17918" t="str">
        <f>"1040-872X"</f>
        <v>1040-872X</v>
      </c>
      <c r="E17918" t="s">
        <v>8</v>
      </c>
      <c r="F17918" t="s">
        <v>17928</v>
      </c>
      <c r="G17918">
        <v>1</v>
      </c>
    </row>
    <row r="17919" spans="1:7" x14ac:dyDescent="0.25">
      <c r="A17919">
        <v>53</v>
      </c>
      <c r="B17919" t="s">
        <v>17907</v>
      </c>
      <c r="C17919">
        <v>9438</v>
      </c>
      <c r="D17919" t="str">
        <f>"0017-5994"</f>
        <v>0017-5994</v>
      </c>
      <c r="E17919" t="s">
        <v>8</v>
      </c>
      <c r="F17919" t="s">
        <v>17929</v>
      </c>
      <c r="G17919">
        <v>1</v>
      </c>
    </row>
    <row r="17920" spans="1:7" x14ac:dyDescent="0.25">
      <c r="A17920">
        <v>53</v>
      </c>
      <c r="B17920" t="s">
        <v>17907</v>
      </c>
      <c r="C17920">
        <v>1284</v>
      </c>
      <c r="D17920" t="str">
        <f>"0378-3782"</f>
        <v>0378-3782</v>
      </c>
      <c r="E17920" t="s">
        <v>8</v>
      </c>
      <c r="F17920" t="s">
        <v>17930</v>
      </c>
      <c r="G17920">
        <v>1</v>
      </c>
    </row>
    <row r="17921" spans="1:7" x14ac:dyDescent="0.25">
      <c r="A17921">
        <v>53</v>
      </c>
      <c r="B17921" t="s">
        <v>17907</v>
      </c>
      <c r="C17921">
        <v>2800</v>
      </c>
      <c r="D17921" t="str">
        <f>"0392-2936"</f>
        <v>0392-2936</v>
      </c>
      <c r="E17921" t="s">
        <v>8</v>
      </c>
      <c r="F17921" t="s">
        <v>17931</v>
      </c>
      <c r="G17921">
        <v>1</v>
      </c>
    </row>
    <row r="17922" spans="1:7" x14ac:dyDescent="0.25">
      <c r="A17922">
        <v>53</v>
      </c>
      <c r="B17922" t="s">
        <v>17907</v>
      </c>
      <c r="C17922">
        <v>12026</v>
      </c>
      <c r="D17922" t="str">
        <f>"0301-2115"</f>
        <v>0301-2115</v>
      </c>
      <c r="E17922" t="s">
        <v>8</v>
      </c>
      <c r="F17922" t="s">
        <v>17932</v>
      </c>
      <c r="G17922">
        <v>1</v>
      </c>
    </row>
    <row r="17923" spans="1:7" x14ac:dyDescent="0.25">
      <c r="A17923">
        <v>53</v>
      </c>
      <c r="B17923" t="s">
        <v>17907</v>
      </c>
      <c r="C17923">
        <v>3712</v>
      </c>
      <c r="D17923" t="str">
        <f>"0015-0282"</f>
        <v>0015-0282</v>
      </c>
      <c r="E17923" t="s">
        <v>8</v>
      </c>
      <c r="F17923" t="s">
        <v>17933</v>
      </c>
      <c r="G17923">
        <v>1</v>
      </c>
    </row>
    <row r="17924" spans="1:7" x14ac:dyDescent="0.25">
      <c r="A17924">
        <v>53</v>
      </c>
      <c r="B17924" t="s">
        <v>17907</v>
      </c>
      <c r="C17924">
        <v>71</v>
      </c>
      <c r="D17924" t="str">
        <f>"0965-5395"</f>
        <v>0965-5395</v>
      </c>
      <c r="E17924" t="s">
        <v>8</v>
      </c>
      <c r="F17924" t="s">
        <v>17934</v>
      </c>
      <c r="G17924">
        <v>1</v>
      </c>
    </row>
    <row r="17925" spans="1:7" x14ac:dyDescent="0.25">
      <c r="A17925">
        <v>53</v>
      </c>
      <c r="B17925" t="s">
        <v>17907</v>
      </c>
      <c r="C17925">
        <v>12218</v>
      </c>
      <c r="D17925" t="str">
        <f>"1015-3837"</f>
        <v>1015-3837</v>
      </c>
      <c r="E17925" t="s">
        <v>8</v>
      </c>
      <c r="F17925" t="s">
        <v>17935</v>
      </c>
      <c r="G17925">
        <v>1</v>
      </c>
    </row>
    <row r="17926" spans="1:7" x14ac:dyDescent="0.25">
      <c r="A17926">
        <v>53</v>
      </c>
      <c r="B17926" t="s">
        <v>17907</v>
      </c>
      <c r="C17926">
        <v>7647</v>
      </c>
      <c r="D17926" t="str">
        <f>"0016-5751"</f>
        <v>0016-5751</v>
      </c>
      <c r="E17926" t="s">
        <v>8</v>
      </c>
      <c r="F17926" t="s">
        <v>17936</v>
      </c>
      <c r="G17926">
        <v>1</v>
      </c>
    </row>
    <row r="17927" spans="1:7" x14ac:dyDescent="0.25">
      <c r="A17927">
        <v>53</v>
      </c>
      <c r="B17927" t="s">
        <v>17907</v>
      </c>
      <c r="C17927">
        <v>15152</v>
      </c>
      <c r="D17927" t="str">
        <f>"1610-2894"</f>
        <v>1610-2894</v>
      </c>
      <c r="E17927" t="s">
        <v>8</v>
      </c>
      <c r="F17927" t="s">
        <v>17937</v>
      </c>
      <c r="G17927">
        <v>1</v>
      </c>
    </row>
    <row r="17928" spans="1:7" x14ac:dyDescent="0.25">
      <c r="A17928">
        <v>53</v>
      </c>
      <c r="B17928" t="s">
        <v>17907</v>
      </c>
      <c r="C17928">
        <v>5015</v>
      </c>
      <c r="D17928" t="str">
        <f>"0378-7346"</f>
        <v>0378-7346</v>
      </c>
      <c r="E17928" t="s">
        <v>8</v>
      </c>
      <c r="F17928" t="s">
        <v>17938</v>
      </c>
      <c r="G17928">
        <v>1</v>
      </c>
    </row>
    <row r="17929" spans="1:7" x14ac:dyDescent="0.25">
      <c r="A17929">
        <v>53</v>
      </c>
      <c r="B17929" t="s">
        <v>17907</v>
      </c>
      <c r="C17929">
        <v>16871</v>
      </c>
      <c r="D17929" t="str">
        <f>"0951-3590"</f>
        <v>0951-3590</v>
      </c>
      <c r="E17929" t="s">
        <v>8</v>
      </c>
      <c r="F17929" t="s">
        <v>17939</v>
      </c>
      <c r="G17929">
        <v>1</v>
      </c>
    </row>
    <row r="17930" spans="1:7" x14ac:dyDescent="0.25">
      <c r="A17930">
        <v>53</v>
      </c>
      <c r="B17930" t="s">
        <v>17907</v>
      </c>
      <c r="C17930">
        <v>12356</v>
      </c>
      <c r="D17930" t="str">
        <f>"1613-2076"</f>
        <v>1613-2076</v>
      </c>
      <c r="E17930" t="s">
        <v>8</v>
      </c>
      <c r="F17930" t="s">
        <v>17940</v>
      </c>
      <c r="G17930">
        <v>1</v>
      </c>
    </row>
    <row r="17931" spans="1:7" x14ac:dyDescent="0.25">
      <c r="A17931">
        <v>53</v>
      </c>
      <c r="B17931" t="s">
        <v>17907</v>
      </c>
      <c r="C17931">
        <v>5873</v>
      </c>
      <c r="D17931" t="str">
        <f>"1355-4786"</f>
        <v>1355-4786</v>
      </c>
      <c r="E17931" t="s">
        <v>8</v>
      </c>
      <c r="F17931" t="s">
        <v>17941</v>
      </c>
      <c r="G17931">
        <v>1</v>
      </c>
    </row>
    <row r="17932" spans="1:7" x14ac:dyDescent="0.25">
      <c r="A17932">
        <v>53</v>
      </c>
      <c r="B17932" t="s">
        <v>17907</v>
      </c>
      <c r="C17932">
        <v>9873</v>
      </c>
      <c r="D17932" t="str">
        <f>"1064-1955"</f>
        <v>1064-1955</v>
      </c>
      <c r="E17932" t="s">
        <v>8</v>
      </c>
      <c r="F17932" t="s">
        <v>17942</v>
      </c>
      <c r="G17932">
        <v>1</v>
      </c>
    </row>
    <row r="17933" spans="1:7" x14ac:dyDescent="0.25">
      <c r="A17933">
        <v>53</v>
      </c>
      <c r="B17933" t="s">
        <v>17907</v>
      </c>
      <c r="C17933">
        <v>16915</v>
      </c>
      <c r="D17933" t="str">
        <f>"1064-7449"</f>
        <v>1064-7449</v>
      </c>
      <c r="E17933" t="s">
        <v>8</v>
      </c>
      <c r="F17933" t="s">
        <v>17943</v>
      </c>
      <c r="G17933">
        <v>1</v>
      </c>
    </row>
    <row r="17934" spans="1:7" x14ac:dyDescent="0.25">
      <c r="A17934">
        <v>53</v>
      </c>
      <c r="B17934" t="s">
        <v>17907</v>
      </c>
      <c r="C17934">
        <v>11111</v>
      </c>
      <c r="D17934" t="str">
        <f>"1048-891X"</f>
        <v>1048-891X</v>
      </c>
      <c r="E17934" t="s">
        <v>8</v>
      </c>
      <c r="F17934" t="s">
        <v>17944</v>
      </c>
      <c r="G17934">
        <v>1</v>
      </c>
    </row>
    <row r="17935" spans="1:7" x14ac:dyDescent="0.25">
      <c r="A17935">
        <v>53</v>
      </c>
      <c r="B17935" t="s">
        <v>17907</v>
      </c>
      <c r="C17935">
        <v>4159</v>
      </c>
      <c r="D17935" t="str">
        <f>"0020-7292"</f>
        <v>0020-7292</v>
      </c>
      <c r="E17935" t="s">
        <v>8</v>
      </c>
      <c r="F17935" t="s">
        <v>17945</v>
      </c>
      <c r="G17935">
        <v>1</v>
      </c>
    </row>
    <row r="17936" spans="1:7" x14ac:dyDescent="0.25">
      <c r="A17936">
        <v>53</v>
      </c>
      <c r="B17936" t="s">
        <v>17907</v>
      </c>
      <c r="C17936">
        <v>6422</v>
      </c>
      <c r="D17936" t="str">
        <f>"1058-0468"</f>
        <v>1058-0468</v>
      </c>
      <c r="E17936" t="s">
        <v>8</v>
      </c>
      <c r="F17936" t="s">
        <v>17946</v>
      </c>
      <c r="G17936">
        <v>1</v>
      </c>
    </row>
    <row r="17937" spans="1:7" x14ac:dyDescent="0.25">
      <c r="A17937">
        <v>53</v>
      </c>
      <c r="B17937" t="s">
        <v>17907</v>
      </c>
      <c r="C17937">
        <v>15035</v>
      </c>
      <c r="D17937" t="str">
        <f>"0890-3344"</f>
        <v>0890-3344</v>
      </c>
      <c r="E17937" t="s">
        <v>8</v>
      </c>
      <c r="F17937" t="s">
        <v>17947</v>
      </c>
      <c r="G17937">
        <v>1</v>
      </c>
    </row>
    <row r="17938" spans="1:7" x14ac:dyDescent="0.25">
      <c r="A17938">
        <v>53</v>
      </c>
      <c r="B17938" t="s">
        <v>17907</v>
      </c>
      <c r="C17938">
        <v>5900</v>
      </c>
      <c r="D17938" t="str">
        <f>"1553-4650"</f>
        <v>1553-4650</v>
      </c>
      <c r="E17938" t="s">
        <v>8</v>
      </c>
      <c r="F17938" t="s">
        <v>17948</v>
      </c>
      <c r="G17938">
        <v>1</v>
      </c>
    </row>
    <row r="17939" spans="1:7" x14ac:dyDescent="0.25">
      <c r="A17939">
        <v>53</v>
      </c>
      <c r="B17939" t="s">
        <v>17907</v>
      </c>
      <c r="C17939">
        <v>386</v>
      </c>
      <c r="D17939" t="str">
        <f>"0144-3615"</f>
        <v>0144-3615</v>
      </c>
      <c r="E17939" t="s">
        <v>8</v>
      </c>
      <c r="F17939" t="s">
        <v>17949</v>
      </c>
      <c r="G17939">
        <v>1</v>
      </c>
    </row>
    <row r="17940" spans="1:7" x14ac:dyDescent="0.25">
      <c r="A17940">
        <v>53</v>
      </c>
      <c r="B17940" t="s">
        <v>17907</v>
      </c>
      <c r="C17940">
        <v>7589</v>
      </c>
      <c r="D17940" t="str">
        <f>"1341-8076"</f>
        <v>1341-8076</v>
      </c>
      <c r="E17940" t="s">
        <v>8</v>
      </c>
      <c r="F17940" t="s">
        <v>17950</v>
      </c>
      <c r="G17940">
        <v>1</v>
      </c>
    </row>
    <row r="17941" spans="1:7" x14ac:dyDescent="0.25">
      <c r="A17941">
        <v>53</v>
      </c>
      <c r="B17941" t="s">
        <v>17907</v>
      </c>
      <c r="C17941">
        <v>3359</v>
      </c>
      <c r="D17941" t="str">
        <f>"1083-3188"</f>
        <v>1083-3188</v>
      </c>
      <c r="E17941" t="s">
        <v>8</v>
      </c>
      <c r="F17941" t="s">
        <v>17951</v>
      </c>
      <c r="G17941">
        <v>1</v>
      </c>
    </row>
    <row r="17942" spans="1:7" x14ac:dyDescent="0.25">
      <c r="A17942">
        <v>53</v>
      </c>
      <c r="B17942" t="s">
        <v>17907</v>
      </c>
      <c r="C17942">
        <v>1842</v>
      </c>
      <c r="D17942" t="str">
        <f>"0300-5577"</f>
        <v>0300-5577</v>
      </c>
      <c r="E17942" t="s">
        <v>8</v>
      </c>
      <c r="F17942" t="s">
        <v>17952</v>
      </c>
      <c r="G17942">
        <v>1</v>
      </c>
    </row>
    <row r="17943" spans="1:7" x14ac:dyDescent="0.25">
      <c r="A17943">
        <v>53</v>
      </c>
      <c r="B17943" t="s">
        <v>17907</v>
      </c>
      <c r="C17943">
        <v>13356</v>
      </c>
      <c r="D17943" t="str">
        <f>"0743-8346"</f>
        <v>0743-8346</v>
      </c>
      <c r="E17943" t="s">
        <v>8</v>
      </c>
      <c r="F17943" t="s">
        <v>17953</v>
      </c>
      <c r="G17943">
        <v>1</v>
      </c>
    </row>
    <row r="17944" spans="1:7" x14ac:dyDescent="0.25">
      <c r="A17944">
        <v>53</v>
      </c>
      <c r="B17944" t="s">
        <v>17907</v>
      </c>
      <c r="C17944">
        <v>3339</v>
      </c>
      <c r="D17944" t="str">
        <f>"0167-482X"</f>
        <v>0167-482X</v>
      </c>
      <c r="E17944" t="s">
        <v>8</v>
      </c>
      <c r="F17944" t="s">
        <v>17954</v>
      </c>
      <c r="G17944">
        <v>1</v>
      </c>
    </row>
    <row r="17945" spans="1:7" x14ac:dyDescent="0.25">
      <c r="A17945">
        <v>53</v>
      </c>
      <c r="B17945" t="s">
        <v>17907</v>
      </c>
      <c r="C17945">
        <v>15256</v>
      </c>
      <c r="D17945" t="str">
        <f>"0024-7758"</f>
        <v>0024-7758</v>
      </c>
      <c r="E17945" t="s">
        <v>8</v>
      </c>
      <c r="F17945" t="s">
        <v>17955</v>
      </c>
      <c r="G17945">
        <v>1</v>
      </c>
    </row>
    <row r="17946" spans="1:7" x14ac:dyDescent="0.25">
      <c r="A17946">
        <v>53</v>
      </c>
      <c r="B17946" t="s">
        <v>17907</v>
      </c>
      <c r="C17946">
        <v>14009</v>
      </c>
      <c r="D17946" t="str">
        <f>"1072-3714"</f>
        <v>1072-3714</v>
      </c>
      <c r="E17946" t="s">
        <v>8</v>
      </c>
      <c r="F17946" t="s">
        <v>17956</v>
      </c>
      <c r="G17946">
        <v>1</v>
      </c>
    </row>
    <row r="17947" spans="1:7" x14ac:dyDescent="0.25">
      <c r="A17947">
        <v>53</v>
      </c>
      <c r="B17947" t="s">
        <v>17907</v>
      </c>
      <c r="C17947">
        <v>15885</v>
      </c>
      <c r="D17947" t="str">
        <f>"0026-4784"</f>
        <v>0026-4784</v>
      </c>
      <c r="E17947" t="s">
        <v>8</v>
      </c>
      <c r="F17947" t="s">
        <v>17957</v>
      </c>
      <c r="G17947">
        <v>1</v>
      </c>
    </row>
    <row r="17948" spans="1:7" x14ac:dyDescent="0.25">
      <c r="A17948">
        <v>53</v>
      </c>
      <c r="B17948" t="s">
        <v>17907</v>
      </c>
      <c r="C17948">
        <v>4616</v>
      </c>
      <c r="D17948" t="str">
        <f>"1661-7800"</f>
        <v>1661-7800</v>
      </c>
      <c r="E17948" t="s">
        <v>8</v>
      </c>
      <c r="F17948" t="s">
        <v>17958</v>
      </c>
      <c r="G17948">
        <v>1</v>
      </c>
    </row>
    <row r="17949" spans="1:7" x14ac:dyDescent="0.25">
      <c r="A17949">
        <v>53</v>
      </c>
      <c r="B17949" t="s">
        <v>17907</v>
      </c>
      <c r="C17949">
        <v>2846</v>
      </c>
      <c r="D17949" t="str">
        <f>"0029-7828"</f>
        <v>0029-7828</v>
      </c>
      <c r="E17949" t="s">
        <v>8</v>
      </c>
      <c r="F17949" t="s">
        <v>17959</v>
      </c>
      <c r="G17949">
        <v>1</v>
      </c>
    </row>
    <row r="17950" spans="1:7" x14ac:dyDescent="0.25">
      <c r="A17950">
        <v>53</v>
      </c>
      <c r="B17950" t="s">
        <v>17907</v>
      </c>
      <c r="C17950">
        <v>5706</v>
      </c>
      <c r="D17950" t="str">
        <f>"0029-7844"</f>
        <v>0029-7844</v>
      </c>
      <c r="E17950" t="s">
        <v>8</v>
      </c>
      <c r="F17950" t="s">
        <v>17960</v>
      </c>
      <c r="G17950">
        <v>1</v>
      </c>
    </row>
    <row r="17951" spans="1:7" x14ac:dyDescent="0.25">
      <c r="A17951">
        <v>53</v>
      </c>
      <c r="B17951" t="s">
        <v>17907</v>
      </c>
      <c r="C17951">
        <v>8422</v>
      </c>
      <c r="D17951" t="str">
        <f>"0889-8545"</f>
        <v>0889-8545</v>
      </c>
      <c r="E17951" t="s">
        <v>8</v>
      </c>
      <c r="F17951" t="s">
        <v>17961</v>
      </c>
      <c r="G17951">
        <v>1</v>
      </c>
    </row>
    <row r="17952" spans="1:7" x14ac:dyDescent="0.25">
      <c r="A17952">
        <v>53</v>
      </c>
      <c r="B17952" t="s">
        <v>17907</v>
      </c>
      <c r="C17952">
        <v>11737</v>
      </c>
      <c r="D17952" t="str">
        <f>"1751-7214"</f>
        <v>1751-7214</v>
      </c>
      <c r="E17952" t="s">
        <v>8</v>
      </c>
      <c r="F17952" t="s">
        <v>17962</v>
      </c>
      <c r="G17952">
        <v>1</v>
      </c>
    </row>
    <row r="17953" spans="1:7" x14ac:dyDescent="0.25">
      <c r="A17953">
        <v>53</v>
      </c>
      <c r="B17953" t="s">
        <v>17907</v>
      </c>
      <c r="C17953">
        <v>15300</v>
      </c>
      <c r="D17953" t="str">
        <f>"0143-4004"</f>
        <v>0143-4004</v>
      </c>
      <c r="E17953" t="s">
        <v>8</v>
      </c>
      <c r="F17953" t="s">
        <v>17963</v>
      </c>
      <c r="G17953">
        <v>1</v>
      </c>
    </row>
    <row r="17954" spans="1:7" x14ac:dyDescent="0.25">
      <c r="A17954">
        <v>53</v>
      </c>
      <c r="B17954" t="s">
        <v>17907</v>
      </c>
      <c r="C17954">
        <v>4535</v>
      </c>
      <c r="D17954" t="str">
        <f>"0197-3851"</f>
        <v>0197-3851</v>
      </c>
      <c r="E17954" t="s">
        <v>8</v>
      </c>
      <c r="F17954" t="s">
        <v>17964</v>
      </c>
      <c r="G17954">
        <v>1</v>
      </c>
    </row>
    <row r="17955" spans="1:7" x14ac:dyDescent="0.25">
      <c r="A17955">
        <v>53</v>
      </c>
      <c r="B17955" t="s">
        <v>17907</v>
      </c>
      <c r="C17955">
        <v>3763</v>
      </c>
      <c r="D17955" t="str">
        <f>"1445-5781"</f>
        <v>1445-5781</v>
      </c>
      <c r="E17955" t="s">
        <v>8</v>
      </c>
      <c r="F17955" t="s">
        <v>17965</v>
      </c>
      <c r="G17955">
        <v>1</v>
      </c>
    </row>
    <row r="17956" spans="1:7" x14ac:dyDescent="0.25">
      <c r="A17956">
        <v>53</v>
      </c>
      <c r="B17956" t="s">
        <v>17907</v>
      </c>
      <c r="C17956">
        <v>18085</v>
      </c>
      <c r="D17956" t="str">
        <f>"1744-165X"</f>
        <v>1744-165X</v>
      </c>
      <c r="E17956" t="s">
        <v>8</v>
      </c>
      <c r="F17956" t="s">
        <v>17966</v>
      </c>
      <c r="G17956">
        <v>1</v>
      </c>
    </row>
    <row r="17957" spans="1:7" x14ac:dyDescent="0.25">
      <c r="A17957">
        <v>53</v>
      </c>
      <c r="B17957" t="s">
        <v>17907</v>
      </c>
      <c r="C17957">
        <v>2825</v>
      </c>
      <c r="D17957" t="str">
        <f>"0146-0005"</f>
        <v>0146-0005</v>
      </c>
      <c r="E17957" t="s">
        <v>8</v>
      </c>
      <c r="F17957" t="s">
        <v>17967</v>
      </c>
      <c r="G17957">
        <v>1</v>
      </c>
    </row>
    <row r="17958" spans="1:7" x14ac:dyDescent="0.25">
      <c r="A17958">
        <v>53</v>
      </c>
      <c r="B17958" t="s">
        <v>17907</v>
      </c>
      <c r="C17958">
        <v>7390</v>
      </c>
      <c r="D17958" t="str">
        <f>"1526-8004"</f>
        <v>1526-8004</v>
      </c>
      <c r="E17958" t="s">
        <v>8</v>
      </c>
      <c r="F17958" t="s">
        <v>17968</v>
      </c>
      <c r="G17958">
        <v>1</v>
      </c>
    </row>
    <row r="17959" spans="1:7" x14ac:dyDescent="0.25">
      <c r="A17959">
        <v>53</v>
      </c>
      <c r="B17959" t="s">
        <v>17907</v>
      </c>
      <c r="C17959">
        <v>3146</v>
      </c>
      <c r="D17959" t="str">
        <f>"0004-8666"</f>
        <v>0004-8666</v>
      </c>
      <c r="E17959" t="s">
        <v>8</v>
      </c>
      <c r="F17959" t="s">
        <v>17969</v>
      </c>
      <c r="G17959">
        <v>1</v>
      </c>
    </row>
    <row r="17960" spans="1:7" x14ac:dyDescent="0.25">
      <c r="A17960">
        <v>53</v>
      </c>
      <c r="B17960" t="s">
        <v>17907</v>
      </c>
      <c r="C17960">
        <v>14819</v>
      </c>
      <c r="D17960" t="str">
        <f>"1075-122X"</f>
        <v>1075-122X</v>
      </c>
      <c r="E17960" t="s">
        <v>8</v>
      </c>
      <c r="F17960" t="s">
        <v>17970</v>
      </c>
      <c r="G17960">
        <v>1</v>
      </c>
    </row>
    <row r="17961" spans="1:7" x14ac:dyDescent="0.25">
      <c r="A17961">
        <v>53</v>
      </c>
      <c r="B17961" t="s">
        <v>17907</v>
      </c>
      <c r="C17961">
        <v>12880</v>
      </c>
      <c r="D17961" t="str">
        <f>"1362-5187"</f>
        <v>1362-5187</v>
      </c>
      <c r="E17961" t="s">
        <v>8</v>
      </c>
      <c r="F17961" t="s">
        <v>17971</v>
      </c>
      <c r="G17961">
        <v>1</v>
      </c>
    </row>
    <row r="17962" spans="1:7" x14ac:dyDescent="0.25">
      <c r="A17962">
        <v>53</v>
      </c>
      <c r="B17962" t="s">
        <v>17907</v>
      </c>
      <c r="C17962">
        <v>3515</v>
      </c>
      <c r="D17962" t="str">
        <f>"1476-7058"</f>
        <v>1476-7058</v>
      </c>
      <c r="E17962" t="s">
        <v>8</v>
      </c>
      <c r="F17962" t="s">
        <v>17972</v>
      </c>
      <c r="G17962">
        <v>1</v>
      </c>
    </row>
    <row r="17963" spans="1:7" x14ac:dyDescent="0.25">
      <c r="A17963">
        <v>53</v>
      </c>
      <c r="B17963" t="s">
        <v>17907</v>
      </c>
      <c r="C17963">
        <v>13773</v>
      </c>
      <c r="D17963" t="str">
        <f>"0948-2393"</f>
        <v>0948-2393</v>
      </c>
      <c r="E17963" t="s">
        <v>8</v>
      </c>
      <c r="F17963" t="s">
        <v>17973</v>
      </c>
      <c r="G17963">
        <v>1</v>
      </c>
    </row>
    <row r="17964" spans="1:7" x14ac:dyDescent="0.25">
      <c r="A17964">
        <v>54</v>
      </c>
      <c r="B17964" t="s">
        <v>17974</v>
      </c>
      <c r="C17964">
        <v>8948</v>
      </c>
      <c r="D17964" t="str">
        <f>"0007-0963"</f>
        <v>0007-0963</v>
      </c>
      <c r="E17964" t="s">
        <v>8</v>
      </c>
      <c r="F17964" t="s">
        <v>17975</v>
      </c>
      <c r="G17964">
        <v>2</v>
      </c>
    </row>
    <row r="17965" spans="1:7" x14ac:dyDescent="0.25">
      <c r="A17965">
        <v>54</v>
      </c>
      <c r="B17965" t="s">
        <v>17974</v>
      </c>
      <c r="C17965">
        <v>93</v>
      </c>
      <c r="D17965" t="str">
        <f>"0105-1873"</f>
        <v>0105-1873</v>
      </c>
      <c r="E17965" t="s">
        <v>8</v>
      </c>
      <c r="F17965" t="s">
        <v>17976</v>
      </c>
      <c r="G17965">
        <v>2</v>
      </c>
    </row>
    <row r="17966" spans="1:7" x14ac:dyDescent="0.25">
      <c r="A17966">
        <v>54</v>
      </c>
      <c r="B17966" t="s">
        <v>17974</v>
      </c>
      <c r="C17966">
        <v>1712</v>
      </c>
      <c r="D17966" t="str">
        <f>"2168-6068"</f>
        <v>2168-6068</v>
      </c>
      <c r="E17966" t="s">
        <v>8</v>
      </c>
      <c r="F17966" t="s">
        <v>17977</v>
      </c>
      <c r="G17966">
        <v>2</v>
      </c>
    </row>
    <row r="17967" spans="1:7" x14ac:dyDescent="0.25">
      <c r="A17967">
        <v>54</v>
      </c>
      <c r="B17967" t="s">
        <v>17974</v>
      </c>
      <c r="C17967">
        <v>7209</v>
      </c>
      <c r="D17967" t="str">
        <f>"0190-9622"</f>
        <v>0190-9622</v>
      </c>
      <c r="E17967" t="s">
        <v>8</v>
      </c>
      <c r="F17967" t="s">
        <v>17978</v>
      </c>
      <c r="G17967">
        <v>2</v>
      </c>
    </row>
    <row r="17968" spans="1:7" x14ac:dyDescent="0.25">
      <c r="A17968">
        <v>54</v>
      </c>
      <c r="B17968" t="s">
        <v>17974</v>
      </c>
      <c r="C17968">
        <v>205</v>
      </c>
      <c r="D17968" t="str">
        <f>"0926-9959"</f>
        <v>0926-9959</v>
      </c>
      <c r="E17968" t="s">
        <v>8</v>
      </c>
      <c r="F17968" t="s">
        <v>17979</v>
      </c>
      <c r="G17968">
        <v>2</v>
      </c>
    </row>
    <row r="17969" spans="1:7" x14ac:dyDescent="0.25">
      <c r="A17969">
        <v>54</v>
      </c>
      <c r="B17969" t="s">
        <v>17974</v>
      </c>
      <c r="C17969">
        <v>7851</v>
      </c>
      <c r="D17969" t="str">
        <f>"0022-202X"</f>
        <v>0022-202X</v>
      </c>
      <c r="E17969" t="s">
        <v>8</v>
      </c>
      <c r="F17969" t="s">
        <v>17980</v>
      </c>
      <c r="G17969">
        <v>2</v>
      </c>
    </row>
    <row r="17970" spans="1:7" x14ac:dyDescent="0.25">
      <c r="A17970">
        <v>54</v>
      </c>
      <c r="B17970" t="s">
        <v>17974</v>
      </c>
      <c r="C17970">
        <v>16080</v>
      </c>
      <c r="D17970" t="str">
        <f>"0001-5555"</f>
        <v>0001-5555</v>
      </c>
      <c r="E17970" t="s">
        <v>8</v>
      </c>
      <c r="F17970" t="s">
        <v>17981</v>
      </c>
      <c r="G17970">
        <v>1</v>
      </c>
    </row>
    <row r="17971" spans="1:7" x14ac:dyDescent="0.25">
      <c r="A17971">
        <v>54</v>
      </c>
      <c r="B17971" t="s">
        <v>17974</v>
      </c>
      <c r="C17971">
        <v>897</v>
      </c>
      <c r="D17971" t="str">
        <f>"1175-0561"</f>
        <v>1175-0561</v>
      </c>
      <c r="E17971" t="s">
        <v>8</v>
      </c>
      <c r="F17971" t="s">
        <v>17982</v>
      </c>
      <c r="G17971">
        <v>1</v>
      </c>
    </row>
    <row r="17972" spans="1:7" x14ac:dyDescent="0.25">
      <c r="A17972">
        <v>54</v>
      </c>
      <c r="B17972" t="s">
        <v>17974</v>
      </c>
      <c r="C17972">
        <v>3301</v>
      </c>
      <c r="D17972" t="str">
        <f>"0193-1091"</f>
        <v>0193-1091</v>
      </c>
      <c r="E17972" t="s">
        <v>8</v>
      </c>
      <c r="F17972" t="s">
        <v>17983</v>
      </c>
      <c r="G17972">
        <v>1</v>
      </c>
    </row>
    <row r="17973" spans="1:7" x14ac:dyDescent="0.25">
      <c r="A17973">
        <v>54</v>
      </c>
      <c r="B17973" t="s">
        <v>17974</v>
      </c>
      <c r="C17973">
        <v>3352</v>
      </c>
      <c r="D17973" t="str">
        <f>"0151-9638"</f>
        <v>0151-9638</v>
      </c>
      <c r="E17973" t="s">
        <v>8</v>
      </c>
      <c r="F17973" t="s">
        <v>17984</v>
      </c>
      <c r="G17973">
        <v>1</v>
      </c>
    </row>
    <row r="17974" spans="1:7" x14ac:dyDescent="0.25">
      <c r="A17974">
        <v>54</v>
      </c>
      <c r="B17974" t="s">
        <v>17974</v>
      </c>
      <c r="C17974">
        <v>7457</v>
      </c>
      <c r="D17974" t="str">
        <f>"0340-3696"</f>
        <v>0340-3696</v>
      </c>
      <c r="E17974" t="s">
        <v>8</v>
      </c>
      <c r="F17974" t="s">
        <v>17985</v>
      </c>
      <c r="G17974">
        <v>1</v>
      </c>
    </row>
    <row r="17975" spans="1:7" x14ac:dyDescent="0.25">
      <c r="A17975">
        <v>54</v>
      </c>
      <c r="B17975" t="s">
        <v>17974</v>
      </c>
      <c r="C17975">
        <v>8838</v>
      </c>
      <c r="D17975" t="str">
        <f>"0004-8380"</f>
        <v>0004-8380</v>
      </c>
      <c r="E17975" t="s">
        <v>8</v>
      </c>
      <c r="F17975" t="s">
        <v>17986</v>
      </c>
      <c r="G17975">
        <v>1</v>
      </c>
    </row>
    <row r="17976" spans="1:7" x14ac:dyDescent="0.25">
      <c r="A17976">
        <v>54</v>
      </c>
      <c r="B17976" t="s">
        <v>17974</v>
      </c>
      <c r="C17976">
        <v>5338</v>
      </c>
      <c r="E17976" t="s">
        <v>8</v>
      </c>
      <c r="F17976" t="s">
        <v>17987</v>
      </c>
      <c r="G17976">
        <v>1</v>
      </c>
    </row>
    <row r="17977" spans="1:7" x14ac:dyDescent="0.25">
      <c r="A17977">
        <v>54</v>
      </c>
      <c r="B17977" t="s">
        <v>17974</v>
      </c>
      <c r="C17977">
        <v>6301</v>
      </c>
      <c r="D17977" t="str">
        <f>"0366-077X"</f>
        <v>0366-077X</v>
      </c>
      <c r="E17977" t="s">
        <v>8</v>
      </c>
      <c r="F17977" t="s">
        <v>17988</v>
      </c>
      <c r="G17977">
        <v>1</v>
      </c>
    </row>
    <row r="17978" spans="1:7" x14ac:dyDescent="0.25">
      <c r="A17978">
        <v>54</v>
      </c>
      <c r="B17978" t="s">
        <v>17974</v>
      </c>
      <c r="C17978">
        <v>6057644</v>
      </c>
      <c r="D17978" t="str">
        <f>"1662-6567"</f>
        <v>1662-6567</v>
      </c>
      <c r="E17978" t="s">
        <v>8</v>
      </c>
      <c r="F17978" t="s">
        <v>17989</v>
      </c>
      <c r="G17978">
        <v>1</v>
      </c>
    </row>
    <row r="17979" spans="1:7" x14ac:dyDescent="0.25">
      <c r="A17979">
        <v>54</v>
      </c>
      <c r="B17979" t="s">
        <v>17974</v>
      </c>
      <c r="C17979">
        <v>5305</v>
      </c>
      <c r="D17979" t="str">
        <f>"0307-6938"</f>
        <v>0307-6938</v>
      </c>
      <c r="E17979" t="s">
        <v>8</v>
      </c>
      <c r="F17979" t="s">
        <v>17990</v>
      </c>
      <c r="G17979">
        <v>1</v>
      </c>
    </row>
    <row r="17980" spans="1:7" x14ac:dyDescent="0.25">
      <c r="A17980">
        <v>54</v>
      </c>
      <c r="B17980" t="s">
        <v>17974</v>
      </c>
      <c r="C17980">
        <v>8798</v>
      </c>
      <c r="D17980" t="str">
        <f>"0738-081X"</f>
        <v>0738-081X</v>
      </c>
      <c r="E17980" t="s">
        <v>8</v>
      </c>
      <c r="F17980" t="s">
        <v>17991</v>
      </c>
      <c r="G17980">
        <v>1</v>
      </c>
    </row>
    <row r="17981" spans="1:7" x14ac:dyDescent="0.25">
      <c r="A17981">
        <v>54</v>
      </c>
      <c r="B17981" t="s">
        <v>17974</v>
      </c>
      <c r="C17981">
        <v>7326</v>
      </c>
      <c r="D17981" t="str">
        <f>"1421-5721"</f>
        <v>1421-5721</v>
      </c>
      <c r="E17981" t="s">
        <v>15</v>
      </c>
      <c r="F17981" t="s">
        <v>17992</v>
      </c>
      <c r="G17981">
        <v>1</v>
      </c>
    </row>
    <row r="17982" spans="1:7" x14ac:dyDescent="0.25">
      <c r="A17982">
        <v>54</v>
      </c>
      <c r="B17982" t="s">
        <v>17974</v>
      </c>
      <c r="C17982">
        <v>13976</v>
      </c>
      <c r="D17982" t="str">
        <f>" 0011-4162"</f>
        <v xml:space="preserve"> 0011-4162</v>
      </c>
      <c r="E17982" t="s">
        <v>8</v>
      </c>
      <c r="F17982" t="s">
        <v>17993</v>
      </c>
      <c r="G17982">
        <v>1</v>
      </c>
    </row>
    <row r="17983" spans="1:7" x14ac:dyDescent="0.25">
      <c r="A17983">
        <v>54</v>
      </c>
      <c r="B17983" t="s">
        <v>17974</v>
      </c>
      <c r="C17983">
        <v>4521</v>
      </c>
      <c r="D17983" t="str">
        <f>"0017-8470"</f>
        <v>0017-8470</v>
      </c>
      <c r="E17983" t="s">
        <v>8</v>
      </c>
      <c r="F17983" t="s">
        <v>17994</v>
      </c>
      <c r="G17983">
        <v>1</v>
      </c>
    </row>
    <row r="17984" spans="1:7" x14ac:dyDescent="0.25">
      <c r="A17984">
        <v>54</v>
      </c>
      <c r="B17984" t="s">
        <v>17974</v>
      </c>
      <c r="C17984">
        <v>17518</v>
      </c>
      <c r="D17984" t="str">
        <f>"1710-3568"</f>
        <v>1710-3568</v>
      </c>
      <c r="E17984" t="s">
        <v>8</v>
      </c>
      <c r="F17984" t="s">
        <v>17995</v>
      </c>
      <c r="G17984">
        <v>1</v>
      </c>
    </row>
    <row r="17985" spans="1:7" x14ac:dyDescent="0.25">
      <c r="A17985">
        <v>54</v>
      </c>
      <c r="B17985" t="s">
        <v>17974</v>
      </c>
      <c r="C17985">
        <v>1860</v>
      </c>
      <c r="D17985" t="str">
        <f>"0733-8635"</f>
        <v>0733-8635</v>
      </c>
      <c r="E17985" t="s">
        <v>8</v>
      </c>
      <c r="F17985" t="s">
        <v>17996</v>
      </c>
      <c r="G17985">
        <v>1</v>
      </c>
    </row>
    <row r="17986" spans="1:7" x14ac:dyDescent="0.25">
      <c r="A17986">
        <v>54</v>
      </c>
      <c r="B17986" t="s">
        <v>17974</v>
      </c>
      <c r="C17986">
        <v>15600</v>
      </c>
      <c r="D17986" t="str">
        <f>"1396-0296"</f>
        <v>1396-0296</v>
      </c>
      <c r="E17986" t="s">
        <v>8</v>
      </c>
      <c r="F17986" t="s">
        <v>17997</v>
      </c>
      <c r="G17986">
        <v>1</v>
      </c>
    </row>
    <row r="17987" spans="1:7" x14ac:dyDescent="0.25">
      <c r="A17987">
        <v>54</v>
      </c>
      <c r="B17987" t="s">
        <v>17974</v>
      </c>
      <c r="C17987">
        <v>6318</v>
      </c>
      <c r="D17987" t="str">
        <f>"1018-8665"</f>
        <v>1018-8665</v>
      </c>
      <c r="E17987" t="s">
        <v>8</v>
      </c>
      <c r="F17987" t="s">
        <v>17998</v>
      </c>
      <c r="G17987">
        <v>1</v>
      </c>
    </row>
    <row r="17988" spans="1:7" x14ac:dyDescent="0.25">
      <c r="A17988">
        <v>54</v>
      </c>
      <c r="B17988" t="s">
        <v>17974</v>
      </c>
      <c r="C17988">
        <v>7809</v>
      </c>
      <c r="E17988" t="s">
        <v>8</v>
      </c>
      <c r="F17988" t="s">
        <v>17999</v>
      </c>
      <c r="G17988">
        <v>1</v>
      </c>
    </row>
    <row r="17989" spans="1:7" x14ac:dyDescent="0.25">
      <c r="A17989">
        <v>54</v>
      </c>
      <c r="B17989" t="s">
        <v>17974</v>
      </c>
      <c r="C17989">
        <v>156409</v>
      </c>
      <c r="D17989" t="str">
        <f>"2036-7392"</f>
        <v>2036-7392</v>
      </c>
      <c r="E17989" t="s">
        <v>8</v>
      </c>
      <c r="F17989" t="s">
        <v>18000</v>
      </c>
      <c r="G17989">
        <v>1</v>
      </c>
    </row>
    <row r="17990" spans="1:7" x14ac:dyDescent="0.25">
      <c r="A17990">
        <v>54</v>
      </c>
      <c r="B17990" t="s">
        <v>17974</v>
      </c>
      <c r="C17990">
        <v>4158</v>
      </c>
      <c r="D17990" t="str">
        <f>"1167-1122"</f>
        <v>1167-1122</v>
      </c>
      <c r="E17990" t="s">
        <v>8</v>
      </c>
      <c r="F17990" t="s">
        <v>18001</v>
      </c>
      <c r="G17990">
        <v>1</v>
      </c>
    </row>
    <row r="17991" spans="1:7" x14ac:dyDescent="0.25">
      <c r="A17991">
        <v>54</v>
      </c>
      <c r="B17991" t="s">
        <v>17974</v>
      </c>
      <c r="C17991">
        <v>107264</v>
      </c>
      <c r="D17991" t="str">
        <f>"1122-7672"</f>
        <v>1122-7672</v>
      </c>
      <c r="E17991" t="s">
        <v>8</v>
      </c>
      <c r="F17991" t="s">
        <v>18002</v>
      </c>
      <c r="G17991">
        <v>1</v>
      </c>
    </row>
    <row r="17992" spans="1:7" x14ac:dyDescent="0.25">
      <c r="A17992">
        <v>54</v>
      </c>
      <c r="B17992" t="s">
        <v>17974</v>
      </c>
      <c r="C17992">
        <v>10888</v>
      </c>
      <c r="D17992" t="str">
        <f>"0906-6705"</f>
        <v>0906-6705</v>
      </c>
      <c r="E17992" t="s">
        <v>8</v>
      </c>
      <c r="F17992" t="s">
        <v>18003</v>
      </c>
      <c r="G17992">
        <v>1</v>
      </c>
    </row>
    <row r="17993" spans="1:7" x14ac:dyDescent="0.25">
      <c r="A17993">
        <v>54</v>
      </c>
      <c r="B17993" t="s">
        <v>17974</v>
      </c>
      <c r="C17993">
        <v>10847</v>
      </c>
      <c r="D17993" t="str">
        <f>"0378-6323"</f>
        <v>0378-6323</v>
      </c>
      <c r="E17993" t="s">
        <v>8</v>
      </c>
      <c r="F17993" t="s">
        <v>18004</v>
      </c>
      <c r="G17993">
        <v>1</v>
      </c>
    </row>
    <row r="17994" spans="1:7" x14ac:dyDescent="0.25">
      <c r="A17994">
        <v>54</v>
      </c>
      <c r="B17994" t="s">
        <v>17974</v>
      </c>
      <c r="C17994">
        <v>3167</v>
      </c>
      <c r="D17994" t="str">
        <f>"0011-9059"</f>
        <v>0011-9059</v>
      </c>
      <c r="E17994" t="s">
        <v>8</v>
      </c>
      <c r="F17994" t="s">
        <v>18005</v>
      </c>
      <c r="G17994">
        <v>1</v>
      </c>
    </row>
    <row r="17995" spans="1:7" x14ac:dyDescent="0.25">
      <c r="A17995">
        <v>54</v>
      </c>
      <c r="B17995" t="s">
        <v>17974</v>
      </c>
      <c r="C17995">
        <v>905</v>
      </c>
      <c r="D17995" t="str">
        <f>"1610-0379"</f>
        <v>1610-0379</v>
      </c>
      <c r="E17995" t="s">
        <v>8</v>
      </c>
      <c r="F17995" t="s">
        <v>18006</v>
      </c>
      <c r="G17995">
        <v>1</v>
      </c>
    </row>
    <row r="17996" spans="1:7" x14ac:dyDescent="0.25">
      <c r="A17996">
        <v>54</v>
      </c>
      <c r="B17996" t="s">
        <v>17974</v>
      </c>
      <c r="C17996">
        <v>2365</v>
      </c>
      <c r="D17996" t="str">
        <f>"1525-4135"</f>
        <v>1525-4135</v>
      </c>
      <c r="E17996" t="s">
        <v>8</v>
      </c>
      <c r="F17996" t="s">
        <v>18007</v>
      </c>
      <c r="G17996">
        <v>1</v>
      </c>
    </row>
    <row r="17997" spans="1:7" x14ac:dyDescent="0.25">
      <c r="A17997">
        <v>54</v>
      </c>
      <c r="B17997" t="s">
        <v>17974</v>
      </c>
      <c r="C17997">
        <v>7705349</v>
      </c>
      <c r="D17997" t="str">
        <f>"2041-8027"</f>
        <v>2041-8027</v>
      </c>
      <c r="E17997" t="s">
        <v>8</v>
      </c>
      <c r="F17997" t="s">
        <v>18008</v>
      </c>
      <c r="G17997">
        <v>1</v>
      </c>
    </row>
    <row r="17998" spans="1:7" x14ac:dyDescent="0.25">
      <c r="A17998">
        <v>54</v>
      </c>
      <c r="B17998" t="s">
        <v>17974</v>
      </c>
      <c r="C17998">
        <v>7083</v>
      </c>
      <c r="D17998" t="str">
        <f>"1473-2130"</f>
        <v>1473-2130</v>
      </c>
      <c r="E17998" t="s">
        <v>8</v>
      </c>
      <c r="F17998" t="s">
        <v>18009</v>
      </c>
      <c r="G17998">
        <v>1</v>
      </c>
    </row>
    <row r="17999" spans="1:7" x14ac:dyDescent="0.25">
      <c r="A17999">
        <v>54</v>
      </c>
      <c r="B17999" t="s">
        <v>17974</v>
      </c>
      <c r="C17999">
        <v>9257</v>
      </c>
      <c r="D17999" t="str">
        <f>"1203-4754"</f>
        <v>1203-4754</v>
      </c>
      <c r="E17999" t="s">
        <v>8</v>
      </c>
      <c r="F17999" t="s">
        <v>18010</v>
      </c>
      <c r="G17999">
        <v>1</v>
      </c>
    </row>
    <row r="18000" spans="1:7" x14ac:dyDescent="0.25">
      <c r="A18000">
        <v>54</v>
      </c>
      <c r="B18000" t="s">
        <v>17974</v>
      </c>
      <c r="C18000">
        <v>5713</v>
      </c>
      <c r="D18000" t="str">
        <f>"0303-6987"</f>
        <v>0303-6987</v>
      </c>
      <c r="E18000" t="s">
        <v>8</v>
      </c>
      <c r="F18000" t="s">
        <v>18011</v>
      </c>
      <c r="G18000">
        <v>1</v>
      </c>
    </row>
    <row r="18001" spans="1:7" x14ac:dyDescent="0.25">
      <c r="A18001">
        <v>54</v>
      </c>
      <c r="B18001" t="s">
        <v>17974</v>
      </c>
      <c r="C18001">
        <v>15216</v>
      </c>
      <c r="D18001" t="str">
        <f>"0923-1811"</f>
        <v>0923-1811</v>
      </c>
      <c r="E18001" t="s">
        <v>8</v>
      </c>
      <c r="F18001" t="s">
        <v>18012</v>
      </c>
      <c r="G18001">
        <v>1</v>
      </c>
    </row>
    <row r="18002" spans="1:7" x14ac:dyDescent="0.25">
      <c r="A18002">
        <v>54</v>
      </c>
      <c r="B18002" t="s">
        <v>17974</v>
      </c>
      <c r="C18002">
        <v>12182</v>
      </c>
      <c r="D18002" t="str">
        <f>"0954-6634"</f>
        <v>0954-6634</v>
      </c>
      <c r="E18002" t="s">
        <v>8</v>
      </c>
      <c r="F18002" t="s">
        <v>18013</v>
      </c>
      <c r="G18002">
        <v>1</v>
      </c>
    </row>
    <row r="18003" spans="1:7" x14ac:dyDescent="0.25">
      <c r="A18003">
        <v>54</v>
      </c>
      <c r="B18003" t="s">
        <v>17974</v>
      </c>
      <c r="C18003">
        <v>15925</v>
      </c>
      <c r="D18003" t="str">
        <f>"0385-2407"</f>
        <v>0385-2407</v>
      </c>
      <c r="E18003" t="s">
        <v>8</v>
      </c>
      <c r="F18003" t="s">
        <v>18014</v>
      </c>
      <c r="G18003">
        <v>1</v>
      </c>
    </row>
    <row r="18004" spans="1:7" x14ac:dyDescent="0.25">
      <c r="A18004">
        <v>54</v>
      </c>
      <c r="B18004" t="s">
        <v>17974</v>
      </c>
      <c r="C18004">
        <v>59907</v>
      </c>
      <c r="D18004" t="str">
        <f>"1545-9616"</f>
        <v>1545-9616</v>
      </c>
      <c r="E18004" t="s">
        <v>8</v>
      </c>
      <c r="F18004" t="s">
        <v>18015</v>
      </c>
      <c r="G18004">
        <v>1</v>
      </c>
    </row>
    <row r="18005" spans="1:7" x14ac:dyDescent="0.25">
      <c r="A18005">
        <v>54</v>
      </c>
      <c r="B18005" t="s">
        <v>17974</v>
      </c>
      <c r="C18005">
        <v>8308</v>
      </c>
      <c r="D18005" t="str">
        <f>"1089-2591"</f>
        <v>1089-2591</v>
      </c>
      <c r="E18005" t="s">
        <v>8</v>
      </c>
      <c r="F18005" t="s">
        <v>18016</v>
      </c>
      <c r="G18005">
        <v>1</v>
      </c>
    </row>
    <row r="18006" spans="1:7" x14ac:dyDescent="0.25">
      <c r="A18006">
        <v>54</v>
      </c>
      <c r="B18006" t="s">
        <v>17974</v>
      </c>
      <c r="C18006">
        <v>7691876</v>
      </c>
      <c r="D18006" t="str">
        <f>"2090-2905"</f>
        <v>2090-2905</v>
      </c>
      <c r="E18006" t="s">
        <v>8</v>
      </c>
      <c r="F18006" t="s">
        <v>18017</v>
      </c>
      <c r="G18006">
        <v>1</v>
      </c>
    </row>
    <row r="18007" spans="1:7" x14ac:dyDescent="0.25">
      <c r="A18007">
        <v>54</v>
      </c>
      <c r="B18007" t="s">
        <v>17974</v>
      </c>
      <c r="C18007">
        <v>139626</v>
      </c>
      <c r="D18007" t="str">
        <f>"0929-0168"</f>
        <v>0929-0168</v>
      </c>
      <c r="E18007" t="s">
        <v>15</v>
      </c>
      <c r="F18007" t="s">
        <v>18018</v>
      </c>
      <c r="G18007">
        <v>1</v>
      </c>
    </row>
    <row r="18008" spans="1:7" x14ac:dyDescent="0.25">
      <c r="A18008">
        <v>54</v>
      </c>
      <c r="B18008" t="s">
        <v>17974</v>
      </c>
      <c r="C18008">
        <v>13583</v>
      </c>
      <c r="D18008" t="str">
        <f>"0960-8931"</f>
        <v>0960-8931</v>
      </c>
      <c r="E18008" t="s">
        <v>8</v>
      </c>
      <c r="F18008" t="s">
        <v>18019</v>
      </c>
      <c r="G18008">
        <v>1</v>
      </c>
    </row>
    <row r="18009" spans="1:7" x14ac:dyDescent="0.25">
      <c r="A18009">
        <v>54</v>
      </c>
      <c r="B18009" t="s">
        <v>17974</v>
      </c>
      <c r="C18009">
        <v>420</v>
      </c>
      <c r="D18009" t="str">
        <f>"0933-7407"</f>
        <v>0933-7407</v>
      </c>
      <c r="E18009" t="s">
        <v>8</v>
      </c>
      <c r="F18009" t="s">
        <v>18020</v>
      </c>
      <c r="G18009">
        <v>1</v>
      </c>
    </row>
    <row r="18010" spans="1:7" x14ac:dyDescent="0.25">
      <c r="A18010">
        <v>54</v>
      </c>
      <c r="B18010" t="s">
        <v>17974</v>
      </c>
      <c r="C18010">
        <v>7932</v>
      </c>
      <c r="D18010" t="str">
        <f>"0736-8046"</f>
        <v>0736-8046</v>
      </c>
      <c r="E18010" t="s">
        <v>8</v>
      </c>
      <c r="F18010" t="s">
        <v>18021</v>
      </c>
      <c r="G18010">
        <v>1</v>
      </c>
    </row>
    <row r="18011" spans="1:7" x14ac:dyDescent="0.25">
      <c r="A18011">
        <v>54</v>
      </c>
      <c r="B18011" t="s">
        <v>17974</v>
      </c>
      <c r="C18011">
        <v>12886</v>
      </c>
      <c r="D18011" t="str">
        <f>"0905-4383"</f>
        <v>0905-4383</v>
      </c>
      <c r="E18011" t="s">
        <v>8</v>
      </c>
      <c r="F18011" t="s">
        <v>18022</v>
      </c>
      <c r="G18011">
        <v>1</v>
      </c>
    </row>
    <row r="18012" spans="1:7" x14ac:dyDescent="0.25">
      <c r="A18012">
        <v>54</v>
      </c>
      <c r="B18012" t="s">
        <v>17974</v>
      </c>
      <c r="C18012">
        <v>15555</v>
      </c>
      <c r="D18012" t="str">
        <f>"1755-1471"</f>
        <v>1755-1471</v>
      </c>
      <c r="E18012" t="s">
        <v>8</v>
      </c>
      <c r="F18012" t="s">
        <v>18023</v>
      </c>
      <c r="G18012">
        <v>1</v>
      </c>
    </row>
    <row r="18013" spans="1:7" x14ac:dyDescent="0.25">
      <c r="A18013">
        <v>54</v>
      </c>
      <c r="B18013" t="s">
        <v>17974</v>
      </c>
      <c r="C18013">
        <v>10491</v>
      </c>
      <c r="D18013" t="str">
        <f>"1085-5629"</f>
        <v>1085-5629</v>
      </c>
      <c r="E18013" t="s">
        <v>8</v>
      </c>
      <c r="F18013" t="s">
        <v>18024</v>
      </c>
      <c r="G18013">
        <v>1</v>
      </c>
    </row>
    <row r="18014" spans="1:7" x14ac:dyDescent="0.25">
      <c r="A18014">
        <v>54</v>
      </c>
      <c r="B18014" t="s">
        <v>17974</v>
      </c>
      <c r="C18014">
        <v>3095</v>
      </c>
      <c r="D18014" t="str">
        <f>"1368-4973"</f>
        <v>1368-4973</v>
      </c>
      <c r="E18014" t="s">
        <v>8</v>
      </c>
      <c r="F18014" t="s">
        <v>18025</v>
      </c>
      <c r="G18014">
        <v>1</v>
      </c>
    </row>
    <row r="18015" spans="1:7" x14ac:dyDescent="0.25">
      <c r="A18015">
        <v>54</v>
      </c>
      <c r="B18015" t="s">
        <v>17974</v>
      </c>
      <c r="C18015">
        <v>4075</v>
      </c>
      <c r="D18015" t="str">
        <f>"0909-752X"</f>
        <v>0909-752X</v>
      </c>
      <c r="E18015" t="s">
        <v>8</v>
      </c>
      <c r="F18015" t="s">
        <v>18026</v>
      </c>
      <c r="G18015">
        <v>1</v>
      </c>
    </row>
    <row r="18016" spans="1:7" x14ac:dyDescent="0.25">
      <c r="A18016">
        <v>54</v>
      </c>
      <c r="B18016" t="s">
        <v>17974</v>
      </c>
      <c r="C18016">
        <v>521</v>
      </c>
      <c r="D18016" t="str">
        <f>"1087-0024"</f>
        <v>1087-0024</v>
      </c>
      <c r="E18016" t="s">
        <v>8</v>
      </c>
      <c r="F18016" t="s">
        <v>18027</v>
      </c>
      <c r="G18016">
        <v>1</v>
      </c>
    </row>
    <row r="18017" spans="1:7" x14ac:dyDescent="0.25">
      <c r="A18017">
        <v>54</v>
      </c>
      <c r="B18017" t="s">
        <v>17974</v>
      </c>
      <c r="C18017">
        <v>12719</v>
      </c>
      <c r="D18017" t="str">
        <f>"1067-1927"</f>
        <v>1067-1927</v>
      </c>
      <c r="E18017" t="s">
        <v>8</v>
      </c>
      <c r="F18017" t="s">
        <v>18028</v>
      </c>
      <c r="G18017">
        <v>1</v>
      </c>
    </row>
    <row r="18018" spans="1:7" x14ac:dyDescent="0.25">
      <c r="A18018">
        <v>55</v>
      </c>
      <c r="B18018" t="s">
        <v>18029</v>
      </c>
      <c r="C18018">
        <v>14403</v>
      </c>
      <c r="D18018" t="str">
        <f>"1545-5009"</f>
        <v>1545-5009</v>
      </c>
      <c r="E18018" t="s">
        <v>8</v>
      </c>
      <c r="F18018" t="s">
        <v>18030</v>
      </c>
      <c r="G18018">
        <v>2</v>
      </c>
    </row>
    <row r="18019" spans="1:7" x14ac:dyDescent="0.25">
      <c r="A18019">
        <v>55</v>
      </c>
      <c r="B18019" t="s">
        <v>18029</v>
      </c>
      <c r="C18019">
        <v>14666</v>
      </c>
      <c r="D18019" t="str">
        <f>"0031-4005"</f>
        <v>0031-4005</v>
      </c>
      <c r="E18019" t="s">
        <v>8</v>
      </c>
      <c r="F18019" t="s">
        <v>18031</v>
      </c>
      <c r="G18019">
        <v>2</v>
      </c>
    </row>
    <row r="18020" spans="1:7" x14ac:dyDescent="0.25">
      <c r="A18020">
        <v>55</v>
      </c>
      <c r="B18020" t="s">
        <v>18029</v>
      </c>
      <c r="C18020">
        <v>8766</v>
      </c>
      <c r="D18020" t="str">
        <f>"0022-3476"</f>
        <v>0022-3476</v>
      </c>
      <c r="E18020" t="s">
        <v>8</v>
      </c>
      <c r="F18020" t="s">
        <v>18032</v>
      </c>
      <c r="G18020">
        <v>2</v>
      </c>
    </row>
    <row r="18021" spans="1:7" x14ac:dyDescent="0.25">
      <c r="A18021">
        <v>55</v>
      </c>
      <c r="B18021" t="s">
        <v>18029</v>
      </c>
      <c r="C18021">
        <v>2268</v>
      </c>
      <c r="D18021" t="str">
        <f>"0803-5253"</f>
        <v>0803-5253</v>
      </c>
      <c r="E18021" t="s">
        <v>8</v>
      </c>
      <c r="F18021" t="s">
        <v>18033</v>
      </c>
      <c r="G18021">
        <v>1</v>
      </c>
    </row>
    <row r="18022" spans="1:7" x14ac:dyDescent="0.25">
      <c r="A18022">
        <v>55</v>
      </c>
      <c r="B18022" t="s">
        <v>18029</v>
      </c>
      <c r="C18022">
        <v>11856</v>
      </c>
      <c r="D18022" t="str">
        <f>"0003-9888"</f>
        <v>0003-9888</v>
      </c>
      <c r="E18022" t="s">
        <v>8</v>
      </c>
      <c r="F18022" t="s">
        <v>18034</v>
      </c>
      <c r="G18022">
        <v>1</v>
      </c>
    </row>
    <row r="18023" spans="1:7" x14ac:dyDescent="0.25">
      <c r="A18023">
        <v>55</v>
      </c>
      <c r="B18023" t="s">
        <v>18029</v>
      </c>
      <c r="C18023">
        <v>3234</v>
      </c>
      <c r="E18023" t="s">
        <v>8</v>
      </c>
      <c r="F18023" t="s">
        <v>18035</v>
      </c>
      <c r="G18023">
        <v>1</v>
      </c>
    </row>
    <row r="18024" spans="1:7" x14ac:dyDescent="0.25">
      <c r="A18024">
        <v>55</v>
      </c>
      <c r="B18024" t="s">
        <v>18029</v>
      </c>
      <c r="C18024">
        <v>15102</v>
      </c>
      <c r="D18024" t="str">
        <f>"0929-7049"</f>
        <v>0929-7049</v>
      </c>
      <c r="E18024" t="s">
        <v>8</v>
      </c>
      <c r="F18024" t="s">
        <v>18036</v>
      </c>
      <c r="G18024">
        <v>1</v>
      </c>
    </row>
    <row r="18025" spans="1:7" x14ac:dyDescent="0.25">
      <c r="A18025">
        <v>55</v>
      </c>
      <c r="B18025" t="s">
        <v>18029</v>
      </c>
      <c r="C18025">
        <v>6296</v>
      </c>
      <c r="D18025" t="str">
        <f>"0918-5739"</f>
        <v>0918-5739</v>
      </c>
      <c r="E18025" t="s">
        <v>8</v>
      </c>
      <c r="F18025" t="s">
        <v>18037</v>
      </c>
      <c r="G18025">
        <v>1</v>
      </c>
    </row>
    <row r="18026" spans="1:7" x14ac:dyDescent="0.25">
      <c r="A18026">
        <v>55</v>
      </c>
      <c r="B18026" t="s">
        <v>18029</v>
      </c>
      <c r="C18026">
        <v>8532</v>
      </c>
      <c r="D18026" t="str">
        <f>"1040-8703"</f>
        <v>1040-8703</v>
      </c>
      <c r="E18026" t="s">
        <v>8</v>
      </c>
      <c r="F18026" t="s">
        <v>18038</v>
      </c>
      <c r="G18026">
        <v>1</v>
      </c>
    </row>
    <row r="18027" spans="1:7" x14ac:dyDescent="0.25">
      <c r="A18027">
        <v>55</v>
      </c>
      <c r="B18027" t="s">
        <v>18029</v>
      </c>
      <c r="C18027">
        <v>13919</v>
      </c>
      <c r="D18027" t="str">
        <f>"0013-7545"</f>
        <v>0013-7545</v>
      </c>
      <c r="E18027" t="s">
        <v>8</v>
      </c>
      <c r="F18027" t="s">
        <v>18039</v>
      </c>
      <c r="G18027">
        <v>1</v>
      </c>
    </row>
    <row r="18028" spans="1:7" x14ac:dyDescent="0.25">
      <c r="A18028">
        <v>55</v>
      </c>
      <c r="B18028" t="s">
        <v>18029</v>
      </c>
      <c r="C18028">
        <v>1821</v>
      </c>
      <c r="D18028" t="str">
        <f>"0939-7248"</f>
        <v>0939-7248</v>
      </c>
      <c r="E18028" t="s">
        <v>8</v>
      </c>
      <c r="F18028" t="s">
        <v>18040</v>
      </c>
      <c r="G18028">
        <v>1</v>
      </c>
    </row>
    <row r="18029" spans="1:7" x14ac:dyDescent="0.25">
      <c r="A18029">
        <v>55</v>
      </c>
      <c r="B18029" t="s">
        <v>18029</v>
      </c>
      <c r="C18029">
        <v>16686</v>
      </c>
      <c r="D18029" t="str">
        <f>"0340-6199"</f>
        <v>0340-6199</v>
      </c>
      <c r="E18029" t="s">
        <v>8</v>
      </c>
      <c r="F18029" t="s">
        <v>18041</v>
      </c>
      <c r="G18029">
        <v>1</v>
      </c>
    </row>
    <row r="18030" spans="1:7" x14ac:dyDescent="0.25">
      <c r="A18030">
        <v>55</v>
      </c>
      <c r="B18030" t="s">
        <v>18029</v>
      </c>
      <c r="C18030">
        <v>17651</v>
      </c>
      <c r="D18030" t="str">
        <f>"1551-3815"</f>
        <v>1551-3815</v>
      </c>
      <c r="E18030" t="s">
        <v>8</v>
      </c>
      <c r="F18030" t="s">
        <v>18042</v>
      </c>
      <c r="G18030">
        <v>1</v>
      </c>
    </row>
    <row r="18031" spans="1:7" x14ac:dyDescent="0.25">
      <c r="A18031">
        <v>55</v>
      </c>
      <c r="B18031" t="s">
        <v>18029</v>
      </c>
      <c r="C18031">
        <v>7577</v>
      </c>
      <c r="D18031" t="str">
        <f>"0883-0738"</f>
        <v>0883-0738</v>
      </c>
      <c r="E18031" t="s">
        <v>8</v>
      </c>
      <c r="F18031" t="s">
        <v>18043</v>
      </c>
      <c r="G18031">
        <v>1</v>
      </c>
    </row>
    <row r="18032" spans="1:7" x14ac:dyDescent="0.25">
      <c r="A18032">
        <v>55</v>
      </c>
      <c r="B18032" t="s">
        <v>18029</v>
      </c>
      <c r="C18032">
        <v>1358</v>
      </c>
      <c r="D18032" t="str">
        <f>"1034-4810"</f>
        <v>1034-4810</v>
      </c>
      <c r="E18032" t="s">
        <v>8</v>
      </c>
      <c r="F18032" t="s">
        <v>18044</v>
      </c>
      <c r="G18032">
        <v>1</v>
      </c>
    </row>
    <row r="18033" spans="1:7" x14ac:dyDescent="0.25">
      <c r="A18033">
        <v>55</v>
      </c>
      <c r="B18033" t="s">
        <v>18029</v>
      </c>
      <c r="C18033">
        <v>11698</v>
      </c>
      <c r="D18033" t="str">
        <f>"0334-018X"</f>
        <v>0334-018X</v>
      </c>
      <c r="E18033" t="s">
        <v>8</v>
      </c>
      <c r="F18033" t="s">
        <v>18045</v>
      </c>
      <c r="G18033">
        <v>1</v>
      </c>
    </row>
    <row r="18034" spans="1:7" x14ac:dyDescent="0.25">
      <c r="A18034">
        <v>55</v>
      </c>
      <c r="B18034" t="s">
        <v>18029</v>
      </c>
      <c r="C18034">
        <v>12140</v>
      </c>
      <c r="D18034" t="str">
        <f>"0277-2116"</f>
        <v>0277-2116</v>
      </c>
      <c r="E18034" t="s">
        <v>8</v>
      </c>
      <c r="F18034" t="s">
        <v>18046</v>
      </c>
      <c r="G18034">
        <v>1</v>
      </c>
    </row>
    <row r="18035" spans="1:7" x14ac:dyDescent="0.25">
      <c r="A18035">
        <v>55</v>
      </c>
      <c r="B18035" t="s">
        <v>18029</v>
      </c>
      <c r="C18035">
        <v>10873</v>
      </c>
      <c r="D18035" t="str">
        <f>"0891-5245"</f>
        <v>0891-5245</v>
      </c>
      <c r="E18035" t="s">
        <v>8</v>
      </c>
      <c r="F18035" t="s">
        <v>18047</v>
      </c>
      <c r="G18035">
        <v>1</v>
      </c>
    </row>
    <row r="18036" spans="1:7" x14ac:dyDescent="0.25">
      <c r="A18036">
        <v>55</v>
      </c>
      <c r="B18036" t="s">
        <v>18029</v>
      </c>
      <c r="C18036">
        <v>10663</v>
      </c>
      <c r="D18036" t="str">
        <f>"1077-4114"</f>
        <v>1077-4114</v>
      </c>
      <c r="E18036" t="s">
        <v>8</v>
      </c>
      <c r="F18036" t="s">
        <v>18048</v>
      </c>
      <c r="G18036">
        <v>1</v>
      </c>
    </row>
    <row r="18037" spans="1:7" x14ac:dyDescent="0.25">
      <c r="A18037">
        <v>55</v>
      </c>
      <c r="B18037" t="s">
        <v>18029</v>
      </c>
      <c r="C18037">
        <v>7542</v>
      </c>
      <c r="D18037" t="str">
        <f>"0271-6798"</f>
        <v>0271-6798</v>
      </c>
      <c r="E18037" t="s">
        <v>8</v>
      </c>
      <c r="F18037" t="s">
        <v>18049</v>
      </c>
      <c r="G18037">
        <v>1</v>
      </c>
    </row>
    <row r="18038" spans="1:7" x14ac:dyDescent="0.25">
      <c r="A18038">
        <v>55</v>
      </c>
      <c r="B18038" t="s">
        <v>18029</v>
      </c>
      <c r="C18038">
        <v>8827</v>
      </c>
      <c r="D18038" t="str">
        <f>"1060-152X"</f>
        <v>1060-152X</v>
      </c>
      <c r="E18038" t="s">
        <v>8</v>
      </c>
      <c r="F18038" t="s">
        <v>18050</v>
      </c>
      <c r="G18038">
        <v>1</v>
      </c>
    </row>
    <row r="18039" spans="1:7" x14ac:dyDescent="0.25">
      <c r="A18039">
        <v>55</v>
      </c>
      <c r="B18039" t="s">
        <v>18029</v>
      </c>
      <c r="C18039">
        <v>16244</v>
      </c>
      <c r="D18039" t="str">
        <f>"0142-6338"</f>
        <v>0142-6338</v>
      </c>
      <c r="E18039" t="s">
        <v>8</v>
      </c>
      <c r="F18039" t="s">
        <v>18051</v>
      </c>
      <c r="G18039">
        <v>1</v>
      </c>
    </row>
    <row r="18040" spans="1:7" x14ac:dyDescent="0.25">
      <c r="A18040">
        <v>55</v>
      </c>
      <c r="B18040" t="s">
        <v>18029</v>
      </c>
      <c r="C18040">
        <v>3002</v>
      </c>
      <c r="D18040" t="str">
        <f>"0300-8630"</f>
        <v>0300-8630</v>
      </c>
      <c r="E18040" t="s">
        <v>8</v>
      </c>
      <c r="F18040" t="s">
        <v>18052</v>
      </c>
      <c r="G18040">
        <v>1</v>
      </c>
    </row>
    <row r="18041" spans="1:7" x14ac:dyDescent="0.25">
      <c r="A18041">
        <v>55</v>
      </c>
      <c r="B18041" t="s">
        <v>18029</v>
      </c>
      <c r="C18041">
        <v>6421</v>
      </c>
      <c r="D18041" t="str">
        <f>"1286-5494"</f>
        <v>1286-5494</v>
      </c>
      <c r="E18041" t="s">
        <v>8</v>
      </c>
      <c r="F18041" t="s">
        <v>18053</v>
      </c>
      <c r="G18041">
        <v>1</v>
      </c>
    </row>
    <row r="18042" spans="1:7" x14ac:dyDescent="0.25">
      <c r="A18042">
        <v>55</v>
      </c>
      <c r="B18042" t="s">
        <v>18029</v>
      </c>
      <c r="C18042">
        <v>3459</v>
      </c>
      <c r="D18042" t="str">
        <f>"0026-4946"</f>
        <v>0026-4946</v>
      </c>
      <c r="E18042" t="s">
        <v>8</v>
      </c>
      <c r="F18042" t="s">
        <v>18054</v>
      </c>
      <c r="G18042">
        <v>1</v>
      </c>
    </row>
    <row r="18043" spans="1:7" x14ac:dyDescent="0.25">
      <c r="A18043">
        <v>55</v>
      </c>
      <c r="B18043" t="s">
        <v>18029</v>
      </c>
      <c r="C18043">
        <v>13388</v>
      </c>
      <c r="D18043" t="str">
        <f>"0174-304X"</f>
        <v>0174-304X</v>
      </c>
      <c r="E18043" t="s">
        <v>8</v>
      </c>
      <c r="F18043" t="s">
        <v>18055</v>
      </c>
      <c r="G18043">
        <v>1</v>
      </c>
    </row>
    <row r="18044" spans="1:7" x14ac:dyDescent="0.25">
      <c r="A18044">
        <v>55</v>
      </c>
      <c r="B18044" t="s">
        <v>18029</v>
      </c>
      <c r="C18044">
        <v>9346</v>
      </c>
      <c r="D18044" t="str">
        <f>"1174-5878"</f>
        <v>1174-5878</v>
      </c>
      <c r="E18044" t="s">
        <v>8</v>
      </c>
      <c r="F18044" t="s">
        <v>18056</v>
      </c>
      <c r="G18044">
        <v>1</v>
      </c>
    </row>
    <row r="18045" spans="1:7" x14ac:dyDescent="0.25">
      <c r="A18045">
        <v>55</v>
      </c>
      <c r="B18045" t="s">
        <v>18029</v>
      </c>
      <c r="C18045">
        <v>7309</v>
      </c>
      <c r="D18045" t="str">
        <f>"0905-6157"</f>
        <v>0905-6157</v>
      </c>
      <c r="E18045" t="s">
        <v>8</v>
      </c>
      <c r="F18045" t="s">
        <v>18057</v>
      </c>
      <c r="G18045">
        <v>1</v>
      </c>
    </row>
    <row r="18046" spans="1:7" x14ac:dyDescent="0.25">
      <c r="A18046">
        <v>55</v>
      </c>
      <c r="B18046" t="s">
        <v>18029</v>
      </c>
      <c r="C18046">
        <v>13095</v>
      </c>
      <c r="D18046" t="str">
        <f>"2151-321X"</f>
        <v>2151-321X</v>
      </c>
      <c r="E18046" t="s">
        <v>8</v>
      </c>
      <c r="F18046" t="s">
        <v>18058</v>
      </c>
      <c r="G18046">
        <v>1</v>
      </c>
    </row>
    <row r="18047" spans="1:7" x14ac:dyDescent="0.25">
      <c r="A18047">
        <v>55</v>
      </c>
      <c r="B18047" t="s">
        <v>18029</v>
      </c>
      <c r="C18047">
        <v>1027</v>
      </c>
      <c r="D18047" t="str">
        <f>"0090-4481"</f>
        <v>0090-4481</v>
      </c>
      <c r="E18047" t="s">
        <v>8</v>
      </c>
      <c r="F18047" t="s">
        <v>18059</v>
      </c>
      <c r="G18047">
        <v>1</v>
      </c>
    </row>
    <row r="18048" spans="1:7" x14ac:dyDescent="0.25">
      <c r="A18048">
        <v>55</v>
      </c>
      <c r="B18048" t="s">
        <v>18029</v>
      </c>
      <c r="C18048">
        <v>4854</v>
      </c>
      <c r="D18048" t="str">
        <f>"0172-0643"</f>
        <v>0172-0643</v>
      </c>
      <c r="E18048" t="s">
        <v>8</v>
      </c>
      <c r="F18048" t="s">
        <v>18060</v>
      </c>
      <c r="G18048">
        <v>1</v>
      </c>
    </row>
    <row r="18049" spans="1:7" x14ac:dyDescent="0.25">
      <c r="A18049">
        <v>55</v>
      </c>
      <c r="B18049" t="s">
        <v>18029</v>
      </c>
      <c r="C18049">
        <v>5751</v>
      </c>
      <c r="D18049" t="str">
        <f>"1399-543X"</f>
        <v>1399-543X</v>
      </c>
      <c r="E18049" t="s">
        <v>8</v>
      </c>
      <c r="F18049" t="s">
        <v>18061</v>
      </c>
      <c r="G18049">
        <v>1</v>
      </c>
    </row>
    <row r="18050" spans="1:7" x14ac:dyDescent="0.25">
      <c r="A18050">
        <v>55</v>
      </c>
      <c r="B18050" t="s">
        <v>18029</v>
      </c>
      <c r="C18050">
        <v>7828</v>
      </c>
      <c r="D18050" t="str">
        <f>"0899-8493"</f>
        <v>0899-8493</v>
      </c>
      <c r="E18050" t="s">
        <v>8</v>
      </c>
      <c r="F18050" t="s">
        <v>18062</v>
      </c>
      <c r="G18050">
        <v>1</v>
      </c>
    </row>
    <row r="18051" spans="1:7" x14ac:dyDescent="0.25">
      <c r="A18051">
        <v>55</v>
      </c>
      <c r="B18051" t="s">
        <v>18029</v>
      </c>
      <c r="C18051">
        <v>1295</v>
      </c>
      <c r="D18051" t="str">
        <f>"0888-0018"</f>
        <v>0888-0018</v>
      </c>
      <c r="E18051" t="s">
        <v>8</v>
      </c>
      <c r="F18051" t="s">
        <v>18063</v>
      </c>
      <c r="G18051">
        <v>1</v>
      </c>
    </row>
    <row r="18052" spans="1:7" x14ac:dyDescent="0.25">
      <c r="A18052">
        <v>55</v>
      </c>
      <c r="B18052" t="s">
        <v>18029</v>
      </c>
      <c r="C18052">
        <v>4764</v>
      </c>
      <c r="D18052" t="str">
        <f>"0931-041X"</f>
        <v>0931-041X</v>
      </c>
      <c r="E18052" t="s">
        <v>8</v>
      </c>
      <c r="F18052" t="s">
        <v>18064</v>
      </c>
      <c r="G18052">
        <v>1</v>
      </c>
    </row>
    <row r="18053" spans="1:7" x14ac:dyDescent="0.25">
      <c r="A18053">
        <v>55</v>
      </c>
      <c r="B18053" t="s">
        <v>18029</v>
      </c>
      <c r="C18053">
        <v>8371</v>
      </c>
      <c r="D18053" t="str">
        <f>"0887-8994"</f>
        <v>0887-8994</v>
      </c>
      <c r="E18053" t="s">
        <v>8</v>
      </c>
      <c r="F18053" t="s">
        <v>18065</v>
      </c>
      <c r="G18053">
        <v>1</v>
      </c>
    </row>
    <row r="18054" spans="1:7" x14ac:dyDescent="0.25">
      <c r="A18054">
        <v>55</v>
      </c>
      <c r="B18054" t="s">
        <v>18029</v>
      </c>
      <c r="C18054">
        <v>17285</v>
      </c>
      <c r="D18054" t="str">
        <f>"2047-6302"</f>
        <v>2047-6302</v>
      </c>
      <c r="E18054" t="s">
        <v>8</v>
      </c>
      <c r="F18054" t="s">
        <v>18066</v>
      </c>
      <c r="G18054">
        <v>1</v>
      </c>
    </row>
    <row r="18055" spans="1:7" x14ac:dyDescent="0.25">
      <c r="A18055">
        <v>55</v>
      </c>
      <c r="B18055" t="s">
        <v>18029</v>
      </c>
      <c r="C18055">
        <v>15834</v>
      </c>
      <c r="D18055" t="str">
        <f>"0898-5669"</f>
        <v>0898-5669</v>
      </c>
      <c r="E18055" t="s">
        <v>8</v>
      </c>
      <c r="F18055" t="s">
        <v>18067</v>
      </c>
      <c r="G18055">
        <v>1</v>
      </c>
    </row>
    <row r="18056" spans="1:7" x14ac:dyDescent="0.25">
      <c r="A18056">
        <v>55</v>
      </c>
      <c r="B18056" t="s">
        <v>18029</v>
      </c>
      <c r="C18056">
        <v>12471</v>
      </c>
      <c r="D18056" t="str">
        <f>"8755-6863"</f>
        <v>8755-6863</v>
      </c>
      <c r="E18056" t="s">
        <v>8</v>
      </c>
      <c r="F18056" t="s">
        <v>18068</v>
      </c>
      <c r="G18056">
        <v>1</v>
      </c>
    </row>
    <row r="18057" spans="1:7" x14ac:dyDescent="0.25">
      <c r="A18057">
        <v>55</v>
      </c>
      <c r="B18057" t="s">
        <v>18029</v>
      </c>
      <c r="C18057">
        <v>4205</v>
      </c>
      <c r="D18057" t="str">
        <f>"0031-3998"</f>
        <v>0031-3998</v>
      </c>
      <c r="E18057" t="s">
        <v>8</v>
      </c>
      <c r="F18057" t="s">
        <v>18069</v>
      </c>
      <c r="G18057">
        <v>1</v>
      </c>
    </row>
    <row r="18058" spans="1:7" x14ac:dyDescent="0.25">
      <c r="A18058">
        <v>55</v>
      </c>
      <c r="B18058" t="s">
        <v>18029</v>
      </c>
      <c r="C18058">
        <v>4873</v>
      </c>
      <c r="D18058" t="str">
        <f>"1397-3142"</f>
        <v>1397-3142</v>
      </c>
      <c r="E18058" t="s">
        <v>8</v>
      </c>
      <c r="F18058" t="s">
        <v>18070</v>
      </c>
      <c r="G18058">
        <v>1</v>
      </c>
    </row>
    <row r="18059" spans="1:7" x14ac:dyDescent="0.25">
      <c r="A18059">
        <v>55</v>
      </c>
      <c r="B18059" t="s">
        <v>18029</v>
      </c>
      <c r="C18059">
        <v>218</v>
      </c>
      <c r="D18059" t="str">
        <f>"0191-9601"</f>
        <v>0191-9601</v>
      </c>
      <c r="E18059" t="s">
        <v>8</v>
      </c>
      <c r="F18059" t="s">
        <v>18071</v>
      </c>
      <c r="G18059">
        <v>1</v>
      </c>
    </row>
    <row r="18060" spans="1:7" x14ac:dyDescent="0.25">
      <c r="A18060">
        <v>55</v>
      </c>
      <c r="B18060" t="s">
        <v>18029</v>
      </c>
      <c r="C18060">
        <v>14850</v>
      </c>
      <c r="D18060" t="str">
        <f>"1328-8067"</f>
        <v>1328-8067</v>
      </c>
      <c r="E18060" t="s">
        <v>8</v>
      </c>
      <c r="F18060" t="s">
        <v>18072</v>
      </c>
      <c r="G18060">
        <v>1</v>
      </c>
    </row>
    <row r="18061" spans="1:7" x14ac:dyDescent="0.25">
      <c r="A18061">
        <v>55</v>
      </c>
      <c r="B18061" t="s">
        <v>18029</v>
      </c>
      <c r="C18061">
        <v>9826</v>
      </c>
      <c r="D18061" t="str">
        <f>"0891-3668"</f>
        <v>0891-3668</v>
      </c>
      <c r="E18061" t="s">
        <v>8</v>
      </c>
      <c r="F18061" t="s">
        <v>18073</v>
      </c>
      <c r="G18061">
        <v>1</v>
      </c>
    </row>
    <row r="18062" spans="1:7" x14ac:dyDescent="0.25">
      <c r="A18062">
        <v>55</v>
      </c>
      <c r="B18062" t="s">
        <v>18029</v>
      </c>
      <c r="C18062">
        <v>11133</v>
      </c>
      <c r="D18062" t="str">
        <f>"0041-4301"</f>
        <v>0041-4301</v>
      </c>
      <c r="E18062" t="s">
        <v>8</v>
      </c>
      <c r="F18062" t="s">
        <v>18074</v>
      </c>
      <c r="G18062">
        <v>1</v>
      </c>
    </row>
    <row r="18063" spans="1:7" x14ac:dyDescent="0.25">
      <c r="A18063">
        <v>56</v>
      </c>
      <c r="B18063" t="s">
        <v>18075</v>
      </c>
      <c r="C18063">
        <v>15972</v>
      </c>
      <c r="D18063" t="str">
        <f>"0362-1642"</f>
        <v>0362-1642</v>
      </c>
      <c r="E18063" t="s">
        <v>8</v>
      </c>
      <c r="F18063" t="s">
        <v>18076</v>
      </c>
      <c r="G18063">
        <v>2</v>
      </c>
    </row>
    <row r="18064" spans="1:7" x14ac:dyDescent="0.25">
      <c r="A18064">
        <v>56</v>
      </c>
      <c r="B18064" t="s">
        <v>18075</v>
      </c>
      <c r="C18064">
        <v>1293</v>
      </c>
      <c r="D18064" t="str">
        <f>"0306-5251"</f>
        <v>0306-5251</v>
      </c>
      <c r="E18064" t="s">
        <v>8</v>
      </c>
      <c r="F18064" t="s">
        <v>18077</v>
      </c>
      <c r="G18064">
        <v>2</v>
      </c>
    </row>
    <row r="18065" spans="1:7" x14ac:dyDescent="0.25">
      <c r="A18065">
        <v>56</v>
      </c>
      <c r="B18065" t="s">
        <v>18075</v>
      </c>
      <c r="C18065">
        <v>3804</v>
      </c>
      <c r="D18065" t="str">
        <f>"0007-1188"</f>
        <v>0007-1188</v>
      </c>
      <c r="E18065" t="s">
        <v>8</v>
      </c>
      <c r="F18065" t="s">
        <v>18078</v>
      </c>
      <c r="G18065">
        <v>2</v>
      </c>
    </row>
    <row r="18066" spans="1:7" x14ac:dyDescent="0.25">
      <c r="A18066">
        <v>56</v>
      </c>
      <c r="B18066" t="s">
        <v>18075</v>
      </c>
      <c r="C18066">
        <v>15139</v>
      </c>
      <c r="D18066" t="str">
        <f>"0312-5963"</f>
        <v>0312-5963</v>
      </c>
      <c r="E18066" t="s">
        <v>8</v>
      </c>
      <c r="F18066" t="s">
        <v>18079</v>
      </c>
      <c r="G18066">
        <v>2</v>
      </c>
    </row>
    <row r="18067" spans="1:7" x14ac:dyDescent="0.25">
      <c r="A18067">
        <v>56</v>
      </c>
      <c r="B18067" t="s">
        <v>18075</v>
      </c>
      <c r="C18067">
        <v>13421</v>
      </c>
      <c r="D18067" t="str">
        <f>"0009-9236"</f>
        <v>0009-9236</v>
      </c>
      <c r="E18067" t="s">
        <v>8</v>
      </c>
      <c r="F18067" t="s">
        <v>18080</v>
      </c>
      <c r="G18067">
        <v>2</v>
      </c>
    </row>
    <row r="18068" spans="1:7" x14ac:dyDescent="0.25">
      <c r="A18068">
        <v>56</v>
      </c>
      <c r="B18068" t="s">
        <v>18075</v>
      </c>
      <c r="C18068">
        <v>5245</v>
      </c>
      <c r="D18068" t="str">
        <f>"1040-8444"</f>
        <v>1040-8444</v>
      </c>
      <c r="E18068" t="s">
        <v>8</v>
      </c>
      <c r="F18068" t="s">
        <v>18081</v>
      </c>
      <c r="G18068">
        <v>2</v>
      </c>
    </row>
    <row r="18069" spans="1:7" x14ac:dyDescent="0.25">
      <c r="A18069">
        <v>56</v>
      </c>
      <c r="B18069" t="s">
        <v>18075</v>
      </c>
      <c r="C18069">
        <v>9004</v>
      </c>
      <c r="D18069" t="str">
        <f>"1368-7646"</f>
        <v>1368-7646</v>
      </c>
      <c r="E18069" t="s">
        <v>8</v>
      </c>
      <c r="F18069" t="s">
        <v>18082</v>
      </c>
      <c r="G18069">
        <v>2</v>
      </c>
    </row>
    <row r="18070" spans="1:7" x14ac:dyDescent="0.25">
      <c r="A18070">
        <v>56</v>
      </c>
      <c r="B18070" t="s">
        <v>18075</v>
      </c>
      <c r="C18070">
        <v>10566</v>
      </c>
      <c r="D18070" t="str">
        <f>"0031-6970"</f>
        <v>0031-6970</v>
      </c>
      <c r="E18070" t="s">
        <v>8</v>
      </c>
      <c r="F18070" t="s">
        <v>18083</v>
      </c>
      <c r="G18070">
        <v>2</v>
      </c>
    </row>
    <row r="18071" spans="1:7" x14ac:dyDescent="0.25">
      <c r="A18071">
        <v>56</v>
      </c>
      <c r="B18071" t="s">
        <v>18075</v>
      </c>
      <c r="C18071">
        <v>12722</v>
      </c>
      <c r="D18071" t="str">
        <f>"0198-6325"</f>
        <v>0198-6325</v>
      </c>
      <c r="E18071" t="s">
        <v>8</v>
      </c>
      <c r="F18071" t="s">
        <v>18084</v>
      </c>
      <c r="G18071">
        <v>2</v>
      </c>
    </row>
    <row r="18072" spans="1:7" x14ac:dyDescent="0.25">
      <c r="A18072">
        <v>56</v>
      </c>
      <c r="B18072" t="s">
        <v>18075</v>
      </c>
      <c r="C18072">
        <v>5186</v>
      </c>
      <c r="D18072" t="str">
        <f>"0026-895X"</f>
        <v>0026-895X</v>
      </c>
      <c r="E18072" t="s">
        <v>8</v>
      </c>
      <c r="F18072" t="s">
        <v>18085</v>
      </c>
      <c r="G18072">
        <v>2</v>
      </c>
    </row>
    <row r="18073" spans="1:7" x14ac:dyDescent="0.25">
      <c r="A18073">
        <v>56</v>
      </c>
      <c r="B18073" t="s">
        <v>18075</v>
      </c>
      <c r="C18073">
        <v>11838</v>
      </c>
      <c r="D18073" t="str">
        <f>"1525-0016"</f>
        <v>1525-0016</v>
      </c>
      <c r="E18073" t="s">
        <v>8</v>
      </c>
      <c r="F18073" t="s">
        <v>18086</v>
      </c>
      <c r="G18073">
        <v>2</v>
      </c>
    </row>
    <row r="18074" spans="1:7" x14ac:dyDescent="0.25">
      <c r="A18074">
        <v>56</v>
      </c>
      <c r="B18074" t="s">
        <v>18075</v>
      </c>
      <c r="C18074">
        <v>3207</v>
      </c>
      <c r="D18074" t="str">
        <f>"1474-1776"</f>
        <v>1474-1776</v>
      </c>
      <c r="E18074" t="s">
        <v>8</v>
      </c>
      <c r="F18074" t="s">
        <v>18087</v>
      </c>
      <c r="G18074">
        <v>2</v>
      </c>
    </row>
    <row r="18075" spans="1:7" x14ac:dyDescent="0.25">
      <c r="A18075">
        <v>56</v>
      </c>
      <c r="B18075" t="s">
        <v>18075</v>
      </c>
      <c r="C18075">
        <v>14123</v>
      </c>
      <c r="D18075" t="str">
        <f>"0028-3908"</f>
        <v>0028-3908</v>
      </c>
      <c r="E18075" t="s">
        <v>8</v>
      </c>
      <c r="F18075" t="s">
        <v>18088</v>
      </c>
      <c r="G18075">
        <v>2</v>
      </c>
    </row>
    <row r="18076" spans="1:7" x14ac:dyDescent="0.25">
      <c r="A18076">
        <v>56</v>
      </c>
      <c r="B18076" t="s">
        <v>18075</v>
      </c>
      <c r="C18076">
        <v>11146</v>
      </c>
      <c r="D18076" t="str">
        <f>"0893-133X"</f>
        <v>0893-133X</v>
      </c>
      <c r="E18076" t="s">
        <v>8</v>
      </c>
      <c r="F18076" t="s">
        <v>18089</v>
      </c>
      <c r="G18076">
        <v>2</v>
      </c>
    </row>
    <row r="18077" spans="1:7" x14ac:dyDescent="0.25">
      <c r="A18077">
        <v>56</v>
      </c>
      <c r="B18077" t="s">
        <v>18075</v>
      </c>
      <c r="C18077">
        <v>7777</v>
      </c>
      <c r="D18077" t="str">
        <f>"0031-6997"</f>
        <v>0031-6997</v>
      </c>
      <c r="E18077" t="s">
        <v>8</v>
      </c>
      <c r="F18077" t="s">
        <v>18090</v>
      </c>
      <c r="G18077">
        <v>2</v>
      </c>
    </row>
    <row r="18078" spans="1:7" x14ac:dyDescent="0.25">
      <c r="A18078">
        <v>56</v>
      </c>
      <c r="B18078" t="s">
        <v>18075</v>
      </c>
      <c r="C18078">
        <v>3004</v>
      </c>
      <c r="D18078" t="str">
        <f>"0163-7258"</f>
        <v>0163-7258</v>
      </c>
      <c r="E18078" t="s">
        <v>8</v>
      </c>
      <c r="F18078" t="s">
        <v>18091</v>
      </c>
      <c r="G18078">
        <v>2</v>
      </c>
    </row>
    <row r="18079" spans="1:7" x14ac:dyDescent="0.25">
      <c r="A18079">
        <v>56</v>
      </c>
      <c r="B18079" t="s">
        <v>18075</v>
      </c>
      <c r="C18079">
        <v>7488</v>
      </c>
      <c r="D18079" t="str">
        <f>"0033-3158"</f>
        <v>0033-3158</v>
      </c>
      <c r="E18079" t="s">
        <v>8</v>
      </c>
      <c r="F18079" t="s">
        <v>18092</v>
      </c>
      <c r="G18079">
        <v>2</v>
      </c>
    </row>
    <row r="18080" spans="1:7" x14ac:dyDescent="0.25">
      <c r="A18080">
        <v>56</v>
      </c>
      <c r="B18080" t="s">
        <v>18075</v>
      </c>
      <c r="C18080">
        <v>5884</v>
      </c>
      <c r="D18080" t="str">
        <f>"0022-3565"</f>
        <v>0022-3565</v>
      </c>
      <c r="E18080" t="s">
        <v>8</v>
      </c>
      <c r="F18080" t="s">
        <v>18093</v>
      </c>
      <c r="G18080">
        <v>2</v>
      </c>
    </row>
    <row r="18081" spans="1:7" x14ac:dyDescent="0.25">
      <c r="A18081">
        <v>56</v>
      </c>
      <c r="B18081" t="s">
        <v>18075</v>
      </c>
      <c r="C18081">
        <v>10170</v>
      </c>
      <c r="D18081" t="str">
        <f>"1096-6080"</f>
        <v>1096-6080</v>
      </c>
      <c r="E18081" t="s">
        <v>8</v>
      </c>
      <c r="F18081" t="s">
        <v>18094</v>
      </c>
      <c r="G18081">
        <v>2</v>
      </c>
    </row>
    <row r="18082" spans="1:7" x14ac:dyDescent="0.25">
      <c r="A18082">
        <v>56</v>
      </c>
      <c r="B18082" t="s">
        <v>18075</v>
      </c>
      <c r="C18082">
        <v>12692</v>
      </c>
      <c r="D18082" t="str">
        <f>"0041-008X"</f>
        <v>0041-008X</v>
      </c>
      <c r="E18082" t="s">
        <v>8</v>
      </c>
      <c r="F18082" t="s">
        <v>18095</v>
      </c>
      <c r="G18082">
        <v>2</v>
      </c>
    </row>
    <row r="18083" spans="1:7" x14ac:dyDescent="0.25">
      <c r="A18083">
        <v>56</v>
      </c>
      <c r="B18083" t="s">
        <v>18075</v>
      </c>
      <c r="C18083">
        <v>16773</v>
      </c>
      <c r="D18083" t="str">
        <f>"0165-6147"</f>
        <v>0165-6147</v>
      </c>
      <c r="E18083" t="s">
        <v>8</v>
      </c>
      <c r="F18083" t="s">
        <v>18096</v>
      </c>
      <c r="G18083">
        <v>2</v>
      </c>
    </row>
    <row r="18084" spans="1:7" x14ac:dyDescent="0.25">
      <c r="A18084">
        <v>56</v>
      </c>
      <c r="B18084" t="s">
        <v>18075</v>
      </c>
      <c r="C18084">
        <v>12252</v>
      </c>
      <c r="D18084" t="str">
        <f>"1671-4083"</f>
        <v>1671-4083</v>
      </c>
      <c r="E18084" t="s">
        <v>8</v>
      </c>
      <c r="F18084" t="s">
        <v>18097</v>
      </c>
      <c r="G18084">
        <v>1</v>
      </c>
    </row>
    <row r="18085" spans="1:7" x14ac:dyDescent="0.25">
      <c r="A18085">
        <v>56</v>
      </c>
      <c r="B18085" t="s">
        <v>18075</v>
      </c>
      <c r="C18085">
        <v>22113</v>
      </c>
      <c r="D18085" t="str">
        <f>"1054-3589"</f>
        <v>1054-3589</v>
      </c>
      <c r="E18085" t="s">
        <v>15</v>
      </c>
      <c r="F18085" t="s">
        <v>18098</v>
      </c>
      <c r="G18085">
        <v>1</v>
      </c>
    </row>
    <row r="18086" spans="1:7" x14ac:dyDescent="0.25">
      <c r="A18086">
        <v>56</v>
      </c>
      <c r="B18086" t="s">
        <v>18075</v>
      </c>
      <c r="C18086">
        <v>11773</v>
      </c>
      <c r="D18086" t="str">
        <f>"0741-238X"</f>
        <v>0741-238X</v>
      </c>
      <c r="E18086" t="s">
        <v>8</v>
      </c>
      <c r="F18086" t="s">
        <v>18099</v>
      </c>
      <c r="G18086">
        <v>1</v>
      </c>
    </row>
    <row r="18087" spans="1:7" x14ac:dyDescent="0.25">
      <c r="A18087">
        <v>56</v>
      </c>
      <c r="B18087" t="s">
        <v>18075</v>
      </c>
      <c r="C18087">
        <v>15116</v>
      </c>
      <c r="D18087" t="str">
        <f>"0269-2813"</f>
        <v>0269-2813</v>
      </c>
      <c r="E18087" t="s">
        <v>8</v>
      </c>
      <c r="F18087" t="s">
        <v>18100</v>
      </c>
      <c r="G18087">
        <v>1</v>
      </c>
    </row>
    <row r="18088" spans="1:7" x14ac:dyDescent="0.25">
      <c r="A18088">
        <v>56</v>
      </c>
      <c r="B18088" t="s">
        <v>18075</v>
      </c>
      <c r="C18088">
        <v>5325</v>
      </c>
      <c r="D18088" t="str">
        <f>"1868-596X"</f>
        <v>1868-596X</v>
      </c>
      <c r="E18088" t="s">
        <v>8</v>
      </c>
      <c r="F18088" t="s">
        <v>18101</v>
      </c>
      <c r="G18088">
        <v>1</v>
      </c>
    </row>
    <row r="18089" spans="1:7" x14ac:dyDescent="0.25">
      <c r="A18089">
        <v>56</v>
      </c>
      <c r="B18089" t="s">
        <v>18075</v>
      </c>
      <c r="C18089">
        <v>5361</v>
      </c>
      <c r="D18089" t="str">
        <f>"1175-3277"</f>
        <v>1175-3277</v>
      </c>
      <c r="E18089" t="s">
        <v>8</v>
      </c>
      <c r="F18089" t="s">
        <v>18102</v>
      </c>
      <c r="G18089">
        <v>1</v>
      </c>
    </row>
    <row r="18090" spans="1:7" x14ac:dyDescent="0.25">
      <c r="A18090">
        <v>56</v>
      </c>
      <c r="B18090" t="s">
        <v>18075</v>
      </c>
      <c r="C18090">
        <v>27095</v>
      </c>
      <c r="D18090" t="str">
        <f>"1557-4962"</f>
        <v>1557-4962</v>
      </c>
      <c r="E18090" t="s">
        <v>8</v>
      </c>
      <c r="F18090" t="s">
        <v>18103</v>
      </c>
      <c r="G18090">
        <v>1</v>
      </c>
    </row>
    <row r="18091" spans="1:7" x14ac:dyDescent="0.25">
      <c r="A18091">
        <v>56</v>
      </c>
      <c r="B18091" t="s">
        <v>18075</v>
      </c>
      <c r="C18091">
        <v>9967</v>
      </c>
      <c r="D18091" t="str">
        <f>"1075-2765"</f>
        <v>1075-2765</v>
      </c>
      <c r="E18091" t="s">
        <v>8</v>
      </c>
      <c r="F18091" t="s">
        <v>18104</v>
      </c>
      <c r="G18091">
        <v>1</v>
      </c>
    </row>
    <row r="18092" spans="1:7" x14ac:dyDescent="0.25">
      <c r="A18092">
        <v>56</v>
      </c>
      <c r="B18092" t="s">
        <v>18075</v>
      </c>
      <c r="C18092">
        <v>2097</v>
      </c>
      <c r="D18092" t="str">
        <f>"0065-7743"</f>
        <v>0065-7743</v>
      </c>
      <c r="E18092" t="s">
        <v>15</v>
      </c>
      <c r="F18092" t="s">
        <v>18105</v>
      </c>
      <c r="G18092">
        <v>1</v>
      </c>
    </row>
    <row r="18093" spans="1:7" x14ac:dyDescent="0.25">
      <c r="A18093">
        <v>56</v>
      </c>
      <c r="B18093" t="s">
        <v>18075</v>
      </c>
      <c r="C18093">
        <v>8022</v>
      </c>
      <c r="D18093" t="str">
        <f>"1871-5206"</f>
        <v>1871-5206</v>
      </c>
      <c r="E18093" t="s">
        <v>8</v>
      </c>
      <c r="F18093" t="s">
        <v>18106</v>
      </c>
      <c r="G18093">
        <v>1</v>
      </c>
    </row>
    <row r="18094" spans="1:7" x14ac:dyDescent="0.25">
      <c r="A18094">
        <v>56</v>
      </c>
      <c r="B18094" t="s">
        <v>18075</v>
      </c>
      <c r="C18094">
        <v>7416</v>
      </c>
      <c r="D18094" t="str">
        <f>"2211-3525"</f>
        <v>2211-3525</v>
      </c>
      <c r="E18094" t="s">
        <v>8</v>
      </c>
      <c r="F18094" t="s">
        <v>18107</v>
      </c>
      <c r="G18094">
        <v>1</v>
      </c>
    </row>
    <row r="18095" spans="1:7" x14ac:dyDescent="0.25">
      <c r="A18095">
        <v>56</v>
      </c>
      <c r="B18095" t="s">
        <v>18075</v>
      </c>
      <c r="C18095">
        <v>13958</v>
      </c>
      <c r="D18095" t="str">
        <f>"1871-5230"</f>
        <v>1871-5230</v>
      </c>
      <c r="E18095" t="s">
        <v>8</v>
      </c>
      <c r="F18095" t="s">
        <v>18108</v>
      </c>
      <c r="G18095">
        <v>1</v>
      </c>
    </row>
    <row r="18096" spans="1:7" x14ac:dyDescent="0.25">
      <c r="A18096">
        <v>56</v>
      </c>
      <c r="B18096" t="s">
        <v>18075</v>
      </c>
      <c r="C18096">
        <v>8719</v>
      </c>
      <c r="D18096" t="str">
        <f>"2040-2066"</f>
        <v>2040-2066</v>
      </c>
      <c r="E18096" t="s">
        <v>8</v>
      </c>
      <c r="F18096" t="s">
        <v>18109</v>
      </c>
      <c r="G18096">
        <v>1</v>
      </c>
    </row>
    <row r="18097" spans="1:7" x14ac:dyDescent="0.25">
      <c r="A18097">
        <v>56</v>
      </c>
      <c r="B18097" t="s">
        <v>18075</v>
      </c>
      <c r="C18097">
        <v>13562</v>
      </c>
      <c r="D18097" t="str">
        <f>"0166-3542"</f>
        <v>0166-3542</v>
      </c>
      <c r="E18097" t="s">
        <v>8</v>
      </c>
      <c r="F18097" t="s">
        <v>18110</v>
      </c>
      <c r="G18097">
        <v>1</v>
      </c>
    </row>
    <row r="18098" spans="1:7" x14ac:dyDescent="0.25">
      <c r="A18098">
        <v>56</v>
      </c>
      <c r="B18098" t="s">
        <v>18075</v>
      </c>
      <c r="C18098">
        <v>15724</v>
      </c>
      <c r="D18098" t="str">
        <f>"0253-6269"</f>
        <v>0253-6269</v>
      </c>
      <c r="E18098" t="s">
        <v>8</v>
      </c>
      <c r="F18098" t="s">
        <v>18111</v>
      </c>
      <c r="G18098">
        <v>1</v>
      </c>
    </row>
    <row r="18099" spans="1:7" x14ac:dyDescent="0.25">
      <c r="A18099">
        <v>56</v>
      </c>
      <c r="B18099" t="s">
        <v>18075</v>
      </c>
      <c r="C18099">
        <v>11059</v>
      </c>
      <c r="D18099" t="str">
        <f>"0340-5761"</f>
        <v>0340-5761</v>
      </c>
      <c r="E18099" t="s">
        <v>8</v>
      </c>
      <c r="F18099" t="s">
        <v>18112</v>
      </c>
      <c r="G18099">
        <v>1</v>
      </c>
    </row>
    <row r="18100" spans="1:7" x14ac:dyDescent="0.25">
      <c r="A18100">
        <v>56</v>
      </c>
      <c r="B18100" t="s">
        <v>18075</v>
      </c>
      <c r="C18100">
        <v>6543</v>
      </c>
      <c r="D18100" t="str">
        <f>"1540-658X"</f>
        <v>1540-658X</v>
      </c>
      <c r="E18100" t="s">
        <v>8</v>
      </c>
      <c r="F18100" t="s">
        <v>18113</v>
      </c>
      <c r="G18100">
        <v>1</v>
      </c>
    </row>
    <row r="18101" spans="1:7" x14ac:dyDescent="0.25">
      <c r="A18101">
        <v>56</v>
      </c>
      <c r="B18101" t="s">
        <v>18075</v>
      </c>
      <c r="C18101">
        <v>3196</v>
      </c>
      <c r="D18101" t="str">
        <f>"0312-8008"</f>
        <v>0312-8008</v>
      </c>
      <c r="E18101" t="s">
        <v>8</v>
      </c>
      <c r="F18101" t="s">
        <v>18114</v>
      </c>
      <c r="G18101">
        <v>1</v>
      </c>
    </row>
    <row r="18102" spans="1:7" x14ac:dyDescent="0.25">
      <c r="A18102">
        <v>56</v>
      </c>
      <c r="B18102" t="s">
        <v>18075</v>
      </c>
      <c r="C18102">
        <v>175</v>
      </c>
      <c r="D18102" t="str">
        <f>"1474-8665"</f>
        <v>1474-8665</v>
      </c>
      <c r="E18102" t="s">
        <v>8</v>
      </c>
      <c r="F18102" t="s">
        <v>18115</v>
      </c>
      <c r="G18102">
        <v>1</v>
      </c>
    </row>
    <row r="18103" spans="1:7" x14ac:dyDescent="0.25">
      <c r="A18103">
        <v>56</v>
      </c>
      <c r="B18103" t="s">
        <v>18075</v>
      </c>
      <c r="C18103">
        <v>1897</v>
      </c>
      <c r="D18103" t="str">
        <f>"1742-7835"</f>
        <v>1742-7835</v>
      </c>
      <c r="E18103" t="s">
        <v>8</v>
      </c>
      <c r="F18103" t="s">
        <v>18116</v>
      </c>
      <c r="G18103">
        <v>1</v>
      </c>
    </row>
    <row r="18104" spans="1:7" x14ac:dyDescent="0.25">
      <c r="A18104">
        <v>56</v>
      </c>
      <c r="B18104" t="s">
        <v>18075</v>
      </c>
      <c r="C18104">
        <v>73647</v>
      </c>
      <c r="D18104" t="str">
        <f>"1742-7843"</f>
        <v>1742-7843</v>
      </c>
      <c r="E18104" t="s">
        <v>15</v>
      </c>
      <c r="F18104" t="s">
        <v>18116</v>
      </c>
      <c r="G18104">
        <v>1</v>
      </c>
    </row>
    <row r="18105" spans="1:7" x14ac:dyDescent="0.25">
      <c r="A18105">
        <v>56</v>
      </c>
      <c r="B18105" t="s">
        <v>18075</v>
      </c>
      <c r="C18105">
        <v>14538</v>
      </c>
      <c r="D18105" t="str">
        <f>"0955-8810"</f>
        <v>0955-8810</v>
      </c>
      <c r="E18105" t="s">
        <v>8</v>
      </c>
      <c r="F18105" t="s">
        <v>18117</v>
      </c>
      <c r="G18105">
        <v>1</v>
      </c>
    </row>
    <row r="18106" spans="1:7" x14ac:dyDescent="0.25">
      <c r="A18106">
        <v>56</v>
      </c>
      <c r="B18106" t="s">
        <v>18075</v>
      </c>
      <c r="C18106">
        <v>10275</v>
      </c>
      <c r="D18106" t="str">
        <f>"0006-2952"</f>
        <v>0006-2952</v>
      </c>
      <c r="E18106" t="s">
        <v>8</v>
      </c>
      <c r="F18106" t="s">
        <v>18118</v>
      </c>
      <c r="G18106">
        <v>1</v>
      </c>
    </row>
    <row r="18107" spans="1:7" x14ac:dyDescent="0.25">
      <c r="A18107">
        <v>56</v>
      </c>
      <c r="B18107" t="s">
        <v>18075</v>
      </c>
      <c r="C18107">
        <v>11950</v>
      </c>
      <c r="D18107" t="str">
        <f>"1045-1056"</f>
        <v>1045-1056</v>
      </c>
      <c r="E18107" t="s">
        <v>8</v>
      </c>
      <c r="F18107" t="s">
        <v>18119</v>
      </c>
      <c r="G18107">
        <v>1</v>
      </c>
    </row>
    <row r="18108" spans="1:7" x14ac:dyDescent="0.25">
      <c r="A18108">
        <v>56</v>
      </c>
      <c r="B18108" t="s">
        <v>18075</v>
      </c>
      <c r="C18108">
        <v>9260</v>
      </c>
      <c r="D18108" t="str">
        <f>"1542-166X"</f>
        <v>1542-166X</v>
      </c>
      <c r="E18108" t="s">
        <v>8</v>
      </c>
      <c r="F18108" t="s">
        <v>18120</v>
      </c>
      <c r="G18108">
        <v>1</v>
      </c>
    </row>
    <row r="18109" spans="1:7" x14ac:dyDescent="0.25">
      <c r="A18109">
        <v>56</v>
      </c>
      <c r="B18109" t="s">
        <v>18075</v>
      </c>
      <c r="C18109">
        <v>1981</v>
      </c>
      <c r="E18109" t="s">
        <v>8</v>
      </c>
      <c r="F18109" t="s">
        <v>18121</v>
      </c>
      <c r="G18109">
        <v>1</v>
      </c>
    </row>
    <row r="18110" spans="1:7" x14ac:dyDescent="0.25">
      <c r="A18110">
        <v>56</v>
      </c>
      <c r="B18110" t="s">
        <v>18075</v>
      </c>
      <c r="C18110">
        <v>8349</v>
      </c>
      <c r="E18110" t="s">
        <v>8</v>
      </c>
      <c r="F18110" t="s">
        <v>18122</v>
      </c>
      <c r="G18110">
        <v>1</v>
      </c>
    </row>
    <row r="18111" spans="1:7" x14ac:dyDescent="0.25">
      <c r="A18111">
        <v>56</v>
      </c>
      <c r="B18111" t="s">
        <v>18075</v>
      </c>
      <c r="C18111">
        <v>14772</v>
      </c>
      <c r="D18111" t="str">
        <f>"0008-4212"</f>
        <v>0008-4212</v>
      </c>
      <c r="E18111" t="s">
        <v>8</v>
      </c>
      <c r="F18111" t="s">
        <v>18123</v>
      </c>
      <c r="G18111">
        <v>1</v>
      </c>
    </row>
    <row r="18112" spans="1:7" x14ac:dyDescent="0.25">
      <c r="A18112">
        <v>56</v>
      </c>
      <c r="B18112" t="s">
        <v>18075</v>
      </c>
      <c r="C18112">
        <v>11952</v>
      </c>
      <c r="D18112" t="str">
        <f>"0144-8617"</f>
        <v>0144-8617</v>
      </c>
      <c r="E18112" t="s">
        <v>8</v>
      </c>
      <c r="F18112" t="s">
        <v>18124</v>
      </c>
      <c r="G18112">
        <v>1</v>
      </c>
    </row>
    <row r="18113" spans="1:7" x14ac:dyDescent="0.25">
      <c r="A18113">
        <v>56</v>
      </c>
      <c r="B18113" t="s">
        <v>18075</v>
      </c>
      <c r="C18113">
        <v>7108</v>
      </c>
      <c r="D18113" t="str">
        <f>"1871-5257"</f>
        <v>1871-5257</v>
      </c>
      <c r="E18113" t="s">
        <v>8</v>
      </c>
      <c r="F18113" t="s">
        <v>18125</v>
      </c>
      <c r="G18113">
        <v>1</v>
      </c>
    </row>
    <row r="18114" spans="1:7" x14ac:dyDescent="0.25">
      <c r="A18114">
        <v>56</v>
      </c>
      <c r="B18114" t="s">
        <v>18075</v>
      </c>
      <c r="C18114">
        <v>3822</v>
      </c>
      <c r="D18114" t="str">
        <f>"1871-529X"</f>
        <v>1871-529X</v>
      </c>
      <c r="E18114" t="s">
        <v>8</v>
      </c>
      <c r="F18114" t="s">
        <v>18126</v>
      </c>
      <c r="G18114">
        <v>1</v>
      </c>
    </row>
    <row r="18115" spans="1:7" x14ac:dyDescent="0.25">
      <c r="A18115">
        <v>56</v>
      </c>
      <c r="B18115" t="s">
        <v>18075</v>
      </c>
      <c r="C18115">
        <v>7220</v>
      </c>
      <c r="D18115" t="str">
        <f>"0920-3206"</f>
        <v>0920-3206</v>
      </c>
      <c r="E18115" t="s">
        <v>8</v>
      </c>
      <c r="F18115" t="s">
        <v>18127</v>
      </c>
      <c r="G18115">
        <v>1</v>
      </c>
    </row>
    <row r="18116" spans="1:7" x14ac:dyDescent="0.25">
      <c r="A18116">
        <v>56</v>
      </c>
      <c r="B18116" t="s">
        <v>18075</v>
      </c>
      <c r="C18116">
        <v>11056</v>
      </c>
      <c r="D18116" t="str">
        <f>"1871-5249"</f>
        <v>1871-5249</v>
      </c>
      <c r="E18116" t="s">
        <v>8</v>
      </c>
      <c r="F18116" t="s">
        <v>18128</v>
      </c>
      <c r="G18116">
        <v>1</v>
      </c>
    </row>
    <row r="18117" spans="1:7" x14ac:dyDescent="0.25">
      <c r="A18117">
        <v>56</v>
      </c>
      <c r="B18117" t="s">
        <v>18075</v>
      </c>
      <c r="C18117">
        <v>704</v>
      </c>
      <c r="D18117" t="str">
        <f>"0893-228X"</f>
        <v>0893-228X</v>
      </c>
      <c r="E18117" t="s">
        <v>8</v>
      </c>
      <c r="F18117" t="s">
        <v>18129</v>
      </c>
      <c r="G18117">
        <v>1</v>
      </c>
    </row>
    <row r="18118" spans="1:7" x14ac:dyDescent="0.25">
      <c r="A18118">
        <v>56</v>
      </c>
      <c r="B18118" t="s">
        <v>18075</v>
      </c>
      <c r="C18118">
        <v>5447</v>
      </c>
      <c r="D18118" t="str">
        <f>"0009-2797"</f>
        <v>0009-2797</v>
      </c>
      <c r="E18118" t="s">
        <v>8</v>
      </c>
      <c r="F18118" t="s">
        <v>18130</v>
      </c>
      <c r="G18118">
        <v>1</v>
      </c>
    </row>
    <row r="18119" spans="1:7" x14ac:dyDescent="0.25">
      <c r="A18119">
        <v>56</v>
      </c>
      <c r="B18119" t="s">
        <v>18075</v>
      </c>
      <c r="C18119">
        <v>9660</v>
      </c>
      <c r="D18119" t="str">
        <f>"0899-0042"</f>
        <v>0899-0042</v>
      </c>
      <c r="E18119" t="s">
        <v>8</v>
      </c>
      <c r="F18119" t="s">
        <v>18131</v>
      </c>
      <c r="G18119">
        <v>1</v>
      </c>
    </row>
    <row r="18120" spans="1:7" x14ac:dyDescent="0.25">
      <c r="A18120">
        <v>56</v>
      </c>
      <c r="B18120" t="s">
        <v>18075</v>
      </c>
      <c r="C18120">
        <v>14048</v>
      </c>
      <c r="D18120" t="str">
        <f>"1173-2563"</f>
        <v>1173-2563</v>
      </c>
      <c r="E18120" t="s">
        <v>8</v>
      </c>
      <c r="F18120" t="s">
        <v>18132</v>
      </c>
      <c r="G18120">
        <v>1</v>
      </c>
    </row>
    <row r="18121" spans="1:7" x14ac:dyDescent="0.25">
      <c r="A18121">
        <v>56</v>
      </c>
      <c r="B18121" t="s">
        <v>18075</v>
      </c>
      <c r="C18121">
        <v>8844</v>
      </c>
      <c r="D18121" t="str">
        <f>"0362-5664"</f>
        <v>0362-5664</v>
      </c>
      <c r="E18121" t="s">
        <v>8</v>
      </c>
      <c r="F18121" t="s">
        <v>18133</v>
      </c>
      <c r="G18121">
        <v>1</v>
      </c>
    </row>
    <row r="18122" spans="1:7" x14ac:dyDescent="0.25">
      <c r="A18122">
        <v>56</v>
      </c>
      <c r="B18122" t="s">
        <v>18075</v>
      </c>
      <c r="C18122">
        <v>155379</v>
      </c>
      <c r="D18122" t="str">
        <f>"1758-9061"</f>
        <v>1758-9061</v>
      </c>
      <c r="E18122" t="s">
        <v>8</v>
      </c>
      <c r="F18122" t="s">
        <v>18134</v>
      </c>
      <c r="G18122">
        <v>1</v>
      </c>
    </row>
    <row r="18123" spans="1:7" x14ac:dyDescent="0.25">
      <c r="A18123">
        <v>56</v>
      </c>
      <c r="B18123" t="s">
        <v>18075</v>
      </c>
      <c r="C18123">
        <v>5128</v>
      </c>
      <c r="D18123" t="str">
        <f>"0149-2918"</f>
        <v>0149-2918</v>
      </c>
      <c r="E18123" t="s">
        <v>8</v>
      </c>
      <c r="F18123" t="s">
        <v>18135</v>
      </c>
      <c r="G18123">
        <v>1</v>
      </c>
    </row>
    <row r="18124" spans="1:7" x14ac:dyDescent="0.25">
      <c r="A18124">
        <v>56</v>
      </c>
      <c r="B18124" t="s">
        <v>18075</v>
      </c>
      <c r="C18124">
        <v>10453</v>
      </c>
      <c r="D18124" t="str">
        <f>"1556-3650"</f>
        <v>1556-3650</v>
      </c>
      <c r="E18124" t="s">
        <v>8</v>
      </c>
      <c r="F18124" t="s">
        <v>18136</v>
      </c>
      <c r="G18124">
        <v>1</v>
      </c>
    </row>
    <row r="18125" spans="1:7" x14ac:dyDescent="0.25">
      <c r="A18125">
        <v>56</v>
      </c>
      <c r="B18125" t="s">
        <v>18075</v>
      </c>
      <c r="C18125">
        <v>6088</v>
      </c>
      <c r="D18125" t="str">
        <f>"0965-2299"</f>
        <v>0965-2299</v>
      </c>
      <c r="E18125" t="s">
        <v>8</v>
      </c>
      <c r="F18125" t="s">
        <v>18137</v>
      </c>
      <c r="G18125">
        <v>1</v>
      </c>
    </row>
    <row r="18126" spans="1:7" x14ac:dyDescent="0.25">
      <c r="A18126">
        <v>56</v>
      </c>
      <c r="B18126" t="s">
        <v>18075</v>
      </c>
      <c r="C18126">
        <v>14969</v>
      </c>
      <c r="D18126" t="str">
        <f>"1389-2002"</f>
        <v>1389-2002</v>
      </c>
      <c r="E18126" t="s">
        <v>8</v>
      </c>
      <c r="F18126" t="s">
        <v>18138</v>
      </c>
      <c r="G18126">
        <v>1</v>
      </c>
    </row>
    <row r="18127" spans="1:7" x14ac:dyDescent="0.25">
      <c r="A18127">
        <v>56</v>
      </c>
      <c r="B18127" t="s">
        <v>18075</v>
      </c>
      <c r="C18127">
        <v>9683</v>
      </c>
      <c r="D18127" t="str">
        <f>"1570-159X"</f>
        <v>1570-159X</v>
      </c>
      <c r="E18127" t="s">
        <v>8</v>
      </c>
      <c r="F18127" t="s">
        <v>18139</v>
      </c>
      <c r="G18127">
        <v>1</v>
      </c>
    </row>
    <row r="18128" spans="1:7" x14ac:dyDescent="0.25">
      <c r="A18128">
        <v>56</v>
      </c>
      <c r="B18128" t="s">
        <v>18075</v>
      </c>
      <c r="C18128">
        <v>6603</v>
      </c>
      <c r="D18128" t="str">
        <f>"1471-4892"</f>
        <v>1471-4892</v>
      </c>
      <c r="E18128" t="s">
        <v>8</v>
      </c>
      <c r="F18128" t="s">
        <v>18140</v>
      </c>
      <c r="G18128">
        <v>1</v>
      </c>
    </row>
    <row r="18129" spans="1:7" x14ac:dyDescent="0.25">
      <c r="A18129">
        <v>56</v>
      </c>
      <c r="B18129" t="s">
        <v>18075</v>
      </c>
      <c r="C18129">
        <v>17525</v>
      </c>
      <c r="D18129" t="str">
        <f>"1556-9527"</f>
        <v>1556-9527</v>
      </c>
      <c r="E18129" t="s">
        <v>8</v>
      </c>
      <c r="F18129" t="s">
        <v>18141</v>
      </c>
      <c r="G18129">
        <v>1</v>
      </c>
    </row>
    <row r="18130" spans="1:7" x14ac:dyDescent="0.25">
      <c r="A18130">
        <v>56</v>
      </c>
      <c r="B18130" t="s">
        <v>18075</v>
      </c>
      <c r="C18130">
        <v>8522</v>
      </c>
      <c r="D18130" t="str">
        <f>"0011-9857"</f>
        <v>0011-9857</v>
      </c>
      <c r="E18130" t="s">
        <v>8</v>
      </c>
      <c r="F18130" t="s">
        <v>18142</v>
      </c>
      <c r="G18130">
        <v>1</v>
      </c>
    </row>
    <row r="18131" spans="1:7" x14ac:dyDescent="0.25">
      <c r="A18131">
        <v>56</v>
      </c>
      <c r="B18131" t="s">
        <v>18075</v>
      </c>
      <c r="C18131">
        <v>7441</v>
      </c>
      <c r="D18131" t="str">
        <f>"0031-7144"</f>
        <v>0031-7144</v>
      </c>
      <c r="E18131" t="s">
        <v>8</v>
      </c>
      <c r="F18131" t="s">
        <v>18143</v>
      </c>
      <c r="G18131">
        <v>1</v>
      </c>
    </row>
    <row r="18132" spans="1:7" x14ac:dyDescent="0.25">
      <c r="A18132">
        <v>56</v>
      </c>
      <c r="B18132" t="s">
        <v>18075</v>
      </c>
      <c r="C18132">
        <v>6840</v>
      </c>
      <c r="D18132" t="str">
        <f>"0148-0545"</f>
        <v>0148-0545</v>
      </c>
      <c r="E18132" t="s">
        <v>8</v>
      </c>
      <c r="F18132" t="s">
        <v>18144</v>
      </c>
      <c r="G18132">
        <v>1</v>
      </c>
    </row>
    <row r="18133" spans="1:7" x14ac:dyDescent="0.25">
      <c r="A18133">
        <v>56</v>
      </c>
      <c r="B18133" t="s">
        <v>18075</v>
      </c>
      <c r="C18133">
        <v>229</v>
      </c>
      <c r="D18133" t="str">
        <f>"0012-6543"</f>
        <v>0012-6543</v>
      </c>
      <c r="E18133" t="s">
        <v>8</v>
      </c>
      <c r="F18133" t="s">
        <v>18145</v>
      </c>
      <c r="G18133">
        <v>1</v>
      </c>
    </row>
    <row r="18134" spans="1:7" x14ac:dyDescent="0.25">
      <c r="A18134">
        <v>56</v>
      </c>
      <c r="B18134" t="s">
        <v>18075</v>
      </c>
      <c r="C18134">
        <v>6799</v>
      </c>
      <c r="D18134" t="str">
        <f>"0272-4391"</f>
        <v>0272-4391</v>
      </c>
      <c r="E18134" t="s">
        <v>8</v>
      </c>
      <c r="F18134" t="s">
        <v>18146</v>
      </c>
      <c r="G18134">
        <v>1</v>
      </c>
    </row>
    <row r="18135" spans="1:7" x14ac:dyDescent="0.25">
      <c r="A18135">
        <v>56</v>
      </c>
      <c r="B18135" t="s">
        <v>18075</v>
      </c>
      <c r="C18135">
        <v>14145</v>
      </c>
      <c r="D18135" t="str">
        <f>"1359-6446"</f>
        <v>1359-6446</v>
      </c>
      <c r="E18135" t="s">
        <v>8</v>
      </c>
      <c r="F18135" t="s">
        <v>18147</v>
      </c>
      <c r="G18135">
        <v>1</v>
      </c>
    </row>
    <row r="18136" spans="1:7" x14ac:dyDescent="0.25">
      <c r="A18136">
        <v>56</v>
      </c>
      <c r="B18136" t="s">
        <v>18075</v>
      </c>
      <c r="C18136">
        <v>8453</v>
      </c>
      <c r="D18136" t="str">
        <f>"0090-9556"</f>
        <v>0090-9556</v>
      </c>
      <c r="E18136" t="s">
        <v>8</v>
      </c>
      <c r="F18136" t="s">
        <v>18148</v>
      </c>
      <c r="G18136">
        <v>1</v>
      </c>
    </row>
    <row r="18137" spans="1:7" x14ac:dyDescent="0.25">
      <c r="A18137">
        <v>56</v>
      </c>
      <c r="B18137" t="s">
        <v>18075</v>
      </c>
      <c r="C18137">
        <v>6517</v>
      </c>
      <c r="D18137" t="str">
        <f>"0360-2532"</f>
        <v>0360-2532</v>
      </c>
      <c r="E18137" t="s">
        <v>8</v>
      </c>
      <c r="F18137" t="s">
        <v>18149</v>
      </c>
      <c r="G18137">
        <v>1</v>
      </c>
    </row>
    <row r="18138" spans="1:7" x14ac:dyDescent="0.25">
      <c r="A18138">
        <v>56</v>
      </c>
      <c r="B18138" t="s">
        <v>18075</v>
      </c>
      <c r="C18138">
        <v>16804</v>
      </c>
      <c r="D18138" t="str">
        <f>"2194-9379"</f>
        <v>2194-9379</v>
      </c>
      <c r="E18138" t="s">
        <v>8</v>
      </c>
      <c r="F18138" t="s">
        <v>18150</v>
      </c>
      <c r="G18138">
        <v>1</v>
      </c>
    </row>
    <row r="18139" spans="1:7" x14ac:dyDescent="0.25">
      <c r="A18139">
        <v>56</v>
      </c>
      <c r="B18139" t="s">
        <v>18075</v>
      </c>
      <c r="C18139">
        <v>8207</v>
      </c>
      <c r="D18139" t="str">
        <f>"1170-229X"</f>
        <v>1170-229X</v>
      </c>
      <c r="E18139" t="s">
        <v>8</v>
      </c>
      <c r="F18139" t="s">
        <v>18151</v>
      </c>
      <c r="G18139">
        <v>1</v>
      </c>
    </row>
    <row r="18140" spans="1:7" x14ac:dyDescent="0.25">
      <c r="A18140">
        <v>56</v>
      </c>
      <c r="B18140" t="s">
        <v>18075</v>
      </c>
      <c r="C18140">
        <v>5122</v>
      </c>
      <c r="D18140" t="str">
        <f>"1172-0360"</f>
        <v>1172-0360</v>
      </c>
      <c r="E18140" t="s">
        <v>8</v>
      </c>
      <c r="F18140" t="s">
        <v>18152</v>
      </c>
      <c r="G18140">
        <v>1</v>
      </c>
    </row>
    <row r="18141" spans="1:7" x14ac:dyDescent="0.25">
      <c r="A18141">
        <v>56</v>
      </c>
      <c r="B18141" t="s">
        <v>18075</v>
      </c>
      <c r="C18141">
        <v>13379</v>
      </c>
      <c r="D18141" t="str">
        <f>"0377-8282"</f>
        <v>0377-8282</v>
      </c>
      <c r="E18141" t="s">
        <v>8</v>
      </c>
      <c r="F18141" t="s">
        <v>18153</v>
      </c>
      <c r="G18141">
        <v>1</v>
      </c>
    </row>
    <row r="18142" spans="1:7" x14ac:dyDescent="0.25">
      <c r="A18142">
        <v>56</v>
      </c>
      <c r="B18142" t="s">
        <v>18075</v>
      </c>
      <c r="C18142">
        <v>17440</v>
      </c>
      <c r="D18142" t="str">
        <f>"1699-3993"</f>
        <v>1699-3993</v>
      </c>
      <c r="E18142" t="s">
        <v>8</v>
      </c>
      <c r="F18142" t="s">
        <v>18154</v>
      </c>
      <c r="G18142">
        <v>1</v>
      </c>
    </row>
    <row r="18143" spans="1:7" x14ac:dyDescent="0.25">
      <c r="A18143">
        <v>56</v>
      </c>
      <c r="B18143" t="s">
        <v>18075</v>
      </c>
      <c r="C18143">
        <v>16543</v>
      </c>
      <c r="D18143" t="str">
        <f>"1871-5303"</f>
        <v>1871-5303</v>
      </c>
      <c r="E18143" t="s">
        <v>8</v>
      </c>
      <c r="F18143" t="s">
        <v>18155</v>
      </c>
      <c r="G18143">
        <v>1</v>
      </c>
    </row>
    <row r="18144" spans="1:7" x14ac:dyDescent="0.25">
      <c r="A18144">
        <v>56</v>
      </c>
      <c r="B18144" t="s">
        <v>18075</v>
      </c>
      <c r="C18144">
        <v>11352</v>
      </c>
      <c r="D18144" t="str">
        <f>"1130-8621"</f>
        <v>1130-8621</v>
      </c>
      <c r="E18144" t="s">
        <v>8</v>
      </c>
      <c r="F18144" t="s">
        <v>18156</v>
      </c>
      <c r="G18144">
        <v>1</v>
      </c>
    </row>
    <row r="18145" spans="1:7" x14ac:dyDescent="0.25">
      <c r="A18145">
        <v>56</v>
      </c>
      <c r="B18145" t="s">
        <v>18075</v>
      </c>
      <c r="C18145">
        <v>142</v>
      </c>
      <c r="D18145" t="str">
        <f>"1130-2399"</f>
        <v>1130-2399</v>
      </c>
      <c r="E18145" t="s">
        <v>8</v>
      </c>
      <c r="F18145" t="s">
        <v>18157</v>
      </c>
      <c r="G18145">
        <v>1</v>
      </c>
    </row>
    <row r="18146" spans="1:7" x14ac:dyDescent="0.25">
      <c r="A18146">
        <v>56</v>
      </c>
      <c r="B18146" t="s">
        <v>18075</v>
      </c>
      <c r="C18146">
        <v>13305</v>
      </c>
      <c r="D18146" t="str">
        <f>"0378-7966"</f>
        <v>0378-7966</v>
      </c>
      <c r="E18146" t="s">
        <v>8</v>
      </c>
      <c r="F18146" t="s">
        <v>18158</v>
      </c>
      <c r="G18146">
        <v>1</v>
      </c>
    </row>
    <row r="18147" spans="1:7" x14ac:dyDescent="0.25">
      <c r="A18147">
        <v>56</v>
      </c>
      <c r="B18147" t="s">
        <v>18075</v>
      </c>
      <c r="C18147">
        <v>11255</v>
      </c>
      <c r="D18147" t="str">
        <f>"0223-5234"</f>
        <v>0223-5234</v>
      </c>
      <c r="E18147" t="s">
        <v>8</v>
      </c>
      <c r="F18147" t="s">
        <v>18159</v>
      </c>
      <c r="G18147">
        <v>1</v>
      </c>
    </row>
    <row r="18148" spans="1:7" x14ac:dyDescent="0.25">
      <c r="A18148">
        <v>56</v>
      </c>
      <c r="B18148" t="s">
        <v>18075</v>
      </c>
      <c r="C18148">
        <v>16834</v>
      </c>
      <c r="D18148" t="str">
        <f>"0014-2999"</f>
        <v>0014-2999</v>
      </c>
      <c r="E18148" t="s">
        <v>8</v>
      </c>
      <c r="F18148" t="s">
        <v>18160</v>
      </c>
      <c r="G18148">
        <v>1</v>
      </c>
    </row>
    <row r="18149" spans="1:7" x14ac:dyDescent="0.25">
      <c r="A18149">
        <v>56</v>
      </c>
      <c r="B18149" t="s">
        <v>18075</v>
      </c>
      <c r="C18149">
        <v>5472</v>
      </c>
      <c r="D18149" t="str">
        <f>"0924-977X"</f>
        <v>0924-977X</v>
      </c>
      <c r="E18149" t="s">
        <v>8</v>
      </c>
      <c r="F18149" t="s">
        <v>18161</v>
      </c>
      <c r="G18149">
        <v>1</v>
      </c>
    </row>
    <row r="18150" spans="1:7" x14ac:dyDescent="0.25">
      <c r="A18150">
        <v>56</v>
      </c>
      <c r="B18150" t="s">
        <v>18075</v>
      </c>
      <c r="C18150">
        <v>1587</v>
      </c>
      <c r="D18150" t="str">
        <f>"0940-2993"</f>
        <v>0940-2993</v>
      </c>
      <c r="E18150" t="s">
        <v>8</v>
      </c>
      <c r="F18150" t="s">
        <v>18162</v>
      </c>
      <c r="G18150">
        <v>1</v>
      </c>
    </row>
    <row r="18151" spans="1:7" x14ac:dyDescent="0.25">
      <c r="A18151">
        <v>56</v>
      </c>
      <c r="B18151" t="s">
        <v>18075</v>
      </c>
      <c r="C18151">
        <v>9857</v>
      </c>
      <c r="D18151" t="str">
        <f>"1474-0338"</f>
        <v>1474-0338</v>
      </c>
      <c r="E18151" t="s">
        <v>8</v>
      </c>
      <c r="F18151" t="s">
        <v>18163</v>
      </c>
      <c r="G18151">
        <v>1</v>
      </c>
    </row>
    <row r="18152" spans="1:7" x14ac:dyDescent="0.25">
      <c r="A18152">
        <v>56</v>
      </c>
      <c r="B18152" t="s">
        <v>18075</v>
      </c>
      <c r="C18152">
        <v>8355</v>
      </c>
      <c r="D18152" t="str">
        <f>"1472-8214"</f>
        <v>1472-8214</v>
      </c>
      <c r="E18152" t="s">
        <v>8</v>
      </c>
      <c r="F18152" t="s">
        <v>18164</v>
      </c>
      <c r="G18152">
        <v>1</v>
      </c>
    </row>
    <row r="18153" spans="1:7" x14ac:dyDescent="0.25">
      <c r="A18153">
        <v>56</v>
      </c>
      <c r="B18153" t="s">
        <v>18075</v>
      </c>
      <c r="C18153">
        <v>12015</v>
      </c>
      <c r="D18153" t="str">
        <f>"1354-3784"</f>
        <v>1354-3784</v>
      </c>
      <c r="E18153" t="s">
        <v>8</v>
      </c>
      <c r="F18153" t="s">
        <v>18165</v>
      </c>
      <c r="G18153">
        <v>1</v>
      </c>
    </row>
    <row r="18154" spans="1:7" x14ac:dyDescent="0.25">
      <c r="A18154">
        <v>56</v>
      </c>
      <c r="B18154" t="s">
        <v>18075</v>
      </c>
      <c r="C18154">
        <v>2692</v>
      </c>
      <c r="D18154" t="str">
        <f>"1465-6566"</f>
        <v>1465-6566</v>
      </c>
      <c r="E18154" t="s">
        <v>8</v>
      </c>
      <c r="F18154" t="s">
        <v>18166</v>
      </c>
      <c r="G18154">
        <v>1</v>
      </c>
    </row>
    <row r="18155" spans="1:7" x14ac:dyDescent="0.25">
      <c r="A18155">
        <v>56</v>
      </c>
      <c r="B18155" t="s">
        <v>18075</v>
      </c>
      <c r="C18155">
        <v>10117</v>
      </c>
      <c r="D18155" t="str">
        <f>"1354-3776"</f>
        <v>1354-3776</v>
      </c>
      <c r="E18155" t="s">
        <v>8</v>
      </c>
      <c r="F18155" t="s">
        <v>18167</v>
      </c>
      <c r="G18155">
        <v>1</v>
      </c>
    </row>
    <row r="18156" spans="1:7" x14ac:dyDescent="0.25">
      <c r="A18156">
        <v>56</v>
      </c>
      <c r="B18156" t="s">
        <v>18075</v>
      </c>
      <c r="C18156">
        <v>10879</v>
      </c>
      <c r="D18156" t="str">
        <f>"1472-8222"</f>
        <v>1472-8222</v>
      </c>
      <c r="E18156" t="s">
        <v>8</v>
      </c>
      <c r="F18156" t="s">
        <v>18168</v>
      </c>
      <c r="G18156">
        <v>1</v>
      </c>
    </row>
    <row r="18157" spans="1:7" x14ac:dyDescent="0.25">
      <c r="A18157">
        <v>56</v>
      </c>
      <c r="B18157" t="s">
        <v>18075</v>
      </c>
      <c r="C18157">
        <v>5217</v>
      </c>
      <c r="D18157" t="str">
        <f>"1473-7167"</f>
        <v>1473-7167</v>
      </c>
      <c r="E18157" t="s">
        <v>8</v>
      </c>
      <c r="F18157" t="s">
        <v>18169</v>
      </c>
      <c r="G18157">
        <v>1</v>
      </c>
    </row>
    <row r="18158" spans="1:7" x14ac:dyDescent="0.25">
      <c r="A18158">
        <v>56</v>
      </c>
      <c r="B18158" t="s">
        <v>18075</v>
      </c>
      <c r="C18158">
        <v>632</v>
      </c>
      <c r="D18158" t="str">
        <f>"1971-551X"</f>
        <v>1971-551X</v>
      </c>
      <c r="E18158" t="s">
        <v>8</v>
      </c>
      <c r="F18158" t="s">
        <v>18170</v>
      </c>
      <c r="G18158">
        <v>1</v>
      </c>
    </row>
    <row r="18159" spans="1:7" x14ac:dyDescent="0.25">
      <c r="A18159">
        <v>56</v>
      </c>
      <c r="B18159" t="s">
        <v>18075</v>
      </c>
      <c r="C18159">
        <v>1690</v>
      </c>
      <c r="D18159" t="str">
        <f>"0015-4725"</f>
        <v>0015-4725</v>
      </c>
      <c r="E18159" t="s">
        <v>8</v>
      </c>
      <c r="F18159" t="s">
        <v>18171</v>
      </c>
      <c r="G18159">
        <v>1</v>
      </c>
    </row>
    <row r="18160" spans="1:7" x14ac:dyDescent="0.25">
      <c r="A18160">
        <v>56</v>
      </c>
      <c r="B18160" t="s">
        <v>18075</v>
      </c>
      <c r="C18160">
        <v>20960</v>
      </c>
      <c r="D18160" t="str">
        <f>"0015-5691"</f>
        <v>0015-5691</v>
      </c>
      <c r="E18160" t="s">
        <v>8</v>
      </c>
      <c r="F18160" t="s">
        <v>18172</v>
      </c>
      <c r="G18160">
        <v>1</v>
      </c>
    </row>
    <row r="18161" spans="1:7" x14ac:dyDescent="0.25">
      <c r="A18161">
        <v>56</v>
      </c>
      <c r="B18161" t="s">
        <v>18075</v>
      </c>
      <c r="C18161">
        <v>7706408</v>
      </c>
      <c r="E18161" t="s">
        <v>8</v>
      </c>
      <c r="F18161" t="s">
        <v>18173</v>
      </c>
      <c r="G18161">
        <v>1</v>
      </c>
    </row>
    <row r="18162" spans="1:7" x14ac:dyDescent="0.25">
      <c r="A18162">
        <v>56</v>
      </c>
      <c r="B18162" t="s">
        <v>18075</v>
      </c>
      <c r="C18162">
        <v>5888</v>
      </c>
      <c r="D18162" t="str">
        <f>"0767-3981"</f>
        <v>0767-3981</v>
      </c>
      <c r="E18162" t="s">
        <v>8</v>
      </c>
      <c r="F18162" t="s">
        <v>18174</v>
      </c>
      <c r="G18162">
        <v>1</v>
      </c>
    </row>
    <row r="18163" spans="1:7" x14ac:dyDescent="0.25">
      <c r="A18163">
        <v>56</v>
      </c>
      <c r="B18163" t="s">
        <v>18075</v>
      </c>
      <c r="C18163">
        <v>4309</v>
      </c>
      <c r="D18163" t="str">
        <f>"0960-3271"</f>
        <v>0960-3271</v>
      </c>
      <c r="E18163" t="s">
        <v>8</v>
      </c>
      <c r="F18163" t="s">
        <v>18175</v>
      </c>
      <c r="G18163">
        <v>1</v>
      </c>
    </row>
    <row r="18164" spans="1:7" x14ac:dyDescent="0.25">
      <c r="A18164">
        <v>56</v>
      </c>
      <c r="B18164" t="s">
        <v>18075</v>
      </c>
      <c r="C18164">
        <v>10623</v>
      </c>
      <c r="D18164" t="str">
        <f>"0253-7613"</f>
        <v>0253-7613</v>
      </c>
      <c r="E18164" t="s">
        <v>8</v>
      </c>
      <c r="F18164" t="s">
        <v>18176</v>
      </c>
      <c r="G18164">
        <v>1</v>
      </c>
    </row>
    <row r="18165" spans="1:7" x14ac:dyDescent="0.25">
      <c r="A18165">
        <v>56</v>
      </c>
      <c r="B18165" t="s">
        <v>18075</v>
      </c>
      <c r="C18165">
        <v>16296</v>
      </c>
      <c r="D18165" t="str">
        <f>"1871-5265"</f>
        <v>1871-5265</v>
      </c>
      <c r="E18165" t="s">
        <v>8</v>
      </c>
      <c r="F18165" t="s">
        <v>18177</v>
      </c>
      <c r="G18165">
        <v>1</v>
      </c>
    </row>
    <row r="18166" spans="1:7" x14ac:dyDescent="0.25">
      <c r="A18166">
        <v>56</v>
      </c>
      <c r="B18166" t="s">
        <v>18075</v>
      </c>
      <c r="C18166">
        <v>15557</v>
      </c>
      <c r="D18166" t="str">
        <f>"0925-4692"</f>
        <v>0925-4692</v>
      </c>
      <c r="E18166" t="s">
        <v>8</v>
      </c>
      <c r="F18166" t="s">
        <v>18178</v>
      </c>
      <c r="G18166">
        <v>1</v>
      </c>
    </row>
    <row r="18167" spans="1:7" x14ac:dyDescent="0.25">
      <c r="A18167">
        <v>56</v>
      </c>
      <c r="B18167" t="s">
        <v>18075</v>
      </c>
      <c r="C18167">
        <v>15657</v>
      </c>
      <c r="D18167" t="str">
        <f>"0268-1315"</f>
        <v>0268-1315</v>
      </c>
      <c r="E18167" t="s">
        <v>8</v>
      </c>
      <c r="F18167" t="s">
        <v>18179</v>
      </c>
      <c r="G18167">
        <v>1</v>
      </c>
    </row>
    <row r="18168" spans="1:7" x14ac:dyDescent="0.25">
      <c r="A18168">
        <v>56</v>
      </c>
      <c r="B18168" t="s">
        <v>18075</v>
      </c>
      <c r="C18168">
        <v>14948</v>
      </c>
      <c r="D18168" t="str">
        <f>"0924-8579"</f>
        <v>0924-8579</v>
      </c>
      <c r="E18168" t="s">
        <v>8</v>
      </c>
      <c r="F18168" t="s">
        <v>18180</v>
      </c>
      <c r="G18168">
        <v>1</v>
      </c>
    </row>
    <row r="18169" spans="1:7" x14ac:dyDescent="0.25">
      <c r="A18169">
        <v>56</v>
      </c>
      <c r="B18169" t="s">
        <v>18075</v>
      </c>
      <c r="C18169">
        <v>6524</v>
      </c>
      <c r="D18169" t="str">
        <f>"0946-1965"</f>
        <v>0946-1965</v>
      </c>
      <c r="E18169" t="s">
        <v>8</v>
      </c>
      <c r="F18169" t="s">
        <v>18181</v>
      </c>
      <c r="G18169">
        <v>1</v>
      </c>
    </row>
    <row r="18170" spans="1:7" x14ac:dyDescent="0.25">
      <c r="A18170">
        <v>56</v>
      </c>
      <c r="B18170" t="s">
        <v>18075</v>
      </c>
      <c r="C18170">
        <v>12964</v>
      </c>
      <c r="D18170" t="str">
        <f>"1091-5818"</f>
        <v>1091-5818</v>
      </c>
      <c r="E18170" t="s">
        <v>8</v>
      </c>
      <c r="F18170" t="s">
        <v>18182</v>
      </c>
      <c r="G18170">
        <v>1</v>
      </c>
    </row>
    <row r="18171" spans="1:7" x14ac:dyDescent="0.25">
      <c r="A18171">
        <v>56</v>
      </c>
      <c r="B18171" t="s">
        <v>18075</v>
      </c>
      <c r="C18171">
        <v>1618</v>
      </c>
      <c r="D18171" t="str">
        <f>"0291-1981"</f>
        <v>0291-1981</v>
      </c>
      <c r="E18171" t="s">
        <v>8</v>
      </c>
      <c r="F18171" t="s">
        <v>18183</v>
      </c>
      <c r="G18171">
        <v>1</v>
      </c>
    </row>
    <row r="18172" spans="1:7" x14ac:dyDescent="0.25">
      <c r="A18172">
        <v>56</v>
      </c>
      <c r="B18172" t="s">
        <v>18075</v>
      </c>
      <c r="C18172">
        <v>8873</v>
      </c>
      <c r="D18172" t="str">
        <f>"0146-4760"</f>
        <v>0146-4760</v>
      </c>
      <c r="E18172" t="s">
        <v>8</v>
      </c>
      <c r="F18172" t="s">
        <v>18184</v>
      </c>
      <c r="G18172">
        <v>1</v>
      </c>
    </row>
    <row r="18173" spans="1:7" x14ac:dyDescent="0.25">
      <c r="A18173">
        <v>56</v>
      </c>
      <c r="B18173" t="s">
        <v>18075</v>
      </c>
      <c r="C18173">
        <v>2584</v>
      </c>
      <c r="D18173" t="str">
        <f>"1028-6020"</f>
        <v>1028-6020</v>
      </c>
      <c r="E18173" t="s">
        <v>8</v>
      </c>
      <c r="F18173" t="s">
        <v>18185</v>
      </c>
      <c r="G18173">
        <v>1</v>
      </c>
    </row>
    <row r="18174" spans="1:7" x14ac:dyDescent="0.25">
      <c r="A18174">
        <v>56</v>
      </c>
      <c r="B18174" t="s">
        <v>18075</v>
      </c>
      <c r="C18174">
        <v>7861</v>
      </c>
      <c r="D18174" t="str">
        <f>"1095-6670"</f>
        <v>1095-6670</v>
      </c>
      <c r="E18174" t="s">
        <v>8</v>
      </c>
      <c r="F18174" t="s">
        <v>18186</v>
      </c>
      <c r="G18174">
        <v>1</v>
      </c>
    </row>
    <row r="18175" spans="1:7" x14ac:dyDescent="0.25">
      <c r="A18175">
        <v>56</v>
      </c>
      <c r="B18175" t="s">
        <v>18075</v>
      </c>
      <c r="C18175">
        <v>841</v>
      </c>
      <c r="D18175" t="str">
        <f>"0160-2446"</f>
        <v>0160-2446</v>
      </c>
      <c r="E18175" t="s">
        <v>8</v>
      </c>
      <c r="F18175" t="s">
        <v>18187</v>
      </c>
      <c r="G18175">
        <v>1</v>
      </c>
    </row>
    <row r="18176" spans="1:7" x14ac:dyDescent="0.25">
      <c r="A18176">
        <v>56</v>
      </c>
      <c r="B18176" t="s">
        <v>18075</v>
      </c>
      <c r="C18176">
        <v>14813</v>
      </c>
      <c r="D18176" t="str">
        <f>"1074-2484"</f>
        <v>1074-2484</v>
      </c>
      <c r="E18176" t="s">
        <v>8</v>
      </c>
      <c r="F18176" t="s">
        <v>18188</v>
      </c>
      <c r="G18176">
        <v>1</v>
      </c>
    </row>
    <row r="18177" spans="1:7" x14ac:dyDescent="0.25">
      <c r="A18177">
        <v>56</v>
      </c>
      <c r="B18177" t="s">
        <v>18075</v>
      </c>
      <c r="C18177">
        <v>6721</v>
      </c>
      <c r="D18177" t="str">
        <f>"1061-186X"</f>
        <v>1061-186X</v>
      </c>
      <c r="E18177" t="s">
        <v>8</v>
      </c>
      <c r="F18177" t="s">
        <v>18189</v>
      </c>
      <c r="G18177">
        <v>1</v>
      </c>
    </row>
    <row r="18178" spans="1:7" x14ac:dyDescent="0.25">
      <c r="A18178">
        <v>56</v>
      </c>
      <c r="B18178" t="s">
        <v>18075</v>
      </c>
      <c r="C18178">
        <v>15411</v>
      </c>
      <c r="D18178" t="str">
        <f>"1550-4263"</f>
        <v>1550-4263</v>
      </c>
      <c r="E18178" t="s">
        <v>8</v>
      </c>
      <c r="F18178" t="s">
        <v>18190</v>
      </c>
      <c r="G18178">
        <v>1</v>
      </c>
    </row>
    <row r="18179" spans="1:7" x14ac:dyDescent="0.25">
      <c r="A18179">
        <v>56</v>
      </c>
      <c r="B18179" t="s">
        <v>18075</v>
      </c>
      <c r="C18179">
        <v>3831</v>
      </c>
      <c r="D18179" t="str">
        <f>"0378-8741"</f>
        <v>0378-8741</v>
      </c>
      <c r="E18179" t="s">
        <v>8</v>
      </c>
      <c r="F18179" t="s">
        <v>18191</v>
      </c>
      <c r="G18179">
        <v>1</v>
      </c>
    </row>
    <row r="18180" spans="1:7" x14ac:dyDescent="0.25">
      <c r="A18180">
        <v>56</v>
      </c>
      <c r="B18180" t="s">
        <v>18075</v>
      </c>
      <c r="C18180">
        <v>14537</v>
      </c>
      <c r="D18180" t="str">
        <f>"2153-5493"</f>
        <v>2153-5493</v>
      </c>
      <c r="E18180" t="s">
        <v>8</v>
      </c>
      <c r="F18180" t="s">
        <v>18192</v>
      </c>
      <c r="G18180">
        <v>1</v>
      </c>
    </row>
    <row r="18181" spans="1:7" x14ac:dyDescent="0.25">
      <c r="A18181">
        <v>56</v>
      </c>
      <c r="B18181" t="s">
        <v>18075</v>
      </c>
      <c r="C18181">
        <v>14195</v>
      </c>
      <c r="D18181" t="str">
        <f>"0898-2104"</f>
        <v>0898-2104</v>
      </c>
      <c r="E18181" t="s">
        <v>8</v>
      </c>
      <c r="F18181" t="s">
        <v>18193</v>
      </c>
      <c r="G18181">
        <v>1</v>
      </c>
    </row>
    <row r="18182" spans="1:7" x14ac:dyDescent="0.25">
      <c r="A18182">
        <v>56</v>
      </c>
      <c r="B18182" t="s">
        <v>18075</v>
      </c>
      <c r="C18182">
        <v>2744</v>
      </c>
      <c r="D18182" t="str">
        <f>"0265-2048"</f>
        <v>0265-2048</v>
      </c>
      <c r="E18182" t="s">
        <v>8</v>
      </c>
      <c r="F18182" t="s">
        <v>18194</v>
      </c>
      <c r="G18182">
        <v>1</v>
      </c>
    </row>
    <row r="18183" spans="1:7" x14ac:dyDescent="0.25">
      <c r="A18183">
        <v>56</v>
      </c>
      <c r="B18183" t="s">
        <v>18075</v>
      </c>
      <c r="C18183">
        <v>571</v>
      </c>
      <c r="D18183" t="str">
        <f>"1536-0288"</f>
        <v>1536-0288</v>
      </c>
      <c r="E18183" t="s">
        <v>8</v>
      </c>
      <c r="F18183" t="s">
        <v>18195</v>
      </c>
      <c r="G18183">
        <v>1</v>
      </c>
    </row>
    <row r="18184" spans="1:7" x14ac:dyDescent="0.25">
      <c r="A18184">
        <v>56</v>
      </c>
      <c r="B18184" t="s">
        <v>18075</v>
      </c>
      <c r="C18184">
        <v>5799</v>
      </c>
      <c r="D18184" t="str">
        <f>"1567-567X"</f>
        <v>1567-567X</v>
      </c>
      <c r="E18184" t="s">
        <v>8</v>
      </c>
      <c r="F18184" t="s">
        <v>18196</v>
      </c>
      <c r="G18184">
        <v>1</v>
      </c>
    </row>
    <row r="18185" spans="1:7" x14ac:dyDescent="0.25">
      <c r="A18185">
        <v>56</v>
      </c>
      <c r="B18185" t="s">
        <v>18075</v>
      </c>
      <c r="C18185">
        <v>12954</v>
      </c>
      <c r="D18185" t="str">
        <f>"1056-8719"</f>
        <v>1056-8719</v>
      </c>
      <c r="E18185" t="s">
        <v>8</v>
      </c>
      <c r="F18185" t="s">
        <v>18197</v>
      </c>
      <c r="G18185">
        <v>1</v>
      </c>
    </row>
    <row r="18186" spans="1:7" x14ac:dyDescent="0.25">
      <c r="A18186">
        <v>56</v>
      </c>
      <c r="B18186" t="s">
        <v>18075</v>
      </c>
      <c r="C18186">
        <v>6473</v>
      </c>
      <c r="D18186" t="str">
        <f>"1347-8613"</f>
        <v>1347-8613</v>
      </c>
      <c r="E18186" t="s">
        <v>8</v>
      </c>
      <c r="F18186" t="s">
        <v>18198</v>
      </c>
      <c r="G18186">
        <v>1</v>
      </c>
    </row>
    <row r="18187" spans="1:7" x14ac:dyDescent="0.25">
      <c r="A18187">
        <v>56</v>
      </c>
      <c r="B18187" t="s">
        <v>18075</v>
      </c>
      <c r="C18187">
        <v>8973</v>
      </c>
      <c r="D18187" t="str">
        <f>"0022-3573"</f>
        <v>0022-3573</v>
      </c>
      <c r="E18187" t="s">
        <v>8</v>
      </c>
      <c r="F18187" t="s">
        <v>18199</v>
      </c>
      <c r="G18187">
        <v>1</v>
      </c>
    </row>
    <row r="18188" spans="1:7" x14ac:dyDescent="0.25">
      <c r="A18188">
        <v>56</v>
      </c>
      <c r="B18188" t="s">
        <v>18075</v>
      </c>
      <c r="C18188">
        <v>8967</v>
      </c>
      <c r="D18188" t="str">
        <f>"0269-8811"</f>
        <v>0269-8811</v>
      </c>
      <c r="E18188" t="s">
        <v>8</v>
      </c>
      <c r="F18188" t="s">
        <v>18200</v>
      </c>
      <c r="G18188">
        <v>1</v>
      </c>
    </row>
    <row r="18189" spans="1:7" x14ac:dyDescent="0.25">
      <c r="A18189">
        <v>56</v>
      </c>
      <c r="B18189" t="s">
        <v>18075</v>
      </c>
      <c r="C18189">
        <v>8096</v>
      </c>
      <c r="D18189" t="str">
        <f>"0914-9198"</f>
        <v>0914-9198</v>
      </c>
      <c r="E18189" t="s">
        <v>8</v>
      </c>
      <c r="F18189" t="s">
        <v>18201</v>
      </c>
      <c r="G18189">
        <v>1</v>
      </c>
    </row>
    <row r="18190" spans="1:7" x14ac:dyDescent="0.25">
      <c r="A18190">
        <v>56</v>
      </c>
      <c r="B18190" t="s">
        <v>18075</v>
      </c>
      <c r="C18190">
        <v>3217</v>
      </c>
      <c r="D18190" t="str">
        <f>"0388-1350"</f>
        <v>0388-1350</v>
      </c>
      <c r="E18190" t="s">
        <v>8</v>
      </c>
      <c r="F18190" t="s">
        <v>18202</v>
      </c>
      <c r="G18190">
        <v>1</v>
      </c>
    </row>
    <row r="18191" spans="1:7" x14ac:dyDescent="0.25">
      <c r="A18191">
        <v>56</v>
      </c>
      <c r="B18191" t="s">
        <v>18075</v>
      </c>
      <c r="C18191">
        <v>3019</v>
      </c>
      <c r="D18191" t="str">
        <f>"0173-7597"</f>
        <v>0173-7597</v>
      </c>
      <c r="E18191" t="s">
        <v>8</v>
      </c>
      <c r="F18191" t="s">
        <v>18203</v>
      </c>
      <c r="G18191">
        <v>1</v>
      </c>
    </row>
    <row r="18192" spans="1:7" x14ac:dyDescent="0.25">
      <c r="A18192">
        <v>56</v>
      </c>
      <c r="B18192" t="s">
        <v>18075</v>
      </c>
      <c r="C18192">
        <v>13880</v>
      </c>
      <c r="D18192" t="str">
        <f>"1570-1808"</f>
        <v>1570-1808</v>
      </c>
      <c r="E18192" t="s">
        <v>8</v>
      </c>
      <c r="F18192" t="s">
        <v>18204</v>
      </c>
      <c r="G18192">
        <v>1</v>
      </c>
    </row>
    <row r="18193" spans="1:7" x14ac:dyDescent="0.25">
      <c r="A18193">
        <v>56</v>
      </c>
      <c r="B18193" t="s">
        <v>18075</v>
      </c>
      <c r="C18193">
        <v>10998</v>
      </c>
      <c r="D18193" t="str">
        <f>"1054-2523"</f>
        <v>1054-2523</v>
      </c>
      <c r="E18193" t="s">
        <v>8</v>
      </c>
      <c r="F18193" t="s">
        <v>18205</v>
      </c>
      <c r="G18193">
        <v>1</v>
      </c>
    </row>
    <row r="18194" spans="1:7" x14ac:dyDescent="0.25">
      <c r="A18194">
        <v>56</v>
      </c>
      <c r="B18194" t="s">
        <v>18075</v>
      </c>
      <c r="C18194">
        <v>4351</v>
      </c>
      <c r="D18194" t="str">
        <f>"1076-6294"</f>
        <v>1076-6294</v>
      </c>
      <c r="E18194" t="s">
        <v>8</v>
      </c>
      <c r="F18194" t="s">
        <v>18206</v>
      </c>
      <c r="G18194">
        <v>1</v>
      </c>
    </row>
    <row r="18195" spans="1:7" x14ac:dyDescent="0.25">
      <c r="A18195">
        <v>56</v>
      </c>
      <c r="B18195" t="s">
        <v>18075</v>
      </c>
      <c r="C18195">
        <v>2496</v>
      </c>
      <c r="D18195" t="str">
        <f>"1389-5575"</f>
        <v>1389-5575</v>
      </c>
      <c r="E18195" t="s">
        <v>8</v>
      </c>
      <c r="F18195" t="s">
        <v>18207</v>
      </c>
      <c r="G18195">
        <v>1</v>
      </c>
    </row>
    <row r="18196" spans="1:7" x14ac:dyDescent="0.25">
      <c r="A18196">
        <v>56</v>
      </c>
      <c r="B18196" t="s">
        <v>18075</v>
      </c>
      <c r="C18196">
        <v>16506</v>
      </c>
      <c r="D18196" t="str">
        <f>"0028-1298"</f>
        <v>0028-1298</v>
      </c>
      <c r="E18196" t="s">
        <v>8</v>
      </c>
      <c r="F18196" t="s">
        <v>18208</v>
      </c>
      <c r="G18196">
        <v>1</v>
      </c>
    </row>
    <row r="18197" spans="1:7" x14ac:dyDescent="0.25">
      <c r="A18197">
        <v>56</v>
      </c>
      <c r="B18197" t="s">
        <v>18075</v>
      </c>
      <c r="C18197">
        <v>10543</v>
      </c>
      <c r="D18197" t="str">
        <f>"1462-2416"</f>
        <v>1462-2416</v>
      </c>
      <c r="E18197" t="s">
        <v>8</v>
      </c>
      <c r="F18197" t="s">
        <v>18209</v>
      </c>
      <c r="G18197">
        <v>1</v>
      </c>
    </row>
    <row r="18198" spans="1:7" x14ac:dyDescent="0.25">
      <c r="A18198">
        <v>56</v>
      </c>
      <c r="B18198" t="s">
        <v>18075</v>
      </c>
      <c r="C18198">
        <v>17558</v>
      </c>
      <c r="D18198" t="str">
        <f>"1734-1140"</f>
        <v>1734-1140</v>
      </c>
      <c r="E18198" t="s">
        <v>8</v>
      </c>
      <c r="F18198" t="s">
        <v>18210</v>
      </c>
      <c r="G18198">
        <v>1</v>
      </c>
    </row>
    <row r="18199" spans="1:7" x14ac:dyDescent="0.25">
      <c r="A18199">
        <v>56</v>
      </c>
      <c r="B18199" t="s">
        <v>18075</v>
      </c>
      <c r="C18199">
        <v>8755</v>
      </c>
      <c r="D18199" t="str">
        <f>"1043-6618"</f>
        <v>1043-6618</v>
      </c>
      <c r="E18199" t="s">
        <v>8</v>
      </c>
      <c r="F18199" t="s">
        <v>18211</v>
      </c>
      <c r="G18199">
        <v>1</v>
      </c>
    </row>
    <row r="18200" spans="1:7" x14ac:dyDescent="0.25">
      <c r="A18200">
        <v>56</v>
      </c>
      <c r="B18200" t="s">
        <v>18075</v>
      </c>
      <c r="C18200">
        <v>9098</v>
      </c>
      <c r="D18200" t="str">
        <f>"0031-7012"</f>
        <v>0031-7012</v>
      </c>
      <c r="E18200" t="s">
        <v>8</v>
      </c>
      <c r="F18200" t="s">
        <v>18212</v>
      </c>
      <c r="G18200">
        <v>1</v>
      </c>
    </row>
    <row r="18201" spans="1:7" x14ac:dyDescent="0.25">
      <c r="A18201">
        <v>56</v>
      </c>
      <c r="B18201" t="s">
        <v>18075</v>
      </c>
      <c r="C18201">
        <v>11665</v>
      </c>
      <c r="D18201" t="str">
        <f>"0176-3679"</f>
        <v>0176-3679</v>
      </c>
      <c r="E18201" t="s">
        <v>8</v>
      </c>
      <c r="F18201" t="s">
        <v>18213</v>
      </c>
      <c r="G18201">
        <v>1</v>
      </c>
    </row>
    <row r="18202" spans="1:7" x14ac:dyDescent="0.25">
      <c r="A18202">
        <v>56</v>
      </c>
      <c r="B18202" t="s">
        <v>18075</v>
      </c>
      <c r="C18202">
        <v>464</v>
      </c>
      <c r="D18202" t="str">
        <f>"0277-0008"</f>
        <v>0277-0008</v>
      </c>
      <c r="E18202" t="s">
        <v>8</v>
      </c>
      <c r="F18202" t="s">
        <v>18214</v>
      </c>
      <c r="G18202">
        <v>1</v>
      </c>
    </row>
    <row r="18203" spans="1:7" x14ac:dyDescent="0.25">
      <c r="A18203">
        <v>56</v>
      </c>
      <c r="B18203" t="s">
        <v>18075</v>
      </c>
      <c r="C18203">
        <v>4402</v>
      </c>
      <c r="D18203" t="str">
        <f>"0944-7113"</f>
        <v>0944-7113</v>
      </c>
      <c r="E18203" t="s">
        <v>8</v>
      </c>
      <c r="F18203" t="s">
        <v>18215</v>
      </c>
      <c r="G18203">
        <v>1</v>
      </c>
    </row>
    <row r="18204" spans="1:7" x14ac:dyDescent="0.25">
      <c r="A18204">
        <v>56</v>
      </c>
      <c r="B18204" t="s">
        <v>18075</v>
      </c>
      <c r="C18204">
        <v>15701</v>
      </c>
      <c r="D18204" t="str">
        <f>"0951-418X"</f>
        <v>0951-418X</v>
      </c>
      <c r="E18204" t="s">
        <v>8</v>
      </c>
      <c r="F18204" t="s">
        <v>18216</v>
      </c>
      <c r="G18204">
        <v>1</v>
      </c>
    </row>
    <row r="18205" spans="1:7" x14ac:dyDescent="0.25">
      <c r="A18205">
        <v>56</v>
      </c>
      <c r="B18205" t="s">
        <v>18075</v>
      </c>
      <c r="C18205">
        <v>3322</v>
      </c>
      <c r="D18205" t="str">
        <f>"1167-7422"</f>
        <v>1167-7422</v>
      </c>
      <c r="E18205" t="s">
        <v>8</v>
      </c>
      <c r="F18205" t="s">
        <v>18217</v>
      </c>
      <c r="G18205">
        <v>1</v>
      </c>
    </row>
    <row r="18206" spans="1:7" x14ac:dyDescent="0.25">
      <c r="A18206">
        <v>56</v>
      </c>
      <c r="B18206" t="s">
        <v>18075</v>
      </c>
      <c r="C18206">
        <v>5256</v>
      </c>
      <c r="D18206" t="str">
        <f>"0048-5764"</f>
        <v>0048-5764</v>
      </c>
      <c r="E18206" t="s">
        <v>8</v>
      </c>
      <c r="F18206" t="s">
        <v>18218</v>
      </c>
      <c r="G18206">
        <v>1</v>
      </c>
    </row>
    <row r="18207" spans="1:7" x14ac:dyDescent="0.25">
      <c r="A18207">
        <v>56</v>
      </c>
      <c r="B18207" t="s">
        <v>18075</v>
      </c>
      <c r="C18207">
        <v>6664</v>
      </c>
      <c r="D18207" t="str">
        <f>"0944-6877"</f>
        <v>0944-6877</v>
      </c>
      <c r="E18207" t="s">
        <v>8</v>
      </c>
      <c r="F18207" t="s">
        <v>18219</v>
      </c>
      <c r="G18207">
        <v>1</v>
      </c>
    </row>
    <row r="18208" spans="1:7" x14ac:dyDescent="0.25">
      <c r="A18208">
        <v>56</v>
      </c>
      <c r="B18208" t="s">
        <v>18075</v>
      </c>
      <c r="C18208">
        <v>13747</v>
      </c>
      <c r="D18208" t="str">
        <f>"1094-5539"</f>
        <v>1094-5539</v>
      </c>
      <c r="E18208" t="s">
        <v>8</v>
      </c>
      <c r="F18208" t="s">
        <v>18220</v>
      </c>
      <c r="G18208">
        <v>1</v>
      </c>
    </row>
    <row r="18209" spans="1:7" x14ac:dyDescent="0.25">
      <c r="A18209">
        <v>56</v>
      </c>
      <c r="B18209" t="s">
        <v>18075</v>
      </c>
      <c r="C18209">
        <v>12824</v>
      </c>
      <c r="D18209" t="str">
        <f>"0273-2300"</f>
        <v>0273-2300</v>
      </c>
      <c r="E18209" t="s">
        <v>8</v>
      </c>
      <c r="F18209" t="s">
        <v>18221</v>
      </c>
      <c r="G18209">
        <v>1</v>
      </c>
    </row>
    <row r="18210" spans="1:7" x14ac:dyDescent="0.25">
      <c r="A18210">
        <v>56</v>
      </c>
      <c r="B18210" t="s">
        <v>18075</v>
      </c>
      <c r="C18210">
        <v>14806</v>
      </c>
      <c r="D18210" t="str">
        <f>"0378-6080"</f>
        <v>0378-6080</v>
      </c>
      <c r="E18210" t="s">
        <v>15</v>
      </c>
      <c r="F18210" t="s">
        <v>18222</v>
      </c>
      <c r="G18210">
        <v>1</v>
      </c>
    </row>
    <row r="18211" spans="1:7" x14ac:dyDescent="0.25">
      <c r="A18211">
        <v>56</v>
      </c>
      <c r="B18211" t="s">
        <v>18075</v>
      </c>
      <c r="C18211">
        <v>10890</v>
      </c>
      <c r="D18211" t="str">
        <f>"1060-0280"</f>
        <v>1060-0280</v>
      </c>
      <c r="E18211" t="s">
        <v>8</v>
      </c>
      <c r="F18211" t="s">
        <v>18223</v>
      </c>
      <c r="G18211">
        <v>1</v>
      </c>
    </row>
    <row r="18212" spans="1:7" x14ac:dyDescent="0.25">
      <c r="A18212">
        <v>56</v>
      </c>
      <c r="B18212" t="s">
        <v>18075</v>
      </c>
      <c r="C18212">
        <v>13952</v>
      </c>
      <c r="D18212" t="str">
        <f>"0091-2700"</f>
        <v>0091-2700</v>
      </c>
      <c r="E18212" t="s">
        <v>8</v>
      </c>
      <c r="F18212" t="s">
        <v>18224</v>
      </c>
      <c r="G18212">
        <v>1</v>
      </c>
    </row>
    <row r="18213" spans="1:7" x14ac:dyDescent="0.25">
      <c r="A18213">
        <v>56</v>
      </c>
      <c r="B18213" t="s">
        <v>18075</v>
      </c>
      <c r="C18213">
        <v>6548</v>
      </c>
      <c r="D18213" t="str">
        <f>"0025-732X"</f>
        <v>0025-732X</v>
      </c>
      <c r="E18213" t="s">
        <v>8</v>
      </c>
      <c r="F18213" t="s">
        <v>18225</v>
      </c>
      <c r="G18213">
        <v>1</v>
      </c>
    </row>
    <row r="18214" spans="1:7" x14ac:dyDescent="0.25">
      <c r="A18214">
        <v>56</v>
      </c>
      <c r="B18214" t="s">
        <v>18075</v>
      </c>
      <c r="C18214">
        <v>400</v>
      </c>
      <c r="D18214" t="str">
        <f>"0163-4356"</f>
        <v>0163-4356</v>
      </c>
      <c r="E18214" t="s">
        <v>8</v>
      </c>
      <c r="F18214" t="s">
        <v>18226</v>
      </c>
      <c r="G18214">
        <v>1</v>
      </c>
    </row>
    <row r="18215" spans="1:7" x14ac:dyDescent="0.25">
      <c r="A18215">
        <v>56</v>
      </c>
      <c r="B18215" t="s">
        <v>18075</v>
      </c>
      <c r="C18215">
        <v>5561</v>
      </c>
      <c r="D18215" t="str">
        <f>"0040-5957"</f>
        <v>0040-5957</v>
      </c>
      <c r="E18215" t="s">
        <v>8</v>
      </c>
      <c r="F18215" t="s">
        <v>18227</v>
      </c>
      <c r="G18215">
        <v>1</v>
      </c>
    </row>
    <row r="18216" spans="1:7" x14ac:dyDescent="0.25">
      <c r="A18216">
        <v>56</v>
      </c>
      <c r="B18216" t="s">
        <v>18075</v>
      </c>
      <c r="C18216">
        <v>8500</v>
      </c>
      <c r="D18216" t="str">
        <f>"0192-6233"</f>
        <v>0192-6233</v>
      </c>
      <c r="E18216" t="s">
        <v>8</v>
      </c>
      <c r="F18216" t="s">
        <v>18228</v>
      </c>
      <c r="G18216">
        <v>1</v>
      </c>
    </row>
    <row r="18217" spans="1:7" x14ac:dyDescent="0.25">
      <c r="A18217">
        <v>56</v>
      </c>
      <c r="B18217" t="s">
        <v>18075</v>
      </c>
      <c r="C18217">
        <v>16169</v>
      </c>
      <c r="D18217" t="str">
        <f>"0300-483X"</f>
        <v>0300-483X</v>
      </c>
      <c r="E18217" t="s">
        <v>8</v>
      </c>
      <c r="F18217" t="s">
        <v>18229</v>
      </c>
      <c r="G18217">
        <v>1</v>
      </c>
    </row>
    <row r="18218" spans="1:7" x14ac:dyDescent="0.25">
      <c r="A18218">
        <v>56</v>
      </c>
      <c r="B18218" t="s">
        <v>18075</v>
      </c>
      <c r="C18218">
        <v>3543</v>
      </c>
      <c r="D18218" t="str">
        <f>"0748-2337"</f>
        <v>0748-2337</v>
      </c>
      <c r="E18218" t="s">
        <v>8</v>
      </c>
      <c r="F18218" t="s">
        <v>18230</v>
      </c>
      <c r="G18218">
        <v>1</v>
      </c>
    </row>
    <row r="18219" spans="1:7" x14ac:dyDescent="0.25">
      <c r="A18219">
        <v>56</v>
      </c>
      <c r="B18219" t="s">
        <v>18075</v>
      </c>
      <c r="C18219">
        <v>4628</v>
      </c>
      <c r="D18219" t="str">
        <f>"0887-2333"</f>
        <v>0887-2333</v>
      </c>
      <c r="E18219" t="s">
        <v>8</v>
      </c>
      <c r="F18219" t="s">
        <v>18231</v>
      </c>
      <c r="G18219">
        <v>1</v>
      </c>
    </row>
    <row r="18220" spans="1:7" x14ac:dyDescent="0.25">
      <c r="A18220">
        <v>56</v>
      </c>
      <c r="B18220" t="s">
        <v>18075</v>
      </c>
      <c r="C18220">
        <v>807</v>
      </c>
      <c r="D18220" t="str">
        <f>"0378-4274"</f>
        <v>0378-4274</v>
      </c>
      <c r="E18220" t="s">
        <v>8</v>
      </c>
      <c r="F18220" t="s">
        <v>18232</v>
      </c>
      <c r="G18220">
        <v>1</v>
      </c>
    </row>
    <row r="18221" spans="1:7" x14ac:dyDescent="0.25">
      <c r="A18221">
        <v>56</v>
      </c>
      <c r="B18221" t="s">
        <v>18075</v>
      </c>
      <c r="C18221">
        <v>209</v>
      </c>
      <c r="D18221" t="str">
        <f>"1537-6516"</f>
        <v>1537-6516</v>
      </c>
      <c r="E18221" t="s">
        <v>8</v>
      </c>
      <c r="F18221" t="s">
        <v>18233</v>
      </c>
      <c r="G18221">
        <v>1</v>
      </c>
    </row>
    <row r="18222" spans="1:7" x14ac:dyDescent="0.25">
      <c r="A18222">
        <v>56</v>
      </c>
      <c r="B18222" t="s">
        <v>18075</v>
      </c>
      <c r="C18222">
        <v>7739073</v>
      </c>
      <c r="D18222" t="str">
        <f>"2045-452X"</f>
        <v>2045-452X</v>
      </c>
      <c r="E18222" t="s">
        <v>8</v>
      </c>
      <c r="F18222" t="s">
        <v>18234</v>
      </c>
      <c r="G18222">
        <v>1</v>
      </c>
    </row>
    <row r="18223" spans="1:7" x14ac:dyDescent="0.25">
      <c r="A18223">
        <v>56</v>
      </c>
      <c r="B18223" t="s">
        <v>18075</v>
      </c>
      <c r="C18223">
        <v>15405</v>
      </c>
      <c r="D18223" t="str">
        <f>"0041-0101"</f>
        <v>0041-0101</v>
      </c>
      <c r="E18223" t="s">
        <v>8</v>
      </c>
      <c r="F18223" t="s">
        <v>18235</v>
      </c>
      <c r="G18223">
        <v>1</v>
      </c>
    </row>
    <row r="18224" spans="1:7" x14ac:dyDescent="0.25">
      <c r="A18224">
        <v>56</v>
      </c>
      <c r="B18224" t="s">
        <v>18075</v>
      </c>
      <c r="C18224">
        <v>17163</v>
      </c>
      <c r="D18224" t="str">
        <f>"1556-9543"</f>
        <v>1556-9543</v>
      </c>
      <c r="E18224" t="s">
        <v>8</v>
      </c>
      <c r="F18224" t="s">
        <v>18236</v>
      </c>
      <c r="G18224">
        <v>1</v>
      </c>
    </row>
    <row r="18225" spans="1:7" x14ac:dyDescent="0.25">
      <c r="A18225">
        <v>56</v>
      </c>
      <c r="B18225" t="s">
        <v>18075</v>
      </c>
      <c r="C18225">
        <v>15471</v>
      </c>
      <c r="D18225" t="str">
        <f>"1537-1891"</f>
        <v>1537-1891</v>
      </c>
      <c r="E18225" t="s">
        <v>8</v>
      </c>
      <c r="F18225" t="s">
        <v>18237</v>
      </c>
      <c r="G18225">
        <v>1</v>
      </c>
    </row>
    <row r="18226" spans="1:7" x14ac:dyDescent="0.25">
      <c r="A18226">
        <v>56</v>
      </c>
      <c r="B18226" t="s">
        <v>18075</v>
      </c>
      <c r="C18226">
        <v>8977</v>
      </c>
      <c r="D18226" t="str">
        <f>"0031-6903"</f>
        <v>0031-6903</v>
      </c>
      <c r="E18226" t="s">
        <v>8</v>
      </c>
      <c r="F18226" t="s">
        <v>18238</v>
      </c>
      <c r="G18226">
        <v>1</v>
      </c>
    </row>
    <row r="18227" spans="1:7" x14ac:dyDescent="0.25">
      <c r="A18227">
        <v>57</v>
      </c>
      <c r="B18227" t="s">
        <v>18239</v>
      </c>
      <c r="C18227">
        <v>14327</v>
      </c>
      <c r="D18227" t="str">
        <f>"0895-9374"</f>
        <v>0895-9374</v>
      </c>
      <c r="E18227" t="s">
        <v>8</v>
      </c>
      <c r="F18227" t="s">
        <v>18240</v>
      </c>
      <c r="G18227">
        <v>2</v>
      </c>
    </row>
    <row r="18228" spans="1:7" x14ac:dyDescent="0.25">
      <c r="A18228">
        <v>57</v>
      </c>
      <c r="B18228" t="s">
        <v>18239</v>
      </c>
      <c r="C18228">
        <v>8918</v>
      </c>
      <c r="E18228" t="s">
        <v>8</v>
      </c>
      <c r="F18228" t="s">
        <v>18241</v>
      </c>
      <c r="G18228">
        <v>2</v>
      </c>
    </row>
    <row r="18229" spans="1:7" x14ac:dyDescent="0.25">
      <c r="A18229">
        <v>57</v>
      </c>
      <c r="B18229" t="s">
        <v>18239</v>
      </c>
      <c r="C18229">
        <v>3858</v>
      </c>
      <c r="D18229" t="str">
        <f>"0008-6568"</f>
        <v>0008-6568</v>
      </c>
      <c r="E18229" t="s">
        <v>8</v>
      </c>
      <c r="F18229" t="s">
        <v>18242</v>
      </c>
      <c r="G18229">
        <v>2</v>
      </c>
    </row>
    <row r="18230" spans="1:7" x14ac:dyDescent="0.25">
      <c r="A18230">
        <v>57</v>
      </c>
      <c r="B18230" t="s">
        <v>18239</v>
      </c>
      <c r="C18230">
        <v>10780</v>
      </c>
      <c r="D18230" t="str">
        <f>"0905-7161"</f>
        <v>0905-7161</v>
      </c>
      <c r="E18230" t="s">
        <v>8</v>
      </c>
      <c r="F18230" t="s">
        <v>18243</v>
      </c>
      <c r="G18230">
        <v>2</v>
      </c>
    </row>
    <row r="18231" spans="1:7" x14ac:dyDescent="0.25">
      <c r="A18231">
        <v>57</v>
      </c>
      <c r="B18231" t="s">
        <v>18239</v>
      </c>
      <c r="C18231">
        <v>14282</v>
      </c>
      <c r="D18231" t="str">
        <f>"1432-6981"</f>
        <v>1432-6981</v>
      </c>
      <c r="E18231" t="s">
        <v>8</v>
      </c>
      <c r="F18231" t="s">
        <v>18244</v>
      </c>
      <c r="G18231">
        <v>2</v>
      </c>
    </row>
    <row r="18232" spans="1:7" x14ac:dyDescent="0.25">
      <c r="A18232">
        <v>57</v>
      </c>
      <c r="B18232" t="s">
        <v>18239</v>
      </c>
      <c r="C18232">
        <v>548</v>
      </c>
      <c r="D18232" t="str">
        <f>"0301-5661"</f>
        <v>0301-5661</v>
      </c>
      <c r="E18232" t="s">
        <v>8</v>
      </c>
      <c r="F18232" t="s">
        <v>18245</v>
      </c>
      <c r="G18232">
        <v>2</v>
      </c>
    </row>
    <row r="18233" spans="1:7" x14ac:dyDescent="0.25">
      <c r="A18233">
        <v>57</v>
      </c>
      <c r="B18233" t="s">
        <v>18239</v>
      </c>
      <c r="C18233">
        <v>10454</v>
      </c>
      <c r="D18233" t="str">
        <f>"0250-832X"</f>
        <v>0250-832X</v>
      </c>
      <c r="E18233" t="s">
        <v>8</v>
      </c>
      <c r="F18233" t="s">
        <v>18246</v>
      </c>
      <c r="G18233">
        <v>2</v>
      </c>
    </row>
    <row r="18234" spans="1:7" x14ac:dyDescent="0.25">
      <c r="A18234">
        <v>57</v>
      </c>
      <c r="B18234" t="s">
        <v>18239</v>
      </c>
      <c r="C18234">
        <v>4720</v>
      </c>
      <c r="D18234" t="str">
        <f>"0909-8836"</f>
        <v>0909-8836</v>
      </c>
      <c r="E18234" t="s">
        <v>8</v>
      </c>
      <c r="F18234" t="s">
        <v>18247</v>
      </c>
      <c r="G18234">
        <v>2</v>
      </c>
    </row>
    <row r="18235" spans="1:7" x14ac:dyDescent="0.25">
      <c r="A18235">
        <v>57</v>
      </c>
      <c r="B18235" t="s">
        <v>18239</v>
      </c>
      <c r="C18235">
        <v>7876</v>
      </c>
      <c r="D18235" t="str">
        <f>"0143-2885"</f>
        <v>0143-2885</v>
      </c>
      <c r="E18235" t="s">
        <v>8</v>
      </c>
      <c r="F18235" t="s">
        <v>18248</v>
      </c>
      <c r="G18235">
        <v>2</v>
      </c>
    </row>
    <row r="18236" spans="1:7" x14ac:dyDescent="0.25">
      <c r="A18236">
        <v>57</v>
      </c>
      <c r="B18236" t="s">
        <v>18239</v>
      </c>
      <c r="C18236">
        <v>14337</v>
      </c>
      <c r="D18236" t="str">
        <f>"0960-7439"</f>
        <v>0960-7439</v>
      </c>
      <c r="E18236" t="s">
        <v>8</v>
      </c>
      <c r="F18236" t="s">
        <v>18249</v>
      </c>
      <c r="G18236">
        <v>2</v>
      </c>
    </row>
    <row r="18237" spans="1:7" x14ac:dyDescent="0.25">
      <c r="A18237">
        <v>57</v>
      </c>
      <c r="B18237" t="s">
        <v>18239</v>
      </c>
      <c r="C18237">
        <v>11204</v>
      </c>
      <c r="D18237" t="str">
        <f>"0303-6979"</f>
        <v>0303-6979</v>
      </c>
      <c r="E18237" t="s">
        <v>8</v>
      </c>
      <c r="F18237" t="s">
        <v>18250</v>
      </c>
      <c r="G18237">
        <v>2</v>
      </c>
    </row>
    <row r="18238" spans="1:7" x14ac:dyDescent="0.25">
      <c r="A18238">
        <v>57</v>
      </c>
      <c r="B18238" t="s">
        <v>18239</v>
      </c>
      <c r="C18238">
        <v>15244</v>
      </c>
      <c r="D18238" t="str">
        <f>"0022-0345"</f>
        <v>0022-0345</v>
      </c>
      <c r="E18238" t="s">
        <v>8</v>
      </c>
      <c r="F18238" t="s">
        <v>18251</v>
      </c>
      <c r="G18238">
        <v>2</v>
      </c>
    </row>
    <row r="18239" spans="1:7" x14ac:dyDescent="0.25">
      <c r="A18239">
        <v>57</v>
      </c>
      <c r="B18239" t="s">
        <v>18239</v>
      </c>
      <c r="C18239">
        <v>7486</v>
      </c>
      <c r="D18239" t="str">
        <f>"2333-0384"</f>
        <v>2333-0384</v>
      </c>
      <c r="E18239" t="s">
        <v>8</v>
      </c>
      <c r="F18239" t="s">
        <v>18252</v>
      </c>
      <c r="G18239">
        <v>2</v>
      </c>
    </row>
    <row r="18240" spans="1:7" x14ac:dyDescent="0.25">
      <c r="A18240">
        <v>57</v>
      </c>
      <c r="B18240" t="s">
        <v>18239</v>
      </c>
      <c r="C18240">
        <v>12966</v>
      </c>
      <c r="D18240" t="str">
        <f>"0278-2391"</f>
        <v>0278-2391</v>
      </c>
      <c r="E18240" t="s">
        <v>8</v>
      </c>
      <c r="F18240" t="s">
        <v>18253</v>
      </c>
      <c r="G18240">
        <v>2</v>
      </c>
    </row>
    <row r="18241" spans="1:7" x14ac:dyDescent="0.25">
      <c r="A18241">
        <v>57</v>
      </c>
      <c r="B18241" t="s">
        <v>18239</v>
      </c>
      <c r="C18241">
        <v>4079</v>
      </c>
      <c r="D18241" t="str">
        <f>"0904-2512"</f>
        <v>0904-2512</v>
      </c>
      <c r="E18241" t="s">
        <v>8</v>
      </c>
      <c r="F18241" t="s">
        <v>18254</v>
      </c>
      <c r="G18241">
        <v>2</v>
      </c>
    </row>
    <row r="18242" spans="1:7" x14ac:dyDescent="0.25">
      <c r="A18242">
        <v>57</v>
      </c>
      <c r="B18242" t="s">
        <v>18239</v>
      </c>
      <c r="C18242">
        <v>14950</v>
      </c>
      <c r="D18242" t="str">
        <f>"0305-182X"</f>
        <v>0305-182X</v>
      </c>
      <c r="E18242" t="s">
        <v>8</v>
      </c>
      <c r="F18242" t="s">
        <v>18255</v>
      </c>
      <c r="G18242">
        <v>2</v>
      </c>
    </row>
    <row r="18243" spans="1:7" x14ac:dyDescent="0.25">
      <c r="A18243">
        <v>57</v>
      </c>
      <c r="B18243" t="s">
        <v>18239</v>
      </c>
      <c r="C18243">
        <v>3242</v>
      </c>
      <c r="D18243" t="str">
        <f>"0022-3492"</f>
        <v>0022-3492</v>
      </c>
      <c r="E18243" t="s">
        <v>8</v>
      </c>
      <c r="F18243" t="s">
        <v>18256</v>
      </c>
      <c r="G18243">
        <v>2</v>
      </c>
    </row>
    <row r="18244" spans="1:7" x14ac:dyDescent="0.25">
      <c r="A18244">
        <v>57</v>
      </c>
      <c r="B18244" t="s">
        <v>18239</v>
      </c>
      <c r="C18244">
        <v>6596</v>
      </c>
      <c r="D18244" t="str">
        <f>"1354-523X"</f>
        <v>1354-523X</v>
      </c>
      <c r="E18244" t="s">
        <v>8</v>
      </c>
      <c r="F18244" t="s">
        <v>18257</v>
      </c>
      <c r="G18244">
        <v>2</v>
      </c>
    </row>
    <row r="18245" spans="1:7" x14ac:dyDescent="0.25">
      <c r="A18245">
        <v>57</v>
      </c>
      <c r="B18245" t="s">
        <v>18239</v>
      </c>
      <c r="C18245">
        <v>6962</v>
      </c>
      <c r="D18245" t="str">
        <f>"1601-6335"</f>
        <v>1601-6335</v>
      </c>
      <c r="E18245" t="s">
        <v>8</v>
      </c>
      <c r="F18245" t="s">
        <v>18258</v>
      </c>
      <c r="G18245">
        <v>2</v>
      </c>
    </row>
    <row r="18246" spans="1:7" x14ac:dyDescent="0.25">
      <c r="A18246">
        <v>57</v>
      </c>
      <c r="B18246" t="s">
        <v>18239</v>
      </c>
      <c r="C18246">
        <v>436</v>
      </c>
      <c r="D18246" t="str">
        <f>"0001-6357"</f>
        <v>0001-6357</v>
      </c>
      <c r="E18246" t="s">
        <v>8</v>
      </c>
      <c r="F18246" t="s">
        <v>18259</v>
      </c>
      <c r="G18246">
        <v>1</v>
      </c>
    </row>
    <row r="18247" spans="1:7" x14ac:dyDescent="0.25">
      <c r="A18247">
        <v>57</v>
      </c>
      <c r="B18247" t="s">
        <v>18239</v>
      </c>
      <c r="C18247">
        <v>36763</v>
      </c>
      <c r="D18247" t="str">
        <f>"1902-3545"</f>
        <v>1902-3545</v>
      </c>
      <c r="E18247" t="s">
        <v>8</v>
      </c>
      <c r="F18247" t="s">
        <v>18260</v>
      </c>
      <c r="G18247">
        <v>1</v>
      </c>
    </row>
    <row r="18248" spans="1:7" x14ac:dyDescent="0.25">
      <c r="A18248">
        <v>57</v>
      </c>
      <c r="B18248" t="s">
        <v>18239</v>
      </c>
      <c r="C18248">
        <v>16237</v>
      </c>
      <c r="D18248" t="str">
        <f>"0894-8275"</f>
        <v>0894-8275</v>
      </c>
      <c r="E18248" t="s">
        <v>8</v>
      </c>
      <c r="F18248" t="s">
        <v>18261</v>
      </c>
      <c r="G18248">
        <v>1</v>
      </c>
    </row>
    <row r="18249" spans="1:7" x14ac:dyDescent="0.25">
      <c r="A18249">
        <v>57</v>
      </c>
      <c r="B18249" t="s">
        <v>18239</v>
      </c>
      <c r="C18249">
        <v>2319</v>
      </c>
      <c r="D18249" t="str">
        <f>"0889-5406"</f>
        <v>0889-5406</v>
      </c>
      <c r="E18249" t="s">
        <v>8</v>
      </c>
      <c r="F18249" t="s">
        <v>18262</v>
      </c>
      <c r="G18249">
        <v>1</v>
      </c>
    </row>
    <row r="18250" spans="1:7" x14ac:dyDescent="0.25">
      <c r="A18250">
        <v>57</v>
      </c>
      <c r="B18250" t="s">
        <v>18239</v>
      </c>
      <c r="C18250">
        <v>2034</v>
      </c>
      <c r="D18250" t="str">
        <f>"0003-9969"</f>
        <v>0003-9969</v>
      </c>
      <c r="E18250" t="s">
        <v>8</v>
      </c>
      <c r="F18250" t="s">
        <v>18263</v>
      </c>
      <c r="G18250">
        <v>1</v>
      </c>
    </row>
    <row r="18251" spans="1:7" x14ac:dyDescent="0.25">
      <c r="A18251">
        <v>57</v>
      </c>
      <c r="B18251" t="s">
        <v>18239</v>
      </c>
      <c r="C18251">
        <v>8505</v>
      </c>
      <c r="D18251" t="str">
        <f>"0045-0421"</f>
        <v>0045-0421</v>
      </c>
      <c r="E18251" t="s">
        <v>8</v>
      </c>
      <c r="F18251" t="s">
        <v>18264</v>
      </c>
      <c r="G18251">
        <v>1</v>
      </c>
    </row>
    <row r="18252" spans="1:7" x14ac:dyDescent="0.25">
      <c r="A18252">
        <v>57</v>
      </c>
      <c r="B18252" t="s">
        <v>18239</v>
      </c>
      <c r="C18252">
        <v>23165</v>
      </c>
      <c r="D18252" t="str">
        <f>"1329-1947"</f>
        <v>1329-1947</v>
      </c>
      <c r="E18252" t="s">
        <v>8</v>
      </c>
      <c r="F18252" t="s">
        <v>18265</v>
      </c>
      <c r="G18252">
        <v>1</v>
      </c>
    </row>
    <row r="18253" spans="1:7" x14ac:dyDescent="0.25">
      <c r="A18253">
        <v>57</v>
      </c>
      <c r="B18253" t="s">
        <v>18239</v>
      </c>
      <c r="C18253">
        <v>25902</v>
      </c>
      <c r="D18253" t="str">
        <f>"0587-3908"</f>
        <v>0587-3908</v>
      </c>
      <c r="E18253" t="s">
        <v>8</v>
      </c>
      <c r="F18253" t="s">
        <v>18266</v>
      </c>
      <c r="G18253">
        <v>1</v>
      </c>
    </row>
    <row r="18254" spans="1:7" x14ac:dyDescent="0.25">
      <c r="A18254">
        <v>57</v>
      </c>
      <c r="B18254" t="s">
        <v>18239</v>
      </c>
      <c r="C18254">
        <v>15149</v>
      </c>
      <c r="D18254" t="str">
        <f>"0103-6440"</f>
        <v>0103-6440</v>
      </c>
      <c r="E18254" t="s">
        <v>8</v>
      </c>
      <c r="F18254" t="s">
        <v>18267</v>
      </c>
      <c r="G18254">
        <v>1</v>
      </c>
    </row>
    <row r="18255" spans="1:7" x14ac:dyDescent="0.25">
      <c r="A18255">
        <v>57</v>
      </c>
      <c r="B18255" t="s">
        <v>18239</v>
      </c>
      <c r="C18255">
        <v>5912</v>
      </c>
      <c r="D18255" t="str">
        <f>"0007-0610"</f>
        <v>0007-0610</v>
      </c>
      <c r="E18255" t="s">
        <v>8</v>
      </c>
      <c r="F18255" t="s">
        <v>18268</v>
      </c>
      <c r="G18255">
        <v>1</v>
      </c>
    </row>
    <row r="18256" spans="1:7" x14ac:dyDescent="0.25">
      <c r="A18256">
        <v>57</v>
      </c>
      <c r="B18256" t="s">
        <v>18239</v>
      </c>
      <c r="C18256">
        <v>2948</v>
      </c>
      <c r="D18256" t="str">
        <f>"0266-4356"</f>
        <v>0266-4356</v>
      </c>
      <c r="E18256" t="s">
        <v>8</v>
      </c>
      <c r="F18256" t="s">
        <v>18269</v>
      </c>
      <c r="G18256">
        <v>1</v>
      </c>
    </row>
    <row r="18257" spans="1:7" x14ac:dyDescent="0.25">
      <c r="A18257">
        <v>57</v>
      </c>
      <c r="B18257" t="s">
        <v>18239</v>
      </c>
      <c r="C18257">
        <v>13721</v>
      </c>
      <c r="D18257" t="str">
        <f>"1055-6656"</f>
        <v>1055-6656</v>
      </c>
      <c r="E18257" t="s">
        <v>8</v>
      </c>
      <c r="F18257" t="s">
        <v>18270</v>
      </c>
      <c r="G18257">
        <v>1</v>
      </c>
    </row>
    <row r="18258" spans="1:7" x14ac:dyDescent="0.25">
      <c r="A18258">
        <v>57</v>
      </c>
      <c r="B18258" t="s">
        <v>18239</v>
      </c>
      <c r="C18258">
        <v>4318</v>
      </c>
      <c r="D18258" t="str">
        <f>"1523-0899"</f>
        <v>1523-0899</v>
      </c>
      <c r="E18258" t="s">
        <v>8</v>
      </c>
      <c r="F18258" t="s">
        <v>18271</v>
      </c>
      <c r="G18258">
        <v>1</v>
      </c>
    </row>
    <row r="18259" spans="1:7" x14ac:dyDescent="0.25">
      <c r="A18259">
        <v>57</v>
      </c>
      <c r="B18259" t="s">
        <v>18239</v>
      </c>
      <c r="C18259">
        <v>7296</v>
      </c>
      <c r="D18259" t="str">
        <f>"0265-539X"</f>
        <v>0265-539X</v>
      </c>
      <c r="E18259" t="s">
        <v>8</v>
      </c>
      <c r="F18259" t="s">
        <v>18272</v>
      </c>
      <c r="G18259">
        <v>1</v>
      </c>
    </row>
    <row r="18260" spans="1:7" x14ac:dyDescent="0.25">
      <c r="A18260">
        <v>57</v>
      </c>
      <c r="B18260" t="s">
        <v>18239</v>
      </c>
      <c r="C18260">
        <v>15455</v>
      </c>
      <c r="D18260" t="str">
        <f>"0886-9634"</f>
        <v>0886-9634</v>
      </c>
      <c r="E18260" t="s">
        <v>8</v>
      </c>
      <c r="F18260" t="s">
        <v>18273</v>
      </c>
      <c r="G18260">
        <v>1</v>
      </c>
    </row>
    <row r="18261" spans="1:7" x14ac:dyDescent="0.25">
      <c r="A18261">
        <v>57</v>
      </c>
      <c r="B18261" t="s">
        <v>18239</v>
      </c>
      <c r="C18261">
        <v>3663</v>
      </c>
      <c r="D18261" t="str">
        <f>"0029-2303"</f>
        <v>0029-2303</v>
      </c>
      <c r="E18261" t="s">
        <v>8</v>
      </c>
      <c r="F18261" t="s">
        <v>18274</v>
      </c>
      <c r="G18261">
        <v>1</v>
      </c>
    </row>
    <row r="18262" spans="1:7" x14ac:dyDescent="0.25">
      <c r="A18262">
        <v>57</v>
      </c>
      <c r="B18262" t="s">
        <v>18239</v>
      </c>
      <c r="C18262">
        <v>160033</v>
      </c>
      <c r="D18262" t="str">
        <f>"2155-8213"</f>
        <v>2155-8213</v>
      </c>
      <c r="E18262" t="s">
        <v>8</v>
      </c>
      <c r="F18262" t="s">
        <v>18275</v>
      </c>
      <c r="G18262">
        <v>1</v>
      </c>
    </row>
    <row r="18263" spans="1:7" x14ac:dyDescent="0.25">
      <c r="A18263">
        <v>57</v>
      </c>
      <c r="B18263" t="s">
        <v>18239</v>
      </c>
      <c r="C18263">
        <v>16801</v>
      </c>
      <c r="D18263" t="str">
        <f>"0109-5641"</f>
        <v>0109-5641</v>
      </c>
      <c r="E18263" t="s">
        <v>8</v>
      </c>
      <c r="F18263" t="s">
        <v>18276</v>
      </c>
      <c r="G18263">
        <v>1</v>
      </c>
    </row>
    <row r="18264" spans="1:7" x14ac:dyDescent="0.25">
      <c r="A18264">
        <v>57</v>
      </c>
      <c r="B18264" t="s">
        <v>18239</v>
      </c>
      <c r="C18264">
        <v>6133</v>
      </c>
      <c r="D18264" t="str">
        <f>"0287-4547"</f>
        <v>0287-4547</v>
      </c>
      <c r="E18264" t="s">
        <v>8</v>
      </c>
      <c r="F18264" t="s">
        <v>18277</v>
      </c>
      <c r="G18264">
        <v>1</v>
      </c>
    </row>
    <row r="18265" spans="1:7" x14ac:dyDescent="0.25">
      <c r="A18265">
        <v>57</v>
      </c>
      <c r="B18265" t="s">
        <v>18239</v>
      </c>
      <c r="C18265">
        <v>12895</v>
      </c>
      <c r="D18265" t="str">
        <f>"1600-4469"</f>
        <v>1600-4469</v>
      </c>
      <c r="E18265" t="s">
        <v>8</v>
      </c>
      <c r="F18265" t="s">
        <v>18278</v>
      </c>
      <c r="G18265">
        <v>1</v>
      </c>
    </row>
    <row r="18266" spans="1:7" x14ac:dyDescent="0.25">
      <c r="A18266">
        <v>57</v>
      </c>
      <c r="B18266" t="s">
        <v>18239</v>
      </c>
      <c r="C18266">
        <v>18829</v>
      </c>
      <c r="D18266" t="str">
        <f>"0012-1029"</f>
        <v>0012-1029</v>
      </c>
      <c r="E18266" t="s">
        <v>8</v>
      </c>
      <c r="F18266" t="s">
        <v>18279</v>
      </c>
      <c r="G18266">
        <v>1</v>
      </c>
    </row>
    <row r="18267" spans="1:7" x14ac:dyDescent="0.25">
      <c r="A18267">
        <v>57</v>
      </c>
      <c r="B18267" t="s">
        <v>18239</v>
      </c>
      <c r="C18267">
        <v>11366</v>
      </c>
      <c r="D18267" t="str">
        <f>"0012-1207"</f>
        <v>0012-1207</v>
      </c>
      <c r="E18267" t="s">
        <v>8</v>
      </c>
      <c r="F18267" t="s">
        <v>18280</v>
      </c>
      <c r="G18267">
        <v>1</v>
      </c>
    </row>
    <row r="18268" spans="1:7" x14ac:dyDescent="0.25">
      <c r="A18268">
        <v>57</v>
      </c>
      <c r="B18268" t="s">
        <v>18239</v>
      </c>
      <c r="C18268">
        <v>156408</v>
      </c>
      <c r="D18268" t="str">
        <f>"1818-6300"</f>
        <v>1818-6300</v>
      </c>
      <c r="E18268" t="s">
        <v>8</v>
      </c>
      <c r="F18268" t="s">
        <v>18281</v>
      </c>
      <c r="G18268">
        <v>1</v>
      </c>
    </row>
    <row r="18269" spans="1:7" x14ac:dyDescent="0.25">
      <c r="A18269">
        <v>57</v>
      </c>
      <c r="B18269" t="s">
        <v>18239</v>
      </c>
      <c r="C18269">
        <v>11798</v>
      </c>
      <c r="D18269" t="str">
        <f>"1396-5883"</f>
        <v>1396-5883</v>
      </c>
      <c r="E18269" t="s">
        <v>8</v>
      </c>
      <c r="F18269" t="s">
        <v>18282</v>
      </c>
      <c r="G18269">
        <v>1</v>
      </c>
    </row>
    <row r="18270" spans="1:7" x14ac:dyDescent="0.25">
      <c r="A18270">
        <v>57</v>
      </c>
      <c r="B18270" t="s">
        <v>18239</v>
      </c>
      <c r="C18270">
        <v>155998</v>
      </c>
      <c r="D18270" t="str">
        <f>"1756-2406"</f>
        <v>1756-2406</v>
      </c>
      <c r="E18270" t="s">
        <v>8</v>
      </c>
      <c r="F18270" t="s">
        <v>18283</v>
      </c>
      <c r="G18270">
        <v>1</v>
      </c>
    </row>
    <row r="18271" spans="1:7" x14ac:dyDescent="0.25">
      <c r="A18271">
        <v>57</v>
      </c>
      <c r="B18271" t="s">
        <v>18239</v>
      </c>
      <c r="C18271">
        <v>84352</v>
      </c>
      <c r="E18271" t="s">
        <v>8</v>
      </c>
      <c r="F18271" t="s">
        <v>18284</v>
      </c>
      <c r="G18271">
        <v>1</v>
      </c>
    </row>
    <row r="18272" spans="1:7" x14ac:dyDescent="0.25">
      <c r="A18272">
        <v>57</v>
      </c>
      <c r="B18272" t="s">
        <v>18239</v>
      </c>
      <c r="C18272">
        <v>6362</v>
      </c>
      <c r="D18272" t="str">
        <f>"0141-5387"</f>
        <v>0141-5387</v>
      </c>
      <c r="E18272" t="s">
        <v>8</v>
      </c>
      <c r="F18272" t="s">
        <v>18285</v>
      </c>
      <c r="G18272">
        <v>1</v>
      </c>
    </row>
    <row r="18273" spans="1:7" x14ac:dyDescent="0.25">
      <c r="A18273">
        <v>57</v>
      </c>
      <c r="B18273" t="s">
        <v>18239</v>
      </c>
      <c r="C18273">
        <v>14783</v>
      </c>
      <c r="D18273" t="str">
        <f>"1591-996X"</f>
        <v>1591-996X</v>
      </c>
      <c r="E18273" t="s">
        <v>8</v>
      </c>
      <c r="F18273" t="s">
        <v>18286</v>
      </c>
      <c r="G18273">
        <v>1</v>
      </c>
    </row>
    <row r="18274" spans="1:7" x14ac:dyDescent="0.25">
      <c r="A18274">
        <v>57</v>
      </c>
      <c r="B18274" t="s">
        <v>18239</v>
      </c>
      <c r="C18274">
        <v>5545</v>
      </c>
      <c r="D18274" t="str">
        <f>"0965-7452"</f>
        <v>0965-7452</v>
      </c>
      <c r="E18274" t="s">
        <v>8</v>
      </c>
      <c r="F18274" t="s">
        <v>18287</v>
      </c>
      <c r="G18274">
        <v>1</v>
      </c>
    </row>
    <row r="18275" spans="1:7" x14ac:dyDescent="0.25">
      <c r="A18275">
        <v>57</v>
      </c>
      <c r="B18275" t="s">
        <v>18239</v>
      </c>
      <c r="C18275">
        <v>8055</v>
      </c>
      <c r="D18275" t="str">
        <f>"1462-0049"</f>
        <v>1462-0049</v>
      </c>
      <c r="E18275" t="s">
        <v>8</v>
      </c>
      <c r="F18275" t="s">
        <v>18288</v>
      </c>
      <c r="G18275">
        <v>1</v>
      </c>
    </row>
    <row r="18276" spans="1:7" x14ac:dyDescent="0.25">
      <c r="A18276">
        <v>57</v>
      </c>
      <c r="B18276" t="s">
        <v>18239</v>
      </c>
      <c r="C18276">
        <v>16477</v>
      </c>
      <c r="D18276" t="str">
        <f>"1056-6163"</f>
        <v>1056-6163</v>
      </c>
      <c r="E18276" t="s">
        <v>8</v>
      </c>
      <c r="F18276" t="s">
        <v>18289</v>
      </c>
      <c r="G18276">
        <v>1</v>
      </c>
    </row>
    <row r="18277" spans="1:7" x14ac:dyDescent="0.25">
      <c r="A18277">
        <v>57</v>
      </c>
      <c r="B18277" t="s">
        <v>18239</v>
      </c>
      <c r="C18277">
        <v>13382</v>
      </c>
      <c r="D18277" t="str">
        <f>"0020-6539"</f>
        <v>0020-6539</v>
      </c>
      <c r="E18277" t="s">
        <v>8</v>
      </c>
      <c r="F18277" t="s">
        <v>18290</v>
      </c>
      <c r="G18277">
        <v>1</v>
      </c>
    </row>
    <row r="18278" spans="1:7" x14ac:dyDescent="0.25">
      <c r="A18278">
        <v>57</v>
      </c>
      <c r="B18278" t="s">
        <v>18239</v>
      </c>
      <c r="C18278">
        <v>22188</v>
      </c>
      <c r="D18278" t="str">
        <f>"1463-4201"</f>
        <v>1463-4201</v>
      </c>
      <c r="E18278" t="s">
        <v>8</v>
      </c>
      <c r="F18278" t="s">
        <v>18291</v>
      </c>
      <c r="G18278">
        <v>1</v>
      </c>
    </row>
    <row r="18279" spans="1:7" x14ac:dyDescent="0.25">
      <c r="A18279">
        <v>57</v>
      </c>
      <c r="B18279" t="s">
        <v>18239</v>
      </c>
      <c r="C18279">
        <v>6475</v>
      </c>
      <c r="D18279" t="str">
        <f>"1601-5029"</f>
        <v>1601-5029</v>
      </c>
      <c r="E18279" t="s">
        <v>8</v>
      </c>
      <c r="F18279" t="s">
        <v>18292</v>
      </c>
      <c r="G18279">
        <v>1</v>
      </c>
    </row>
    <row r="18280" spans="1:7" x14ac:dyDescent="0.25">
      <c r="A18280">
        <v>57</v>
      </c>
      <c r="B18280" t="s">
        <v>18239</v>
      </c>
      <c r="C18280">
        <v>141174</v>
      </c>
      <c r="D18280" t="str">
        <f>"1687-8728"</f>
        <v>1687-8728</v>
      </c>
      <c r="E18280" t="s">
        <v>8</v>
      </c>
      <c r="F18280" t="s">
        <v>18293</v>
      </c>
      <c r="G18280">
        <v>1</v>
      </c>
    </row>
    <row r="18281" spans="1:7" x14ac:dyDescent="0.25">
      <c r="A18281">
        <v>57</v>
      </c>
      <c r="B18281" t="s">
        <v>18239</v>
      </c>
      <c r="C18281">
        <v>2269</v>
      </c>
      <c r="D18281" t="str">
        <f>"0882-2786"</f>
        <v>0882-2786</v>
      </c>
      <c r="E18281" t="s">
        <v>8</v>
      </c>
      <c r="F18281" t="s">
        <v>18294</v>
      </c>
      <c r="G18281">
        <v>1</v>
      </c>
    </row>
    <row r="18282" spans="1:7" x14ac:dyDescent="0.25">
      <c r="A18282">
        <v>57</v>
      </c>
      <c r="B18282" t="s">
        <v>18239</v>
      </c>
      <c r="C18282">
        <v>11093</v>
      </c>
      <c r="D18282" t="str">
        <f>"0901-5027"</f>
        <v>0901-5027</v>
      </c>
      <c r="E18282" t="s">
        <v>8</v>
      </c>
      <c r="F18282" t="s">
        <v>18295</v>
      </c>
      <c r="G18282">
        <v>1</v>
      </c>
    </row>
    <row r="18283" spans="1:7" x14ac:dyDescent="0.25">
      <c r="A18283">
        <v>57</v>
      </c>
      <c r="B18283" t="s">
        <v>18239</v>
      </c>
      <c r="C18283">
        <v>9639</v>
      </c>
      <c r="D18283" t="str">
        <f>"0198-7569"</f>
        <v>0198-7569</v>
      </c>
      <c r="E18283" t="s">
        <v>8</v>
      </c>
      <c r="F18283" t="s">
        <v>18296</v>
      </c>
      <c r="G18283">
        <v>1</v>
      </c>
    </row>
    <row r="18284" spans="1:7" x14ac:dyDescent="0.25">
      <c r="A18284">
        <v>57</v>
      </c>
      <c r="B18284" t="s">
        <v>18239</v>
      </c>
      <c r="C18284">
        <v>1920</v>
      </c>
      <c r="D18284" t="str">
        <f>"0893-2174"</f>
        <v>0893-2174</v>
      </c>
      <c r="E18284" t="s">
        <v>8</v>
      </c>
      <c r="F18284" t="s">
        <v>18297</v>
      </c>
      <c r="G18284">
        <v>1</v>
      </c>
    </row>
    <row r="18285" spans="1:7" x14ac:dyDescent="0.25">
      <c r="A18285">
        <v>57</v>
      </c>
      <c r="B18285" t="s">
        <v>18239</v>
      </c>
      <c r="C18285">
        <v>3418</v>
      </c>
      <c r="D18285" t="str">
        <f>"0022-3875"</f>
        <v>0022-3875</v>
      </c>
      <c r="E18285" t="s">
        <v>8</v>
      </c>
      <c r="F18285" t="s">
        <v>18298</v>
      </c>
      <c r="G18285">
        <v>1</v>
      </c>
    </row>
    <row r="18286" spans="1:7" x14ac:dyDescent="0.25">
      <c r="A18286">
        <v>57</v>
      </c>
      <c r="B18286" t="s">
        <v>18239</v>
      </c>
      <c r="C18286">
        <v>1987</v>
      </c>
      <c r="D18286" t="str">
        <f>"1053-4628"</f>
        <v>1053-4628</v>
      </c>
      <c r="E18286" t="s">
        <v>8</v>
      </c>
      <c r="F18286" t="s">
        <v>18299</v>
      </c>
      <c r="G18286">
        <v>1</v>
      </c>
    </row>
    <row r="18287" spans="1:7" x14ac:dyDescent="0.25">
      <c r="A18287">
        <v>57</v>
      </c>
      <c r="B18287" t="s">
        <v>18239</v>
      </c>
      <c r="C18287">
        <v>761</v>
      </c>
      <c r="E18287" t="s">
        <v>8</v>
      </c>
      <c r="F18287" t="s">
        <v>18300</v>
      </c>
      <c r="G18287">
        <v>1</v>
      </c>
    </row>
    <row r="18288" spans="1:7" x14ac:dyDescent="0.25">
      <c r="A18288">
        <v>57</v>
      </c>
      <c r="B18288" t="s">
        <v>18239</v>
      </c>
      <c r="C18288">
        <v>9451</v>
      </c>
      <c r="D18288" t="str">
        <f>"1010-5182"</f>
        <v>1010-5182</v>
      </c>
      <c r="E18288" t="s">
        <v>8</v>
      </c>
      <c r="F18288" t="s">
        <v>18301</v>
      </c>
      <c r="G18288">
        <v>1</v>
      </c>
    </row>
    <row r="18289" spans="1:7" x14ac:dyDescent="0.25">
      <c r="A18289">
        <v>57</v>
      </c>
      <c r="B18289" t="s">
        <v>18239</v>
      </c>
      <c r="C18289">
        <v>2606</v>
      </c>
      <c r="D18289" t="str">
        <f>"1043-254X"</f>
        <v>1043-254X</v>
      </c>
      <c r="E18289" t="s">
        <v>8</v>
      </c>
      <c r="F18289" t="s">
        <v>18302</v>
      </c>
      <c r="G18289">
        <v>1</v>
      </c>
    </row>
    <row r="18290" spans="1:7" x14ac:dyDescent="0.25">
      <c r="A18290">
        <v>57</v>
      </c>
      <c r="B18290" t="s">
        <v>18239</v>
      </c>
      <c r="C18290">
        <v>15952</v>
      </c>
      <c r="D18290" t="str">
        <f>"0300-5712"</f>
        <v>0300-5712</v>
      </c>
      <c r="E18290" t="s">
        <v>8</v>
      </c>
      <c r="F18290" t="s">
        <v>18303</v>
      </c>
      <c r="G18290">
        <v>1</v>
      </c>
    </row>
    <row r="18291" spans="1:7" x14ac:dyDescent="0.25">
      <c r="A18291">
        <v>57</v>
      </c>
      <c r="B18291" t="s">
        <v>18239</v>
      </c>
      <c r="C18291">
        <v>5702</v>
      </c>
      <c r="D18291" t="str">
        <f>"1935-5068"</f>
        <v>1935-5068</v>
      </c>
      <c r="E18291" t="s">
        <v>8</v>
      </c>
      <c r="F18291" t="s">
        <v>18304</v>
      </c>
      <c r="G18291">
        <v>1</v>
      </c>
    </row>
    <row r="18292" spans="1:7" x14ac:dyDescent="0.25">
      <c r="A18292">
        <v>57</v>
      </c>
      <c r="B18292" t="s">
        <v>18239</v>
      </c>
      <c r="C18292">
        <v>3560</v>
      </c>
      <c r="D18292" t="str">
        <f>"1496-4155"</f>
        <v>1496-4155</v>
      </c>
      <c r="E18292" t="s">
        <v>8</v>
      </c>
      <c r="F18292" t="s">
        <v>18305</v>
      </c>
      <c r="G18292">
        <v>1</v>
      </c>
    </row>
    <row r="18293" spans="1:7" x14ac:dyDescent="0.25">
      <c r="A18293">
        <v>57</v>
      </c>
      <c r="B18293" t="s">
        <v>18239</v>
      </c>
      <c r="C18293">
        <v>12565</v>
      </c>
      <c r="D18293" t="str">
        <f>"1532-3382"</f>
        <v>1532-3382</v>
      </c>
      <c r="E18293" t="s">
        <v>8</v>
      </c>
      <c r="F18293" t="s">
        <v>18306</v>
      </c>
      <c r="G18293">
        <v>1</v>
      </c>
    </row>
    <row r="18294" spans="1:7" x14ac:dyDescent="0.25">
      <c r="A18294">
        <v>57</v>
      </c>
      <c r="B18294" t="s">
        <v>18239</v>
      </c>
      <c r="C18294">
        <v>7688886</v>
      </c>
      <c r="E18294" t="s">
        <v>8</v>
      </c>
      <c r="F18294" t="s">
        <v>18307</v>
      </c>
      <c r="G18294">
        <v>1</v>
      </c>
    </row>
    <row r="18295" spans="1:7" x14ac:dyDescent="0.25">
      <c r="A18295">
        <v>57</v>
      </c>
      <c r="B18295" t="s">
        <v>18239</v>
      </c>
      <c r="C18295">
        <v>10332</v>
      </c>
      <c r="D18295" t="str">
        <f>"1465-3125"</f>
        <v>1465-3125</v>
      </c>
      <c r="E18295" t="s">
        <v>8</v>
      </c>
      <c r="F18295" t="s">
        <v>18308</v>
      </c>
      <c r="G18295">
        <v>1</v>
      </c>
    </row>
    <row r="18296" spans="1:7" x14ac:dyDescent="0.25">
      <c r="A18296">
        <v>57</v>
      </c>
      <c r="B18296" t="s">
        <v>18239</v>
      </c>
      <c r="C18296">
        <v>4191</v>
      </c>
      <c r="D18296" t="str">
        <f>"0022-3484"</f>
        <v>0022-3484</v>
      </c>
      <c r="E18296" t="s">
        <v>8</v>
      </c>
      <c r="F18296" t="s">
        <v>18309</v>
      </c>
      <c r="G18296">
        <v>1</v>
      </c>
    </row>
    <row r="18297" spans="1:7" x14ac:dyDescent="0.25">
      <c r="A18297">
        <v>57</v>
      </c>
      <c r="B18297" t="s">
        <v>18239</v>
      </c>
      <c r="C18297">
        <v>12027</v>
      </c>
      <c r="D18297" t="str">
        <f>"0022-3913"</f>
        <v>0022-3913</v>
      </c>
      <c r="E18297" t="s">
        <v>8</v>
      </c>
      <c r="F18297" t="s">
        <v>18310</v>
      </c>
      <c r="G18297">
        <v>1</v>
      </c>
    </row>
    <row r="18298" spans="1:7" x14ac:dyDescent="0.25">
      <c r="A18298">
        <v>57</v>
      </c>
      <c r="B18298" t="s">
        <v>18239</v>
      </c>
      <c r="C18298">
        <v>6171758</v>
      </c>
      <c r="D18298" t="str">
        <f>"1883-1958"</f>
        <v>1883-1958</v>
      </c>
      <c r="E18298" t="s">
        <v>8</v>
      </c>
      <c r="F18298" t="s">
        <v>18311</v>
      </c>
      <c r="G18298">
        <v>1</v>
      </c>
    </row>
    <row r="18299" spans="1:7" x14ac:dyDescent="0.25">
      <c r="A18299">
        <v>57</v>
      </c>
      <c r="B18299" t="s">
        <v>18239</v>
      </c>
      <c r="C18299">
        <v>1066</v>
      </c>
      <c r="D18299" t="str">
        <f>"1059-941X"</f>
        <v>1059-941X</v>
      </c>
      <c r="E18299" t="s">
        <v>8</v>
      </c>
      <c r="F18299" t="s">
        <v>18312</v>
      </c>
      <c r="G18299">
        <v>1</v>
      </c>
    </row>
    <row r="18300" spans="1:7" x14ac:dyDescent="0.25">
      <c r="A18300">
        <v>57</v>
      </c>
      <c r="B18300" t="s">
        <v>18239</v>
      </c>
      <c r="C18300">
        <v>8888</v>
      </c>
      <c r="D18300" t="str">
        <f>"0022-4006"</f>
        <v>0022-4006</v>
      </c>
      <c r="E18300" t="s">
        <v>8</v>
      </c>
      <c r="F18300" t="s">
        <v>18313</v>
      </c>
      <c r="G18300">
        <v>1</v>
      </c>
    </row>
    <row r="18301" spans="1:7" x14ac:dyDescent="0.25">
      <c r="A18301">
        <v>57</v>
      </c>
      <c r="B18301" t="s">
        <v>18239</v>
      </c>
      <c r="C18301">
        <v>11633</v>
      </c>
      <c r="D18301" t="str">
        <f>"0002-8177"</f>
        <v>0002-8177</v>
      </c>
      <c r="E18301" t="s">
        <v>8</v>
      </c>
      <c r="F18301" t="s">
        <v>18314</v>
      </c>
      <c r="G18301">
        <v>1</v>
      </c>
    </row>
    <row r="18302" spans="1:7" x14ac:dyDescent="0.25">
      <c r="A18302">
        <v>57</v>
      </c>
      <c r="B18302" t="s">
        <v>18239</v>
      </c>
      <c r="C18302">
        <v>46466</v>
      </c>
      <c r="D18302" t="str">
        <f>"0709-8936"</f>
        <v>0709-8936</v>
      </c>
      <c r="E18302" t="s">
        <v>8</v>
      </c>
      <c r="F18302" t="s">
        <v>18315</v>
      </c>
      <c r="G18302">
        <v>1</v>
      </c>
    </row>
    <row r="18303" spans="1:7" x14ac:dyDescent="0.25">
      <c r="A18303">
        <v>57</v>
      </c>
      <c r="B18303" t="s">
        <v>18239</v>
      </c>
      <c r="C18303">
        <v>6205988</v>
      </c>
      <c r="D18303" t="str">
        <f>"2041-1006"</f>
        <v>2041-1006</v>
      </c>
      <c r="E18303" t="s">
        <v>8</v>
      </c>
      <c r="F18303" t="s">
        <v>18316</v>
      </c>
      <c r="G18303">
        <v>1</v>
      </c>
    </row>
    <row r="18304" spans="1:7" x14ac:dyDescent="0.25">
      <c r="A18304">
        <v>57</v>
      </c>
      <c r="B18304" t="s">
        <v>18239</v>
      </c>
      <c r="C18304">
        <v>51861</v>
      </c>
      <c r="D18304" t="str">
        <f>"0077-0892"</f>
        <v>0077-0892</v>
      </c>
      <c r="E18304" t="s">
        <v>15</v>
      </c>
      <c r="F18304" t="s">
        <v>18317</v>
      </c>
      <c r="G18304">
        <v>1</v>
      </c>
    </row>
    <row r="18305" spans="1:7" x14ac:dyDescent="0.25">
      <c r="A18305">
        <v>57</v>
      </c>
      <c r="B18305" t="s">
        <v>18239</v>
      </c>
      <c r="C18305">
        <v>5851</v>
      </c>
      <c r="D18305" t="str">
        <f>"1618-1247"</f>
        <v>1618-1247</v>
      </c>
      <c r="E18305" t="s">
        <v>8</v>
      </c>
      <c r="F18305" t="s">
        <v>18318</v>
      </c>
      <c r="G18305">
        <v>1</v>
      </c>
    </row>
    <row r="18306" spans="1:7" x14ac:dyDescent="0.25">
      <c r="A18306">
        <v>57</v>
      </c>
      <c r="B18306" t="s">
        <v>18239</v>
      </c>
      <c r="C18306">
        <v>5653</v>
      </c>
      <c r="D18306" t="str">
        <f>"0361-7734"</f>
        <v>0361-7734</v>
      </c>
      <c r="E18306" t="s">
        <v>8</v>
      </c>
      <c r="F18306" t="s">
        <v>18319</v>
      </c>
      <c r="G18306">
        <v>1</v>
      </c>
    </row>
    <row r="18307" spans="1:7" x14ac:dyDescent="0.25">
      <c r="A18307">
        <v>57</v>
      </c>
      <c r="B18307" t="s">
        <v>18239</v>
      </c>
      <c r="C18307">
        <v>27386</v>
      </c>
      <c r="D18307" t="str">
        <f>"1602-1622"</f>
        <v>1602-1622</v>
      </c>
      <c r="E18307" t="s">
        <v>8</v>
      </c>
      <c r="F18307" t="s">
        <v>18320</v>
      </c>
      <c r="G18307">
        <v>1</v>
      </c>
    </row>
    <row r="18308" spans="1:7" x14ac:dyDescent="0.25">
      <c r="A18308">
        <v>57</v>
      </c>
      <c r="B18308" t="s">
        <v>18239</v>
      </c>
      <c r="C18308">
        <v>12075</v>
      </c>
      <c r="D18308" t="str">
        <f>"0902-0055"</f>
        <v>0902-0055</v>
      </c>
      <c r="E18308" t="s">
        <v>8</v>
      </c>
      <c r="F18308" t="s">
        <v>18321</v>
      </c>
      <c r="G18308">
        <v>1</v>
      </c>
    </row>
    <row r="18309" spans="1:7" x14ac:dyDescent="0.25">
      <c r="A18309">
        <v>57</v>
      </c>
      <c r="B18309" t="s">
        <v>18239</v>
      </c>
      <c r="C18309">
        <v>14288</v>
      </c>
      <c r="D18309" t="str">
        <f>"1368-8375"</f>
        <v>1368-8375</v>
      </c>
      <c r="E18309" t="s">
        <v>8</v>
      </c>
      <c r="F18309" t="s">
        <v>18322</v>
      </c>
      <c r="G18309">
        <v>1</v>
      </c>
    </row>
    <row r="18310" spans="1:7" x14ac:dyDescent="0.25">
      <c r="A18310">
        <v>57</v>
      </c>
      <c r="B18310" t="s">
        <v>18239</v>
      </c>
      <c r="C18310">
        <v>26416</v>
      </c>
      <c r="D18310" t="str">
        <f>"0911-6028"</f>
        <v>0911-6028</v>
      </c>
      <c r="E18310" t="s">
        <v>8</v>
      </c>
      <c r="F18310" t="s">
        <v>18323</v>
      </c>
      <c r="G18310">
        <v>1</v>
      </c>
    </row>
    <row r="18311" spans="1:7" x14ac:dyDescent="0.25">
      <c r="A18311">
        <v>57</v>
      </c>
      <c r="B18311" t="s">
        <v>18239</v>
      </c>
      <c r="C18311">
        <v>25271</v>
      </c>
      <c r="D18311" t="str">
        <f>"1752-2471"</f>
        <v>1752-2471</v>
      </c>
      <c r="E18311" t="s">
        <v>8</v>
      </c>
      <c r="F18311" t="s">
        <v>18324</v>
      </c>
      <c r="G18311">
        <v>1</v>
      </c>
    </row>
    <row r="18312" spans="1:7" x14ac:dyDescent="0.25">
      <c r="A18312">
        <v>57</v>
      </c>
      <c r="B18312" t="s">
        <v>18239</v>
      </c>
      <c r="C18312">
        <v>9805</v>
      </c>
      <c r="D18312" t="str">
        <f>"2212-4403"</f>
        <v>2212-4403</v>
      </c>
      <c r="E18312" t="s">
        <v>8</v>
      </c>
      <c r="F18312" t="s">
        <v>18325</v>
      </c>
      <c r="G18312">
        <v>1</v>
      </c>
    </row>
    <row r="18313" spans="1:7" x14ac:dyDescent="0.25">
      <c r="A18313">
        <v>57</v>
      </c>
      <c r="B18313" t="s">
        <v>18239</v>
      </c>
      <c r="C18313">
        <v>17691</v>
      </c>
      <c r="D18313" t="str">
        <f>"0164-1263"</f>
        <v>0164-1263</v>
      </c>
      <c r="E18313" t="s">
        <v>8</v>
      </c>
      <c r="F18313" t="s">
        <v>18326</v>
      </c>
      <c r="G18313">
        <v>1</v>
      </c>
    </row>
    <row r="18314" spans="1:7" x14ac:dyDescent="0.25">
      <c r="A18314">
        <v>57</v>
      </c>
      <c r="B18314" t="s">
        <v>18239</v>
      </c>
      <c r="C18314">
        <v>9998</v>
      </c>
      <c r="D18314" t="str">
        <f>"0906-6713"</f>
        <v>0906-6713</v>
      </c>
      <c r="E18314" t="s">
        <v>15</v>
      </c>
      <c r="F18314" t="s">
        <v>18327</v>
      </c>
      <c r="G18314">
        <v>1</v>
      </c>
    </row>
    <row r="18315" spans="1:7" x14ac:dyDescent="0.25">
      <c r="A18315">
        <v>57</v>
      </c>
      <c r="B18315" t="s">
        <v>18239</v>
      </c>
      <c r="C18315">
        <v>3594</v>
      </c>
      <c r="D18315" t="str">
        <f>"1399-7513"</f>
        <v>1399-7513</v>
      </c>
      <c r="E18315" t="s">
        <v>8</v>
      </c>
      <c r="F18315" t="s">
        <v>18328</v>
      </c>
      <c r="G18315">
        <v>1</v>
      </c>
    </row>
    <row r="18316" spans="1:7" x14ac:dyDescent="0.25">
      <c r="A18316">
        <v>57</v>
      </c>
      <c r="B18316" t="s">
        <v>18239</v>
      </c>
      <c r="C18316">
        <v>10077</v>
      </c>
      <c r="D18316" t="str">
        <f>"0033-6572"</f>
        <v>0033-6572</v>
      </c>
      <c r="E18316" t="s">
        <v>8</v>
      </c>
      <c r="F18316" t="s">
        <v>18329</v>
      </c>
      <c r="G18316">
        <v>1</v>
      </c>
    </row>
    <row r="18317" spans="1:7" x14ac:dyDescent="0.25">
      <c r="A18317">
        <v>57</v>
      </c>
      <c r="B18317" t="s">
        <v>18239</v>
      </c>
      <c r="C18317">
        <v>25068</v>
      </c>
      <c r="D18317" t="str">
        <f>"0256-2855"</f>
        <v>0256-2855</v>
      </c>
      <c r="E18317" t="s">
        <v>8</v>
      </c>
      <c r="F18317" t="s">
        <v>18330</v>
      </c>
      <c r="G18317">
        <v>1</v>
      </c>
    </row>
    <row r="18318" spans="1:7" x14ac:dyDescent="0.25">
      <c r="A18318">
        <v>57</v>
      </c>
      <c r="B18318" t="s">
        <v>18239</v>
      </c>
      <c r="C18318">
        <v>25482</v>
      </c>
      <c r="D18318" t="str">
        <f>"1073-8746"</f>
        <v>1073-8746</v>
      </c>
      <c r="E18318" t="s">
        <v>8</v>
      </c>
      <c r="F18318" t="s">
        <v>18331</v>
      </c>
      <c r="G18318">
        <v>1</v>
      </c>
    </row>
    <row r="18319" spans="1:7" x14ac:dyDescent="0.25">
      <c r="A18319">
        <v>57</v>
      </c>
      <c r="B18319" t="s">
        <v>18239</v>
      </c>
      <c r="C18319">
        <v>19549</v>
      </c>
      <c r="D18319" t="str">
        <f>"0275-1879"</f>
        <v>0275-1879</v>
      </c>
      <c r="E18319" t="s">
        <v>8</v>
      </c>
      <c r="F18319" t="s">
        <v>18332</v>
      </c>
      <c r="G18319">
        <v>1</v>
      </c>
    </row>
    <row r="18320" spans="1:7" x14ac:dyDescent="0.25">
      <c r="A18320">
        <v>57</v>
      </c>
      <c r="B18320" t="s">
        <v>18239</v>
      </c>
      <c r="C18320">
        <v>10201</v>
      </c>
      <c r="D18320" t="str">
        <f>"0355-4090"</f>
        <v>0355-4090</v>
      </c>
      <c r="E18320" t="s">
        <v>8</v>
      </c>
      <c r="F18320" t="s">
        <v>18333</v>
      </c>
      <c r="G18320">
        <v>1</v>
      </c>
    </row>
    <row r="18321" spans="1:7" x14ac:dyDescent="0.25">
      <c r="A18321">
        <v>57</v>
      </c>
      <c r="B18321" t="s">
        <v>18239</v>
      </c>
      <c r="C18321">
        <v>6858</v>
      </c>
      <c r="D18321" t="str">
        <f>"0039-9353"</f>
        <v>0039-9353</v>
      </c>
      <c r="E18321" t="s">
        <v>8</v>
      </c>
      <c r="F18321" t="s">
        <v>18334</v>
      </c>
      <c r="G18321">
        <v>1</v>
      </c>
    </row>
    <row r="18322" spans="1:7" x14ac:dyDescent="0.25">
      <c r="A18322">
        <v>57</v>
      </c>
      <c r="B18322" t="s">
        <v>18239</v>
      </c>
      <c r="C18322">
        <v>11970</v>
      </c>
      <c r="D18322" t="str">
        <f>"0039-6982"</f>
        <v>0039-6982</v>
      </c>
      <c r="E18322" t="s">
        <v>8</v>
      </c>
      <c r="F18322" t="s">
        <v>18335</v>
      </c>
      <c r="G18322">
        <v>1</v>
      </c>
    </row>
    <row r="18323" spans="1:7" x14ac:dyDescent="0.25">
      <c r="A18323">
        <v>57</v>
      </c>
      <c r="B18323" t="s">
        <v>18239</v>
      </c>
      <c r="C18323">
        <v>4254</v>
      </c>
      <c r="D18323" t="str">
        <f>"0003-3219"</f>
        <v>0003-3219</v>
      </c>
      <c r="E18323" t="s">
        <v>8</v>
      </c>
      <c r="F18323" t="s">
        <v>18336</v>
      </c>
      <c r="G18323">
        <v>1</v>
      </c>
    </row>
    <row r="18324" spans="1:7" x14ac:dyDescent="0.25">
      <c r="A18324">
        <v>57</v>
      </c>
      <c r="B18324" t="s">
        <v>18239</v>
      </c>
      <c r="C18324">
        <v>155024</v>
      </c>
      <c r="D18324" t="str">
        <f>"1548-8578"</f>
        <v>1548-8578</v>
      </c>
      <c r="E18324" t="s">
        <v>8</v>
      </c>
      <c r="F18324" t="s">
        <v>18337</v>
      </c>
      <c r="G18324">
        <v>1</v>
      </c>
    </row>
    <row r="18325" spans="1:7" x14ac:dyDescent="0.25">
      <c r="A18325">
        <v>57</v>
      </c>
      <c r="B18325" t="s">
        <v>18239</v>
      </c>
      <c r="C18325">
        <v>17128</v>
      </c>
      <c r="D18325" t="str">
        <f>"1461-5185"</f>
        <v>1461-5185</v>
      </c>
      <c r="E18325" t="s">
        <v>8</v>
      </c>
      <c r="F18325" t="s">
        <v>18338</v>
      </c>
      <c r="G18325">
        <v>1</v>
      </c>
    </row>
    <row r="18326" spans="1:7" x14ac:dyDescent="0.25">
      <c r="A18326">
        <v>57</v>
      </c>
      <c r="B18326" t="s">
        <v>18239</v>
      </c>
      <c r="C18326">
        <v>12647</v>
      </c>
      <c r="D18326" t="str">
        <f>"0895-8831"</f>
        <v>0895-8831</v>
      </c>
      <c r="E18326" t="s">
        <v>8</v>
      </c>
      <c r="F18326" t="s">
        <v>18339</v>
      </c>
      <c r="G18326">
        <v>1</v>
      </c>
    </row>
    <row r="18327" spans="1:7" x14ac:dyDescent="0.25">
      <c r="A18327">
        <v>57</v>
      </c>
      <c r="B18327" t="s">
        <v>18239</v>
      </c>
      <c r="C18327">
        <v>762</v>
      </c>
      <c r="D18327" t="str">
        <f>"1049-2275"</f>
        <v>1049-2275</v>
      </c>
      <c r="E18327" t="s">
        <v>8</v>
      </c>
      <c r="F18327" t="s">
        <v>18340</v>
      </c>
      <c r="G18327">
        <v>1</v>
      </c>
    </row>
    <row r="18328" spans="1:7" x14ac:dyDescent="0.25">
      <c r="A18328">
        <v>57</v>
      </c>
      <c r="B18328" t="s">
        <v>18239</v>
      </c>
      <c r="C18328">
        <v>14544</v>
      </c>
      <c r="D18328" t="str">
        <f>"0099-2399"</f>
        <v>0099-2399</v>
      </c>
      <c r="E18328" t="s">
        <v>8</v>
      </c>
      <c r="F18328" t="s">
        <v>18341</v>
      </c>
      <c r="G18328">
        <v>1</v>
      </c>
    </row>
    <row r="18329" spans="1:7" x14ac:dyDescent="0.25">
      <c r="A18329">
        <v>57</v>
      </c>
      <c r="B18329" t="s">
        <v>18239</v>
      </c>
      <c r="C18329">
        <v>139598</v>
      </c>
      <c r="E18329" t="s">
        <v>8</v>
      </c>
      <c r="F18329" t="s">
        <v>18342</v>
      </c>
      <c r="G18329">
        <v>1</v>
      </c>
    </row>
    <row r="18330" spans="1:7" x14ac:dyDescent="0.25">
      <c r="A18330">
        <v>57</v>
      </c>
      <c r="B18330" t="s">
        <v>18239</v>
      </c>
      <c r="C18330">
        <v>1802</v>
      </c>
      <c r="D18330" t="str">
        <f>"1013-9052"</f>
        <v>1013-9052</v>
      </c>
      <c r="E18330" t="s">
        <v>8</v>
      </c>
      <c r="F18330" t="s">
        <v>18343</v>
      </c>
      <c r="G18330">
        <v>1</v>
      </c>
    </row>
    <row r="18331" spans="1:7" x14ac:dyDescent="0.25">
      <c r="A18331">
        <v>57</v>
      </c>
      <c r="B18331" t="s">
        <v>18239</v>
      </c>
      <c r="C18331">
        <v>170371</v>
      </c>
      <c r="D18331" t="str">
        <f>"2218-6263"</f>
        <v>2218-6263</v>
      </c>
      <c r="E18331" t="s">
        <v>8</v>
      </c>
      <c r="F18331" t="s">
        <v>18344</v>
      </c>
      <c r="G18331">
        <v>1</v>
      </c>
    </row>
    <row r="18332" spans="1:7" x14ac:dyDescent="0.25">
      <c r="A18332">
        <v>58</v>
      </c>
      <c r="B18332" t="s">
        <v>18345</v>
      </c>
      <c r="C18332">
        <v>11312</v>
      </c>
      <c r="D18332" t="str">
        <f>"0161-9268"</f>
        <v>0161-9268</v>
      </c>
      <c r="E18332" t="s">
        <v>8</v>
      </c>
      <c r="F18332" t="s">
        <v>18346</v>
      </c>
      <c r="G18332">
        <v>2</v>
      </c>
    </row>
    <row r="18333" spans="1:7" x14ac:dyDescent="0.25">
      <c r="A18333">
        <v>58</v>
      </c>
      <c r="B18333" t="s">
        <v>18345</v>
      </c>
      <c r="C18333">
        <v>14686</v>
      </c>
      <c r="D18333" t="str">
        <f>"1087-2914"</f>
        <v>1087-2914</v>
      </c>
      <c r="E18333" t="s">
        <v>8</v>
      </c>
      <c r="F18333" t="s">
        <v>18347</v>
      </c>
      <c r="G18333">
        <v>2</v>
      </c>
    </row>
    <row r="18334" spans="1:7" x14ac:dyDescent="0.25">
      <c r="A18334">
        <v>58</v>
      </c>
      <c r="B18334" t="s">
        <v>18345</v>
      </c>
      <c r="C18334">
        <v>4671</v>
      </c>
      <c r="D18334" t="str">
        <f>"0162-220X"</f>
        <v>0162-220X</v>
      </c>
      <c r="E18334" t="s">
        <v>8</v>
      </c>
      <c r="F18334" t="s">
        <v>18348</v>
      </c>
      <c r="G18334">
        <v>2</v>
      </c>
    </row>
    <row r="18335" spans="1:7" x14ac:dyDescent="0.25">
      <c r="A18335">
        <v>58</v>
      </c>
      <c r="B18335" t="s">
        <v>18345</v>
      </c>
      <c r="C18335">
        <v>7728</v>
      </c>
      <c r="D18335" t="str">
        <f>"1462-3889"</f>
        <v>1462-3889</v>
      </c>
      <c r="E18335" t="s">
        <v>8</v>
      </c>
      <c r="F18335" t="s">
        <v>18349</v>
      </c>
      <c r="G18335">
        <v>2</v>
      </c>
    </row>
    <row r="18336" spans="1:7" x14ac:dyDescent="0.25">
      <c r="A18336">
        <v>58</v>
      </c>
      <c r="B18336" t="s">
        <v>18345</v>
      </c>
      <c r="C18336">
        <v>11166</v>
      </c>
      <c r="D18336" t="str">
        <f>"0739-9332"</f>
        <v>0739-9332</v>
      </c>
      <c r="E18336" t="s">
        <v>8</v>
      </c>
      <c r="F18336" t="s">
        <v>18350</v>
      </c>
      <c r="G18336">
        <v>2</v>
      </c>
    </row>
    <row r="18337" spans="1:7" x14ac:dyDescent="0.25">
      <c r="A18337">
        <v>58</v>
      </c>
      <c r="B18337" t="s">
        <v>18345</v>
      </c>
      <c r="C18337">
        <v>12568</v>
      </c>
      <c r="D18337" t="str">
        <f>"1445-8330"</f>
        <v>1445-8330</v>
      </c>
      <c r="E18337" t="s">
        <v>8</v>
      </c>
      <c r="F18337" t="s">
        <v>18351</v>
      </c>
      <c r="G18337">
        <v>2</v>
      </c>
    </row>
    <row r="18338" spans="1:7" x14ac:dyDescent="0.25">
      <c r="A18338">
        <v>58</v>
      </c>
      <c r="B18338" t="s">
        <v>18345</v>
      </c>
      <c r="C18338">
        <v>7747</v>
      </c>
      <c r="D18338" t="str">
        <f>"0020-7489"</f>
        <v>0020-7489</v>
      </c>
      <c r="E18338" t="s">
        <v>8</v>
      </c>
      <c r="F18338" t="s">
        <v>18352</v>
      </c>
      <c r="G18338">
        <v>2</v>
      </c>
    </row>
    <row r="18339" spans="1:7" x14ac:dyDescent="0.25">
      <c r="A18339">
        <v>58</v>
      </c>
      <c r="B18339" t="s">
        <v>18345</v>
      </c>
      <c r="C18339">
        <v>430</v>
      </c>
      <c r="D18339" t="str">
        <f>"0309-2402"</f>
        <v>0309-2402</v>
      </c>
      <c r="E18339" t="s">
        <v>8</v>
      </c>
      <c r="F18339" t="s">
        <v>18353</v>
      </c>
      <c r="G18339">
        <v>2</v>
      </c>
    </row>
    <row r="18340" spans="1:7" x14ac:dyDescent="0.25">
      <c r="A18340">
        <v>58</v>
      </c>
      <c r="B18340" t="s">
        <v>18345</v>
      </c>
      <c r="C18340">
        <v>3814</v>
      </c>
      <c r="D18340" t="str">
        <f>"0962-1067"</f>
        <v>0962-1067</v>
      </c>
      <c r="E18340" t="s">
        <v>8</v>
      </c>
      <c r="F18340" t="s">
        <v>18354</v>
      </c>
      <c r="G18340">
        <v>2</v>
      </c>
    </row>
    <row r="18341" spans="1:7" x14ac:dyDescent="0.25">
      <c r="A18341">
        <v>58</v>
      </c>
      <c r="B18341" t="s">
        <v>18345</v>
      </c>
      <c r="C18341">
        <v>1326</v>
      </c>
      <c r="D18341" t="str">
        <f>"1074-8407"</f>
        <v>1074-8407</v>
      </c>
      <c r="E18341" t="s">
        <v>8</v>
      </c>
      <c r="F18341" t="s">
        <v>18355</v>
      </c>
      <c r="G18341">
        <v>2</v>
      </c>
    </row>
    <row r="18342" spans="1:7" x14ac:dyDescent="0.25">
      <c r="A18342">
        <v>58</v>
      </c>
      <c r="B18342" t="s">
        <v>18345</v>
      </c>
      <c r="C18342">
        <v>2333</v>
      </c>
      <c r="D18342" t="str">
        <f>"1558-6898"</f>
        <v>1558-6898</v>
      </c>
      <c r="E18342" t="s">
        <v>8</v>
      </c>
      <c r="F18342" t="s">
        <v>18356</v>
      </c>
      <c r="G18342">
        <v>2</v>
      </c>
    </row>
    <row r="18343" spans="1:7" x14ac:dyDescent="0.25">
      <c r="A18343">
        <v>58</v>
      </c>
      <c r="B18343" t="s">
        <v>18345</v>
      </c>
      <c r="C18343">
        <v>9338</v>
      </c>
      <c r="D18343" t="str">
        <f>"0148-4834"</f>
        <v>0148-4834</v>
      </c>
      <c r="E18343" t="s">
        <v>8</v>
      </c>
      <c r="F18343" t="s">
        <v>18357</v>
      </c>
      <c r="G18343">
        <v>2</v>
      </c>
    </row>
    <row r="18344" spans="1:7" x14ac:dyDescent="0.25">
      <c r="A18344">
        <v>58</v>
      </c>
      <c r="B18344" t="s">
        <v>18345</v>
      </c>
      <c r="C18344">
        <v>14117</v>
      </c>
      <c r="D18344" t="str">
        <f>"0966-0429"</f>
        <v>0966-0429</v>
      </c>
      <c r="E18344" t="s">
        <v>8</v>
      </c>
      <c r="F18344" t="s">
        <v>18358</v>
      </c>
      <c r="G18344">
        <v>2</v>
      </c>
    </row>
    <row r="18345" spans="1:7" x14ac:dyDescent="0.25">
      <c r="A18345">
        <v>58</v>
      </c>
      <c r="B18345" t="s">
        <v>18345</v>
      </c>
      <c r="C18345">
        <v>11188</v>
      </c>
      <c r="D18345" t="str">
        <f>"1527-6546"</f>
        <v>1527-6546</v>
      </c>
      <c r="E18345" t="s">
        <v>8</v>
      </c>
      <c r="F18345" t="s">
        <v>18359</v>
      </c>
      <c r="G18345">
        <v>2</v>
      </c>
    </row>
    <row r="18346" spans="1:7" x14ac:dyDescent="0.25">
      <c r="A18346">
        <v>58</v>
      </c>
      <c r="B18346" t="s">
        <v>18345</v>
      </c>
      <c r="C18346">
        <v>1722</v>
      </c>
      <c r="D18346" t="str">
        <f>"0266-6138"</f>
        <v>0266-6138</v>
      </c>
      <c r="E18346" t="s">
        <v>8</v>
      </c>
      <c r="F18346" t="s">
        <v>18360</v>
      </c>
      <c r="G18346">
        <v>2</v>
      </c>
    </row>
    <row r="18347" spans="1:7" x14ac:dyDescent="0.25">
      <c r="A18347">
        <v>58</v>
      </c>
      <c r="B18347" t="s">
        <v>18345</v>
      </c>
      <c r="C18347">
        <v>10792</v>
      </c>
      <c r="D18347" t="str">
        <f>"0260-6917"</f>
        <v>0260-6917</v>
      </c>
      <c r="E18347" t="s">
        <v>8</v>
      </c>
      <c r="F18347" t="s">
        <v>18361</v>
      </c>
      <c r="G18347">
        <v>2</v>
      </c>
    </row>
    <row r="18348" spans="1:7" x14ac:dyDescent="0.25">
      <c r="A18348">
        <v>58</v>
      </c>
      <c r="B18348" t="s">
        <v>18345</v>
      </c>
      <c r="C18348">
        <v>500</v>
      </c>
      <c r="D18348" t="str">
        <f>"0969-7330"</f>
        <v>0969-7330</v>
      </c>
      <c r="E18348" t="s">
        <v>8</v>
      </c>
      <c r="F18348" t="s">
        <v>18362</v>
      </c>
      <c r="G18348">
        <v>2</v>
      </c>
    </row>
    <row r="18349" spans="1:7" x14ac:dyDescent="0.25">
      <c r="A18349">
        <v>58</v>
      </c>
      <c r="B18349" t="s">
        <v>18345</v>
      </c>
      <c r="C18349">
        <v>15114</v>
      </c>
      <c r="D18349" t="str">
        <f>"0029-6554"</f>
        <v>0029-6554</v>
      </c>
      <c r="E18349" t="s">
        <v>8</v>
      </c>
      <c r="F18349" t="s">
        <v>18363</v>
      </c>
      <c r="G18349">
        <v>2</v>
      </c>
    </row>
    <row r="18350" spans="1:7" x14ac:dyDescent="0.25">
      <c r="A18350">
        <v>58</v>
      </c>
      <c r="B18350" t="s">
        <v>18345</v>
      </c>
      <c r="C18350">
        <v>3045</v>
      </c>
      <c r="D18350" t="str">
        <f>"0029-6562"</f>
        <v>0029-6562</v>
      </c>
      <c r="E18350" t="s">
        <v>8</v>
      </c>
      <c r="F18350" t="s">
        <v>18364</v>
      </c>
      <c r="G18350">
        <v>2</v>
      </c>
    </row>
    <row r="18351" spans="1:7" x14ac:dyDescent="0.25">
      <c r="A18351">
        <v>58</v>
      </c>
      <c r="B18351" t="s">
        <v>18345</v>
      </c>
      <c r="C18351">
        <v>267</v>
      </c>
      <c r="D18351" t="str">
        <f>"0190-535X"</f>
        <v>0190-535X</v>
      </c>
      <c r="E18351" t="s">
        <v>8</v>
      </c>
      <c r="F18351" t="s">
        <v>18365</v>
      </c>
      <c r="G18351">
        <v>2</v>
      </c>
    </row>
    <row r="18352" spans="1:7" x14ac:dyDescent="0.25">
      <c r="A18352">
        <v>58</v>
      </c>
      <c r="B18352" t="s">
        <v>18345</v>
      </c>
      <c r="C18352">
        <v>5603</v>
      </c>
      <c r="D18352" t="str">
        <f>"0738-3991"</f>
        <v>0738-3991</v>
      </c>
      <c r="E18352" t="s">
        <v>8</v>
      </c>
      <c r="F18352" t="s">
        <v>18366</v>
      </c>
      <c r="G18352">
        <v>2</v>
      </c>
    </row>
    <row r="18353" spans="1:7" x14ac:dyDescent="0.25">
      <c r="A18353">
        <v>58</v>
      </c>
      <c r="B18353" t="s">
        <v>18345</v>
      </c>
      <c r="C18353">
        <v>17063</v>
      </c>
      <c r="D18353" t="str">
        <f>"0278-4807"</f>
        <v>0278-4807</v>
      </c>
      <c r="E18353" t="s">
        <v>8</v>
      </c>
      <c r="F18353" t="s">
        <v>18367</v>
      </c>
      <c r="G18353">
        <v>2</v>
      </c>
    </row>
    <row r="18354" spans="1:7" x14ac:dyDescent="0.25">
      <c r="A18354">
        <v>58</v>
      </c>
      <c r="B18354" t="s">
        <v>18345</v>
      </c>
      <c r="C18354">
        <v>1798</v>
      </c>
      <c r="D18354" t="str">
        <f>"0889-4655"</f>
        <v>0889-4655</v>
      </c>
      <c r="E18354" t="s">
        <v>8</v>
      </c>
      <c r="F18354" t="s">
        <v>18368</v>
      </c>
      <c r="G18354">
        <v>2</v>
      </c>
    </row>
    <row r="18355" spans="1:7" x14ac:dyDescent="0.25">
      <c r="A18355">
        <v>58</v>
      </c>
      <c r="B18355" t="s">
        <v>18345</v>
      </c>
      <c r="C18355">
        <v>5375</v>
      </c>
      <c r="D18355" t="str">
        <f>"1545-102X"</f>
        <v>1545-102X</v>
      </c>
      <c r="E18355" t="s">
        <v>8</v>
      </c>
      <c r="F18355" t="s">
        <v>18369</v>
      </c>
      <c r="G18355">
        <v>2</v>
      </c>
    </row>
    <row r="18356" spans="1:7" x14ac:dyDescent="0.25">
      <c r="A18356">
        <v>58</v>
      </c>
      <c r="B18356" t="s">
        <v>18345</v>
      </c>
      <c r="C18356">
        <v>1757</v>
      </c>
      <c r="D18356" t="str">
        <f>"1536-0903"</f>
        <v>1536-0903</v>
      </c>
      <c r="E18356" t="s">
        <v>8</v>
      </c>
      <c r="F18356" t="s">
        <v>18370</v>
      </c>
      <c r="G18356">
        <v>1</v>
      </c>
    </row>
    <row r="18357" spans="1:7" x14ac:dyDescent="0.25">
      <c r="A18357">
        <v>58</v>
      </c>
      <c r="B18357" t="s">
        <v>18345</v>
      </c>
      <c r="C18357">
        <v>2075</v>
      </c>
      <c r="D18357" t="str">
        <f>"1527-7941"</f>
        <v>1527-7941</v>
      </c>
      <c r="E18357" t="s">
        <v>8</v>
      </c>
      <c r="F18357" t="s">
        <v>18371</v>
      </c>
      <c r="G18357">
        <v>1</v>
      </c>
    </row>
    <row r="18358" spans="1:7" x14ac:dyDescent="0.25">
      <c r="A18358">
        <v>58</v>
      </c>
      <c r="B18358" t="s">
        <v>18345</v>
      </c>
      <c r="C18358">
        <v>12811</v>
      </c>
      <c r="D18358" t="str">
        <f>"0002-936X"</f>
        <v>0002-936X</v>
      </c>
      <c r="E18358" t="s">
        <v>8</v>
      </c>
      <c r="F18358" t="s">
        <v>18372</v>
      </c>
      <c r="G18358">
        <v>1</v>
      </c>
    </row>
    <row r="18359" spans="1:7" x14ac:dyDescent="0.25">
      <c r="A18359">
        <v>58</v>
      </c>
      <c r="B18359" t="s">
        <v>18345</v>
      </c>
      <c r="C18359">
        <v>8342</v>
      </c>
      <c r="D18359" t="str">
        <f>"1524-7929"</f>
        <v>1524-7929</v>
      </c>
      <c r="E18359" t="s">
        <v>8</v>
      </c>
      <c r="F18359" t="s">
        <v>18373</v>
      </c>
      <c r="G18359">
        <v>1</v>
      </c>
    </row>
    <row r="18360" spans="1:7" x14ac:dyDescent="0.25">
      <c r="A18360">
        <v>58</v>
      </c>
      <c r="B18360" t="s">
        <v>18345</v>
      </c>
      <c r="C18360">
        <v>24935</v>
      </c>
      <c r="D18360" t="str">
        <f>"0001-2092"</f>
        <v>0001-2092</v>
      </c>
      <c r="E18360" t="s">
        <v>8</v>
      </c>
      <c r="F18360" t="s">
        <v>18374</v>
      </c>
      <c r="G18360">
        <v>1</v>
      </c>
    </row>
    <row r="18361" spans="1:7" x14ac:dyDescent="0.25">
      <c r="A18361">
        <v>58</v>
      </c>
      <c r="B18361" t="s">
        <v>18345</v>
      </c>
      <c r="C18361">
        <v>6908</v>
      </c>
      <c r="D18361" t="str">
        <f>"0897-1897"</f>
        <v>0897-1897</v>
      </c>
      <c r="E18361" t="s">
        <v>8</v>
      </c>
      <c r="F18361" t="s">
        <v>18375</v>
      </c>
      <c r="G18361">
        <v>1</v>
      </c>
    </row>
    <row r="18362" spans="1:7" x14ac:dyDescent="0.25">
      <c r="A18362">
        <v>58</v>
      </c>
      <c r="B18362" t="s">
        <v>18345</v>
      </c>
      <c r="C18362">
        <v>16955</v>
      </c>
      <c r="D18362" t="str">
        <f>"0883-9417"</f>
        <v>0883-9417</v>
      </c>
      <c r="E18362" t="s">
        <v>8</v>
      </c>
      <c r="F18362" t="s">
        <v>18376</v>
      </c>
      <c r="G18362">
        <v>1</v>
      </c>
    </row>
    <row r="18363" spans="1:7" x14ac:dyDescent="0.25">
      <c r="A18363">
        <v>58</v>
      </c>
      <c r="B18363" t="s">
        <v>18345</v>
      </c>
      <c r="C18363">
        <v>9233</v>
      </c>
      <c r="D18363" t="str">
        <f>"1099-8004"</f>
        <v>1099-8004</v>
      </c>
      <c r="E18363" t="s">
        <v>8</v>
      </c>
      <c r="F18363" t="s">
        <v>18377</v>
      </c>
      <c r="G18363">
        <v>1</v>
      </c>
    </row>
    <row r="18364" spans="1:7" x14ac:dyDescent="0.25">
      <c r="A18364">
        <v>58</v>
      </c>
      <c r="B18364" t="s">
        <v>18345</v>
      </c>
      <c r="C18364">
        <v>3812</v>
      </c>
      <c r="E18364" t="s">
        <v>8</v>
      </c>
      <c r="F18364" t="s">
        <v>18378</v>
      </c>
      <c r="G18364">
        <v>1</v>
      </c>
    </row>
    <row r="18365" spans="1:7" x14ac:dyDescent="0.25">
      <c r="A18365">
        <v>58</v>
      </c>
      <c r="B18365" t="s">
        <v>18345</v>
      </c>
      <c r="C18365">
        <v>154465</v>
      </c>
      <c r="D18365" t="str">
        <f>"1757-790X"</f>
        <v>1757-790X</v>
      </c>
      <c r="E18365" t="s">
        <v>8</v>
      </c>
      <c r="F18365" t="s">
        <v>18379</v>
      </c>
      <c r="G18365">
        <v>1</v>
      </c>
    </row>
    <row r="18366" spans="1:7" x14ac:dyDescent="0.25">
      <c r="A18366">
        <v>58</v>
      </c>
      <c r="B18366" t="s">
        <v>18345</v>
      </c>
      <c r="C18366">
        <v>23141</v>
      </c>
      <c r="D18366" t="str">
        <f>"1742-6456"</f>
        <v>1742-6456</v>
      </c>
      <c r="E18366" t="s">
        <v>8</v>
      </c>
      <c r="F18366" t="s">
        <v>18380</v>
      </c>
      <c r="G18366">
        <v>1</v>
      </c>
    </row>
    <row r="18367" spans="1:7" x14ac:dyDescent="0.25">
      <c r="A18367">
        <v>58</v>
      </c>
      <c r="B18367" t="s">
        <v>18345</v>
      </c>
      <c r="C18367">
        <v>19121</v>
      </c>
      <c r="D18367" t="str">
        <f>"1462-4753"</f>
        <v>1462-4753</v>
      </c>
      <c r="E18367" t="s">
        <v>8</v>
      </c>
      <c r="F18367" t="s">
        <v>18381</v>
      </c>
      <c r="G18367">
        <v>1</v>
      </c>
    </row>
    <row r="18368" spans="1:7" x14ac:dyDescent="0.25">
      <c r="A18368">
        <v>58</v>
      </c>
      <c r="B18368" t="s">
        <v>18345</v>
      </c>
      <c r="C18368">
        <v>25110</v>
      </c>
      <c r="D18368" t="str">
        <f>"0969-4900"</f>
        <v>0969-4900</v>
      </c>
      <c r="E18368" t="s">
        <v>8</v>
      </c>
      <c r="F18368" t="s">
        <v>18382</v>
      </c>
      <c r="G18368">
        <v>1</v>
      </c>
    </row>
    <row r="18369" spans="1:7" x14ac:dyDescent="0.25">
      <c r="A18369">
        <v>58</v>
      </c>
      <c r="B18369" t="s">
        <v>18345</v>
      </c>
      <c r="C18369">
        <v>26799</v>
      </c>
      <c r="D18369" t="str">
        <f>"0966-0461"</f>
        <v>0966-0461</v>
      </c>
      <c r="E18369" t="s">
        <v>8</v>
      </c>
      <c r="F18369" t="s">
        <v>18383</v>
      </c>
      <c r="G18369">
        <v>1</v>
      </c>
    </row>
    <row r="18370" spans="1:7" x14ac:dyDescent="0.25">
      <c r="A18370">
        <v>58</v>
      </c>
      <c r="B18370" t="s">
        <v>18345</v>
      </c>
      <c r="C18370">
        <v>10881</v>
      </c>
      <c r="D18370" t="str">
        <f>"1054-7738"</f>
        <v>1054-7738</v>
      </c>
      <c r="E18370" t="s">
        <v>8</v>
      </c>
      <c r="F18370" t="s">
        <v>18384</v>
      </c>
      <c r="G18370">
        <v>1</v>
      </c>
    </row>
    <row r="18371" spans="1:7" x14ac:dyDescent="0.25">
      <c r="A18371">
        <v>58</v>
      </c>
      <c r="B18371" t="s">
        <v>18345</v>
      </c>
      <c r="C18371">
        <v>2784</v>
      </c>
      <c r="D18371" t="str">
        <f>"1744-3881"</f>
        <v>1744-3881</v>
      </c>
      <c r="E18371" t="s">
        <v>8</v>
      </c>
      <c r="F18371" t="s">
        <v>18385</v>
      </c>
      <c r="G18371">
        <v>1</v>
      </c>
    </row>
    <row r="18372" spans="1:7" x14ac:dyDescent="0.25">
      <c r="A18372">
        <v>58</v>
      </c>
      <c r="B18372" t="s">
        <v>18345</v>
      </c>
      <c r="C18372">
        <v>6555</v>
      </c>
      <c r="D18372" t="str">
        <f>"1538-2931"</f>
        <v>1538-2931</v>
      </c>
      <c r="E18372" t="s">
        <v>8</v>
      </c>
      <c r="F18372" t="s">
        <v>18386</v>
      </c>
      <c r="G18372">
        <v>1</v>
      </c>
    </row>
    <row r="18373" spans="1:7" x14ac:dyDescent="0.25">
      <c r="A18373">
        <v>58</v>
      </c>
      <c r="B18373" t="s">
        <v>18345</v>
      </c>
      <c r="C18373">
        <v>16902</v>
      </c>
      <c r="D18373" t="str">
        <f>"1748-6254"</f>
        <v>1748-6254</v>
      </c>
      <c r="E18373" t="s">
        <v>8</v>
      </c>
      <c r="F18373" t="s">
        <v>18387</v>
      </c>
      <c r="G18373">
        <v>1</v>
      </c>
    </row>
    <row r="18374" spans="1:7" x14ac:dyDescent="0.25">
      <c r="A18374">
        <v>58</v>
      </c>
      <c r="B18374" t="s">
        <v>18345</v>
      </c>
      <c r="C18374">
        <v>22579</v>
      </c>
      <c r="D18374" t="str">
        <f>"1037-6178"</f>
        <v>1037-6178</v>
      </c>
      <c r="E18374" t="s">
        <v>8</v>
      </c>
      <c r="F18374" t="s">
        <v>18388</v>
      </c>
      <c r="G18374">
        <v>1</v>
      </c>
    </row>
    <row r="18375" spans="1:7" x14ac:dyDescent="0.25">
      <c r="A18375">
        <v>58</v>
      </c>
      <c r="B18375" t="s">
        <v>18345</v>
      </c>
      <c r="C18375">
        <v>11437</v>
      </c>
      <c r="D18375" t="str">
        <f>"0887-9303"</f>
        <v>0887-9303</v>
      </c>
      <c r="E18375" t="s">
        <v>8</v>
      </c>
      <c r="F18375" t="s">
        <v>18389</v>
      </c>
      <c r="G18375">
        <v>1</v>
      </c>
    </row>
    <row r="18376" spans="1:7" x14ac:dyDescent="0.25">
      <c r="A18376">
        <v>58</v>
      </c>
      <c r="B18376" t="s">
        <v>18345</v>
      </c>
      <c r="C18376">
        <v>154925</v>
      </c>
      <c r="D18376" t="str">
        <f>"0730-4625"</f>
        <v>0730-4625</v>
      </c>
      <c r="E18376" t="s">
        <v>8</v>
      </c>
      <c r="F18376" t="s">
        <v>18390</v>
      </c>
      <c r="G18376">
        <v>1</v>
      </c>
    </row>
    <row r="18377" spans="1:7" x14ac:dyDescent="0.25">
      <c r="A18377">
        <v>58</v>
      </c>
      <c r="B18377" t="s">
        <v>18345</v>
      </c>
      <c r="C18377">
        <v>8758225</v>
      </c>
      <c r="E18377" t="s">
        <v>8</v>
      </c>
      <c r="F18377" t="s">
        <v>18391</v>
      </c>
      <c r="G18377">
        <v>1</v>
      </c>
    </row>
    <row r="18378" spans="1:7" x14ac:dyDescent="0.25">
      <c r="A18378">
        <v>58</v>
      </c>
      <c r="B18378" t="s">
        <v>18345</v>
      </c>
      <c r="C18378">
        <v>10262</v>
      </c>
      <c r="D18378" t="str">
        <f>"0961-5423"</f>
        <v>0961-5423</v>
      </c>
      <c r="E18378" t="s">
        <v>8</v>
      </c>
      <c r="F18378" t="s">
        <v>18392</v>
      </c>
      <c r="G18378">
        <v>1</v>
      </c>
    </row>
    <row r="18379" spans="1:7" x14ac:dyDescent="0.25">
      <c r="A18379">
        <v>58</v>
      </c>
      <c r="B18379" t="s">
        <v>18345</v>
      </c>
      <c r="C18379">
        <v>3608</v>
      </c>
      <c r="D18379" t="str">
        <f>"1474-5151"</f>
        <v>1474-5151</v>
      </c>
      <c r="E18379" t="s">
        <v>8</v>
      </c>
      <c r="F18379" t="s">
        <v>18393</v>
      </c>
      <c r="G18379">
        <v>1</v>
      </c>
    </row>
    <row r="18380" spans="1:7" x14ac:dyDescent="0.25">
      <c r="A18380">
        <v>58</v>
      </c>
      <c r="B18380" t="s">
        <v>18345</v>
      </c>
      <c r="C18380">
        <v>5806</v>
      </c>
      <c r="D18380" t="str">
        <f>"1367-6539"</f>
        <v>1367-6539</v>
      </c>
      <c r="E18380" t="s">
        <v>8</v>
      </c>
      <c r="F18380" t="s">
        <v>18394</v>
      </c>
      <c r="G18380">
        <v>1</v>
      </c>
    </row>
    <row r="18381" spans="1:7" x14ac:dyDescent="0.25">
      <c r="A18381">
        <v>58</v>
      </c>
      <c r="B18381" t="s">
        <v>18345</v>
      </c>
      <c r="C18381">
        <v>10767</v>
      </c>
      <c r="D18381" t="str">
        <f>"1042-895X"</f>
        <v>1042-895X</v>
      </c>
      <c r="E18381" t="s">
        <v>8</v>
      </c>
      <c r="F18381" t="s">
        <v>18395</v>
      </c>
      <c r="G18381">
        <v>1</v>
      </c>
    </row>
    <row r="18382" spans="1:7" x14ac:dyDescent="0.25">
      <c r="A18382">
        <v>58</v>
      </c>
      <c r="B18382" t="s">
        <v>18345</v>
      </c>
      <c r="C18382">
        <v>23445</v>
      </c>
      <c r="D18382" t="str">
        <f>"1479-5248"</f>
        <v>1479-5248</v>
      </c>
      <c r="E18382" t="s">
        <v>8</v>
      </c>
      <c r="F18382" t="s">
        <v>18396</v>
      </c>
      <c r="G18382">
        <v>1</v>
      </c>
    </row>
    <row r="18383" spans="1:7" x14ac:dyDescent="0.25">
      <c r="A18383">
        <v>58</v>
      </c>
      <c r="B18383" t="s">
        <v>18345</v>
      </c>
      <c r="C18383">
        <v>7718</v>
      </c>
      <c r="D18383" t="str">
        <f>"0197-4572"</f>
        <v>0197-4572</v>
      </c>
      <c r="E18383" t="s">
        <v>8</v>
      </c>
      <c r="F18383" t="s">
        <v>18397</v>
      </c>
      <c r="G18383">
        <v>1</v>
      </c>
    </row>
    <row r="18384" spans="1:7" x14ac:dyDescent="0.25">
      <c r="A18384">
        <v>58</v>
      </c>
      <c r="B18384" t="s">
        <v>18345</v>
      </c>
      <c r="C18384">
        <v>8776857</v>
      </c>
      <c r="D18384" t="str">
        <f>"2333-3936"</f>
        <v>2333-3936</v>
      </c>
      <c r="E18384" t="s">
        <v>8</v>
      </c>
      <c r="F18384" t="s">
        <v>18398</v>
      </c>
      <c r="G18384">
        <v>1</v>
      </c>
    </row>
    <row r="18385" spans="1:7" x14ac:dyDescent="0.25">
      <c r="A18385">
        <v>58</v>
      </c>
      <c r="B18385" t="s">
        <v>18345</v>
      </c>
      <c r="C18385">
        <v>10191</v>
      </c>
      <c r="D18385" t="str">
        <f>"0887-9311"</f>
        <v>0887-9311</v>
      </c>
      <c r="E18385" t="s">
        <v>8</v>
      </c>
      <c r="F18385" t="s">
        <v>18399</v>
      </c>
      <c r="G18385">
        <v>1</v>
      </c>
    </row>
    <row r="18386" spans="1:7" x14ac:dyDescent="0.25">
      <c r="A18386">
        <v>58</v>
      </c>
      <c r="B18386" t="s">
        <v>18345</v>
      </c>
      <c r="C18386">
        <v>10325</v>
      </c>
      <c r="D18386" t="str">
        <f>"0964-3397"</f>
        <v>0964-3397</v>
      </c>
      <c r="E18386" t="s">
        <v>8</v>
      </c>
      <c r="F18386" t="s">
        <v>18400</v>
      </c>
      <c r="G18386">
        <v>1</v>
      </c>
    </row>
    <row r="18387" spans="1:7" x14ac:dyDescent="0.25">
      <c r="A18387">
        <v>58</v>
      </c>
      <c r="B18387" t="s">
        <v>18345</v>
      </c>
      <c r="C18387">
        <v>7157</v>
      </c>
      <c r="D18387" t="str">
        <f>"1755-599X"</f>
        <v>1755-599X</v>
      </c>
      <c r="E18387" t="s">
        <v>8</v>
      </c>
      <c r="F18387" t="s">
        <v>18401</v>
      </c>
      <c r="G18387">
        <v>1</v>
      </c>
    </row>
    <row r="18388" spans="1:7" x14ac:dyDescent="0.25">
      <c r="A18388">
        <v>58</v>
      </c>
      <c r="B18388" t="s">
        <v>18345</v>
      </c>
      <c r="C18388">
        <v>27112</v>
      </c>
      <c r="D18388" t="str">
        <f>"1548-923X"</f>
        <v>1548-923X</v>
      </c>
      <c r="E18388" t="s">
        <v>8</v>
      </c>
      <c r="F18388" t="s">
        <v>18402</v>
      </c>
      <c r="G18388">
        <v>1</v>
      </c>
    </row>
    <row r="18389" spans="1:7" x14ac:dyDescent="0.25">
      <c r="A18389">
        <v>58</v>
      </c>
      <c r="B18389" t="s">
        <v>18345</v>
      </c>
      <c r="C18389">
        <v>10706</v>
      </c>
      <c r="D18389" t="str">
        <f>"1322-7114"</f>
        <v>1322-7114</v>
      </c>
      <c r="E18389" t="s">
        <v>8</v>
      </c>
      <c r="F18389" t="s">
        <v>18403</v>
      </c>
      <c r="G18389">
        <v>1</v>
      </c>
    </row>
    <row r="18390" spans="1:7" x14ac:dyDescent="0.25">
      <c r="A18390">
        <v>58</v>
      </c>
      <c r="B18390" t="s">
        <v>18345</v>
      </c>
      <c r="C18390">
        <v>9592</v>
      </c>
      <c r="D18390" t="str">
        <f>"1748-3735"</f>
        <v>1748-3735</v>
      </c>
      <c r="E18390" t="s">
        <v>8</v>
      </c>
      <c r="F18390" t="s">
        <v>18404</v>
      </c>
      <c r="G18390">
        <v>1</v>
      </c>
    </row>
    <row r="18391" spans="1:7" x14ac:dyDescent="0.25">
      <c r="A18391">
        <v>58</v>
      </c>
      <c r="B18391" t="s">
        <v>18345</v>
      </c>
      <c r="C18391">
        <v>5725</v>
      </c>
      <c r="D18391" t="str">
        <f>"1878-1241"</f>
        <v>1878-1241</v>
      </c>
      <c r="E18391" t="s">
        <v>8</v>
      </c>
      <c r="F18391" t="s">
        <v>18405</v>
      </c>
      <c r="G18391">
        <v>1</v>
      </c>
    </row>
    <row r="18392" spans="1:7" x14ac:dyDescent="0.25">
      <c r="A18392">
        <v>58</v>
      </c>
      <c r="B18392" t="s">
        <v>18345</v>
      </c>
      <c r="C18392">
        <v>16281</v>
      </c>
      <c r="D18392" t="str">
        <f>"1357-6321"</f>
        <v>1357-6321</v>
      </c>
      <c r="E18392" t="s">
        <v>8</v>
      </c>
      <c r="F18392" t="s">
        <v>18406</v>
      </c>
      <c r="G18392">
        <v>1</v>
      </c>
    </row>
    <row r="18393" spans="1:7" x14ac:dyDescent="0.25">
      <c r="A18393">
        <v>58</v>
      </c>
      <c r="B18393" t="s">
        <v>18345</v>
      </c>
      <c r="C18393">
        <v>20759</v>
      </c>
      <c r="D18393" t="str">
        <f>"1749-7701"</f>
        <v>1749-7701</v>
      </c>
      <c r="E18393" t="s">
        <v>8</v>
      </c>
      <c r="F18393" t="s">
        <v>18407</v>
      </c>
      <c r="G18393">
        <v>1</v>
      </c>
    </row>
    <row r="18394" spans="1:7" x14ac:dyDescent="0.25">
      <c r="A18394">
        <v>58</v>
      </c>
      <c r="B18394" t="s">
        <v>18345</v>
      </c>
      <c r="C18394">
        <v>16702</v>
      </c>
      <c r="D18394" t="str">
        <f>"0020-8132"</f>
        <v>0020-8132</v>
      </c>
      <c r="E18394" t="s">
        <v>8</v>
      </c>
      <c r="F18394" t="s">
        <v>18408</v>
      </c>
      <c r="G18394">
        <v>1</v>
      </c>
    </row>
    <row r="18395" spans="1:7" x14ac:dyDescent="0.25">
      <c r="A18395">
        <v>58</v>
      </c>
      <c r="B18395" t="s">
        <v>18345</v>
      </c>
      <c r="C18395">
        <v>435</v>
      </c>
      <c r="D18395" t="str">
        <f>"0146-0862"</f>
        <v>0146-0862</v>
      </c>
      <c r="E18395" t="s">
        <v>8</v>
      </c>
      <c r="F18395" t="s">
        <v>18409</v>
      </c>
      <c r="G18395">
        <v>1</v>
      </c>
    </row>
    <row r="18396" spans="1:7" x14ac:dyDescent="0.25">
      <c r="A18396">
        <v>58</v>
      </c>
      <c r="B18396" t="s">
        <v>18345</v>
      </c>
      <c r="C18396">
        <v>15076</v>
      </c>
      <c r="D18396" t="str">
        <f>"0161-2840"</f>
        <v>0161-2840</v>
      </c>
      <c r="E18396" t="s">
        <v>8</v>
      </c>
      <c r="F18396" t="s">
        <v>18410</v>
      </c>
      <c r="G18396">
        <v>1</v>
      </c>
    </row>
    <row r="18397" spans="1:7" x14ac:dyDescent="0.25">
      <c r="A18397">
        <v>58</v>
      </c>
      <c r="B18397" t="s">
        <v>18345</v>
      </c>
      <c r="C18397">
        <v>8758247</v>
      </c>
      <c r="D18397" t="str">
        <f>"2202-4433"</f>
        <v>2202-4433</v>
      </c>
      <c r="E18397" t="s">
        <v>8</v>
      </c>
      <c r="F18397" t="s">
        <v>18411</v>
      </c>
      <c r="G18397">
        <v>1</v>
      </c>
    </row>
    <row r="18398" spans="1:7" x14ac:dyDescent="0.25">
      <c r="A18398">
        <v>58</v>
      </c>
      <c r="B18398" t="s">
        <v>18345</v>
      </c>
      <c r="C18398">
        <v>10406</v>
      </c>
      <c r="D18398" t="str">
        <f>"1088-4602"</f>
        <v>1088-4602</v>
      </c>
      <c r="E18398" t="s">
        <v>8</v>
      </c>
      <c r="F18398" t="s">
        <v>18412</v>
      </c>
      <c r="G18398">
        <v>1</v>
      </c>
    </row>
    <row r="18399" spans="1:7" x14ac:dyDescent="0.25">
      <c r="A18399">
        <v>58</v>
      </c>
      <c r="B18399" t="s">
        <v>18345</v>
      </c>
      <c r="C18399">
        <v>17699</v>
      </c>
      <c r="D18399" t="str">
        <f>"1559-047X"</f>
        <v>1559-047X</v>
      </c>
      <c r="E18399" t="s">
        <v>8</v>
      </c>
      <c r="F18399" t="s">
        <v>18413</v>
      </c>
      <c r="G18399">
        <v>1</v>
      </c>
    </row>
    <row r="18400" spans="1:7" x14ac:dyDescent="0.25">
      <c r="A18400">
        <v>58</v>
      </c>
      <c r="B18400" t="s">
        <v>18345</v>
      </c>
      <c r="C18400">
        <v>24707</v>
      </c>
      <c r="D18400" t="str">
        <f>"0743-2550"</f>
        <v>0743-2550</v>
      </c>
      <c r="E18400" t="s">
        <v>8</v>
      </c>
      <c r="F18400" t="s">
        <v>18414</v>
      </c>
      <c r="G18400">
        <v>1</v>
      </c>
    </row>
    <row r="18401" spans="1:7" x14ac:dyDescent="0.25">
      <c r="A18401">
        <v>58</v>
      </c>
      <c r="B18401" t="s">
        <v>18345</v>
      </c>
      <c r="C18401">
        <v>14325</v>
      </c>
      <c r="D18401" t="str">
        <f>"0737-0016"</f>
        <v>0737-0016</v>
      </c>
      <c r="E18401" t="s">
        <v>8</v>
      </c>
      <c r="F18401" t="s">
        <v>18415</v>
      </c>
      <c r="G18401">
        <v>1</v>
      </c>
    </row>
    <row r="18402" spans="1:7" x14ac:dyDescent="0.25">
      <c r="A18402">
        <v>58</v>
      </c>
      <c r="B18402" t="s">
        <v>18345</v>
      </c>
      <c r="C18402">
        <v>6232</v>
      </c>
      <c r="D18402" t="str">
        <f>"0099-1767"</f>
        <v>0099-1767</v>
      </c>
      <c r="E18402" t="s">
        <v>8</v>
      </c>
      <c r="F18402" t="s">
        <v>18416</v>
      </c>
      <c r="G18402">
        <v>1</v>
      </c>
    </row>
    <row r="18403" spans="1:7" x14ac:dyDescent="0.25">
      <c r="A18403">
        <v>58</v>
      </c>
      <c r="B18403" t="s">
        <v>18345</v>
      </c>
      <c r="C18403">
        <v>26959</v>
      </c>
      <c r="D18403" t="str">
        <f>"1556-3693"</f>
        <v>1556-3693</v>
      </c>
      <c r="E18403" t="s">
        <v>8</v>
      </c>
      <c r="F18403" t="s">
        <v>18417</v>
      </c>
      <c r="G18403">
        <v>1</v>
      </c>
    </row>
    <row r="18404" spans="1:7" x14ac:dyDescent="0.25">
      <c r="A18404">
        <v>58</v>
      </c>
      <c r="B18404" t="s">
        <v>18345</v>
      </c>
      <c r="C18404">
        <v>11439</v>
      </c>
      <c r="D18404" t="str">
        <f>"0098-9134"</f>
        <v>0098-9134</v>
      </c>
      <c r="E18404" t="s">
        <v>8</v>
      </c>
      <c r="F18404" t="s">
        <v>18418</v>
      </c>
      <c r="G18404">
        <v>1</v>
      </c>
    </row>
    <row r="18405" spans="1:7" x14ac:dyDescent="0.25">
      <c r="A18405">
        <v>58</v>
      </c>
      <c r="B18405" t="s">
        <v>18345</v>
      </c>
      <c r="C18405">
        <v>13739</v>
      </c>
      <c r="D18405" t="str">
        <f>"0898-0101"</f>
        <v>0898-0101</v>
      </c>
      <c r="E18405" t="s">
        <v>8</v>
      </c>
      <c r="F18405" t="s">
        <v>18419</v>
      </c>
      <c r="G18405">
        <v>1</v>
      </c>
    </row>
    <row r="18406" spans="1:7" x14ac:dyDescent="0.25">
      <c r="A18406">
        <v>58</v>
      </c>
      <c r="B18406" t="s">
        <v>18345</v>
      </c>
      <c r="C18406">
        <v>16694</v>
      </c>
      <c r="D18406" t="str">
        <f>"1522-2179"</f>
        <v>1522-2179</v>
      </c>
      <c r="E18406" t="s">
        <v>8</v>
      </c>
      <c r="F18406" t="s">
        <v>18420</v>
      </c>
      <c r="G18406">
        <v>1</v>
      </c>
    </row>
    <row r="18407" spans="1:7" x14ac:dyDescent="0.25">
      <c r="A18407">
        <v>58</v>
      </c>
      <c r="B18407" t="s">
        <v>18345</v>
      </c>
      <c r="C18407">
        <v>16207</v>
      </c>
      <c r="D18407" t="str">
        <f>"1533-1458"</f>
        <v>1533-1458</v>
      </c>
      <c r="E18407" t="s">
        <v>8</v>
      </c>
      <c r="F18407" t="s">
        <v>18421</v>
      </c>
      <c r="G18407">
        <v>1</v>
      </c>
    </row>
    <row r="18408" spans="1:7" x14ac:dyDescent="0.25">
      <c r="A18408">
        <v>58</v>
      </c>
      <c r="B18408" t="s">
        <v>18345</v>
      </c>
      <c r="C18408">
        <v>11553</v>
      </c>
      <c r="D18408" t="str">
        <f>"1356-1820"</f>
        <v>1356-1820</v>
      </c>
      <c r="E18408" t="s">
        <v>8</v>
      </c>
      <c r="F18408" t="s">
        <v>18422</v>
      </c>
      <c r="G18408">
        <v>1</v>
      </c>
    </row>
    <row r="18409" spans="1:7" x14ac:dyDescent="0.25">
      <c r="A18409">
        <v>58</v>
      </c>
      <c r="B18409" t="s">
        <v>18345</v>
      </c>
      <c r="C18409">
        <v>14464</v>
      </c>
      <c r="D18409" t="str">
        <f>"1526-9523"</f>
        <v>1526-9523</v>
      </c>
      <c r="E18409" t="s">
        <v>8</v>
      </c>
      <c r="F18409" t="s">
        <v>18423</v>
      </c>
      <c r="G18409">
        <v>1</v>
      </c>
    </row>
    <row r="18410" spans="1:7" x14ac:dyDescent="0.25">
      <c r="A18410">
        <v>58</v>
      </c>
      <c r="B18410" t="s">
        <v>18345</v>
      </c>
      <c r="C18410">
        <v>5647</v>
      </c>
      <c r="D18410" t="str">
        <f>"1355-1841"</f>
        <v>1355-1841</v>
      </c>
      <c r="E18410" t="s">
        <v>8</v>
      </c>
      <c r="F18410" t="s">
        <v>18424</v>
      </c>
      <c r="G18410">
        <v>1</v>
      </c>
    </row>
    <row r="18411" spans="1:7" x14ac:dyDescent="0.25">
      <c r="A18411">
        <v>58</v>
      </c>
      <c r="B18411" t="s">
        <v>18345</v>
      </c>
      <c r="C18411">
        <v>65093</v>
      </c>
      <c r="D18411" t="str">
        <f>"1752-9816"</f>
        <v>1752-9816</v>
      </c>
      <c r="E18411" t="s">
        <v>8</v>
      </c>
      <c r="F18411" t="s">
        <v>18425</v>
      </c>
      <c r="G18411">
        <v>1</v>
      </c>
    </row>
    <row r="18412" spans="1:7" x14ac:dyDescent="0.25">
      <c r="A18412">
        <v>58</v>
      </c>
      <c r="B18412" t="s">
        <v>18345</v>
      </c>
      <c r="C18412">
        <v>6866</v>
      </c>
      <c r="D18412" t="str">
        <f>"1057-3631"</f>
        <v>1057-3631</v>
      </c>
      <c r="E18412" t="s">
        <v>8</v>
      </c>
      <c r="F18412" t="s">
        <v>18426</v>
      </c>
      <c r="G18412">
        <v>1</v>
      </c>
    </row>
    <row r="18413" spans="1:7" x14ac:dyDescent="0.25">
      <c r="A18413">
        <v>58</v>
      </c>
      <c r="B18413" t="s">
        <v>18345</v>
      </c>
      <c r="C18413">
        <v>16823</v>
      </c>
      <c r="D18413" t="str">
        <f>"1061-3749"</f>
        <v>1061-3749</v>
      </c>
      <c r="E18413" t="s">
        <v>8</v>
      </c>
      <c r="F18413" t="s">
        <v>18427</v>
      </c>
      <c r="G18413">
        <v>1</v>
      </c>
    </row>
    <row r="18414" spans="1:7" x14ac:dyDescent="0.25">
      <c r="A18414">
        <v>58</v>
      </c>
      <c r="B18414" t="s">
        <v>18345</v>
      </c>
      <c r="C18414">
        <v>6263</v>
      </c>
      <c r="D18414" t="str">
        <f>"0884-2175"</f>
        <v>0884-2175</v>
      </c>
      <c r="E18414" t="s">
        <v>8</v>
      </c>
      <c r="F18414" t="s">
        <v>18428</v>
      </c>
      <c r="G18414">
        <v>1</v>
      </c>
    </row>
    <row r="18415" spans="1:7" x14ac:dyDescent="0.25">
      <c r="A18415">
        <v>58</v>
      </c>
      <c r="B18415" t="s">
        <v>18345</v>
      </c>
      <c r="C18415">
        <v>5945</v>
      </c>
      <c r="D18415" t="str">
        <f>"0882-5963"</f>
        <v>0882-5963</v>
      </c>
      <c r="E18415" t="s">
        <v>8</v>
      </c>
      <c r="F18415" t="s">
        <v>18429</v>
      </c>
      <c r="G18415">
        <v>1</v>
      </c>
    </row>
    <row r="18416" spans="1:7" x14ac:dyDescent="0.25">
      <c r="A18416">
        <v>58</v>
      </c>
      <c r="B18416" t="s">
        <v>18345</v>
      </c>
      <c r="C18416">
        <v>2406</v>
      </c>
      <c r="D18416" t="str">
        <f>"1043-4542"</f>
        <v>1043-4542</v>
      </c>
      <c r="E18416" t="s">
        <v>8</v>
      </c>
      <c r="F18416" t="s">
        <v>18430</v>
      </c>
      <c r="G18416">
        <v>1</v>
      </c>
    </row>
    <row r="18417" spans="1:7" x14ac:dyDescent="0.25">
      <c r="A18417">
        <v>58</v>
      </c>
      <c r="B18417" t="s">
        <v>18345</v>
      </c>
      <c r="C18417">
        <v>16490</v>
      </c>
      <c r="D18417" t="str">
        <f>"1089-9472"</f>
        <v>1089-9472</v>
      </c>
      <c r="E18417" t="s">
        <v>8</v>
      </c>
      <c r="F18417" t="s">
        <v>18431</v>
      </c>
      <c r="G18417">
        <v>1</v>
      </c>
    </row>
    <row r="18418" spans="1:7" x14ac:dyDescent="0.25">
      <c r="A18418">
        <v>58</v>
      </c>
      <c r="B18418" t="s">
        <v>18345</v>
      </c>
      <c r="C18418">
        <v>13453</v>
      </c>
      <c r="D18418" t="str">
        <f>"0893-2190"</f>
        <v>0893-2190</v>
      </c>
      <c r="E18418" t="s">
        <v>8</v>
      </c>
      <c r="F18418" t="s">
        <v>18432</v>
      </c>
      <c r="G18418">
        <v>1</v>
      </c>
    </row>
    <row r="18419" spans="1:7" x14ac:dyDescent="0.25">
      <c r="A18419">
        <v>58</v>
      </c>
      <c r="B18419" t="s">
        <v>18345</v>
      </c>
      <c r="C18419">
        <v>4280</v>
      </c>
      <c r="D18419" t="str">
        <f>"8755-7223"</f>
        <v>8755-7223</v>
      </c>
      <c r="E18419" t="s">
        <v>8</v>
      </c>
      <c r="F18419" t="s">
        <v>18433</v>
      </c>
      <c r="G18419">
        <v>1</v>
      </c>
    </row>
    <row r="18420" spans="1:7" x14ac:dyDescent="0.25">
      <c r="A18420">
        <v>58</v>
      </c>
      <c r="B18420" t="s">
        <v>18345</v>
      </c>
      <c r="C18420">
        <v>11725</v>
      </c>
      <c r="D18420" t="str">
        <f>"1351-0126"</f>
        <v>1351-0126</v>
      </c>
      <c r="E18420" t="s">
        <v>8</v>
      </c>
      <c r="F18420" t="s">
        <v>18434</v>
      </c>
      <c r="G18420">
        <v>1</v>
      </c>
    </row>
    <row r="18421" spans="1:7" x14ac:dyDescent="0.25">
      <c r="A18421">
        <v>58</v>
      </c>
      <c r="B18421" t="s">
        <v>18345</v>
      </c>
      <c r="C18421">
        <v>6330</v>
      </c>
      <c r="D18421" t="str">
        <f>"0279-3695"</f>
        <v>0279-3695</v>
      </c>
      <c r="E18421" t="s">
        <v>8</v>
      </c>
      <c r="F18421" t="s">
        <v>18435</v>
      </c>
      <c r="G18421">
        <v>1</v>
      </c>
    </row>
    <row r="18422" spans="1:7" x14ac:dyDescent="0.25">
      <c r="A18422">
        <v>58</v>
      </c>
      <c r="B18422" t="s">
        <v>18345</v>
      </c>
      <c r="C18422">
        <v>19582</v>
      </c>
      <c r="D18422" t="str">
        <f>"1755-6678"</f>
        <v>1755-6678</v>
      </c>
      <c r="E18422" t="s">
        <v>8</v>
      </c>
      <c r="F18422" t="s">
        <v>18436</v>
      </c>
      <c r="G18422">
        <v>1</v>
      </c>
    </row>
    <row r="18423" spans="1:7" x14ac:dyDescent="0.25">
      <c r="A18423">
        <v>58</v>
      </c>
      <c r="B18423" t="s">
        <v>18345</v>
      </c>
      <c r="C18423">
        <v>13234</v>
      </c>
      <c r="D18423" t="str">
        <f>"1744-9871"</f>
        <v>1744-9871</v>
      </c>
      <c r="E18423" t="s">
        <v>8</v>
      </c>
      <c r="F18423" t="s">
        <v>18437</v>
      </c>
      <c r="G18423">
        <v>1</v>
      </c>
    </row>
    <row r="18424" spans="1:7" x14ac:dyDescent="0.25">
      <c r="A18424">
        <v>58</v>
      </c>
      <c r="B18424" t="s">
        <v>18345</v>
      </c>
      <c r="C18424">
        <v>7574</v>
      </c>
      <c r="D18424" t="str">
        <f>"1078-3903"</f>
        <v>1078-3903</v>
      </c>
      <c r="E18424" t="s">
        <v>8</v>
      </c>
      <c r="F18424" t="s">
        <v>18438</v>
      </c>
      <c r="G18424">
        <v>1</v>
      </c>
    </row>
    <row r="18425" spans="1:7" x14ac:dyDescent="0.25">
      <c r="A18425">
        <v>58</v>
      </c>
      <c r="B18425" t="s">
        <v>18345</v>
      </c>
      <c r="C18425">
        <v>12584</v>
      </c>
      <c r="D18425" t="str">
        <f>"1055-3290"</f>
        <v>1055-3290</v>
      </c>
      <c r="E18425" t="s">
        <v>8</v>
      </c>
      <c r="F18425" t="s">
        <v>18439</v>
      </c>
      <c r="G18425">
        <v>1</v>
      </c>
    </row>
    <row r="18426" spans="1:7" x14ac:dyDescent="0.25">
      <c r="A18426">
        <v>58</v>
      </c>
      <c r="B18426" t="s">
        <v>18345</v>
      </c>
      <c r="C18426">
        <v>7026</v>
      </c>
      <c r="D18426" t="str">
        <f>"1043-6596"</f>
        <v>1043-6596</v>
      </c>
      <c r="E18426" t="s">
        <v>8</v>
      </c>
      <c r="F18426" t="s">
        <v>18440</v>
      </c>
      <c r="G18426">
        <v>1</v>
      </c>
    </row>
    <row r="18427" spans="1:7" x14ac:dyDescent="0.25">
      <c r="A18427">
        <v>58</v>
      </c>
      <c r="B18427" t="s">
        <v>18345</v>
      </c>
      <c r="C18427">
        <v>9407</v>
      </c>
      <c r="D18427" t="str">
        <f>"1062-0303"</f>
        <v>1062-0303</v>
      </c>
      <c r="E18427" t="s">
        <v>8</v>
      </c>
      <c r="F18427" t="s">
        <v>18441</v>
      </c>
      <c r="G18427">
        <v>1</v>
      </c>
    </row>
    <row r="18428" spans="1:7" x14ac:dyDescent="0.25">
      <c r="A18428">
        <v>58</v>
      </c>
      <c r="B18428" t="s">
        <v>18345</v>
      </c>
      <c r="C18428">
        <v>8796</v>
      </c>
      <c r="D18428" t="str">
        <f>"0969-0700"</f>
        <v>0969-0700</v>
      </c>
      <c r="E18428" t="s">
        <v>8</v>
      </c>
      <c r="F18428" t="s">
        <v>18442</v>
      </c>
      <c r="G18428">
        <v>1</v>
      </c>
    </row>
    <row r="18429" spans="1:7" x14ac:dyDescent="0.25">
      <c r="A18429">
        <v>58</v>
      </c>
      <c r="B18429" t="s">
        <v>18345</v>
      </c>
      <c r="C18429">
        <v>3542</v>
      </c>
      <c r="D18429" t="str">
        <f>"0902-2767"</f>
        <v>0902-2767</v>
      </c>
      <c r="E18429" t="s">
        <v>8</v>
      </c>
      <c r="F18429" t="s">
        <v>18443</v>
      </c>
      <c r="G18429">
        <v>1</v>
      </c>
    </row>
    <row r="18430" spans="1:7" x14ac:dyDescent="0.25">
      <c r="A18430">
        <v>58</v>
      </c>
      <c r="B18430" t="s">
        <v>18345</v>
      </c>
      <c r="C18430">
        <v>7568</v>
      </c>
      <c r="D18430" t="str">
        <f>"0361-929X"</f>
        <v>0361-929X</v>
      </c>
      <c r="E18430" t="s">
        <v>8</v>
      </c>
      <c r="F18430" t="s">
        <v>18444</v>
      </c>
      <c r="G18430">
        <v>1</v>
      </c>
    </row>
    <row r="18431" spans="1:7" x14ac:dyDescent="0.25">
      <c r="A18431">
        <v>58</v>
      </c>
      <c r="B18431" t="s">
        <v>18345</v>
      </c>
      <c r="C18431">
        <v>18868</v>
      </c>
      <c r="D18431" t="str">
        <f>"1478-2189"</f>
        <v>1478-2189</v>
      </c>
      <c r="E18431" t="s">
        <v>8</v>
      </c>
      <c r="F18431" t="s">
        <v>18445</v>
      </c>
      <c r="G18431">
        <v>1</v>
      </c>
    </row>
    <row r="18432" spans="1:7" x14ac:dyDescent="0.25">
      <c r="A18432">
        <v>58</v>
      </c>
      <c r="B18432" t="s">
        <v>18345</v>
      </c>
      <c r="C18432">
        <v>17148</v>
      </c>
      <c r="D18432" t="str">
        <f>"1526-744X"</f>
        <v>1526-744X</v>
      </c>
      <c r="E18432" t="s">
        <v>8</v>
      </c>
      <c r="F18432" t="s">
        <v>18446</v>
      </c>
      <c r="G18432">
        <v>1</v>
      </c>
    </row>
    <row r="18433" spans="1:7" x14ac:dyDescent="0.25">
      <c r="A18433">
        <v>58</v>
      </c>
      <c r="B18433" t="s">
        <v>18345</v>
      </c>
      <c r="C18433">
        <v>8781953</v>
      </c>
      <c r="D18433" t="str">
        <f>"2057-1585"</f>
        <v>2057-1585</v>
      </c>
      <c r="E18433" t="s">
        <v>8</v>
      </c>
      <c r="F18433" t="s">
        <v>18447</v>
      </c>
      <c r="G18433">
        <v>1</v>
      </c>
    </row>
    <row r="18434" spans="1:7" x14ac:dyDescent="0.25">
      <c r="A18434">
        <v>58</v>
      </c>
      <c r="B18434" t="s">
        <v>18345</v>
      </c>
      <c r="C18434">
        <v>7717219</v>
      </c>
      <c r="D18434" t="str">
        <f>"1892-2678"</f>
        <v>1892-2678</v>
      </c>
      <c r="E18434" t="s">
        <v>8</v>
      </c>
      <c r="F18434" t="s">
        <v>18448</v>
      </c>
      <c r="G18434">
        <v>1</v>
      </c>
    </row>
    <row r="18435" spans="1:7" x14ac:dyDescent="0.25">
      <c r="A18435">
        <v>58</v>
      </c>
      <c r="B18435" t="s">
        <v>18345</v>
      </c>
      <c r="C18435">
        <v>12911</v>
      </c>
      <c r="D18435" t="str">
        <f>"1471-5953"</f>
        <v>1471-5953</v>
      </c>
      <c r="E18435" t="s">
        <v>8</v>
      </c>
      <c r="F18435" t="s">
        <v>18449</v>
      </c>
      <c r="G18435">
        <v>1</v>
      </c>
    </row>
    <row r="18436" spans="1:7" x14ac:dyDescent="0.25">
      <c r="A18436">
        <v>58</v>
      </c>
      <c r="B18436" t="s">
        <v>18345</v>
      </c>
      <c r="C18436">
        <v>4445</v>
      </c>
      <c r="D18436" t="str">
        <f>"0363-9568"</f>
        <v>0363-9568</v>
      </c>
      <c r="E18436" t="s">
        <v>8</v>
      </c>
      <c r="F18436" t="s">
        <v>18450</v>
      </c>
      <c r="G18436">
        <v>1</v>
      </c>
    </row>
    <row r="18437" spans="1:7" x14ac:dyDescent="0.25">
      <c r="A18437">
        <v>58</v>
      </c>
      <c r="B18437" t="s">
        <v>18345</v>
      </c>
      <c r="C18437">
        <v>10194</v>
      </c>
      <c r="D18437" t="str">
        <f>"1441-0745"</f>
        <v>1441-0745</v>
      </c>
      <c r="E18437" t="s">
        <v>8</v>
      </c>
      <c r="F18437" t="s">
        <v>18451</v>
      </c>
      <c r="G18437">
        <v>1</v>
      </c>
    </row>
    <row r="18438" spans="1:7" x14ac:dyDescent="0.25">
      <c r="A18438">
        <v>58</v>
      </c>
      <c r="B18438" t="s">
        <v>18345</v>
      </c>
      <c r="C18438">
        <v>15493</v>
      </c>
      <c r="D18438" t="str">
        <f>"0029-6465"</f>
        <v>0029-6465</v>
      </c>
      <c r="E18438" t="s">
        <v>8</v>
      </c>
      <c r="F18438" t="s">
        <v>18452</v>
      </c>
      <c r="G18438">
        <v>1</v>
      </c>
    </row>
    <row r="18439" spans="1:7" x14ac:dyDescent="0.25">
      <c r="A18439">
        <v>58</v>
      </c>
      <c r="B18439" t="s">
        <v>18345</v>
      </c>
      <c r="C18439">
        <v>9822</v>
      </c>
      <c r="D18439" t="str">
        <f>"0746-1739"</f>
        <v>0746-1739</v>
      </c>
      <c r="E18439" t="s">
        <v>8</v>
      </c>
      <c r="F18439" t="s">
        <v>18453</v>
      </c>
      <c r="G18439">
        <v>1</v>
      </c>
    </row>
    <row r="18440" spans="1:7" x14ac:dyDescent="0.25">
      <c r="A18440">
        <v>58</v>
      </c>
      <c r="B18440" t="s">
        <v>18345</v>
      </c>
      <c r="C18440">
        <v>14420</v>
      </c>
      <c r="D18440" t="str">
        <f>"1536-5026"</f>
        <v>1536-5026</v>
      </c>
      <c r="E18440" t="s">
        <v>8</v>
      </c>
      <c r="F18440" t="s">
        <v>18454</v>
      </c>
      <c r="G18440">
        <v>1</v>
      </c>
    </row>
    <row r="18441" spans="1:7" x14ac:dyDescent="0.25">
      <c r="A18441">
        <v>58</v>
      </c>
      <c r="B18441" t="s">
        <v>18345</v>
      </c>
      <c r="C18441">
        <v>12622</v>
      </c>
      <c r="D18441" t="str">
        <f>"1062-8061"</f>
        <v>1062-8061</v>
      </c>
      <c r="E18441" t="s">
        <v>8</v>
      </c>
      <c r="F18441" t="s">
        <v>18455</v>
      </c>
      <c r="G18441">
        <v>1</v>
      </c>
    </row>
    <row r="18442" spans="1:7" x14ac:dyDescent="0.25">
      <c r="A18442">
        <v>58</v>
      </c>
      <c r="B18442" t="s">
        <v>18345</v>
      </c>
      <c r="C18442">
        <v>272</v>
      </c>
      <c r="D18442" t="str">
        <f>"1362-1017"</f>
        <v>1362-1017</v>
      </c>
      <c r="E18442" t="s">
        <v>8</v>
      </c>
      <c r="F18442" t="s">
        <v>18456</v>
      </c>
      <c r="G18442">
        <v>1</v>
      </c>
    </row>
    <row r="18443" spans="1:7" x14ac:dyDescent="0.25">
      <c r="A18443">
        <v>58</v>
      </c>
      <c r="B18443" t="s">
        <v>18345</v>
      </c>
      <c r="C18443">
        <v>3519</v>
      </c>
      <c r="D18443" t="str">
        <f>"1320-7881"</f>
        <v>1320-7881</v>
      </c>
      <c r="E18443" t="s">
        <v>8</v>
      </c>
      <c r="F18443" t="s">
        <v>18457</v>
      </c>
      <c r="G18443">
        <v>1</v>
      </c>
    </row>
    <row r="18444" spans="1:7" x14ac:dyDescent="0.25">
      <c r="A18444">
        <v>58</v>
      </c>
      <c r="B18444" t="s">
        <v>18345</v>
      </c>
      <c r="C18444">
        <v>10200</v>
      </c>
      <c r="D18444" t="str">
        <f>"0744-6314"</f>
        <v>0744-6314</v>
      </c>
      <c r="E18444" t="s">
        <v>8</v>
      </c>
      <c r="F18444" t="s">
        <v>18458</v>
      </c>
      <c r="G18444">
        <v>1</v>
      </c>
    </row>
    <row r="18445" spans="1:7" x14ac:dyDescent="0.25">
      <c r="A18445">
        <v>58</v>
      </c>
      <c r="B18445" t="s">
        <v>18345</v>
      </c>
      <c r="C18445">
        <v>8762344</v>
      </c>
      <c r="E18445" t="s">
        <v>8</v>
      </c>
      <c r="F18445" t="s">
        <v>18459</v>
      </c>
      <c r="G18445">
        <v>1</v>
      </c>
    </row>
    <row r="18446" spans="1:7" x14ac:dyDescent="0.25">
      <c r="A18446">
        <v>58</v>
      </c>
      <c r="B18446" t="s">
        <v>18345</v>
      </c>
      <c r="C18446">
        <v>4516</v>
      </c>
      <c r="D18446" t="str">
        <f>"1466-7681"</f>
        <v>1466-7681</v>
      </c>
      <c r="E18446" t="s">
        <v>8</v>
      </c>
      <c r="F18446" t="s">
        <v>18460</v>
      </c>
      <c r="G18446">
        <v>1</v>
      </c>
    </row>
    <row r="18447" spans="1:7" x14ac:dyDescent="0.25">
      <c r="A18447">
        <v>58</v>
      </c>
      <c r="B18447" t="s">
        <v>18345</v>
      </c>
      <c r="C18447">
        <v>15817</v>
      </c>
      <c r="D18447" t="str">
        <f>"0894-3184"</f>
        <v>0894-3184</v>
      </c>
      <c r="E18447" t="s">
        <v>8</v>
      </c>
      <c r="F18447" t="s">
        <v>18461</v>
      </c>
      <c r="G18447">
        <v>1</v>
      </c>
    </row>
    <row r="18448" spans="1:7" x14ac:dyDescent="0.25">
      <c r="A18448">
        <v>58</v>
      </c>
      <c r="B18448" t="s">
        <v>18345</v>
      </c>
      <c r="C18448">
        <v>8397</v>
      </c>
      <c r="E18448" t="s">
        <v>8</v>
      </c>
      <c r="F18448" t="s">
        <v>18462</v>
      </c>
      <c r="G18448">
        <v>1</v>
      </c>
    </row>
    <row r="18449" spans="1:7" x14ac:dyDescent="0.25">
      <c r="A18449">
        <v>58</v>
      </c>
      <c r="B18449" t="s">
        <v>18345</v>
      </c>
      <c r="C18449">
        <v>261</v>
      </c>
      <c r="E18449" t="s">
        <v>8</v>
      </c>
      <c r="F18449" t="s">
        <v>18463</v>
      </c>
      <c r="G18449">
        <v>1</v>
      </c>
    </row>
    <row r="18450" spans="1:7" x14ac:dyDescent="0.25">
      <c r="A18450">
        <v>58</v>
      </c>
      <c r="B18450" t="s">
        <v>18345</v>
      </c>
      <c r="C18450">
        <v>1419</v>
      </c>
      <c r="E18450" t="s">
        <v>8</v>
      </c>
      <c r="F18450" t="s">
        <v>18464</v>
      </c>
      <c r="G18450">
        <v>1</v>
      </c>
    </row>
    <row r="18451" spans="1:7" x14ac:dyDescent="0.25">
      <c r="A18451">
        <v>58</v>
      </c>
      <c r="B18451" t="s">
        <v>18345</v>
      </c>
      <c r="C18451">
        <v>7720622</v>
      </c>
      <c r="D18451" t="str">
        <f>"2162-5336"</f>
        <v>2162-5336</v>
      </c>
      <c r="E18451" t="s">
        <v>8</v>
      </c>
      <c r="F18451" t="s">
        <v>18465</v>
      </c>
      <c r="G18451">
        <v>1</v>
      </c>
    </row>
    <row r="18452" spans="1:7" x14ac:dyDescent="0.25">
      <c r="A18452">
        <v>58</v>
      </c>
      <c r="B18452" t="s">
        <v>18345</v>
      </c>
      <c r="C18452">
        <v>13033</v>
      </c>
      <c r="D18452" t="str">
        <f>"0744-6020"</f>
        <v>0744-6020</v>
      </c>
      <c r="E18452" t="s">
        <v>8</v>
      </c>
      <c r="F18452" t="s">
        <v>18466</v>
      </c>
      <c r="G18452">
        <v>1</v>
      </c>
    </row>
    <row r="18453" spans="1:7" x14ac:dyDescent="0.25">
      <c r="A18453">
        <v>58</v>
      </c>
      <c r="B18453" t="s">
        <v>18345</v>
      </c>
      <c r="C18453">
        <v>4911</v>
      </c>
      <c r="D18453" t="str">
        <f>"1524-9042"</f>
        <v>1524-9042</v>
      </c>
      <c r="E18453" t="s">
        <v>8</v>
      </c>
      <c r="F18453" t="s">
        <v>18467</v>
      </c>
      <c r="G18453">
        <v>1</v>
      </c>
    </row>
    <row r="18454" spans="1:7" x14ac:dyDescent="0.25">
      <c r="A18454">
        <v>58</v>
      </c>
      <c r="B18454" t="s">
        <v>18345</v>
      </c>
      <c r="C18454">
        <v>10408</v>
      </c>
      <c r="D18454" t="str">
        <f>"1478-9515"</f>
        <v>1478-9515</v>
      </c>
      <c r="E18454" t="s">
        <v>8</v>
      </c>
      <c r="F18454" t="s">
        <v>18468</v>
      </c>
      <c r="G18454">
        <v>1</v>
      </c>
    </row>
    <row r="18455" spans="1:7" x14ac:dyDescent="0.25">
      <c r="A18455">
        <v>58</v>
      </c>
      <c r="B18455" t="s">
        <v>18345</v>
      </c>
      <c r="C18455">
        <v>25139</v>
      </c>
      <c r="D18455" t="str">
        <f>"0097-9805"</f>
        <v>0097-9805</v>
      </c>
      <c r="E18455" t="s">
        <v>8</v>
      </c>
      <c r="F18455" t="s">
        <v>18469</v>
      </c>
      <c r="G18455">
        <v>1</v>
      </c>
    </row>
    <row r="18456" spans="1:7" x14ac:dyDescent="0.25">
      <c r="A18456">
        <v>58</v>
      </c>
      <c r="B18456" t="s">
        <v>18345</v>
      </c>
      <c r="C18456">
        <v>11967</v>
      </c>
      <c r="D18456" t="str">
        <f>"0031-5990"</f>
        <v>0031-5990</v>
      </c>
      <c r="E18456" t="s">
        <v>8</v>
      </c>
      <c r="F18456" t="s">
        <v>18470</v>
      </c>
      <c r="G18456">
        <v>1</v>
      </c>
    </row>
    <row r="18457" spans="1:7" x14ac:dyDescent="0.25">
      <c r="A18457">
        <v>58</v>
      </c>
      <c r="B18457" t="s">
        <v>18345</v>
      </c>
      <c r="C18457">
        <v>14032</v>
      </c>
      <c r="D18457" t="str">
        <f>"0741-5206"</f>
        <v>0741-5206</v>
      </c>
      <c r="E18457" t="s">
        <v>8</v>
      </c>
      <c r="F18457" t="s">
        <v>18471</v>
      </c>
      <c r="G18457">
        <v>1</v>
      </c>
    </row>
    <row r="18458" spans="1:7" x14ac:dyDescent="0.25">
      <c r="A18458">
        <v>58</v>
      </c>
      <c r="B18458" t="s">
        <v>18345</v>
      </c>
      <c r="C18458">
        <v>2869</v>
      </c>
      <c r="D18458" t="str">
        <f>"1527-1544"</f>
        <v>1527-1544</v>
      </c>
      <c r="E18458" t="s">
        <v>8</v>
      </c>
      <c r="F18458" t="s">
        <v>18472</v>
      </c>
      <c r="G18458">
        <v>1</v>
      </c>
    </row>
    <row r="18459" spans="1:7" x14ac:dyDescent="0.25">
      <c r="A18459">
        <v>58</v>
      </c>
      <c r="B18459" t="s">
        <v>18345</v>
      </c>
      <c r="C18459">
        <v>14192</v>
      </c>
      <c r="D18459" t="str">
        <f>"0969-9260"</f>
        <v>0969-9260</v>
      </c>
      <c r="E18459" t="s">
        <v>8</v>
      </c>
      <c r="F18459" t="s">
        <v>18473</v>
      </c>
      <c r="G18459">
        <v>1</v>
      </c>
    </row>
    <row r="18460" spans="1:7" x14ac:dyDescent="0.25">
      <c r="A18460">
        <v>58</v>
      </c>
      <c r="B18460" t="s">
        <v>18345</v>
      </c>
      <c r="C18460">
        <v>12096</v>
      </c>
      <c r="D18460" t="str">
        <f>"0737-1209"</f>
        <v>0737-1209</v>
      </c>
      <c r="E18460" t="s">
        <v>8</v>
      </c>
      <c r="F18460" t="s">
        <v>18474</v>
      </c>
      <c r="G18460">
        <v>1</v>
      </c>
    </row>
    <row r="18461" spans="1:7" x14ac:dyDescent="0.25">
      <c r="A18461">
        <v>58</v>
      </c>
      <c r="B18461" t="s">
        <v>18345</v>
      </c>
      <c r="C18461">
        <v>3209</v>
      </c>
      <c r="D18461" t="str">
        <f>"1541-6577"</f>
        <v>1541-6577</v>
      </c>
      <c r="E18461" t="s">
        <v>8</v>
      </c>
      <c r="F18461" t="s">
        <v>18475</v>
      </c>
      <c r="G18461">
        <v>1</v>
      </c>
    </row>
    <row r="18462" spans="1:7" x14ac:dyDescent="0.25">
      <c r="A18462">
        <v>58</v>
      </c>
      <c r="B18462" t="s">
        <v>18345</v>
      </c>
      <c r="C18462">
        <v>1308</v>
      </c>
      <c r="D18462" t="str">
        <f>"0160-6891"</f>
        <v>0160-6891</v>
      </c>
      <c r="E18462" t="s">
        <v>8</v>
      </c>
      <c r="F18462" t="s">
        <v>18476</v>
      </c>
      <c r="G18462">
        <v>1</v>
      </c>
    </row>
    <row r="18463" spans="1:7" x14ac:dyDescent="0.25">
      <c r="A18463">
        <v>58</v>
      </c>
      <c r="B18463" t="s">
        <v>18345</v>
      </c>
      <c r="C18463">
        <v>2809</v>
      </c>
      <c r="D18463" t="str">
        <f>"0283-9318"</f>
        <v>0283-9318</v>
      </c>
      <c r="E18463" t="s">
        <v>8</v>
      </c>
      <c r="F18463" t="s">
        <v>18477</v>
      </c>
      <c r="G18463">
        <v>1</v>
      </c>
    </row>
    <row r="18464" spans="1:7" x14ac:dyDescent="0.25">
      <c r="A18464">
        <v>58</v>
      </c>
      <c r="B18464" t="s">
        <v>18345</v>
      </c>
      <c r="C18464">
        <v>14467</v>
      </c>
      <c r="D18464" t="str">
        <f>"1890-2936"</f>
        <v>1890-2936</v>
      </c>
      <c r="E18464" t="s">
        <v>8</v>
      </c>
      <c r="F18464" t="s">
        <v>18478</v>
      </c>
      <c r="G18464">
        <v>1</v>
      </c>
    </row>
    <row r="18465" spans="1:7" x14ac:dyDescent="0.25">
      <c r="A18465">
        <v>58</v>
      </c>
      <c r="B18465" t="s">
        <v>18345</v>
      </c>
      <c r="C18465">
        <v>7711</v>
      </c>
      <c r="D18465" t="str">
        <f>"0002-0443"</f>
        <v>0002-0443</v>
      </c>
      <c r="E18465" t="s">
        <v>8</v>
      </c>
      <c r="F18465" t="s">
        <v>18479</v>
      </c>
      <c r="G18465">
        <v>1</v>
      </c>
    </row>
    <row r="18466" spans="1:7" x14ac:dyDescent="0.25">
      <c r="A18466">
        <v>58</v>
      </c>
      <c r="B18466" t="s">
        <v>18345</v>
      </c>
      <c r="C18466">
        <v>11191</v>
      </c>
      <c r="D18466" t="str">
        <f>"1059-8405"</f>
        <v>1059-8405</v>
      </c>
      <c r="E18466" t="s">
        <v>8</v>
      </c>
      <c r="F18466" t="s">
        <v>18480</v>
      </c>
      <c r="G18466">
        <v>1</v>
      </c>
    </row>
    <row r="18467" spans="1:7" x14ac:dyDescent="0.25">
      <c r="A18467">
        <v>58</v>
      </c>
      <c r="B18467" t="s">
        <v>18345</v>
      </c>
      <c r="C18467">
        <v>8774728</v>
      </c>
      <c r="D18467" t="str">
        <f>"2387-5976"</f>
        <v>2387-5976</v>
      </c>
      <c r="E18467" t="s">
        <v>8</v>
      </c>
      <c r="F18467" t="s">
        <v>18481</v>
      </c>
      <c r="G18467">
        <v>1</v>
      </c>
    </row>
    <row r="18468" spans="1:7" x14ac:dyDescent="0.25">
      <c r="A18468">
        <v>58</v>
      </c>
      <c r="B18468" t="s">
        <v>18345</v>
      </c>
      <c r="C18468">
        <v>25425</v>
      </c>
      <c r="D18468" t="str">
        <f>"1053-816X"</f>
        <v>1053-816X</v>
      </c>
      <c r="E18468" t="s">
        <v>8</v>
      </c>
      <c r="F18468" t="s">
        <v>18482</v>
      </c>
      <c r="G18468">
        <v>1</v>
      </c>
    </row>
    <row r="18469" spans="1:7" x14ac:dyDescent="0.25">
      <c r="A18469">
        <v>58</v>
      </c>
      <c r="B18469" t="s">
        <v>18345</v>
      </c>
      <c r="C18469">
        <v>7424</v>
      </c>
      <c r="D18469" t="str">
        <f>"0107-4083"</f>
        <v>0107-4083</v>
      </c>
      <c r="E18469" t="s">
        <v>8</v>
      </c>
      <c r="F18469" t="s">
        <v>18483</v>
      </c>
      <c r="G18469">
        <v>1</v>
      </c>
    </row>
    <row r="18470" spans="1:7" x14ac:dyDescent="0.25">
      <c r="A18470">
        <v>58</v>
      </c>
      <c r="B18470" t="s">
        <v>18345</v>
      </c>
      <c r="C18470">
        <v>5422</v>
      </c>
      <c r="D18470" t="str">
        <f>"0193-9459"</f>
        <v>0193-9459</v>
      </c>
      <c r="E18470" t="s">
        <v>8</v>
      </c>
      <c r="F18470" t="s">
        <v>18484</v>
      </c>
      <c r="G18470">
        <v>1</v>
      </c>
    </row>
    <row r="18471" spans="1:7" x14ac:dyDescent="0.25">
      <c r="A18471">
        <v>58</v>
      </c>
      <c r="B18471" t="s">
        <v>18345</v>
      </c>
      <c r="C18471">
        <v>12922</v>
      </c>
      <c r="D18471" t="str">
        <f>"1071-5754"</f>
        <v>1071-5754</v>
      </c>
      <c r="E18471" t="s">
        <v>8</v>
      </c>
      <c r="F18471" t="s">
        <v>18485</v>
      </c>
      <c r="G18471">
        <v>1</v>
      </c>
    </row>
    <row r="18472" spans="1:7" x14ac:dyDescent="0.25">
      <c r="A18472">
        <v>58</v>
      </c>
      <c r="B18472" t="s">
        <v>18345</v>
      </c>
      <c r="C18472">
        <v>26233</v>
      </c>
      <c r="D18472" t="str">
        <f>"0094-6354"</f>
        <v>0094-6354</v>
      </c>
      <c r="E18472" t="s">
        <v>8</v>
      </c>
      <c r="F18472" t="s">
        <v>18486</v>
      </c>
      <c r="G18472">
        <v>1</v>
      </c>
    </row>
    <row r="18473" spans="1:7" x14ac:dyDescent="0.25">
      <c r="A18473">
        <v>59</v>
      </c>
      <c r="B18473" t="s">
        <v>18487</v>
      </c>
      <c r="C18473">
        <v>6113</v>
      </c>
      <c r="D18473" t="str">
        <f>"0965-2140"</f>
        <v>0965-2140</v>
      </c>
      <c r="E18473" t="s">
        <v>8</v>
      </c>
      <c r="F18473" t="s">
        <v>18488</v>
      </c>
      <c r="G18473">
        <v>2</v>
      </c>
    </row>
    <row r="18474" spans="1:7" x14ac:dyDescent="0.25">
      <c r="A18474">
        <v>59</v>
      </c>
      <c r="B18474" t="s">
        <v>18487</v>
      </c>
      <c r="C18474">
        <v>13965</v>
      </c>
      <c r="D18474" t="str">
        <f>"0002-0729"</f>
        <v>0002-0729</v>
      </c>
      <c r="E18474" t="s">
        <v>8</v>
      </c>
      <c r="F18474" t="s">
        <v>18489</v>
      </c>
      <c r="G18474">
        <v>2</v>
      </c>
    </row>
    <row r="18475" spans="1:7" x14ac:dyDescent="0.25">
      <c r="A18475">
        <v>59</v>
      </c>
      <c r="B18475" t="s">
        <v>18487</v>
      </c>
      <c r="C18475">
        <v>15137</v>
      </c>
      <c r="D18475" t="str">
        <f>"1090-7165"</f>
        <v>1090-7165</v>
      </c>
      <c r="E18475" t="s">
        <v>8</v>
      </c>
      <c r="F18475" t="s">
        <v>18490</v>
      </c>
      <c r="G18475">
        <v>2</v>
      </c>
    </row>
    <row r="18476" spans="1:7" x14ac:dyDescent="0.25">
      <c r="A18476">
        <v>59</v>
      </c>
      <c r="B18476" t="s">
        <v>18487</v>
      </c>
      <c r="C18476">
        <v>15110</v>
      </c>
      <c r="D18476" t="str">
        <f>"0145-6008"</f>
        <v>0145-6008</v>
      </c>
      <c r="E18476" t="s">
        <v>8</v>
      </c>
      <c r="F18476" t="s">
        <v>18491</v>
      </c>
      <c r="G18476">
        <v>2</v>
      </c>
    </row>
    <row r="18477" spans="1:7" x14ac:dyDescent="0.25">
      <c r="A18477">
        <v>59</v>
      </c>
      <c r="B18477" t="s">
        <v>18487</v>
      </c>
      <c r="C18477">
        <v>9974</v>
      </c>
      <c r="D18477" t="str">
        <f>"0002-9262"</f>
        <v>0002-9262</v>
      </c>
      <c r="E18477" t="s">
        <v>8</v>
      </c>
      <c r="F18477" t="s">
        <v>18492</v>
      </c>
      <c r="G18477">
        <v>2</v>
      </c>
    </row>
    <row r="18478" spans="1:7" x14ac:dyDescent="0.25">
      <c r="A18478">
        <v>59</v>
      </c>
      <c r="B18478" t="s">
        <v>18487</v>
      </c>
      <c r="C18478">
        <v>13236</v>
      </c>
      <c r="D18478" t="str">
        <f>"0890-1171"</f>
        <v>0890-1171</v>
      </c>
      <c r="E18478" t="s">
        <v>8</v>
      </c>
      <c r="F18478" t="s">
        <v>18493</v>
      </c>
      <c r="G18478">
        <v>2</v>
      </c>
    </row>
    <row r="18479" spans="1:7" x14ac:dyDescent="0.25">
      <c r="A18479">
        <v>59</v>
      </c>
      <c r="B18479" t="s">
        <v>18487</v>
      </c>
      <c r="C18479">
        <v>13346</v>
      </c>
      <c r="D18479" t="str">
        <f>"0749-3797"</f>
        <v>0749-3797</v>
      </c>
      <c r="E18479" t="s">
        <v>8</v>
      </c>
      <c r="F18479" t="s">
        <v>18494</v>
      </c>
      <c r="G18479">
        <v>2</v>
      </c>
    </row>
    <row r="18480" spans="1:7" x14ac:dyDescent="0.25">
      <c r="A18480">
        <v>59</v>
      </c>
      <c r="B18480" t="s">
        <v>18487</v>
      </c>
      <c r="C18480">
        <v>6859</v>
      </c>
      <c r="D18480" t="str">
        <f>"0090-0036"</f>
        <v>0090-0036</v>
      </c>
      <c r="E18480" t="s">
        <v>8</v>
      </c>
      <c r="F18480" t="s">
        <v>18495</v>
      </c>
      <c r="G18480">
        <v>2</v>
      </c>
    </row>
    <row r="18481" spans="1:7" x14ac:dyDescent="0.25">
      <c r="A18481">
        <v>59</v>
      </c>
      <c r="B18481" t="s">
        <v>18487</v>
      </c>
      <c r="C18481">
        <v>4580</v>
      </c>
      <c r="D18481" t="str">
        <f>"0002-9637"</f>
        <v>0002-9637</v>
      </c>
      <c r="E18481" t="s">
        <v>8</v>
      </c>
      <c r="F18481" t="s">
        <v>18496</v>
      </c>
      <c r="G18481">
        <v>2</v>
      </c>
    </row>
    <row r="18482" spans="1:7" x14ac:dyDescent="0.25">
      <c r="A18482">
        <v>59</v>
      </c>
      <c r="B18482" t="s">
        <v>18487</v>
      </c>
      <c r="C18482">
        <v>13794</v>
      </c>
      <c r="D18482" t="str">
        <f>"1047-2797"</f>
        <v>1047-2797</v>
      </c>
      <c r="E18482" t="s">
        <v>8</v>
      </c>
      <c r="F18482" t="s">
        <v>18497</v>
      </c>
      <c r="G18482">
        <v>2</v>
      </c>
    </row>
    <row r="18483" spans="1:7" x14ac:dyDescent="0.25">
      <c r="A18483">
        <v>59</v>
      </c>
      <c r="B18483" t="s">
        <v>18487</v>
      </c>
      <c r="C18483">
        <v>5303</v>
      </c>
      <c r="D18483" t="str">
        <f>"0163-7525"</f>
        <v>0163-7525</v>
      </c>
      <c r="E18483" t="s">
        <v>8</v>
      </c>
      <c r="F18483" t="s">
        <v>18498</v>
      </c>
      <c r="G18483">
        <v>2</v>
      </c>
    </row>
    <row r="18484" spans="1:7" x14ac:dyDescent="0.25">
      <c r="A18484">
        <v>59</v>
      </c>
      <c r="B18484" t="s">
        <v>18487</v>
      </c>
      <c r="C18484">
        <v>7569</v>
      </c>
      <c r="E18484" t="s">
        <v>8</v>
      </c>
      <c r="F18484" t="s">
        <v>18499</v>
      </c>
      <c r="G18484">
        <v>2</v>
      </c>
    </row>
    <row r="18485" spans="1:7" x14ac:dyDescent="0.25">
      <c r="A18485">
        <v>59</v>
      </c>
      <c r="B18485" t="s">
        <v>18487</v>
      </c>
      <c r="C18485">
        <v>11535</v>
      </c>
      <c r="E18485" t="s">
        <v>8</v>
      </c>
      <c r="F18485" t="s">
        <v>18500</v>
      </c>
      <c r="G18485">
        <v>2</v>
      </c>
    </row>
    <row r="18486" spans="1:7" x14ac:dyDescent="0.25">
      <c r="A18486">
        <v>59</v>
      </c>
      <c r="B18486" t="s">
        <v>18487</v>
      </c>
      <c r="C18486">
        <v>1544</v>
      </c>
      <c r="D18486" t="str">
        <f>"2044-5415"</f>
        <v>2044-5415</v>
      </c>
      <c r="E18486" t="s">
        <v>8</v>
      </c>
      <c r="F18486" t="s">
        <v>18501</v>
      </c>
      <c r="G18486">
        <v>2</v>
      </c>
    </row>
    <row r="18487" spans="1:7" x14ac:dyDescent="0.25">
      <c r="A18487">
        <v>59</v>
      </c>
      <c r="B18487" t="s">
        <v>18487</v>
      </c>
      <c r="C18487">
        <v>10897</v>
      </c>
      <c r="D18487" t="str">
        <f>"0960-1643"</f>
        <v>0960-1643</v>
      </c>
      <c r="E18487" t="s">
        <v>8</v>
      </c>
      <c r="F18487" t="s">
        <v>18502</v>
      </c>
      <c r="G18487">
        <v>2</v>
      </c>
    </row>
    <row r="18488" spans="1:7" x14ac:dyDescent="0.25">
      <c r="A18488">
        <v>59</v>
      </c>
      <c r="B18488" t="s">
        <v>18487</v>
      </c>
      <c r="C18488">
        <v>4903</v>
      </c>
      <c r="D18488" t="str">
        <f>"0957-5243"</f>
        <v>0957-5243</v>
      </c>
      <c r="E18488" t="s">
        <v>8</v>
      </c>
      <c r="F18488" t="s">
        <v>18503</v>
      </c>
      <c r="G18488">
        <v>2</v>
      </c>
    </row>
    <row r="18489" spans="1:7" x14ac:dyDescent="0.25">
      <c r="A18489">
        <v>59</v>
      </c>
      <c r="B18489" t="s">
        <v>18487</v>
      </c>
      <c r="C18489">
        <v>16530</v>
      </c>
      <c r="D18489" t="str">
        <f>"1055-9965"</f>
        <v>1055-9965</v>
      </c>
      <c r="E18489" t="s">
        <v>8</v>
      </c>
      <c r="F18489" t="s">
        <v>18504</v>
      </c>
      <c r="G18489">
        <v>2</v>
      </c>
    </row>
    <row r="18490" spans="1:7" x14ac:dyDescent="0.25">
      <c r="A18490">
        <v>59</v>
      </c>
      <c r="B18490" t="s">
        <v>18487</v>
      </c>
      <c r="C18490">
        <v>4128</v>
      </c>
      <c r="D18490" t="str">
        <f>"0143-3334"</f>
        <v>0143-3334</v>
      </c>
      <c r="E18490" t="s">
        <v>8</v>
      </c>
      <c r="F18490" t="s">
        <v>18505</v>
      </c>
      <c r="G18490">
        <v>2</v>
      </c>
    </row>
    <row r="18491" spans="1:7" x14ac:dyDescent="0.25">
      <c r="A18491">
        <v>59</v>
      </c>
      <c r="B18491" t="s">
        <v>18487</v>
      </c>
      <c r="C18491">
        <v>13325</v>
      </c>
      <c r="D18491" t="str">
        <f>"0958-1596"</f>
        <v>0958-1596</v>
      </c>
      <c r="E18491" t="s">
        <v>8</v>
      </c>
      <c r="F18491" t="s">
        <v>18506</v>
      </c>
      <c r="G18491">
        <v>2</v>
      </c>
    </row>
    <row r="18492" spans="1:7" x14ac:dyDescent="0.25">
      <c r="A18492">
        <v>59</v>
      </c>
      <c r="B18492" t="s">
        <v>18487</v>
      </c>
      <c r="C18492">
        <v>13142</v>
      </c>
      <c r="D18492" t="str">
        <f>"0091-6765"</f>
        <v>0091-6765</v>
      </c>
      <c r="E18492" t="s">
        <v>8</v>
      </c>
      <c r="F18492" t="s">
        <v>18507</v>
      </c>
      <c r="G18492">
        <v>2</v>
      </c>
    </row>
    <row r="18493" spans="1:7" x14ac:dyDescent="0.25">
      <c r="A18493">
        <v>59</v>
      </c>
      <c r="B18493" t="s">
        <v>18487</v>
      </c>
      <c r="C18493">
        <v>13796</v>
      </c>
      <c r="D18493" t="str">
        <f>"0013-9351"</f>
        <v>0013-9351</v>
      </c>
      <c r="E18493" t="s">
        <v>8</v>
      </c>
      <c r="F18493" t="s">
        <v>18508</v>
      </c>
      <c r="G18493">
        <v>2</v>
      </c>
    </row>
    <row r="18494" spans="1:7" x14ac:dyDescent="0.25">
      <c r="A18494">
        <v>59</v>
      </c>
      <c r="B18494" t="s">
        <v>18487</v>
      </c>
      <c r="C18494">
        <v>12918</v>
      </c>
      <c r="D18494" t="str">
        <f>"0193-936X"</f>
        <v>0193-936X</v>
      </c>
      <c r="E18494" t="s">
        <v>8</v>
      </c>
      <c r="F18494" t="s">
        <v>18509</v>
      </c>
      <c r="G18494">
        <v>2</v>
      </c>
    </row>
    <row r="18495" spans="1:7" x14ac:dyDescent="0.25">
      <c r="A18495">
        <v>59</v>
      </c>
      <c r="B18495" t="s">
        <v>18487</v>
      </c>
      <c r="C18495">
        <v>1632</v>
      </c>
      <c r="D18495" t="str">
        <f>"1044-3983"</f>
        <v>1044-3983</v>
      </c>
      <c r="E18495" t="s">
        <v>8</v>
      </c>
      <c r="F18495" t="s">
        <v>18510</v>
      </c>
      <c r="G18495">
        <v>2</v>
      </c>
    </row>
    <row r="18496" spans="1:7" x14ac:dyDescent="0.25">
      <c r="A18496">
        <v>59</v>
      </c>
      <c r="B18496" t="s">
        <v>18487</v>
      </c>
      <c r="C18496">
        <v>16200</v>
      </c>
      <c r="D18496" t="str">
        <f>"0393-2990"</f>
        <v>0393-2990</v>
      </c>
      <c r="E18496" t="s">
        <v>8</v>
      </c>
      <c r="F18496" t="s">
        <v>18511</v>
      </c>
      <c r="G18496">
        <v>2</v>
      </c>
    </row>
    <row r="18497" spans="1:7" x14ac:dyDescent="0.25">
      <c r="A18497">
        <v>59</v>
      </c>
      <c r="B18497" t="s">
        <v>18487</v>
      </c>
      <c r="C18497">
        <v>8049</v>
      </c>
      <c r="D18497" t="str">
        <f>"2047-4873"</f>
        <v>2047-4873</v>
      </c>
      <c r="E18497" t="s">
        <v>8</v>
      </c>
      <c r="F18497" t="s">
        <v>18512</v>
      </c>
      <c r="G18497">
        <v>2</v>
      </c>
    </row>
    <row r="18498" spans="1:7" x14ac:dyDescent="0.25">
      <c r="A18498">
        <v>59</v>
      </c>
      <c r="B18498" t="s">
        <v>18487</v>
      </c>
      <c r="C18498">
        <v>1129</v>
      </c>
      <c r="D18498" t="str">
        <f>"1101-1262"</f>
        <v>1101-1262</v>
      </c>
      <c r="E18498" t="s">
        <v>8</v>
      </c>
      <c r="F18498" t="s">
        <v>18513</v>
      </c>
      <c r="G18498">
        <v>2</v>
      </c>
    </row>
    <row r="18499" spans="1:7" x14ac:dyDescent="0.25">
      <c r="A18499">
        <v>59</v>
      </c>
      <c r="B18499" t="s">
        <v>18487</v>
      </c>
      <c r="C18499">
        <v>4449</v>
      </c>
      <c r="D18499" t="str">
        <f>"0531-5565"</f>
        <v>0531-5565</v>
      </c>
      <c r="E18499" t="s">
        <v>8</v>
      </c>
      <c r="F18499" t="s">
        <v>18514</v>
      </c>
      <c r="G18499">
        <v>2</v>
      </c>
    </row>
    <row r="18500" spans="1:7" x14ac:dyDescent="0.25">
      <c r="A18500">
        <v>59</v>
      </c>
      <c r="B18500" t="s">
        <v>18487</v>
      </c>
      <c r="C18500">
        <v>12662</v>
      </c>
      <c r="D18500" t="str">
        <f>"0263-2136"</f>
        <v>0263-2136</v>
      </c>
      <c r="E18500" t="s">
        <v>8</v>
      </c>
      <c r="F18500" t="s">
        <v>18515</v>
      </c>
      <c r="G18500">
        <v>2</v>
      </c>
    </row>
    <row r="18501" spans="1:7" x14ac:dyDescent="0.25">
      <c r="A18501">
        <v>59</v>
      </c>
      <c r="B18501" t="s">
        <v>18487</v>
      </c>
      <c r="C18501">
        <v>6771</v>
      </c>
      <c r="D18501" t="str">
        <f>"0741-0395"</f>
        <v>0741-0395</v>
      </c>
      <c r="E18501" t="s">
        <v>8</v>
      </c>
      <c r="F18501" t="s">
        <v>18516</v>
      </c>
      <c r="G18501">
        <v>2</v>
      </c>
    </row>
    <row r="18502" spans="1:7" x14ac:dyDescent="0.25">
      <c r="A18502">
        <v>59</v>
      </c>
      <c r="B18502" t="s">
        <v>18487</v>
      </c>
      <c r="C18502">
        <v>11696</v>
      </c>
      <c r="D18502" t="str">
        <f>"1353-8292"</f>
        <v>1353-8292</v>
      </c>
      <c r="E18502" t="s">
        <v>8</v>
      </c>
      <c r="F18502" t="s">
        <v>18517</v>
      </c>
      <c r="G18502">
        <v>2</v>
      </c>
    </row>
    <row r="18503" spans="1:7" x14ac:dyDescent="0.25">
      <c r="A18503">
        <v>59</v>
      </c>
      <c r="B18503" t="s">
        <v>18487</v>
      </c>
      <c r="C18503">
        <v>12672</v>
      </c>
      <c r="D18503" t="str">
        <f>"0278-2715"</f>
        <v>0278-2715</v>
      </c>
      <c r="E18503" t="s">
        <v>8</v>
      </c>
      <c r="F18503" t="s">
        <v>18518</v>
      </c>
      <c r="G18503">
        <v>2</v>
      </c>
    </row>
    <row r="18504" spans="1:7" x14ac:dyDescent="0.25">
      <c r="A18504">
        <v>59</v>
      </c>
      <c r="B18504" t="s">
        <v>18487</v>
      </c>
      <c r="C18504">
        <v>11822</v>
      </c>
      <c r="D18504" t="str">
        <f>"0361-6274"</f>
        <v>0361-6274</v>
      </c>
      <c r="E18504" t="s">
        <v>8</v>
      </c>
      <c r="F18504" t="s">
        <v>18519</v>
      </c>
      <c r="G18504">
        <v>2</v>
      </c>
    </row>
    <row r="18505" spans="1:7" x14ac:dyDescent="0.25">
      <c r="A18505">
        <v>59</v>
      </c>
      <c r="B18505" t="s">
        <v>18487</v>
      </c>
      <c r="C18505">
        <v>1320</v>
      </c>
      <c r="D18505" t="str">
        <f>"1057-9230"</f>
        <v>1057-9230</v>
      </c>
      <c r="E18505" t="s">
        <v>8</v>
      </c>
      <c r="F18505" t="s">
        <v>18520</v>
      </c>
      <c r="G18505">
        <v>2</v>
      </c>
    </row>
    <row r="18506" spans="1:7" x14ac:dyDescent="0.25">
      <c r="A18506">
        <v>59</v>
      </c>
      <c r="B18506" t="s">
        <v>18487</v>
      </c>
      <c r="C18506">
        <v>16509</v>
      </c>
      <c r="D18506" t="str">
        <f>"1090-1981"</f>
        <v>1090-1981</v>
      </c>
      <c r="E18506" t="s">
        <v>8</v>
      </c>
      <c r="F18506" t="s">
        <v>18521</v>
      </c>
      <c r="G18506">
        <v>2</v>
      </c>
    </row>
    <row r="18507" spans="1:7" x14ac:dyDescent="0.25">
      <c r="A18507">
        <v>59</v>
      </c>
      <c r="B18507" t="s">
        <v>18487</v>
      </c>
      <c r="C18507">
        <v>5892</v>
      </c>
      <c r="D18507" t="str">
        <f>"0168-8510"</f>
        <v>0168-8510</v>
      </c>
      <c r="E18507" t="s">
        <v>8</v>
      </c>
      <c r="F18507" t="s">
        <v>18522</v>
      </c>
      <c r="G18507">
        <v>2</v>
      </c>
    </row>
    <row r="18508" spans="1:7" x14ac:dyDescent="0.25">
      <c r="A18508">
        <v>59</v>
      </c>
      <c r="B18508" t="s">
        <v>18487</v>
      </c>
      <c r="C18508">
        <v>5598</v>
      </c>
      <c r="D18508" t="str">
        <f>"0957-4824"</f>
        <v>0957-4824</v>
      </c>
      <c r="E18508" t="s">
        <v>8</v>
      </c>
      <c r="F18508" t="s">
        <v>18523</v>
      </c>
      <c r="G18508">
        <v>2</v>
      </c>
    </row>
    <row r="18509" spans="1:7" x14ac:dyDescent="0.25">
      <c r="A18509">
        <v>59</v>
      </c>
      <c r="B18509" t="s">
        <v>18487</v>
      </c>
      <c r="C18509">
        <v>4808</v>
      </c>
      <c r="D18509" t="str">
        <f>"0017-9124"</f>
        <v>0017-9124</v>
      </c>
      <c r="E18509" t="s">
        <v>8</v>
      </c>
      <c r="F18509" t="s">
        <v>18524</v>
      </c>
      <c r="G18509">
        <v>2</v>
      </c>
    </row>
    <row r="18510" spans="1:7" x14ac:dyDescent="0.25">
      <c r="A18510">
        <v>59</v>
      </c>
      <c r="B18510" t="s">
        <v>18487</v>
      </c>
      <c r="C18510">
        <v>12982</v>
      </c>
      <c r="D18510" t="str">
        <f>"0905-6947"</f>
        <v>0905-6947</v>
      </c>
      <c r="E18510" t="s">
        <v>8</v>
      </c>
      <c r="F18510" t="s">
        <v>18525</v>
      </c>
      <c r="G18510">
        <v>2</v>
      </c>
    </row>
    <row r="18511" spans="1:7" x14ac:dyDescent="0.25">
      <c r="A18511">
        <v>59</v>
      </c>
      <c r="B18511" t="s">
        <v>18487</v>
      </c>
      <c r="C18511">
        <v>15274</v>
      </c>
      <c r="E18511" t="s">
        <v>8</v>
      </c>
      <c r="F18511" t="s">
        <v>18526</v>
      </c>
      <c r="G18511">
        <v>2</v>
      </c>
    </row>
    <row r="18512" spans="1:7" x14ac:dyDescent="0.25">
      <c r="A18512">
        <v>59</v>
      </c>
      <c r="B18512" t="s">
        <v>18487</v>
      </c>
      <c r="C18512">
        <v>12020</v>
      </c>
      <c r="D18512" t="str">
        <f>"0955-3959"</f>
        <v>0955-3959</v>
      </c>
      <c r="E18512" t="s">
        <v>8</v>
      </c>
      <c r="F18512" t="s">
        <v>18527</v>
      </c>
      <c r="G18512">
        <v>2</v>
      </c>
    </row>
    <row r="18513" spans="1:7" x14ac:dyDescent="0.25">
      <c r="A18513">
        <v>59</v>
      </c>
      <c r="B18513" t="s">
        <v>18487</v>
      </c>
      <c r="C18513">
        <v>13000</v>
      </c>
      <c r="D18513" t="str">
        <f>"0300-5771"</f>
        <v>0300-5771</v>
      </c>
      <c r="E18513" t="s">
        <v>8</v>
      </c>
      <c r="F18513" t="s">
        <v>18528</v>
      </c>
      <c r="G18513">
        <v>2</v>
      </c>
    </row>
    <row r="18514" spans="1:7" x14ac:dyDescent="0.25">
      <c r="A18514">
        <v>59</v>
      </c>
      <c r="B18514" t="s">
        <v>18487</v>
      </c>
      <c r="C18514">
        <v>5719</v>
      </c>
      <c r="D18514" t="str">
        <f>"1438-4639"</f>
        <v>1438-4639</v>
      </c>
      <c r="E18514" t="s">
        <v>8</v>
      </c>
      <c r="F18514" t="s">
        <v>18529</v>
      </c>
      <c r="G18514">
        <v>2</v>
      </c>
    </row>
    <row r="18515" spans="1:7" x14ac:dyDescent="0.25">
      <c r="A18515">
        <v>59</v>
      </c>
      <c r="B18515" t="s">
        <v>18487</v>
      </c>
      <c r="C18515">
        <v>5088</v>
      </c>
      <c r="D18515" t="str">
        <f>"0895-4356"</f>
        <v>0895-4356</v>
      </c>
      <c r="E18515" t="s">
        <v>8</v>
      </c>
      <c r="F18515" t="s">
        <v>18530</v>
      </c>
      <c r="G18515">
        <v>2</v>
      </c>
    </row>
    <row r="18516" spans="1:7" x14ac:dyDescent="0.25">
      <c r="A18516">
        <v>59</v>
      </c>
      <c r="B18516" t="s">
        <v>18487</v>
      </c>
      <c r="C18516">
        <v>6798</v>
      </c>
      <c r="D18516" t="str">
        <f>"0143-005X"</f>
        <v>0143-005X</v>
      </c>
      <c r="E18516" t="s">
        <v>8</v>
      </c>
      <c r="F18516" t="s">
        <v>18531</v>
      </c>
      <c r="G18516">
        <v>2</v>
      </c>
    </row>
    <row r="18517" spans="1:7" x14ac:dyDescent="0.25">
      <c r="A18517">
        <v>59</v>
      </c>
      <c r="B18517" t="s">
        <v>18487</v>
      </c>
      <c r="C18517">
        <v>7496</v>
      </c>
      <c r="D18517" t="str">
        <f>"1559-0631"</f>
        <v>1559-0631</v>
      </c>
      <c r="E18517" t="s">
        <v>8</v>
      </c>
      <c r="F18517" t="s">
        <v>18532</v>
      </c>
      <c r="G18517">
        <v>2</v>
      </c>
    </row>
    <row r="18518" spans="1:7" x14ac:dyDescent="0.25">
      <c r="A18518">
        <v>59</v>
      </c>
      <c r="B18518" t="s">
        <v>18487</v>
      </c>
      <c r="C18518">
        <v>1272</v>
      </c>
      <c r="D18518" t="str">
        <f>"1081-0730"</f>
        <v>1081-0730</v>
      </c>
      <c r="E18518" t="s">
        <v>8</v>
      </c>
      <c r="F18518" t="s">
        <v>18533</v>
      </c>
      <c r="G18518">
        <v>2</v>
      </c>
    </row>
    <row r="18519" spans="1:7" x14ac:dyDescent="0.25">
      <c r="A18519">
        <v>59</v>
      </c>
      <c r="B18519" t="s">
        <v>18487</v>
      </c>
      <c r="C18519">
        <v>7128</v>
      </c>
      <c r="D18519" t="str">
        <f>"0167-6296"</f>
        <v>0167-6296</v>
      </c>
      <c r="E18519" t="s">
        <v>8</v>
      </c>
      <c r="F18519" t="s">
        <v>18534</v>
      </c>
      <c r="G18519">
        <v>2</v>
      </c>
    </row>
    <row r="18520" spans="1:7" x14ac:dyDescent="0.25">
      <c r="A18520">
        <v>59</v>
      </c>
      <c r="B18520" t="s">
        <v>18487</v>
      </c>
      <c r="C18520">
        <v>9767</v>
      </c>
      <c r="D18520" t="str">
        <f>"1439-4456"</f>
        <v>1439-4456</v>
      </c>
      <c r="E18520" t="s">
        <v>8</v>
      </c>
      <c r="F18520" t="s">
        <v>18535</v>
      </c>
      <c r="G18520">
        <v>2</v>
      </c>
    </row>
    <row r="18521" spans="1:7" x14ac:dyDescent="0.25">
      <c r="A18521">
        <v>59</v>
      </c>
      <c r="B18521" t="s">
        <v>18487</v>
      </c>
      <c r="C18521">
        <v>11157</v>
      </c>
      <c r="D18521" t="str">
        <f>"1076-2752"</f>
        <v>1076-2752</v>
      </c>
      <c r="E18521" t="s">
        <v>8</v>
      </c>
      <c r="F18521" t="s">
        <v>18536</v>
      </c>
      <c r="G18521">
        <v>2</v>
      </c>
    </row>
    <row r="18522" spans="1:7" x14ac:dyDescent="0.25">
      <c r="A18522">
        <v>59</v>
      </c>
      <c r="B18522" t="s">
        <v>18487</v>
      </c>
      <c r="C18522">
        <v>9401</v>
      </c>
      <c r="D18522" t="str">
        <f>"1076-8998"</f>
        <v>1076-8998</v>
      </c>
      <c r="E18522" t="s">
        <v>8</v>
      </c>
      <c r="F18522" t="s">
        <v>18537</v>
      </c>
      <c r="G18522">
        <v>2</v>
      </c>
    </row>
    <row r="18523" spans="1:7" x14ac:dyDescent="0.25">
      <c r="A18523">
        <v>59</v>
      </c>
      <c r="B18523" t="s">
        <v>18487</v>
      </c>
      <c r="C18523">
        <v>9828</v>
      </c>
      <c r="D18523" t="str">
        <f>"1650-1977"</f>
        <v>1650-1977</v>
      </c>
      <c r="E18523" t="s">
        <v>8</v>
      </c>
      <c r="F18523" t="s">
        <v>18538</v>
      </c>
      <c r="G18523">
        <v>2</v>
      </c>
    </row>
    <row r="18524" spans="1:7" x14ac:dyDescent="0.25">
      <c r="A18524">
        <v>59</v>
      </c>
      <c r="B18524" t="s">
        <v>18487</v>
      </c>
      <c r="C18524">
        <v>14542</v>
      </c>
      <c r="D18524" t="str">
        <f>"0002-8614"</f>
        <v>0002-8614</v>
      </c>
      <c r="E18524" t="s">
        <v>8</v>
      </c>
      <c r="F18524" t="s">
        <v>18539</v>
      </c>
      <c r="G18524">
        <v>2</v>
      </c>
    </row>
    <row r="18525" spans="1:7" x14ac:dyDescent="0.25">
      <c r="A18525">
        <v>59</v>
      </c>
      <c r="B18525" t="s">
        <v>18487</v>
      </c>
      <c r="C18525">
        <v>15012</v>
      </c>
      <c r="D18525" t="str">
        <f>"0047-6374"</f>
        <v>0047-6374</v>
      </c>
      <c r="E18525" t="s">
        <v>8</v>
      </c>
      <c r="F18525" t="s">
        <v>18540</v>
      </c>
      <c r="G18525">
        <v>2</v>
      </c>
    </row>
    <row r="18526" spans="1:7" x14ac:dyDescent="0.25">
      <c r="A18526">
        <v>59</v>
      </c>
      <c r="B18526" t="s">
        <v>18487</v>
      </c>
      <c r="C18526">
        <v>1806</v>
      </c>
      <c r="D18526" t="str">
        <f>"0025-7079"</f>
        <v>0025-7079</v>
      </c>
      <c r="E18526" t="s">
        <v>8</v>
      </c>
      <c r="F18526" t="s">
        <v>18541</v>
      </c>
      <c r="G18526">
        <v>2</v>
      </c>
    </row>
    <row r="18527" spans="1:7" x14ac:dyDescent="0.25">
      <c r="A18527">
        <v>59</v>
      </c>
      <c r="B18527" t="s">
        <v>18487</v>
      </c>
      <c r="C18527">
        <v>10237</v>
      </c>
      <c r="D18527" t="str">
        <f>"0272-989X"</f>
        <v>0272-989X</v>
      </c>
      <c r="E18527" t="s">
        <v>8</v>
      </c>
      <c r="F18527" t="s">
        <v>18542</v>
      </c>
      <c r="G18527">
        <v>2</v>
      </c>
    </row>
    <row r="18528" spans="1:7" x14ac:dyDescent="0.25">
      <c r="A18528">
        <v>59</v>
      </c>
      <c r="B18528" t="s">
        <v>18487</v>
      </c>
      <c r="C18528">
        <v>14687</v>
      </c>
      <c r="D18528" t="str">
        <f>"0267-8357"</f>
        <v>0267-8357</v>
      </c>
      <c r="E18528" t="s">
        <v>8</v>
      </c>
      <c r="F18528" t="s">
        <v>18543</v>
      </c>
      <c r="G18528">
        <v>2</v>
      </c>
    </row>
    <row r="18529" spans="1:7" x14ac:dyDescent="0.25">
      <c r="A18529">
        <v>59</v>
      </c>
      <c r="B18529" t="s">
        <v>18487</v>
      </c>
      <c r="C18529">
        <v>6212441</v>
      </c>
      <c r="D18529" t="str">
        <f>"1743-5390"</f>
        <v>1743-5390</v>
      </c>
      <c r="E18529" t="s">
        <v>8</v>
      </c>
      <c r="F18529" t="s">
        <v>18544</v>
      </c>
      <c r="G18529">
        <v>2</v>
      </c>
    </row>
    <row r="18530" spans="1:7" x14ac:dyDescent="0.25">
      <c r="A18530">
        <v>59</v>
      </c>
      <c r="B18530" t="s">
        <v>18487</v>
      </c>
      <c r="C18530">
        <v>427</v>
      </c>
      <c r="D18530" t="str">
        <f>"0892-0362"</f>
        <v>0892-0362</v>
      </c>
      <c r="E18530" t="s">
        <v>8</v>
      </c>
      <c r="F18530" t="s">
        <v>18545</v>
      </c>
      <c r="G18530">
        <v>2</v>
      </c>
    </row>
    <row r="18531" spans="1:7" x14ac:dyDescent="0.25">
      <c r="A18531">
        <v>59</v>
      </c>
      <c r="B18531" t="s">
        <v>18487</v>
      </c>
      <c r="C18531">
        <v>4712</v>
      </c>
      <c r="D18531" t="str">
        <f>"1351-0711"</f>
        <v>1351-0711</v>
      </c>
      <c r="E18531" t="s">
        <v>8</v>
      </c>
      <c r="F18531" t="s">
        <v>18546</v>
      </c>
      <c r="G18531">
        <v>2</v>
      </c>
    </row>
    <row r="18532" spans="1:7" x14ac:dyDescent="0.25">
      <c r="A18532">
        <v>59</v>
      </c>
      <c r="B18532" t="s">
        <v>18487</v>
      </c>
      <c r="C18532">
        <v>27119</v>
      </c>
      <c r="E18532" t="s">
        <v>8</v>
      </c>
      <c r="F18532" t="s">
        <v>18547</v>
      </c>
      <c r="G18532">
        <v>2</v>
      </c>
    </row>
    <row r="18533" spans="1:7" x14ac:dyDescent="0.25">
      <c r="A18533">
        <v>59</v>
      </c>
      <c r="B18533" t="s">
        <v>18487</v>
      </c>
      <c r="C18533">
        <v>11244</v>
      </c>
      <c r="D18533" t="str">
        <f>"0091-7435"</f>
        <v>0091-7435</v>
      </c>
      <c r="E18533" t="s">
        <v>8</v>
      </c>
      <c r="F18533" t="s">
        <v>18548</v>
      </c>
      <c r="G18533">
        <v>2</v>
      </c>
    </row>
    <row r="18534" spans="1:7" x14ac:dyDescent="0.25">
      <c r="A18534">
        <v>59</v>
      </c>
      <c r="B18534" t="s">
        <v>18487</v>
      </c>
      <c r="C18534">
        <v>4794</v>
      </c>
      <c r="D18534" t="str">
        <f>"0033-3174"</f>
        <v>0033-3174</v>
      </c>
      <c r="E18534" t="s">
        <v>8</v>
      </c>
      <c r="F18534" t="s">
        <v>18549</v>
      </c>
      <c r="G18534">
        <v>2</v>
      </c>
    </row>
    <row r="18535" spans="1:7" x14ac:dyDescent="0.25">
      <c r="A18535">
        <v>59</v>
      </c>
      <c r="B18535" t="s">
        <v>18487</v>
      </c>
      <c r="C18535">
        <v>1094</v>
      </c>
      <c r="D18535" t="str">
        <f>"1049-7323"</f>
        <v>1049-7323</v>
      </c>
      <c r="E18535" t="s">
        <v>8</v>
      </c>
      <c r="F18535" t="s">
        <v>18550</v>
      </c>
      <c r="G18535">
        <v>2</v>
      </c>
    </row>
    <row r="18536" spans="1:7" x14ac:dyDescent="0.25">
      <c r="A18536">
        <v>59</v>
      </c>
      <c r="B18536" t="s">
        <v>18487</v>
      </c>
      <c r="C18536">
        <v>5446</v>
      </c>
      <c r="D18536" t="str">
        <f>"0962-9343"</f>
        <v>0962-9343</v>
      </c>
      <c r="E18536" t="s">
        <v>8</v>
      </c>
      <c r="F18536" t="s">
        <v>18551</v>
      </c>
      <c r="G18536">
        <v>2</v>
      </c>
    </row>
    <row r="18537" spans="1:7" x14ac:dyDescent="0.25">
      <c r="A18537">
        <v>59</v>
      </c>
      <c r="B18537" t="s">
        <v>18487</v>
      </c>
      <c r="C18537">
        <v>12023</v>
      </c>
      <c r="D18537" t="str">
        <f>"1470-1626"</f>
        <v>1470-1626</v>
      </c>
      <c r="E18537" t="s">
        <v>8</v>
      </c>
      <c r="F18537" t="s">
        <v>18552</v>
      </c>
      <c r="G18537">
        <v>2</v>
      </c>
    </row>
    <row r="18538" spans="1:7" x14ac:dyDescent="0.25">
      <c r="A18538">
        <v>59</v>
      </c>
      <c r="B18538" t="s">
        <v>18487</v>
      </c>
      <c r="C18538">
        <v>3679</v>
      </c>
      <c r="D18538" t="str">
        <f>"0890-6238"</f>
        <v>0890-6238</v>
      </c>
      <c r="E18538" t="s">
        <v>8</v>
      </c>
      <c r="F18538" t="s">
        <v>18553</v>
      </c>
      <c r="G18538">
        <v>2</v>
      </c>
    </row>
    <row r="18539" spans="1:7" x14ac:dyDescent="0.25">
      <c r="A18539">
        <v>59</v>
      </c>
      <c r="B18539" t="s">
        <v>18487</v>
      </c>
      <c r="C18539">
        <v>4372</v>
      </c>
      <c r="D18539" t="str">
        <f>"0355-3140"</f>
        <v>0355-3140</v>
      </c>
      <c r="E18539" t="s">
        <v>8</v>
      </c>
      <c r="F18539" t="s">
        <v>18554</v>
      </c>
      <c r="G18539">
        <v>2</v>
      </c>
    </row>
    <row r="18540" spans="1:7" x14ac:dyDescent="0.25">
      <c r="A18540">
        <v>59</v>
      </c>
      <c r="B18540" t="s">
        <v>18487</v>
      </c>
      <c r="C18540">
        <v>10148</v>
      </c>
      <c r="D18540" t="str">
        <f>"0277-9536"</f>
        <v>0277-9536</v>
      </c>
      <c r="E18540" t="s">
        <v>8</v>
      </c>
      <c r="F18540" t="s">
        <v>18555</v>
      </c>
      <c r="G18540">
        <v>2</v>
      </c>
    </row>
    <row r="18541" spans="1:7" x14ac:dyDescent="0.25">
      <c r="A18541">
        <v>59</v>
      </c>
      <c r="B18541" t="s">
        <v>18487</v>
      </c>
      <c r="C18541">
        <v>6779</v>
      </c>
      <c r="D18541" t="str">
        <f>"0016-9013"</f>
        <v>0016-9013</v>
      </c>
      <c r="E18541" t="s">
        <v>8</v>
      </c>
      <c r="F18541" t="s">
        <v>18556</v>
      </c>
      <c r="G18541">
        <v>2</v>
      </c>
    </row>
    <row r="18542" spans="1:7" x14ac:dyDescent="0.25">
      <c r="A18542">
        <v>59</v>
      </c>
      <c r="B18542" t="s">
        <v>18487</v>
      </c>
      <c r="C18542">
        <v>6495</v>
      </c>
      <c r="D18542" t="str">
        <f>"0964-4563"</f>
        <v>0964-4563</v>
      </c>
      <c r="E18542" t="s">
        <v>8</v>
      </c>
      <c r="F18542" t="s">
        <v>18557</v>
      </c>
      <c r="G18542">
        <v>2</v>
      </c>
    </row>
    <row r="18543" spans="1:7" x14ac:dyDescent="0.25">
      <c r="A18543">
        <v>59</v>
      </c>
      <c r="B18543" t="s">
        <v>18487</v>
      </c>
      <c r="C18543">
        <v>4934</v>
      </c>
      <c r="D18543" t="str">
        <f>"1360-2276"</f>
        <v>1360-2276</v>
      </c>
      <c r="E18543" t="s">
        <v>8</v>
      </c>
      <c r="F18543" t="s">
        <v>18558</v>
      </c>
      <c r="G18543">
        <v>2</v>
      </c>
    </row>
    <row r="18544" spans="1:7" x14ac:dyDescent="0.25">
      <c r="A18544">
        <v>59</v>
      </c>
      <c r="B18544" t="s">
        <v>18487</v>
      </c>
      <c r="C18544">
        <v>10816</v>
      </c>
      <c r="D18544" t="str">
        <f>"1098-3015"</f>
        <v>1098-3015</v>
      </c>
      <c r="E18544" t="s">
        <v>8</v>
      </c>
      <c r="F18544" t="s">
        <v>18559</v>
      </c>
      <c r="G18544">
        <v>2</v>
      </c>
    </row>
    <row r="18545" spans="1:7" x14ac:dyDescent="0.25">
      <c r="A18545">
        <v>59</v>
      </c>
      <c r="B18545" t="s">
        <v>18487</v>
      </c>
      <c r="C18545">
        <v>14146</v>
      </c>
      <c r="D18545" t="str">
        <f>"1040-2446"</f>
        <v>1040-2446</v>
      </c>
      <c r="E18545" t="s">
        <v>8</v>
      </c>
      <c r="F18545" t="s">
        <v>18560</v>
      </c>
      <c r="G18545">
        <v>1</v>
      </c>
    </row>
    <row r="18546" spans="1:7" x14ac:dyDescent="0.25">
      <c r="A18546">
        <v>59</v>
      </c>
      <c r="B18546" t="s">
        <v>18487</v>
      </c>
      <c r="C18546">
        <v>16205</v>
      </c>
      <c r="D18546" t="str">
        <f>"0001-706X"</f>
        <v>0001-706X</v>
      </c>
      <c r="E18546" t="s">
        <v>8</v>
      </c>
      <c r="F18546" t="s">
        <v>18561</v>
      </c>
      <c r="G18546">
        <v>1</v>
      </c>
    </row>
    <row r="18547" spans="1:7" x14ac:dyDescent="0.25">
      <c r="A18547">
        <v>59</v>
      </c>
      <c r="B18547" t="s">
        <v>18487</v>
      </c>
      <c r="C18547">
        <v>138253</v>
      </c>
      <c r="D18547" t="str">
        <f>"1940-0632"</f>
        <v>1940-0632</v>
      </c>
      <c r="E18547" t="s">
        <v>8</v>
      </c>
      <c r="F18547" t="s">
        <v>18562</v>
      </c>
      <c r="G18547">
        <v>1</v>
      </c>
    </row>
    <row r="18548" spans="1:7" x14ac:dyDescent="0.25">
      <c r="A18548">
        <v>59</v>
      </c>
      <c r="B18548" t="s">
        <v>18487</v>
      </c>
      <c r="C18548">
        <v>12014</v>
      </c>
      <c r="D18548" t="str">
        <f>"0894-587X"</f>
        <v>0894-587X</v>
      </c>
      <c r="E18548" t="s">
        <v>8</v>
      </c>
      <c r="F18548" t="s">
        <v>18563</v>
      </c>
      <c r="G18548">
        <v>1</v>
      </c>
    </row>
    <row r="18549" spans="1:7" x14ac:dyDescent="0.25">
      <c r="A18549">
        <v>59</v>
      </c>
      <c r="B18549" t="s">
        <v>18487</v>
      </c>
      <c r="C18549">
        <v>8782441</v>
      </c>
      <c r="D18549" t="str">
        <f>"2375-6314"</f>
        <v>2375-6314</v>
      </c>
      <c r="E18549" t="s">
        <v>8</v>
      </c>
      <c r="F18549" t="s">
        <v>18564</v>
      </c>
      <c r="G18549">
        <v>1</v>
      </c>
    </row>
    <row r="18550" spans="1:7" x14ac:dyDescent="0.25">
      <c r="A18550">
        <v>59</v>
      </c>
      <c r="B18550" t="s">
        <v>18487</v>
      </c>
      <c r="C18550">
        <v>11163</v>
      </c>
      <c r="D18550" t="str">
        <f>"1680-6905"</f>
        <v>1680-6905</v>
      </c>
      <c r="E18550" t="s">
        <v>8</v>
      </c>
      <c r="F18550" t="s">
        <v>18565</v>
      </c>
      <c r="G18550">
        <v>1</v>
      </c>
    </row>
    <row r="18551" spans="1:7" x14ac:dyDescent="0.25">
      <c r="A18551">
        <v>59</v>
      </c>
      <c r="B18551" t="s">
        <v>18487</v>
      </c>
      <c r="C18551">
        <v>11814</v>
      </c>
      <c r="D18551" t="str">
        <f>"1118-4841"</f>
        <v>1118-4841</v>
      </c>
      <c r="E18551" t="s">
        <v>8</v>
      </c>
      <c r="F18551" t="s">
        <v>18566</v>
      </c>
      <c r="G18551">
        <v>1</v>
      </c>
    </row>
    <row r="18552" spans="1:7" x14ac:dyDescent="0.25">
      <c r="A18552">
        <v>59</v>
      </c>
      <c r="B18552" t="s">
        <v>18487</v>
      </c>
      <c r="C18552">
        <v>6724</v>
      </c>
      <c r="D18552" t="str">
        <f>"0163-5158"</f>
        <v>0163-5158</v>
      </c>
      <c r="E18552" t="s">
        <v>8</v>
      </c>
      <c r="F18552" t="s">
        <v>18567</v>
      </c>
      <c r="G18552">
        <v>1</v>
      </c>
    </row>
    <row r="18553" spans="1:7" x14ac:dyDescent="0.25">
      <c r="A18553">
        <v>59</v>
      </c>
      <c r="B18553" t="s">
        <v>18487</v>
      </c>
      <c r="C18553">
        <v>2096</v>
      </c>
      <c r="D18553" t="str">
        <f>"1360-7863"</f>
        <v>1360-7863</v>
      </c>
      <c r="E18553" t="s">
        <v>8</v>
      </c>
      <c r="F18553" t="s">
        <v>18568</v>
      </c>
      <c r="G18553">
        <v>1</v>
      </c>
    </row>
    <row r="18554" spans="1:7" x14ac:dyDescent="0.25">
      <c r="A18554">
        <v>59</v>
      </c>
      <c r="B18554" t="s">
        <v>18487</v>
      </c>
      <c r="C18554">
        <v>6496</v>
      </c>
      <c r="D18554" t="str">
        <f>"0954-0121"</f>
        <v>0954-0121</v>
      </c>
      <c r="E18554" t="s">
        <v>8</v>
      </c>
      <c r="F18554" t="s">
        <v>18569</v>
      </c>
      <c r="G18554">
        <v>1</v>
      </c>
    </row>
    <row r="18555" spans="1:7" x14ac:dyDescent="0.25">
      <c r="A18555">
        <v>59</v>
      </c>
      <c r="B18555" t="s">
        <v>18487</v>
      </c>
      <c r="C18555">
        <v>10203</v>
      </c>
      <c r="D18555" t="str">
        <f>"0899-9546"</f>
        <v>0899-9546</v>
      </c>
      <c r="E18555" t="s">
        <v>8</v>
      </c>
      <c r="F18555" t="s">
        <v>18570</v>
      </c>
      <c r="G18555">
        <v>1</v>
      </c>
    </row>
    <row r="18556" spans="1:7" x14ac:dyDescent="0.25">
      <c r="A18556">
        <v>59</v>
      </c>
      <c r="B18556" t="s">
        <v>18487</v>
      </c>
      <c r="C18556">
        <v>8766107</v>
      </c>
      <c r="E18556" t="s">
        <v>8</v>
      </c>
      <c r="F18556" t="s">
        <v>18571</v>
      </c>
      <c r="G18556">
        <v>1</v>
      </c>
    </row>
    <row r="18557" spans="1:7" x14ac:dyDescent="0.25">
      <c r="A18557">
        <v>59</v>
      </c>
      <c r="B18557" t="s">
        <v>18487</v>
      </c>
      <c r="C18557">
        <v>8432</v>
      </c>
      <c r="D18557" t="str">
        <f>"1067-991X"</f>
        <v>1067-991X</v>
      </c>
      <c r="E18557" t="s">
        <v>8</v>
      </c>
      <c r="F18557" t="s">
        <v>18572</v>
      </c>
      <c r="G18557">
        <v>1</v>
      </c>
    </row>
    <row r="18558" spans="1:7" x14ac:dyDescent="0.25">
      <c r="A18558">
        <v>59</v>
      </c>
      <c r="B18558" t="s">
        <v>18487</v>
      </c>
      <c r="C18558">
        <v>6064</v>
      </c>
      <c r="D18558" t="str">
        <f>"0741-8329"</f>
        <v>0741-8329</v>
      </c>
      <c r="E18558" t="s">
        <v>8</v>
      </c>
      <c r="F18558" t="s">
        <v>18573</v>
      </c>
      <c r="G18558">
        <v>1</v>
      </c>
    </row>
    <row r="18559" spans="1:7" x14ac:dyDescent="0.25">
      <c r="A18559">
        <v>59</v>
      </c>
      <c r="B18559" t="s">
        <v>18487</v>
      </c>
      <c r="C18559">
        <v>17272</v>
      </c>
      <c r="D18559" t="str">
        <f>"2168-3492"</f>
        <v>2168-3492</v>
      </c>
      <c r="E18559" t="s">
        <v>8</v>
      </c>
      <c r="F18559" t="s">
        <v>18574</v>
      </c>
      <c r="G18559">
        <v>1</v>
      </c>
    </row>
    <row r="18560" spans="1:7" x14ac:dyDescent="0.25">
      <c r="A18560">
        <v>59</v>
      </c>
      <c r="B18560" t="s">
        <v>18487</v>
      </c>
      <c r="C18560">
        <v>2220</v>
      </c>
      <c r="D18560" t="str">
        <f>"0344-5062"</f>
        <v>0344-5062</v>
      </c>
      <c r="E18560" t="s">
        <v>8</v>
      </c>
      <c r="F18560" t="s">
        <v>18575</v>
      </c>
      <c r="G18560">
        <v>1</v>
      </c>
    </row>
    <row r="18561" spans="1:7" x14ac:dyDescent="0.25">
      <c r="A18561">
        <v>59</v>
      </c>
      <c r="B18561" t="s">
        <v>18487</v>
      </c>
      <c r="C18561">
        <v>497</v>
      </c>
      <c r="D18561" t="str">
        <f>"1323-8930"</f>
        <v>1323-8930</v>
      </c>
      <c r="E18561" t="s">
        <v>8</v>
      </c>
      <c r="F18561" t="s">
        <v>18576</v>
      </c>
      <c r="G18561">
        <v>1</v>
      </c>
    </row>
    <row r="18562" spans="1:7" x14ac:dyDescent="0.25">
      <c r="A18562">
        <v>59</v>
      </c>
      <c r="B18562" t="s">
        <v>18487</v>
      </c>
      <c r="C18562">
        <v>2835</v>
      </c>
      <c r="D18562" t="str">
        <f>"1088-5412"</f>
        <v>1088-5412</v>
      </c>
      <c r="E18562" t="s">
        <v>8</v>
      </c>
      <c r="F18562" t="s">
        <v>18577</v>
      </c>
      <c r="G18562">
        <v>1</v>
      </c>
    </row>
    <row r="18563" spans="1:7" x14ac:dyDescent="0.25">
      <c r="A18563">
        <v>59</v>
      </c>
      <c r="B18563" t="s">
        <v>18487</v>
      </c>
      <c r="C18563">
        <v>5238</v>
      </c>
      <c r="D18563" t="str">
        <f>"1076-2809"</f>
        <v>1076-2809</v>
      </c>
      <c r="E18563" t="s">
        <v>8</v>
      </c>
      <c r="F18563" t="s">
        <v>18578</v>
      </c>
      <c r="G18563">
        <v>1</v>
      </c>
    </row>
    <row r="18564" spans="1:7" x14ac:dyDescent="0.25">
      <c r="A18564">
        <v>59</v>
      </c>
      <c r="B18564" t="s">
        <v>18487</v>
      </c>
      <c r="C18564">
        <v>2626</v>
      </c>
      <c r="D18564" t="str">
        <f>"1078-6791"</f>
        <v>1078-6791</v>
      </c>
      <c r="E18564" t="s">
        <v>8</v>
      </c>
      <c r="F18564" t="s">
        <v>18579</v>
      </c>
      <c r="G18564">
        <v>1</v>
      </c>
    </row>
    <row r="18565" spans="1:7" x14ac:dyDescent="0.25">
      <c r="A18565">
        <v>59</v>
      </c>
      <c r="B18565" t="s">
        <v>18487</v>
      </c>
      <c r="C18565">
        <v>11466</v>
      </c>
      <c r="D18565" t="str">
        <f>"0002-726X"</f>
        <v>0002-726X</v>
      </c>
      <c r="E18565" t="s">
        <v>8</v>
      </c>
      <c r="F18565" t="s">
        <v>18580</v>
      </c>
      <c r="G18565">
        <v>1</v>
      </c>
    </row>
    <row r="18566" spans="1:7" x14ac:dyDescent="0.25">
      <c r="A18566">
        <v>59</v>
      </c>
      <c r="B18566" t="s">
        <v>18487</v>
      </c>
      <c r="C18566">
        <v>12801</v>
      </c>
      <c r="D18566" t="str">
        <f>"0002-838X"</f>
        <v>0002-838X</v>
      </c>
      <c r="E18566" t="s">
        <v>8</v>
      </c>
      <c r="F18566" t="s">
        <v>18581</v>
      </c>
      <c r="G18566">
        <v>1</v>
      </c>
    </row>
    <row r="18567" spans="1:7" x14ac:dyDescent="0.25">
      <c r="A18567">
        <v>59</v>
      </c>
      <c r="B18567" t="s">
        <v>18487</v>
      </c>
      <c r="C18567">
        <v>13113</v>
      </c>
      <c r="D18567" t="str">
        <f>"0146-3721"</f>
        <v>0146-3721</v>
      </c>
      <c r="E18567" t="s">
        <v>8</v>
      </c>
      <c r="F18567" t="s">
        <v>18582</v>
      </c>
      <c r="G18567">
        <v>1</v>
      </c>
    </row>
    <row r="18568" spans="1:7" x14ac:dyDescent="0.25">
      <c r="A18568">
        <v>59</v>
      </c>
      <c r="B18568" t="s">
        <v>18487</v>
      </c>
      <c r="C18568">
        <v>3159</v>
      </c>
      <c r="D18568" t="str">
        <f>"1087-3244"</f>
        <v>1087-3244</v>
      </c>
      <c r="E18568" t="s">
        <v>8</v>
      </c>
      <c r="F18568" t="s">
        <v>18583</v>
      </c>
      <c r="G18568">
        <v>1</v>
      </c>
    </row>
    <row r="18569" spans="1:7" x14ac:dyDescent="0.25">
      <c r="A18569">
        <v>59</v>
      </c>
      <c r="B18569" t="s">
        <v>18487</v>
      </c>
      <c r="C18569">
        <v>11342</v>
      </c>
      <c r="D18569" t="str">
        <f>"1042-0533"</f>
        <v>1042-0533</v>
      </c>
      <c r="E18569" t="s">
        <v>8</v>
      </c>
      <c r="F18569" t="s">
        <v>18584</v>
      </c>
      <c r="G18569">
        <v>1</v>
      </c>
    </row>
    <row r="18570" spans="1:7" x14ac:dyDescent="0.25">
      <c r="A18570">
        <v>59</v>
      </c>
      <c r="B18570" t="s">
        <v>18487</v>
      </c>
      <c r="C18570">
        <v>5700</v>
      </c>
      <c r="D18570" t="str">
        <f>"0271-3586"</f>
        <v>0271-3586</v>
      </c>
      <c r="E18570" t="s">
        <v>8</v>
      </c>
      <c r="F18570" t="s">
        <v>18585</v>
      </c>
      <c r="G18570">
        <v>1</v>
      </c>
    </row>
    <row r="18571" spans="1:7" x14ac:dyDescent="0.25">
      <c r="A18571">
        <v>59</v>
      </c>
      <c r="B18571" t="s">
        <v>18487</v>
      </c>
      <c r="C18571">
        <v>11212</v>
      </c>
      <c r="D18571" t="str">
        <f>"1062-8606"</f>
        <v>1062-8606</v>
      </c>
      <c r="E18571" t="s">
        <v>8</v>
      </c>
      <c r="F18571" t="s">
        <v>18586</v>
      </c>
      <c r="G18571">
        <v>1</v>
      </c>
    </row>
    <row r="18572" spans="1:7" x14ac:dyDescent="0.25">
      <c r="A18572">
        <v>59</v>
      </c>
      <c r="B18572" t="s">
        <v>18487</v>
      </c>
      <c r="C18572">
        <v>9132</v>
      </c>
      <c r="D18572" t="str">
        <f>"1557-9883"</f>
        <v>1557-9883</v>
      </c>
      <c r="E18572" t="s">
        <v>8</v>
      </c>
      <c r="F18572" t="s">
        <v>18587</v>
      </c>
      <c r="G18572">
        <v>1</v>
      </c>
    </row>
    <row r="18573" spans="1:7" x14ac:dyDescent="0.25">
      <c r="A18573">
        <v>59</v>
      </c>
      <c r="B18573" t="s">
        <v>18487</v>
      </c>
      <c r="C18573">
        <v>4734</v>
      </c>
      <c r="D18573" t="str">
        <f>"0272-9490"</f>
        <v>0272-9490</v>
      </c>
      <c r="E18573" t="s">
        <v>8</v>
      </c>
      <c r="F18573" t="s">
        <v>18588</v>
      </c>
      <c r="G18573">
        <v>1</v>
      </c>
    </row>
    <row r="18574" spans="1:7" x14ac:dyDescent="0.25">
      <c r="A18574">
        <v>59</v>
      </c>
      <c r="B18574" t="s">
        <v>18487</v>
      </c>
      <c r="C18574">
        <v>3924</v>
      </c>
      <c r="D18574" t="str">
        <f>"1548-7768"</f>
        <v>1548-7768</v>
      </c>
      <c r="E18574" t="s">
        <v>8</v>
      </c>
      <c r="F18574" t="s">
        <v>18589</v>
      </c>
      <c r="G18574">
        <v>1</v>
      </c>
    </row>
    <row r="18575" spans="1:7" x14ac:dyDescent="0.25">
      <c r="A18575">
        <v>59</v>
      </c>
      <c r="B18575" t="s">
        <v>18487</v>
      </c>
      <c r="C18575">
        <v>7735244</v>
      </c>
      <c r="D18575" t="str">
        <f>"2047-2919"</f>
        <v>2047-2919</v>
      </c>
      <c r="E18575" t="s">
        <v>8</v>
      </c>
      <c r="F18575" t="s">
        <v>18590</v>
      </c>
      <c r="G18575">
        <v>1</v>
      </c>
    </row>
    <row r="18576" spans="1:7" x14ac:dyDescent="0.25">
      <c r="A18576">
        <v>59</v>
      </c>
      <c r="B18576" t="s">
        <v>18487</v>
      </c>
      <c r="C18576">
        <v>4332</v>
      </c>
      <c r="D18576" t="str">
        <f>"0168-6054"</f>
        <v>0168-6054</v>
      </c>
      <c r="E18576" t="s">
        <v>8</v>
      </c>
      <c r="F18576" t="s">
        <v>18591</v>
      </c>
      <c r="G18576">
        <v>1</v>
      </c>
    </row>
    <row r="18577" spans="1:7" x14ac:dyDescent="0.25">
      <c r="A18577">
        <v>59</v>
      </c>
      <c r="B18577" t="s">
        <v>18487</v>
      </c>
      <c r="C18577">
        <v>16951</v>
      </c>
      <c r="D18577" t="str">
        <f>"1232-1966"</f>
        <v>1232-1966</v>
      </c>
      <c r="E18577" t="s">
        <v>8</v>
      </c>
      <c r="F18577" t="s">
        <v>18592</v>
      </c>
      <c r="G18577">
        <v>1</v>
      </c>
    </row>
    <row r="18578" spans="1:7" x14ac:dyDescent="0.25">
      <c r="A18578">
        <v>59</v>
      </c>
      <c r="B18578" t="s">
        <v>18487</v>
      </c>
      <c r="C18578">
        <v>4880</v>
      </c>
      <c r="D18578" t="str">
        <f>"0004-5632"</f>
        <v>0004-5632</v>
      </c>
      <c r="E18578" t="s">
        <v>8</v>
      </c>
      <c r="F18578" t="s">
        <v>18593</v>
      </c>
      <c r="G18578">
        <v>1</v>
      </c>
    </row>
    <row r="18579" spans="1:7" x14ac:dyDescent="0.25">
      <c r="A18579">
        <v>59</v>
      </c>
      <c r="B18579" t="s">
        <v>18487</v>
      </c>
      <c r="C18579">
        <v>7000</v>
      </c>
      <c r="D18579" t="str">
        <f>"1544-1709"</f>
        <v>1544-1709</v>
      </c>
      <c r="E18579" t="s">
        <v>8</v>
      </c>
      <c r="F18579" t="s">
        <v>18594</v>
      </c>
      <c r="G18579">
        <v>1</v>
      </c>
    </row>
    <row r="18580" spans="1:7" x14ac:dyDescent="0.25">
      <c r="A18580">
        <v>59</v>
      </c>
      <c r="B18580" t="s">
        <v>18487</v>
      </c>
      <c r="C18580">
        <v>14707</v>
      </c>
      <c r="D18580" t="str">
        <f>"0003-4800"</f>
        <v>0003-4800</v>
      </c>
      <c r="E18580" t="s">
        <v>8</v>
      </c>
      <c r="F18580" t="s">
        <v>18595</v>
      </c>
      <c r="G18580">
        <v>1</v>
      </c>
    </row>
    <row r="18581" spans="1:7" x14ac:dyDescent="0.25">
      <c r="A18581">
        <v>59</v>
      </c>
      <c r="B18581" t="s">
        <v>18487</v>
      </c>
      <c r="C18581">
        <v>12809</v>
      </c>
      <c r="D18581" t="str">
        <f>"2398-7308"</f>
        <v>2398-7308</v>
      </c>
      <c r="E18581" t="s">
        <v>8</v>
      </c>
      <c r="F18581" t="s">
        <v>18596</v>
      </c>
      <c r="G18581">
        <v>1</v>
      </c>
    </row>
    <row r="18582" spans="1:7" x14ac:dyDescent="0.25">
      <c r="A18582">
        <v>59</v>
      </c>
      <c r="B18582" t="s">
        <v>18487</v>
      </c>
      <c r="C18582">
        <v>5119</v>
      </c>
      <c r="D18582" t="str">
        <f>"0903-4641"</f>
        <v>0903-4641</v>
      </c>
      <c r="E18582" t="s">
        <v>8</v>
      </c>
      <c r="F18582" t="s">
        <v>18597</v>
      </c>
      <c r="G18582">
        <v>1</v>
      </c>
    </row>
    <row r="18583" spans="1:7" x14ac:dyDescent="0.25">
      <c r="A18583">
        <v>59</v>
      </c>
      <c r="B18583" t="s">
        <v>18487</v>
      </c>
      <c r="C18583">
        <v>2528</v>
      </c>
      <c r="D18583" t="str">
        <f>"1175-5652"</f>
        <v>1175-5652</v>
      </c>
      <c r="E18583" t="s">
        <v>8</v>
      </c>
      <c r="F18583" t="s">
        <v>18598</v>
      </c>
      <c r="G18583">
        <v>1</v>
      </c>
    </row>
    <row r="18584" spans="1:7" x14ac:dyDescent="0.25">
      <c r="A18584">
        <v>59</v>
      </c>
      <c r="B18584" t="s">
        <v>18487</v>
      </c>
      <c r="C18584">
        <v>6019865</v>
      </c>
      <c r="D18584" t="str">
        <f>"1758-0846"</f>
        <v>1758-0846</v>
      </c>
      <c r="E18584" t="s">
        <v>8</v>
      </c>
      <c r="F18584" t="s">
        <v>18599</v>
      </c>
      <c r="G18584">
        <v>1</v>
      </c>
    </row>
    <row r="18585" spans="1:7" x14ac:dyDescent="0.25">
      <c r="A18585">
        <v>59</v>
      </c>
      <c r="B18585" t="s">
        <v>18487</v>
      </c>
      <c r="C18585">
        <v>6906</v>
      </c>
      <c r="D18585" t="str">
        <f>"1871-2584"</f>
        <v>1871-2584</v>
      </c>
      <c r="E18585" t="s">
        <v>8</v>
      </c>
      <c r="F18585" t="s">
        <v>18600</v>
      </c>
      <c r="G18585">
        <v>1</v>
      </c>
    </row>
    <row r="18586" spans="1:7" x14ac:dyDescent="0.25">
      <c r="A18586">
        <v>59</v>
      </c>
      <c r="B18586" t="s">
        <v>18487</v>
      </c>
      <c r="C18586">
        <v>2507</v>
      </c>
      <c r="D18586" t="str">
        <f>"1775-8785"</f>
        <v>1775-8785</v>
      </c>
      <c r="E18586" t="s">
        <v>8</v>
      </c>
      <c r="F18586" t="s">
        <v>18601</v>
      </c>
      <c r="G18586">
        <v>1</v>
      </c>
    </row>
    <row r="18587" spans="1:7" x14ac:dyDescent="0.25">
      <c r="A18587">
        <v>59</v>
      </c>
      <c r="B18587" t="s">
        <v>18487</v>
      </c>
      <c r="C18587">
        <v>3047</v>
      </c>
      <c r="D18587" t="str">
        <f>"1933-8244"</f>
        <v>1933-8244</v>
      </c>
      <c r="E18587" t="s">
        <v>8</v>
      </c>
      <c r="F18587" t="s">
        <v>18602</v>
      </c>
      <c r="G18587">
        <v>1</v>
      </c>
    </row>
    <row r="18588" spans="1:7" x14ac:dyDescent="0.25">
      <c r="A18588">
        <v>59</v>
      </c>
      <c r="B18588" t="s">
        <v>18487</v>
      </c>
      <c r="C18588">
        <v>16590</v>
      </c>
      <c r="D18588" t="str">
        <f>"0003-9993"</f>
        <v>0003-9993</v>
      </c>
      <c r="E18588" t="s">
        <v>8</v>
      </c>
      <c r="F18588" t="s">
        <v>18603</v>
      </c>
      <c r="G18588">
        <v>1</v>
      </c>
    </row>
    <row r="18589" spans="1:7" x14ac:dyDescent="0.25">
      <c r="A18589">
        <v>59</v>
      </c>
      <c r="B18589" t="s">
        <v>18487</v>
      </c>
      <c r="C18589">
        <v>14267</v>
      </c>
      <c r="D18589" t="str">
        <f>"0778-7367"</f>
        <v>0778-7367</v>
      </c>
      <c r="E18589" t="s">
        <v>8</v>
      </c>
      <c r="F18589" t="s">
        <v>18604</v>
      </c>
      <c r="G18589">
        <v>1</v>
      </c>
    </row>
    <row r="18590" spans="1:7" x14ac:dyDescent="0.25">
      <c r="A18590">
        <v>59</v>
      </c>
      <c r="B18590" t="s">
        <v>18487</v>
      </c>
      <c r="C18590">
        <v>8751</v>
      </c>
      <c r="D18590" t="str">
        <f>"1434-1816"</f>
        <v>1434-1816</v>
      </c>
      <c r="E18590" t="s">
        <v>8</v>
      </c>
      <c r="F18590" t="s">
        <v>18605</v>
      </c>
      <c r="G18590">
        <v>1</v>
      </c>
    </row>
    <row r="18591" spans="1:7" x14ac:dyDescent="0.25">
      <c r="A18591">
        <v>59</v>
      </c>
      <c r="B18591" t="s">
        <v>18487</v>
      </c>
      <c r="C18591">
        <v>27456</v>
      </c>
      <c r="D18591" t="str">
        <f>"0004-1254"</f>
        <v>0004-1254</v>
      </c>
      <c r="E18591" t="s">
        <v>8</v>
      </c>
      <c r="F18591" t="s">
        <v>18606</v>
      </c>
      <c r="G18591">
        <v>1</v>
      </c>
    </row>
    <row r="18592" spans="1:7" x14ac:dyDescent="0.25">
      <c r="A18592">
        <v>59</v>
      </c>
      <c r="B18592" t="s">
        <v>18487</v>
      </c>
      <c r="C18592">
        <v>15625</v>
      </c>
      <c r="D18592" t="str">
        <f>"1040-0435"</f>
        <v>1040-0435</v>
      </c>
      <c r="E18592" t="s">
        <v>8</v>
      </c>
      <c r="F18592" t="s">
        <v>18607</v>
      </c>
      <c r="G18592">
        <v>1</v>
      </c>
    </row>
    <row r="18593" spans="1:7" x14ac:dyDescent="0.25">
      <c r="A18593">
        <v>59</v>
      </c>
      <c r="B18593" t="s">
        <v>18487</v>
      </c>
      <c r="C18593">
        <v>6733</v>
      </c>
      <c r="D18593" t="str">
        <f>"0212-6567"</f>
        <v>0212-6567</v>
      </c>
      <c r="E18593" t="s">
        <v>8</v>
      </c>
      <c r="F18593" t="s">
        <v>18608</v>
      </c>
      <c r="G18593">
        <v>1</v>
      </c>
    </row>
    <row r="18594" spans="1:7" x14ac:dyDescent="0.25">
      <c r="A18594">
        <v>59</v>
      </c>
      <c r="B18594" t="s">
        <v>18487</v>
      </c>
      <c r="C18594">
        <v>9180</v>
      </c>
      <c r="D18594" t="str">
        <f>"1440-6381"</f>
        <v>1440-6381</v>
      </c>
      <c r="E18594" t="s">
        <v>8</v>
      </c>
      <c r="F18594" t="s">
        <v>18609</v>
      </c>
      <c r="G18594">
        <v>1</v>
      </c>
    </row>
    <row r="18595" spans="1:7" x14ac:dyDescent="0.25">
      <c r="A18595">
        <v>59</v>
      </c>
      <c r="B18595" t="s">
        <v>18487</v>
      </c>
      <c r="C18595">
        <v>10107</v>
      </c>
      <c r="D18595" t="str">
        <f>"1326-0200"</f>
        <v>1326-0200</v>
      </c>
      <c r="E18595" t="s">
        <v>8</v>
      </c>
      <c r="F18595" t="s">
        <v>18610</v>
      </c>
      <c r="G18595">
        <v>1</v>
      </c>
    </row>
    <row r="18596" spans="1:7" x14ac:dyDescent="0.25">
      <c r="A18596">
        <v>59</v>
      </c>
      <c r="B18596" t="s">
        <v>18487</v>
      </c>
      <c r="C18596">
        <v>11451</v>
      </c>
      <c r="D18596" t="str">
        <f>"0300-8495"</f>
        <v>0300-8495</v>
      </c>
      <c r="E18596" t="s">
        <v>8</v>
      </c>
      <c r="F18596" t="s">
        <v>18611</v>
      </c>
      <c r="G18596">
        <v>1</v>
      </c>
    </row>
    <row r="18597" spans="1:7" x14ac:dyDescent="0.25">
      <c r="A18597">
        <v>59</v>
      </c>
      <c r="B18597" t="s">
        <v>18487</v>
      </c>
      <c r="C18597">
        <v>12803</v>
      </c>
      <c r="D18597" t="str">
        <f>"1038-5282"</f>
        <v>1038-5282</v>
      </c>
      <c r="E18597" t="s">
        <v>8</v>
      </c>
      <c r="F18597" t="s">
        <v>18612</v>
      </c>
      <c r="G18597">
        <v>1</v>
      </c>
    </row>
    <row r="18598" spans="1:7" x14ac:dyDescent="0.25">
      <c r="A18598">
        <v>59</v>
      </c>
      <c r="B18598" t="s">
        <v>18487</v>
      </c>
      <c r="C18598">
        <v>7834</v>
      </c>
      <c r="D18598" t="str">
        <f>"0045-0766"</f>
        <v>0045-0766</v>
      </c>
      <c r="E18598" t="s">
        <v>8</v>
      </c>
      <c r="F18598" t="s">
        <v>18613</v>
      </c>
      <c r="G18598">
        <v>1</v>
      </c>
    </row>
    <row r="18599" spans="1:7" x14ac:dyDescent="0.25">
      <c r="A18599">
        <v>59</v>
      </c>
      <c r="B18599" t="s">
        <v>18487</v>
      </c>
      <c r="C18599">
        <v>958</v>
      </c>
      <c r="D18599" t="str">
        <f>"0042-8809"</f>
        <v>0042-8809</v>
      </c>
      <c r="E18599" t="s">
        <v>8</v>
      </c>
      <c r="F18599" t="s">
        <v>18614</v>
      </c>
      <c r="G18599">
        <v>1</v>
      </c>
    </row>
    <row r="18600" spans="1:7" x14ac:dyDescent="0.25">
      <c r="A18600">
        <v>59</v>
      </c>
      <c r="B18600" t="s">
        <v>18487</v>
      </c>
      <c r="C18600">
        <v>4967</v>
      </c>
      <c r="E18600" t="s">
        <v>8</v>
      </c>
      <c r="F18600" t="s">
        <v>18615</v>
      </c>
      <c r="G18600">
        <v>1</v>
      </c>
    </row>
    <row r="18601" spans="1:7" x14ac:dyDescent="0.25">
      <c r="A18601">
        <v>59</v>
      </c>
      <c r="B18601" t="s">
        <v>18487</v>
      </c>
      <c r="C18601">
        <v>3537</v>
      </c>
      <c r="E18601" t="s">
        <v>8</v>
      </c>
      <c r="F18601" t="s">
        <v>18616</v>
      </c>
      <c r="G18601">
        <v>1</v>
      </c>
    </row>
    <row r="18602" spans="1:7" x14ac:dyDescent="0.25">
      <c r="A18602">
        <v>59</v>
      </c>
      <c r="B18602" t="s">
        <v>18487</v>
      </c>
      <c r="C18602">
        <v>4820</v>
      </c>
      <c r="E18602" t="s">
        <v>8</v>
      </c>
      <c r="F18602" t="s">
        <v>18617</v>
      </c>
      <c r="G18602">
        <v>1</v>
      </c>
    </row>
    <row r="18603" spans="1:7" x14ac:dyDescent="0.25">
      <c r="A18603">
        <v>59</v>
      </c>
      <c r="B18603" t="s">
        <v>18487</v>
      </c>
      <c r="C18603">
        <v>1007</v>
      </c>
      <c r="E18603" t="s">
        <v>8</v>
      </c>
      <c r="F18603" t="s">
        <v>18618</v>
      </c>
      <c r="G18603">
        <v>1</v>
      </c>
    </row>
    <row r="18604" spans="1:7" x14ac:dyDescent="0.25">
      <c r="A18604">
        <v>59</v>
      </c>
      <c r="B18604" t="s">
        <v>18487</v>
      </c>
      <c r="C18604">
        <v>15650</v>
      </c>
      <c r="E18604" t="s">
        <v>8</v>
      </c>
      <c r="F18604" t="s">
        <v>18619</v>
      </c>
      <c r="G18604">
        <v>1</v>
      </c>
    </row>
    <row r="18605" spans="1:7" x14ac:dyDescent="0.25">
      <c r="A18605">
        <v>59</v>
      </c>
      <c r="B18605" t="s">
        <v>18487</v>
      </c>
      <c r="C18605">
        <v>8782480</v>
      </c>
      <c r="E18605" t="s">
        <v>8</v>
      </c>
      <c r="F18605" t="s">
        <v>18620</v>
      </c>
      <c r="G18605">
        <v>1</v>
      </c>
    </row>
    <row r="18606" spans="1:7" x14ac:dyDescent="0.25">
      <c r="A18606">
        <v>59</v>
      </c>
      <c r="B18606" t="s">
        <v>18487</v>
      </c>
      <c r="C18606">
        <v>15632</v>
      </c>
      <c r="E18606" t="s">
        <v>8</v>
      </c>
      <c r="F18606" t="s">
        <v>18621</v>
      </c>
      <c r="G18606">
        <v>1</v>
      </c>
    </row>
    <row r="18607" spans="1:7" x14ac:dyDescent="0.25">
      <c r="A18607">
        <v>59</v>
      </c>
      <c r="B18607" t="s">
        <v>18487</v>
      </c>
      <c r="C18607">
        <v>16189</v>
      </c>
      <c r="D18607" t="str">
        <f>"2515-446X"</f>
        <v>2515-446X</v>
      </c>
      <c r="E18607" t="s">
        <v>8</v>
      </c>
      <c r="F18607" t="s">
        <v>18622</v>
      </c>
      <c r="G18607">
        <v>1</v>
      </c>
    </row>
    <row r="18608" spans="1:7" x14ac:dyDescent="0.25">
      <c r="A18608">
        <v>59</v>
      </c>
      <c r="B18608" t="s">
        <v>18487</v>
      </c>
      <c r="C18608">
        <v>17451</v>
      </c>
      <c r="D18608" t="str">
        <f>"1750-8460"</f>
        <v>1750-8460</v>
      </c>
      <c r="E18608" t="s">
        <v>8</v>
      </c>
      <c r="F18608" t="s">
        <v>18623</v>
      </c>
      <c r="G18608">
        <v>1</v>
      </c>
    </row>
    <row r="18609" spans="1:7" x14ac:dyDescent="0.25">
      <c r="A18609">
        <v>59</v>
      </c>
      <c r="B18609" t="s">
        <v>18487</v>
      </c>
      <c r="C18609">
        <v>12321</v>
      </c>
      <c r="D18609" t="str">
        <f>"0308-0226"</f>
        <v>0308-0226</v>
      </c>
      <c r="E18609" t="s">
        <v>8</v>
      </c>
      <c r="F18609" t="s">
        <v>18624</v>
      </c>
      <c r="G18609">
        <v>1</v>
      </c>
    </row>
    <row r="18610" spans="1:7" x14ac:dyDescent="0.25">
      <c r="A18610">
        <v>59</v>
      </c>
      <c r="B18610" t="s">
        <v>18487</v>
      </c>
      <c r="C18610">
        <v>4540</v>
      </c>
      <c r="D18610" t="str">
        <f>"0360-1323"</f>
        <v>0360-1323</v>
      </c>
      <c r="E18610" t="s">
        <v>8</v>
      </c>
      <c r="F18610" t="s">
        <v>18625</v>
      </c>
      <c r="G18610">
        <v>1</v>
      </c>
    </row>
    <row r="18611" spans="1:7" x14ac:dyDescent="0.25">
      <c r="A18611">
        <v>59</v>
      </c>
      <c r="B18611" t="s">
        <v>18487</v>
      </c>
      <c r="C18611">
        <v>9510</v>
      </c>
      <c r="D18611" t="str">
        <f>"0037-9085"</f>
        <v>0037-9085</v>
      </c>
      <c r="E18611" t="s">
        <v>8</v>
      </c>
      <c r="F18611" t="s">
        <v>18626</v>
      </c>
      <c r="G18611">
        <v>1</v>
      </c>
    </row>
    <row r="18612" spans="1:7" x14ac:dyDescent="0.25">
      <c r="A18612">
        <v>59</v>
      </c>
      <c r="B18612" t="s">
        <v>18487</v>
      </c>
      <c r="C18612">
        <v>8373</v>
      </c>
      <c r="D18612" t="str">
        <f>"0042-9686"</f>
        <v>0042-9686</v>
      </c>
      <c r="E18612" t="s">
        <v>8</v>
      </c>
      <c r="F18612" t="s">
        <v>18627</v>
      </c>
      <c r="G18612">
        <v>1</v>
      </c>
    </row>
    <row r="18613" spans="1:7" x14ac:dyDescent="0.25">
      <c r="A18613">
        <v>59</v>
      </c>
      <c r="B18613" t="s">
        <v>18487</v>
      </c>
      <c r="C18613">
        <v>21921</v>
      </c>
      <c r="D18613" t="str">
        <f>"1436-9990"</f>
        <v>1436-9990</v>
      </c>
      <c r="E18613" t="s">
        <v>8</v>
      </c>
      <c r="F18613" t="s">
        <v>18628</v>
      </c>
      <c r="G18613">
        <v>1</v>
      </c>
    </row>
    <row r="18614" spans="1:7" x14ac:dyDescent="0.25">
      <c r="A18614">
        <v>59</v>
      </c>
      <c r="B18614" t="s">
        <v>18487</v>
      </c>
      <c r="C18614">
        <v>2672</v>
      </c>
      <c r="D18614" t="str">
        <f>"0963-1801"</f>
        <v>0963-1801</v>
      </c>
      <c r="E18614" t="s">
        <v>8</v>
      </c>
      <c r="F18614" t="s">
        <v>18629</v>
      </c>
      <c r="G18614">
        <v>1</v>
      </c>
    </row>
    <row r="18615" spans="1:7" x14ac:dyDescent="0.25">
      <c r="A18615">
        <v>59</v>
      </c>
      <c r="B18615" t="s">
        <v>18487</v>
      </c>
      <c r="C18615">
        <v>8233</v>
      </c>
      <c r="D18615" t="str">
        <f>"0008-350X"</f>
        <v>0008-350X</v>
      </c>
      <c r="E18615" t="s">
        <v>8</v>
      </c>
      <c r="F18615" t="s">
        <v>18630</v>
      </c>
      <c r="G18615">
        <v>1</v>
      </c>
    </row>
    <row r="18616" spans="1:7" x14ac:dyDescent="0.25">
      <c r="A18616">
        <v>59</v>
      </c>
      <c r="B18616" t="s">
        <v>18487</v>
      </c>
      <c r="C18616">
        <v>11301</v>
      </c>
      <c r="D18616" t="str">
        <f>"0008-4174"</f>
        <v>0008-4174</v>
      </c>
      <c r="E18616" t="s">
        <v>8</v>
      </c>
      <c r="F18616" t="s">
        <v>18631</v>
      </c>
      <c r="G18616">
        <v>1</v>
      </c>
    </row>
    <row r="18617" spans="1:7" x14ac:dyDescent="0.25">
      <c r="A18617">
        <v>59</v>
      </c>
      <c r="B18617" t="s">
        <v>18487</v>
      </c>
      <c r="C18617">
        <v>11668</v>
      </c>
      <c r="D18617" t="str">
        <f>"0008-4263"</f>
        <v>0008-4263</v>
      </c>
      <c r="E18617" t="s">
        <v>8</v>
      </c>
      <c r="F18617" t="s">
        <v>18632</v>
      </c>
      <c r="G18617">
        <v>1</v>
      </c>
    </row>
    <row r="18618" spans="1:7" x14ac:dyDescent="0.25">
      <c r="A18618">
        <v>59</v>
      </c>
      <c r="B18618" t="s">
        <v>18487</v>
      </c>
      <c r="C18618">
        <v>669</v>
      </c>
      <c r="D18618" t="str">
        <f>"0714-9808"</f>
        <v>0714-9808</v>
      </c>
      <c r="E18618" t="s">
        <v>8</v>
      </c>
      <c r="F18618" t="s">
        <v>18633</v>
      </c>
      <c r="G18618">
        <v>1</v>
      </c>
    </row>
    <row r="18619" spans="1:7" x14ac:dyDescent="0.25">
      <c r="A18619">
        <v>59</v>
      </c>
      <c r="B18619" t="s">
        <v>18487</v>
      </c>
      <c r="C18619">
        <v>9804</v>
      </c>
      <c r="D18619" t="str">
        <f>"1073-2748"</f>
        <v>1073-2748</v>
      </c>
      <c r="E18619" t="s">
        <v>8</v>
      </c>
      <c r="F18619" t="s">
        <v>18634</v>
      </c>
      <c r="G18619">
        <v>1</v>
      </c>
    </row>
    <row r="18620" spans="1:7" x14ac:dyDescent="0.25">
      <c r="A18620">
        <v>59</v>
      </c>
      <c r="B18620" t="s">
        <v>18487</v>
      </c>
      <c r="C18620">
        <v>11043</v>
      </c>
      <c r="D18620" t="str">
        <f>"0361-090X"</f>
        <v>0361-090X</v>
      </c>
      <c r="E18620" t="s">
        <v>8</v>
      </c>
      <c r="F18620" t="s">
        <v>18635</v>
      </c>
      <c r="G18620">
        <v>1</v>
      </c>
    </row>
    <row r="18621" spans="1:7" x14ac:dyDescent="0.25">
      <c r="A18621">
        <v>59</v>
      </c>
      <c r="B18621" t="s">
        <v>18487</v>
      </c>
      <c r="C18621">
        <v>2647</v>
      </c>
      <c r="D18621" t="str">
        <f>"1210-7778"</f>
        <v>1210-7778</v>
      </c>
      <c r="E18621" t="s">
        <v>8</v>
      </c>
      <c r="F18621" t="s">
        <v>18636</v>
      </c>
      <c r="G18621">
        <v>1</v>
      </c>
    </row>
    <row r="18622" spans="1:7" x14ac:dyDescent="0.25">
      <c r="A18622">
        <v>59</v>
      </c>
      <c r="B18622" t="s">
        <v>18487</v>
      </c>
      <c r="C18622">
        <v>4793</v>
      </c>
      <c r="D18622" t="str">
        <f>"0145-2134"</f>
        <v>0145-2134</v>
      </c>
      <c r="E18622" t="s">
        <v>8</v>
      </c>
      <c r="F18622" t="s">
        <v>18637</v>
      </c>
      <c r="G18622">
        <v>1</v>
      </c>
    </row>
    <row r="18623" spans="1:7" x14ac:dyDescent="0.25">
      <c r="A18623">
        <v>59</v>
      </c>
      <c r="B18623" t="s">
        <v>18487</v>
      </c>
      <c r="C18623">
        <v>16873</v>
      </c>
      <c r="D18623" t="str">
        <f>"0952-9136"</f>
        <v>0952-9136</v>
      </c>
      <c r="E18623" t="s">
        <v>8</v>
      </c>
      <c r="F18623" t="s">
        <v>18638</v>
      </c>
      <c r="G18623">
        <v>1</v>
      </c>
    </row>
    <row r="18624" spans="1:7" x14ac:dyDescent="0.25">
      <c r="A18624">
        <v>59</v>
      </c>
      <c r="B18624" t="s">
        <v>18487</v>
      </c>
      <c r="C18624">
        <v>6326</v>
      </c>
      <c r="D18624" t="str">
        <f>"1475-357X"</f>
        <v>1475-357X</v>
      </c>
      <c r="E18624" t="s">
        <v>8</v>
      </c>
      <c r="F18624" t="s">
        <v>18639</v>
      </c>
      <c r="G18624">
        <v>1</v>
      </c>
    </row>
    <row r="18625" spans="1:7" x14ac:dyDescent="0.25">
      <c r="A18625">
        <v>59</v>
      </c>
      <c r="B18625" t="s">
        <v>18487</v>
      </c>
      <c r="C18625">
        <v>8996</v>
      </c>
      <c r="D18625" t="str">
        <f>"1357-5279"</f>
        <v>1357-5279</v>
      </c>
      <c r="E18625" t="s">
        <v>8</v>
      </c>
      <c r="F18625" t="s">
        <v>18640</v>
      </c>
      <c r="G18625">
        <v>1</v>
      </c>
    </row>
    <row r="18626" spans="1:7" x14ac:dyDescent="0.25">
      <c r="A18626">
        <v>59</v>
      </c>
      <c r="B18626" t="s">
        <v>18487</v>
      </c>
      <c r="C18626">
        <v>37</v>
      </c>
      <c r="D18626" t="str">
        <f>"1077-5595"</f>
        <v>1077-5595</v>
      </c>
      <c r="E18626" t="s">
        <v>8</v>
      </c>
      <c r="F18626" t="s">
        <v>18641</v>
      </c>
      <c r="G18626">
        <v>1</v>
      </c>
    </row>
    <row r="18627" spans="1:7" x14ac:dyDescent="0.25">
      <c r="A18627">
        <v>59</v>
      </c>
      <c r="B18627" t="s">
        <v>18487</v>
      </c>
      <c r="C18627">
        <v>7271</v>
      </c>
      <c r="D18627" t="str">
        <f>"0273-9615"</f>
        <v>0273-9615</v>
      </c>
      <c r="E18627" t="s">
        <v>8</v>
      </c>
      <c r="F18627" t="s">
        <v>18642</v>
      </c>
      <c r="G18627">
        <v>1</v>
      </c>
    </row>
    <row r="18628" spans="1:7" x14ac:dyDescent="0.25">
      <c r="A18628">
        <v>59</v>
      </c>
      <c r="B18628" t="s">
        <v>18487</v>
      </c>
      <c r="C18628">
        <v>5427</v>
      </c>
      <c r="D18628" t="str">
        <f>"1380-3603"</f>
        <v>1380-3603</v>
      </c>
      <c r="E18628" t="s">
        <v>8</v>
      </c>
      <c r="F18628" t="s">
        <v>18643</v>
      </c>
      <c r="G18628">
        <v>1</v>
      </c>
    </row>
    <row r="18629" spans="1:7" x14ac:dyDescent="0.25">
      <c r="A18629">
        <v>59</v>
      </c>
      <c r="B18629" t="s">
        <v>18487</v>
      </c>
      <c r="C18629">
        <v>10247</v>
      </c>
      <c r="D18629" t="str">
        <f>"1742-3953"</f>
        <v>1742-3953</v>
      </c>
      <c r="E18629" t="s">
        <v>8</v>
      </c>
      <c r="F18629" t="s">
        <v>18644</v>
      </c>
      <c r="G18629">
        <v>1</v>
      </c>
    </row>
    <row r="18630" spans="1:7" x14ac:dyDescent="0.25">
      <c r="A18630">
        <v>59</v>
      </c>
      <c r="B18630" t="s">
        <v>18487</v>
      </c>
      <c r="C18630">
        <v>14784</v>
      </c>
      <c r="D18630" t="str">
        <f>"0742-0528"</f>
        <v>0742-0528</v>
      </c>
      <c r="E18630" t="s">
        <v>8</v>
      </c>
      <c r="F18630" t="s">
        <v>18645</v>
      </c>
      <c r="G18630">
        <v>1</v>
      </c>
    </row>
    <row r="18631" spans="1:7" x14ac:dyDescent="0.25">
      <c r="A18631">
        <v>59</v>
      </c>
      <c r="B18631" t="s">
        <v>18487</v>
      </c>
      <c r="C18631">
        <v>1206</v>
      </c>
      <c r="D18631" t="str">
        <f>"0147-958X"</f>
        <v>0147-958X</v>
      </c>
      <c r="E18631" t="s">
        <v>8</v>
      </c>
      <c r="F18631" t="s">
        <v>18646</v>
      </c>
      <c r="G18631">
        <v>1</v>
      </c>
    </row>
    <row r="18632" spans="1:7" x14ac:dyDescent="0.25">
      <c r="A18632">
        <v>59</v>
      </c>
      <c r="B18632" t="s">
        <v>18487</v>
      </c>
      <c r="C18632">
        <v>12132</v>
      </c>
      <c r="D18632" t="str">
        <f>"0009-9120"</f>
        <v>0009-9120</v>
      </c>
      <c r="E18632" t="s">
        <v>8</v>
      </c>
      <c r="F18632" t="s">
        <v>18647</v>
      </c>
      <c r="G18632">
        <v>1</v>
      </c>
    </row>
    <row r="18633" spans="1:7" x14ac:dyDescent="0.25">
      <c r="A18633">
        <v>59</v>
      </c>
      <c r="B18633" t="s">
        <v>18487</v>
      </c>
      <c r="C18633">
        <v>5786</v>
      </c>
      <c r="D18633" t="str">
        <f>"0261-5614"</f>
        <v>0261-5614</v>
      </c>
      <c r="E18633" t="s">
        <v>8</v>
      </c>
      <c r="F18633" t="s">
        <v>18648</v>
      </c>
      <c r="G18633">
        <v>1</v>
      </c>
    </row>
    <row r="18634" spans="1:7" x14ac:dyDescent="0.25">
      <c r="A18634">
        <v>59</v>
      </c>
      <c r="B18634" t="s">
        <v>18487</v>
      </c>
      <c r="C18634">
        <v>9291</v>
      </c>
      <c r="D18634" t="str">
        <f>"0269-2155"</f>
        <v>0269-2155</v>
      </c>
      <c r="E18634" t="s">
        <v>8</v>
      </c>
      <c r="F18634" t="s">
        <v>18649</v>
      </c>
      <c r="G18634">
        <v>1</v>
      </c>
    </row>
    <row r="18635" spans="1:7" x14ac:dyDescent="0.25">
      <c r="A18635">
        <v>59</v>
      </c>
      <c r="B18635" t="s">
        <v>18487</v>
      </c>
      <c r="C18635">
        <v>7688723</v>
      </c>
      <c r="D18635" t="str">
        <f>"1178-6981"</f>
        <v>1178-6981</v>
      </c>
      <c r="E18635" t="s">
        <v>8</v>
      </c>
      <c r="F18635" t="s">
        <v>18650</v>
      </c>
      <c r="G18635">
        <v>1</v>
      </c>
    </row>
    <row r="18636" spans="1:7" x14ac:dyDescent="0.25">
      <c r="A18636">
        <v>59</v>
      </c>
      <c r="B18636" t="s">
        <v>18487</v>
      </c>
      <c r="C18636">
        <v>4585</v>
      </c>
      <c r="E18636" t="s">
        <v>8</v>
      </c>
      <c r="F18636" t="s">
        <v>18651</v>
      </c>
      <c r="G18636">
        <v>1</v>
      </c>
    </row>
    <row r="18637" spans="1:7" x14ac:dyDescent="0.25">
      <c r="A18637">
        <v>59</v>
      </c>
      <c r="B18637" t="s">
        <v>18487</v>
      </c>
      <c r="C18637">
        <v>1520</v>
      </c>
      <c r="D18637" t="str">
        <f>"0957-9664"</f>
        <v>0957-9664</v>
      </c>
      <c r="E18637" t="s">
        <v>8</v>
      </c>
      <c r="F18637" t="s">
        <v>18652</v>
      </c>
      <c r="G18637">
        <v>1</v>
      </c>
    </row>
    <row r="18638" spans="1:7" x14ac:dyDescent="0.25">
      <c r="A18638">
        <v>59</v>
      </c>
      <c r="B18638" t="s">
        <v>18487</v>
      </c>
      <c r="C18638">
        <v>4034</v>
      </c>
      <c r="D18638" t="str">
        <f>"0893-9675"</f>
        <v>0893-9675</v>
      </c>
      <c r="E18638" t="s">
        <v>8</v>
      </c>
      <c r="F18638" t="s">
        <v>18653</v>
      </c>
      <c r="G18638">
        <v>1</v>
      </c>
    </row>
    <row r="18639" spans="1:7" x14ac:dyDescent="0.25">
      <c r="A18639">
        <v>59</v>
      </c>
      <c r="B18639" t="s">
        <v>18487</v>
      </c>
      <c r="C18639">
        <v>15456</v>
      </c>
      <c r="D18639" t="str">
        <f>"0896-2960"</f>
        <v>0896-2960</v>
      </c>
      <c r="E18639" t="s">
        <v>8</v>
      </c>
      <c r="F18639" t="s">
        <v>18654</v>
      </c>
      <c r="G18639">
        <v>1</v>
      </c>
    </row>
    <row r="18640" spans="1:7" x14ac:dyDescent="0.25">
      <c r="A18640">
        <v>59</v>
      </c>
      <c r="B18640" t="s">
        <v>18487</v>
      </c>
      <c r="C18640">
        <v>17550</v>
      </c>
      <c r="D18640" t="str">
        <f>"1574-8936"</f>
        <v>1574-8936</v>
      </c>
      <c r="E18640" t="s">
        <v>8</v>
      </c>
      <c r="F18640" t="s">
        <v>18655</v>
      </c>
      <c r="G18640">
        <v>1</v>
      </c>
    </row>
    <row r="18641" spans="1:7" x14ac:dyDescent="0.25">
      <c r="A18641">
        <v>59</v>
      </c>
      <c r="B18641" t="s">
        <v>18487</v>
      </c>
      <c r="C18641">
        <v>850</v>
      </c>
      <c r="D18641" t="str">
        <f>"0941-3790"</f>
        <v>0941-3790</v>
      </c>
      <c r="E18641" t="s">
        <v>8</v>
      </c>
      <c r="F18641" t="s">
        <v>18656</v>
      </c>
      <c r="G18641">
        <v>1</v>
      </c>
    </row>
    <row r="18642" spans="1:7" x14ac:dyDescent="0.25">
      <c r="A18642">
        <v>59</v>
      </c>
      <c r="B18642" t="s">
        <v>18487</v>
      </c>
      <c r="C18642">
        <v>6458</v>
      </c>
      <c r="D18642" t="str">
        <f>"1471-8731"</f>
        <v>1471-8731</v>
      </c>
      <c r="E18642" t="s">
        <v>8</v>
      </c>
      <c r="F18642" t="s">
        <v>18657</v>
      </c>
      <c r="G18642">
        <v>1</v>
      </c>
    </row>
    <row r="18643" spans="1:7" x14ac:dyDescent="0.25">
      <c r="A18643">
        <v>59</v>
      </c>
      <c r="B18643" t="s">
        <v>18487</v>
      </c>
      <c r="C18643">
        <v>21422</v>
      </c>
      <c r="D18643" t="str">
        <f>"0034-3536"</f>
        <v>0034-3536</v>
      </c>
      <c r="E18643" t="s">
        <v>8</v>
      </c>
      <c r="F18643" t="s">
        <v>18658</v>
      </c>
      <c r="G18643">
        <v>1</v>
      </c>
    </row>
    <row r="18644" spans="1:7" x14ac:dyDescent="0.25">
      <c r="A18644">
        <v>59</v>
      </c>
      <c r="B18644" t="s">
        <v>18487</v>
      </c>
      <c r="C18644">
        <v>9692</v>
      </c>
      <c r="D18644" t="str">
        <f>"0968-7599"</f>
        <v>0968-7599</v>
      </c>
      <c r="E18644" t="s">
        <v>8</v>
      </c>
      <c r="F18644" t="s">
        <v>18659</v>
      </c>
      <c r="G18644">
        <v>1</v>
      </c>
    </row>
    <row r="18645" spans="1:7" x14ac:dyDescent="0.25">
      <c r="A18645">
        <v>59</v>
      </c>
      <c r="B18645" t="s">
        <v>18487</v>
      </c>
      <c r="C18645">
        <v>12493</v>
      </c>
      <c r="D18645" t="str">
        <f>"0963-8288"</f>
        <v>0963-8288</v>
      </c>
      <c r="E18645" t="s">
        <v>8</v>
      </c>
      <c r="F18645" t="s">
        <v>18660</v>
      </c>
      <c r="G18645">
        <v>1</v>
      </c>
    </row>
    <row r="18646" spans="1:7" x14ac:dyDescent="0.25">
      <c r="A18646">
        <v>59</v>
      </c>
      <c r="B18646" t="s">
        <v>18487</v>
      </c>
      <c r="C18646">
        <v>1715</v>
      </c>
      <c r="D18646" t="str">
        <f>"0011-5029"</f>
        <v>0011-5029</v>
      </c>
      <c r="E18646" t="s">
        <v>8</v>
      </c>
      <c r="F18646" t="s">
        <v>18661</v>
      </c>
      <c r="G18646">
        <v>1</v>
      </c>
    </row>
    <row r="18647" spans="1:7" x14ac:dyDescent="0.25">
      <c r="A18647">
        <v>59</v>
      </c>
      <c r="B18647" t="s">
        <v>18487</v>
      </c>
      <c r="C18647">
        <v>6706</v>
      </c>
      <c r="D18647" t="str">
        <f>"0376-8716"</f>
        <v>0376-8716</v>
      </c>
      <c r="E18647" t="s">
        <v>8</v>
      </c>
      <c r="F18647" t="s">
        <v>18662</v>
      </c>
      <c r="G18647">
        <v>1</v>
      </c>
    </row>
    <row r="18648" spans="1:7" x14ac:dyDescent="0.25">
      <c r="A18648">
        <v>59</v>
      </c>
      <c r="B18648" t="s">
        <v>18487</v>
      </c>
      <c r="C18648">
        <v>142495</v>
      </c>
      <c r="D18648" t="str">
        <f>"1745-9265"</f>
        <v>1745-9265</v>
      </c>
      <c r="E18648" t="s">
        <v>8</v>
      </c>
      <c r="F18648" t="s">
        <v>18663</v>
      </c>
      <c r="G18648">
        <v>1</v>
      </c>
    </row>
    <row r="18649" spans="1:7" x14ac:dyDescent="0.25">
      <c r="A18649">
        <v>59</v>
      </c>
      <c r="B18649" t="s">
        <v>18487</v>
      </c>
      <c r="C18649">
        <v>8469</v>
      </c>
      <c r="D18649" t="str">
        <f>"1064-0266"</f>
        <v>1064-0266</v>
      </c>
      <c r="E18649" t="s">
        <v>8</v>
      </c>
      <c r="F18649" t="s">
        <v>18664</v>
      </c>
      <c r="G18649">
        <v>1</v>
      </c>
    </row>
    <row r="18650" spans="1:7" x14ac:dyDescent="0.25">
      <c r="A18650">
        <v>59</v>
      </c>
      <c r="B18650" t="s">
        <v>18487</v>
      </c>
      <c r="C18650">
        <v>15119</v>
      </c>
      <c r="D18650" t="str">
        <f>"1612-9202"</f>
        <v>1612-9202</v>
      </c>
      <c r="E18650" t="s">
        <v>8</v>
      </c>
      <c r="F18650" t="s">
        <v>18665</v>
      </c>
      <c r="G18650">
        <v>1</v>
      </c>
    </row>
    <row r="18651" spans="1:7" x14ac:dyDescent="0.25">
      <c r="A18651">
        <v>59</v>
      </c>
      <c r="B18651" t="s">
        <v>18487</v>
      </c>
      <c r="C18651">
        <v>12426</v>
      </c>
      <c r="D18651" t="str">
        <f>"0360-1277"</f>
        <v>0360-1277</v>
      </c>
      <c r="E18651" t="s">
        <v>8</v>
      </c>
      <c r="F18651" t="s">
        <v>18666</v>
      </c>
      <c r="G18651">
        <v>1</v>
      </c>
    </row>
    <row r="18652" spans="1:7" x14ac:dyDescent="0.25">
      <c r="A18652">
        <v>59</v>
      </c>
      <c r="B18652" t="s">
        <v>18487</v>
      </c>
      <c r="C18652">
        <v>1458</v>
      </c>
      <c r="D18652" t="str">
        <f>"1742-7622"</f>
        <v>1742-7622</v>
      </c>
      <c r="E18652" t="s">
        <v>8</v>
      </c>
      <c r="F18652" t="s">
        <v>18667</v>
      </c>
      <c r="G18652">
        <v>1</v>
      </c>
    </row>
    <row r="18653" spans="1:7" x14ac:dyDescent="0.25">
      <c r="A18653">
        <v>59</v>
      </c>
      <c r="B18653" t="s">
        <v>18487</v>
      </c>
      <c r="C18653">
        <v>4736</v>
      </c>
      <c r="D18653" t="str">
        <f>"0893-6692"</f>
        <v>0893-6692</v>
      </c>
      <c r="E18653" t="s">
        <v>8</v>
      </c>
      <c r="F18653" t="s">
        <v>18668</v>
      </c>
      <c r="G18653">
        <v>1</v>
      </c>
    </row>
    <row r="18654" spans="1:7" x14ac:dyDescent="0.25">
      <c r="A18654">
        <v>59</v>
      </c>
      <c r="B18654" t="s">
        <v>18487</v>
      </c>
      <c r="C18654">
        <v>14379</v>
      </c>
      <c r="E18654" t="s">
        <v>8</v>
      </c>
      <c r="F18654" t="s">
        <v>18669</v>
      </c>
      <c r="G18654">
        <v>1</v>
      </c>
    </row>
    <row r="18655" spans="1:7" x14ac:dyDescent="0.25">
      <c r="A18655">
        <v>59</v>
      </c>
      <c r="B18655" t="s">
        <v>18487</v>
      </c>
      <c r="C18655">
        <v>1413</v>
      </c>
      <c r="D18655" t="str">
        <f>"1342-078X"</f>
        <v>1342-078X</v>
      </c>
      <c r="E18655" t="s">
        <v>8</v>
      </c>
      <c r="F18655" t="s">
        <v>18670</v>
      </c>
      <c r="G18655">
        <v>1</v>
      </c>
    </row>
    <row r="18656" spans="1:7" x14ac:dyDescent="0.25">
      <c r="A18656">
        <v>59</v>
      </c>
      <c r="B18656" t="s">
        <v>18487</v>
      </c>
      <c r="C18656">
        <v>4902</v>
      </c>
      <c r="D18656" t="str">
        <f>"0944-1344"</f>
        <v>0944-1344</v>
      </c>
      <c r="E18656" t="s">
        <v>8</v>
      </c>
      <c r="F18656" t="s">
        <v>18671</v>
      </c>
      <c r="G18656">
        <v>1</v>
      </c>
    </row>
    <row r="18657" spans="1:7" x14ac:dyDescent="0.25">
      <c r="A18657">
        <v>59</v>
      </c>
      <c r="B18657" t="s">
        <v>18487</v>
      </c>
      <c r="C18657">
        <v>1931</v>
      </c>
      <c r="D18657" t="str">
        <f>"1520-4081"</f>
        <v>1520-4081</v>
      </c>
      <c r="E18657" t="s">
        <v>8</v>
      </c>
      <c r="F18657" t="s">
        <v>18672</v>
      </c>
      <c r="G18657">
        <v>1</v>
      </c>
    </row>
    <row r="18658" spans="1:7" x14ac:dyDescent="0.25">
      <c r="A18658">
        <v>59</v>
      </c>
      <c r="B18658" t="s">
        <v>18487</v>
      </c>
      <c r="C18658">
        <v>16234</v>
      </c>
      <c r="D18658" t="str">
        <f>"2045-7960"</f>
        <v>2045-7960</v>
      </c>
      <c r="E18658" t="s">
        <v>8</v>
      </c>
      <c r="F18658" t="s">
        <v>18673</v>
      </c>
      <c r="G18658">
        <v>1</v>
      </c>
    </row>
    <row r="18659" spans="1:7" x14ac:dyDescent="0.25">
      <c r="A18659">
        <v>59</v>
      </c>
      <c r="B18659" t="s">
        <v>18487</v>
      </c>
      <c r="C18659">
        <v>8845</v>
      </c>
      <c r="D18659" t="str">
        <f>"0266-688X"</f>
        <v>0266-688X</v>
      </c>
      <c r="E18659" t="s">
        <v>8</v>
      </c>
      <c r="F18659" t="s">
        <v>18674</v>
      </c>
      <c r="G18659">
        <v>1</v>
      </c>
    </row>
    <row r="18660" spans="1:7" x14ac:dyDescent="0.25">
      <c r="A18660">
        <v>59</v>
      </c>
      <c r="B18660" t="s">
        <v>18487</v>
      </c>
      <c r="C18660">
        <v>1333</v>
      </c>
      <c r="D18660" t="str">
        <f>"0935-7335"</f>
        <v>0935-7335</v>
      </c>
      <c r="E18660" t="s">
        <v>8</v>
      </c>
      <c r="F18660" t="s">
        <v>18675</v>
      </c>
      <c r="G18660">
        <v>1</v>
      </c>
    </row>
    <row r="18661" spans="1:7" x14ac:dyDescent="0.25">
      <c r="A18661">
        <v>59</v>
      </c>
      <c r="B18661" t="s">
        <v>18487</v>
      </c>
      <c r="C18661">
        <v>10278</v>
      </c>
      <c r="D18661" t="str">
        <f>"1355-7858"</f>
        <v>1355-7858</v>
      </c>
      <c r="E18661" t="s">
        <v>8</v>
      </c>
      <c r="F18661" t="s">
        <v>18676</v>
      </c>
      <c r="G18661">
        <v>1</v>
      </c>
    </row>
    <row r="18662" spans="1:7" x14ac:dyDescent="0.25">
      <c r="A18662">
        <v>59</v>
      </c>
      <c r="B18662" t="s">
        <v>18487</v>
      </c>
      <c r="C18662">
        <v>3215</v>
      </c>
      <c r="D18662" t="str">
        <f>"1072-4133"</f>
        <v>1072-4133</v>
      </c>
      <c r="E18662" t="s">
        <v>8</v>
      </c>
      <c r="F18662" t="s">
        <v>18677</v>
      </c>
      <c r="G18662">
        <v>1</v>
      </c>
    </row>
    <row r="18663" spans="1:7" x14ac:dyDescent="0.25">
      <c r="A18663">
        <v>59</v>
      </c>
      <c r="B18663" t="s">
        <v>18487</v>
      </c>
      <c r="C18663">
        <v>21412</v>
      </c>
      <c r="D18663" t="str">
        <f>"1613-9372"</f>
        <v>1613-9372</v>
      </c>
      <c r="E18663" t="s">
        <v>8</v>
      </c>
      <c r="F18663" t="s">
        <v>18678</v>
      </c>
      <c r="G18663">
        <v>1</v>
      </c>
    </row>
    <row r="18664" spans="1:7" x14ac:dyDescent="0.25">
      <c r="A18664">
        <v>59</v>
      </c>
      <c r="B18664" t="s">
        <v>18487</v>
      </c>
      <c r="C18664">
        <v>7073</v>
      </c>
      <c r="D18664" t="str">
        <f>"0959-8278"</f>
        <v>0959-8278</v>
      </c>
      <c r="E18664" t="s">
        <v>8</v>
      </c>
      <c r="F18664" t="s">
        <v>18679</v>
      </c>
      <c r="G18664">
        <v>1</v>
      </c>
    </row>
    <row r="18665" spans="1:7" x14ac:dyDescent="0.25">
      <c r="A18665">
        <v>59</v>
      </c>
      <c r="B18665" t="s">
        <v>18487</v>
      </c>
      <c r="C18665">
        <v>10707</v>
      </c>
      <c r="D18665" t="str">
        <f>"1018-4813"</f>
        <v>1018-4813</v>
      </c>
      <c r="E18665" t="s">
        <v>8</v>
      </c>
      <c r="F18665" t="s">
        <v>18680</v>
      </c>
      <c r="G18665">
        <v>1</v>
      </c>
    </row>
    <row r="18666" spans="1:7" x14ac:dyDescent="0.25">
      <c r="A18666">
        <v>59</v>
      </c>
      <c r="B18666" t="s">
        <v>18487</v>
      </c>
      <c r="C18666">
        <v>6105913</v>
      </c>
      <c r="D18666" t="str">
        <f>"1876-3820"</f>
        <v>1876-3820</v>
      </c>
      <c r="E18666" t="s">
        <v>8</v>
      </c>
      <c r="F18666" t="s">
        <v>18681</v>
      </c>
      <c r="G18666">
        <v>1</v>
      </c>
    </row>
    <row r="18667" spans="1:7" x14ac:dyDescent="0.25">
      <c r="A18667">
        <v>59</v>
      </c>
      <c r="B18667" t="s">
        <v>18487</v>
      </c>
      <c r="C18667">
        <v>15703</v>
      </c>
      <c r="D18667" t="str">
        <f>"1352-2779"</f>
        <v>1352-2779</v>
      </c>
      <c r="E18667" t="s">
        <v>8</v>
      </c>
      <c r="F18667" t="s">
        <v>18682</v>
      </c>
      <c r="G18667">
        <v>1</v>
      </c>
    </row>
    <row r="18668" spans="1:7" x14ac:dyDescent="0.25">
      <c r="A18668">
        <v>59</v>
      </c>
      <c r="B18668" t="s">
        <v>18487</v>
      </c>
      <c r="C18668">
        <v>377</v>
      </c>
      <c r="D18668" t="str">
        <f>"2167-9169"</f>
        <v>2167-9169</v>
      </c>
      <c r="E18668" t="s">
        <v>8</v>
      </c>
      <c r="F18668" t="s">
        <v>18683</v>
      </c>
      <c r="G18668">
        <v>1</v>
      </c>
    </row>
    <row r="18669" spans="1:7" x14ac:dyDescent="0.25">
      <c r="A18669">
        <v>59</v>
      </c>
      <c r="B18669" t="s">
        <v>18487</v>
      </c>
      <c r="C18669">
        <v>6907</v>
      </c>
      <c r="D18669" t="str">
        <f>"1359-432X"</f>
        <v>1359-432X</v>
      </c>
      <c r="E18669" t="s">
        <v>8</v>
      </c>
      <c r="F18669" t="s">
        <v>18684</v>
      </c>
      <c r="G18669">
        <v>1</v>
      </c>
    </row>
    <row r="18670" spans="1:7" x14ac:dyDescent="0.25">
      <c r="A18670">
        <v>59</v>
      </c>
      <c r="B18670" t="s">
        <v>18487</v>
      </c>
      <c r="C18670">
        <v>13304</v>
      </c>
      <c r="D18670" t="str">
        <f>"0940-6719"</f>
        <v>0940-6719</v>
      </c>
      <c r="E18670" t="s">
        <v>8</v>
      </c>
      <c r="F18670" t="s">
        <v>18685</v>
      </c>
      <c r="G18670">
        <v>1</v>
      </c>
    </row>
    <row r="18671" spans="1:7" x14ac:dyDescent="0.25">
      <c r="A18671">
        <v>59</v>
      </c>
      <c r="B18671" t="s">
        <v>18487</v>
      </c>
      <c r="C18671">
        <v>27465</v>
      </c>
      <c r="D18671" t="str">
        <f>"1025-496X"</f>
        <v>1025-496X</v>
      </c>
      <c r="E18671" t="s">
        <v>8</v>
      </c>
      <c r="F18671" t="s">
        <v>18686</v>
      </c>
      <c r="G18671">
        <v>1</v>
      </c>
    </row>
    <row r="18672" spans="1:7" x14ac:dyDescent="0.25">
      <c r="A18672">
        <v>59</v>
      </c>
      <c r="B18672" t="s">
        <v>18487</v>
      </c>
      <c r="C18672">
        <v>622</v>
      </c>
      <c r="D18672" t="str">
        <f>"0163-2787"</f>
        <v>0163-2787</v>
      </c>
      <c r="E18672" t="s">
        <v>8</v>
      </c>
      <c r="F18672" t="s">
        <v>18687</v>
      </c>
      <c r="G18672">
        <v>1</v>
      </c>
    </row>
    <row r="18673" spans="1:7" x14ac:dyDescent="0.25">
      <c r="A18673">
        <v>59</v>
      </c>
      <c r="B18673" t="s">
        <v>18487</v>
      </c>
      <c r="C18673">
        <v>14851</v>
      </c>
      <c r="D18673" t="str">
        <f>"0014-4029"</f>
        <v>0014-4029</v>
      </c>
      <c r="E18673" t="s">
        <v>8</v>
      </c>
      <c r="F18673" t="s">
        <v>18688</v>
      </c>
      <c r="G18673">
        <v>1</v>
      </c>
    </row>
    <row r="18674" spans="1:7" x14ac:dyDescent="0.25">
      <c r="A18674">
        <v>59</v>
      </c>
      <c r="B18674" t="s">
        <v>18487</v>
      </c>
      <c r="C18674">
        <v>8535</v>
      </c>
      <c r="D18674" t="str">
        <f>"1476-0584"</f>
        <v>1476-0584</v>
      </c>
      <c r="E18674" t="s">
        <v>8</v>
      </c>
      <c r="F18674" t="s">
        <v>18689</v>
      </c>
      <c r="G18674">
        <v>1</v>
      </c>
    </row>
    <row r="18675" spans="1:7" x14ac:dyDescent="0.25">
      <c r="A18675">
        <v>59</v>
      </c>
      <c r="B18675" t="s">
        <v>18487</v>
      </c>
      <c r="C18675">
        <v>16658</v>
      </c>
      <c r="D18675" t="str">
        <f>"1389-9600"</f>
        <v>1389-9600</v>
      </c>
      <c r="E18675" t="s">
        <v>8</v>
      </c>
      <c r="F18675" t="s">
        <v>18690</v>
      </c>
      <c r="G18675">
        <v>1</v>
      </c>
    </row>
    <row r="18676" spans="1:7" x14ac:dyDescent="0.25">
      <c r="A18676">
        <v>59</v>
      </c>
      <c r="B18676" t="s">
        <v>18487</v>
      </c>
      <c r="C18676">
        <v>6450</v>
      </c>
      <c r="D18676" t="str">
        <f>"0160-6379"</f>
        <v>0160-6379</v>
      </c>
      <c r="E18676" t="s">
        <v>8</v>
      </c>
      <c r="F18676" t="s">
        <v>18691</v>
      </c>
      <c r="G18676">
        <v>1</v>
      </c>
    </row>
    <row r="18677" spans="1:7" x14ac:dyDescent="0.25">
      <c r="A18677">
        <v>59</v>
      </c>
      <c r="B18677" t="s">
        <v>18487</v>
      </c>
      <c r="C18677">
        <v>10789</v>
      </c>
      <c r="D18677" t="str">
        <f>"0742-3225"</f>
        <v>0742-3225</v>
      </c>
      <c r="E18677" t="s">
        <v>8</v>
      </c>
      <c r="F18677" t="s">
        <v>18692</v>
      </c>
      <c r="G18677">
        <v>1</v>
      </c>
    </row>
    <row r="18678" spans="1:7" x14ac:dyDescent="0.25">
      <c r="A18678">
        <v>59</v>
      </c>
      <c r="B18678" t="s">
        <v>18487</v>
      </c>
      <c r="C18678">
        <v>10410</v>
      </c>
      <c r="D18678" t="str">
        <f>"1069-5648"</f>
        <v>1069-5648</v>
      </c>
      <c r="E18678" t="s">
        <v>8</v>
      </c>
      <c r="F18678" t="s">
        <v>18693</v>
      </c>
      <c r="G18678">
        <v>1</v>
      </c>
    </row>
    <row r="18679" spans="1:7" x14ac:dyDescent="0.25">
      <c r="A18679">
        <v>59</v>
      </c>
      <c r="B18679" t="s">
        <v>18487</v>
      </c>
      <c r="C18679">
        <v>2840</v>
      </c>
      <c r="D18679" t="str">
        <f>"0211-5638"</f>
        <v>0211-5638</v>
      </c>
      <c r="E18679" t="s">
        <v>8</v>
      </c>
      <c r="F18679" t="s">
        <v>18694</v>
      </c>
      <c r="G18679">
        <v>1</v>
      </c>
    </row>
    <row r="18680" spans="1:7" x14ac:dyDescent="0.25">
      <c r="A18680">
        <v>59</v>
      </c>
      <c r="B18680" t="s">
        <v>18487</v>
      </c>
      <c r="C18680">
        <v>1242</v>
      </c>
      <c r="D18680" t="str">
        <f>"1528-9796"</f>
        <v>1528-9796</v>
      </c>
      <c r="E18680" t="s">
        <v>8</v>
      </c>
      <c r="F18680" t="s">
        <v>18695</v>
      </c>
      <c r="G18680">
        <v>1</v>
      </c>
    </row>
    <row r="18681" spans="1:7" x14ac:dyDescent="0.25">
      <c r="A18681">
        <v>59</v>
      </c>
      <c r="B18681" t="s">
        <v>18487</v>
      </c>
      <c r="C18681">
        <v>21809</v>
      </c>
      <c r="D18681" t="str">
        <f>"1535-3141"</f>
        <v>1535-3141</v>
      </c>
      <c r="E18681" t="s">
        <v>8</v>
      </c>
      <c r="F18681" t="s">
        <v>18696</v>
      </c>
      <c r="G18681">
        <v>1</v>
      </c>
    </row>
    <row r="18682" spans="1:7" x14ac:dyDescent="0.25">
      <c r="A18682">
        <v>59</v>
      </c>
      <c r="B18682" t="s">
        <v>18487</v>
      </c>
      <c r="C18682">
        <v>124005</v>
      </c>
      <c r="D18682" t="str">
        <f>"1661-4119"</f>
        <v>1661-4119</v>
      </c>
      <c r="E18682" t="s">
        <v>8</v>
      </c>
      <c r="F18682" t="s">
        <v>18697</v>
      </c>
      <c r="G18682">
        <v>1</v>
      </c>
    </row>
    <row r="18683" spans="1:7" x14ac:dyDescent="0.25">
      <c r="A18683">
        <v>59</v>
      </c>
      <c r="B18683" t="s">
        <v>18487</v>
      </c>
      <c r="C18683">
        <v>7751107</v>
      </c>
      <c r="E18683" t="s">
        <v>8</v>
      </c>
      <c r="F18683" t="s">
        <v>18698</v>
      </c>
      <c r="G18683">
        <v>1</v>
      </c>
    </row>
    <row r="18684" spans="1:7" x14ac:dyDescent="0.25">
      <c r="A18684">
        <v>59</v>
      </c>
      <c r="B18684" t="s">
        <v>18487</v>
      </c>
      <c r="C18684">
        <v>853</v>
      </c>
      <c r="D18684" t="str">
        <f>"0738-7806"</f>
        <v>0738-7806</v>
      </c>
      <c r="E18684" t="s">
        <v>8</v>
      </c>
      <c r="F18684" t="s">
        <v>18699</v>
      </c>
      <c r="G18684">
        <v>1</v>
      </c>
    </row>
    <row r="18685" spans="1:7" x14ac:dyDescent="0.25">
      <c r="A18685">
        <v>59</v>
      </c>
      <c r="B18685" t="s">
        <v>18487</v>
      </c>
      <c r="C18685">
        <v>8781988</v>
      </c>
      <c r="D18685" t="str">
        <f>"2509-2715"</f>
        <v>2509-2715</v>
      </c>
      <c r="E18685" t="s">
        <v>8</v>
      </c>
      <c r="F18685" t="s">
        <v>18700</v>
      </c>
      <c r="G18685">
        <v>1</v>
      </c>
    </row>
    <row r="18686" spans="1:7" x14ac:dyDescent="0.25">
      <c r="A18686">
        <v>59</v>
      </c>
      <c r="B18686" t="s">
        <v>18487</v>
      </c>
      <c r="C18686">
        <v>15297</v>
      </c>
      <c r="D18686" t="str">
        <f>"1432-2625"</f>
        <v>1432-2625</v>
      </c>
      <c r="E18686" t="s">
        <v>8</v>
      </c>
      <c r="F18686" t="s">
        <v>18701</v>
      </c>
      <c r="G18686">
        <v>1</v>
      </c>
    </row>
    <row r="18687" spans="1:7" x14ac:dyDescent="0.25">
      <c r="A18687">
        <v>59</v>
      </c>
      <c r="B18687" t="s">
        <v>18487</v>
      </c>
      <c r="C18687">
        <v>7484</v>
      </c>
      <c r="D18687" t="str">
        <f>"1757-9759"</f>
        <v>1757-9759</v>
      </c>
      <c r="E18687" t="s">
        <v>8</v>
      </c>
      <c r="F18687" t="s">
        <v>18702</v>
      </c>
      <c r="G18687">
        <v>1</v>
      </c>
    </row>
    <row r="18688" spans="1:7" x14ac:dyDescent="0.25">
      <c r="A18688">
        <v>59</v>
      </c>
      <c r="B18688" t="s">
        <v>18487</v>
      </c>
      <c r="C18688">
        <v>8773976</v>
      </c>
      <c r="E18688" t="s">
        <v>8</v>
      </c>
      <c r="F18688" t="s">
        <v>18703</v>
      </c>
      <c r="G18688">
        <v>1</v>
      </c>
    </row>
    <row r="18689" spans="1:7" x14ac:dyDescent="0.25">
      <c r="A18689">
        <v>59</v>
      </c>
      <c r="B18689" t="s">
        <v>18487</v>
      </c>
      <c r="C18689">
        <v>22596</v>
      </c>
      <c r="D18689" t="str">
        <f>"1744-1692"</f>
        <v>1744-1692</v>
      </c>
      <c r="E18689" t="s">
        <v>8</v>
      </c>
      <c r="F18689" t="s">
        <v>18704</v>
      </c>
      <c r="G18689">
        <v>1</v>
      </c>
    </row>
    <row r="18690" spans="1:7" x14ac:dyDescent="0.25">
      <c r="A18690">
        <v>59</v>
      </c>
      <c r="B18690" t="s">
        <v>18487</v>
      </c>
      <c r="C18690">
        <v>27389</v>
      </c>
      <c r="E18690" t="s">
        <v>8</v>
      </c>
      <c r="F18690" t="s">
        <v>18705</v>
      </c>
      <c r="G18690">
        <v>1</v>
      </c>
    </row>
    <row r="18691" spans="1:7" x14ac:dyDescent="0.25">
      <c r="A18691">
        <v>59</v>
      </c>
      <c r="B18691" t="s">
        <v>18487</v>
      </c>
      <c r="C18691">
        <v>94590</v>
      </c>
      <c r="E18691" t="s">
        <v>8</v>
      </c>
      <c r="F18691" t="s">
        <v>18706</v>
      </c>
      <c r="G18691">
        <v>1</v>
      </c>
    </row>
    <row r="18692" spans="1:7" x14ac:dyDescent="0.25">
      <c r="A18692">
        <v>59</v>
      </c>
      <c r="B18692" t="s">
        <v>18487</v>
      </c>
      <c r="C18692">
        <v>2223</v>
      </c>
      <c r="D18692" t="str">
        <f>"0093-0334"</f>
        <v>0093-0334</v>
      </c>
      <c r="E18692" t="s">
        <v>8</v>
      </c>
      <c r="F18692" t="s">
        <v>18707</v>
      </c>
      <c r="G18692">
        <v>1</v>
      </c>
    </row>
    <row r="18693" spans="1:7" x14ac:dyDescent="0.25">
      <c r="A18693">
        <v>59</v>
      </c>
      <c r="B18693" t="s">
        <v>18487</v>
      </c>
      <c r="C18693">
        <v>5519</v>
      </c>
      <c r="D18693" t="str">
        <f>"1363-4593"</f>
        <v>1363-4593</v>
      </c>
      <c r="E18693" t="s">
        <v>8</v>
      </c>
      <c r="F18693" t="s">
        <v>18708</v>
      </c>
      <c r="G18693">
        <v>1</v>
      </c>
    </row>
    <row r="18694" spans="1:7" x14ac:dyDescent="0.25">
      <c r="A18694">
        <v>59</v>
      </c>
      <c r="B18694" t="s">
        <v>18487</v>
      </c>
      <c r="C18694">
        <v>6354</v>
      </c>
      <c r="E18694" t="s">
        <v>8</v>
      </c>
      <c r="F18694" t="s">
        <v>18709</v>
      </c>
      <c r="G18694">
        <v>1</v>
      </c>
    </row>
    <row r="18695" spans="1:7" x14ac:dyDescent="0.25">
      <c r="A18695">
        <v>59</v>
      </c>
      <c r="B18695" t="s">
        <v>18487</v>
      </c>
      <c r="C18695">
        <v>8455</v>
      </c>
      <c r="D18695" t="str">
        <f>"0966-0410"</f>
        <v>0966-0410</v>
      </c>
      <c r="E18695" t="s">
        <v>8</v>
      </c>
      <c r="F18695" t="s">
        <v>18710</v>
      </c>
      <c r="G18695">
        <v>1</v>
      </c>
    </row>
    <row r="18696" spans="1:7" x14ac:dyDescent="0.25">
      <c r="A18696">
        <v>59</v>
      </c>
      <c r="B18696" t="s">
        <v>18487</v>
      </c>
      <c r="C18696">
        <v>8758226</v>
      </c>
      <c r="D18696" t="str">
        <f>"2326-4403"</f>
        <v>2326-4403</v>
      </c>
      <c r="E18696" t="s">
        <v>8</v>
      </c>
      <c r="F18696" t="s">
        <v>18711</v>
      </c>
      <c r="G18696">
        <v>1</v>
      </c>
    </row>
    <row r="18697" spans="1:7" x14ac:dyDescent="0.25">
      <c r="A18697">
        <v>59</v>
      </c>
      <c r="B18697" t="s">
        <v>18487</v>
      </c>
      <c r="C18697">
        <v>6150</v>
      </c>
      <c r="D18697" t="str">
        <f>"1065-3058"</f>
        <v>1065-3058</v>
      </c>
      <c r="E18697" t="s">
        <v>8</v>
      </c>
      <c r="F18697" t="s">
        <v>18712</v>
      </c>
      <c r="G18697">
        <v>1</v>
      </c>
    </row>
    <row r="18698" spans="1:7" x14ac:dyDescent="0.25">
      <c r="A18698">
        <v>59</v>
      </c>
      <c r="B18698" t="s">
        <v>18487</v>
      </c>
      <c r="C18698">
        <v>131</v>
      </c>
      <c r="D18698" t="str">
        <f>"1386-9620"</f>
        <v>1386-9620</v>
      </c>
      <c r="E18698" t="s">
        <v>8</v>
      </c>
      <c r="F18698" t="s">
        <v>18713</v>
      </c>
      <c r="G18698">
        <v>1</v>
      </c>
    </row>
    <row r="18699" spans="1:7" x14ac:dyDescent="0.25">
      <c r="A18699">
        <v>59</v>
      </c>
      <c r="B18699" t="s">
        <v>18487</v>
      </c>
      <c r="C18699">
        <v>9140</v>
      </c>
      <c r="D18699" t="str">
        <f>"1041-0236"</f>
        <v>1041-0236</v>
      </c>
      <c r="E18699" t="s">
        <v>8</v>
      </c>
      <c r="F18699" t="s">
        <v>18714</v>
      </c>
      <c r="G18699">
        <v>1</v>
      </c>
    </row>
    <row r="18700" spans="1:7" x14ac:dyDescent="0.25">
      <c r="A18700">
        <v>59</v>
      </c>
      <c r="B18700" t="s">
        <v>18487</v>
      </c>
      <c r="C18700">
        <v>7706942</v>
      </c>
      <c r="D18700" t="str">
        <f>"2191-1991"</f>
        <v>2191-1991</v>
      </c>
      <c r="E18700" t="s">
        <v>8</v>
      </c>
      <c r="F18700" t="s">
        <v>18715</v>
      </c>
      <c r="G18700">
        <v>1</v>
      </c>
    </row>
    <row r="18701" spans="1:7" x14ac:dyDescent="0.25">
      <c r="A18701">
        <v>59</v>
      </c>
      <c r="B18701" t="s">
        <v>18487</v>
      </c>
      <c r="C18701">
        <v>1961</v>
      </c>
      <c r="D18701" t="str">
        <f>"1744-1331"</f>
        <v>1744-1331</v>
      </c>
      <c r="E18701" t="s">
        <v>8</v>
      </c>
      <c r="F18701" t="s">
        <v>18716</v>
      </c>
      <c r="G18701">
        <v>1</v>
      </c>
    </row>
    <row r="18702" spans="1:7" x14ac:dyDescent="0.25">
      <c r="A18702">
        <v>59</v>
      </c>
      <c r="B18702" t="s">
        <v>18487</v>
      </c>
      <c r="C18702">
        <v>22489</v>
      </c>
      <c r="D18702" t="str">
        <f>"0017-8969"</f>
        <v>0017-8969</v>
      </c>
      <c r="E18702" t="s">
        <v>8</v>
      </c>
      <c r="F18702" t="s">
        <v>18717</v>
      </c>
      <c r="G18702">
        <v>1</v>
      </c>
    </row>
    <row r="18703" spans="1:7" x14ac:dyDescent="0.25">
      <c r="A18703">
        <v>59</v>
      </c>
      <c r="B18703" t="s">
        <v>18487</v>
      </c>
      <c r="C18703">
        <v>15637</v>
      </c>
      <c r="D18703" t="str">
        <f>"1369-6513"</f>
        <v>1369-6513</v>
      </c>
      <c r="E18703" t="s">
        <v>8</v>
      </c>
      <c r="F18703" t="s">
        <v>18718</v>
      </c>
      <c r="G18703">
        <v>1</v>
      </c>
    </row>
    <row r="18704" spans="1:7" x14ac:dyDescent="0.25">
      <c r="A18704">
        <v>59</v>
      </c>
      <c r="B18704" t="s">
        <v>18487</v>
      </c>
      <c r="C18704">
        <v>15553</v>
      </c>
      <c r="D18704" t="str">
        <f>"1833-3583"</f>
        <v>1833-3583</v>
      </c>
      <c r="E18704" t="s">
        <v>8</v>
      </c>
      <c r="F18704" t="s">
        <v>18719</v>
      </c>
      <c r="G18704">
        <v>1</v>
      </c>
    </row>
    <row r="18705" spans="1:7" x14ac:dyDescent="0.25">
      <c r="A18705">
        <v>59</v>
      </c>
      <c r="B18705" t="s">
        <v>18487</v>
      </c>
      <c r="C18705">
        <v>9569</v>
      </c>
      <c r="D18705" t="str">
        <f>"0017-9078"</f>
        <v>0017-9078</v>
      </c>
      <c r="E18705" t="s">
        <v>8</v>
      </c>
      <c r="F18705" t="s">
        <v>18720</v>
      </c>
      <c r="G18705">
        <v>1</v>
      </c>
    </row>
    <row r="18706" spans="1:7" x14ac:dyDescent="0.25">
      <c r="A18706">
        <v>59</v>
      </c>
      <c r="B18706" t="s">
        <v>18487</v>
      </c>
      <c r="C18706">
        <v>16022</v>
      </c>
      <c r="D18706" t="str">
        <f>"0268-1080"</f>
        <v>0268-1080</v>
      </c>
      <c r="E18706" t="s">
        <v>8</v>
      </c>
      <c r="F18706" t="s">
        <v>18721</v>
      </c>
      <c r="G18706">
        <v>1</v>
      </c>
    </row>
    <row r="18707" spans="1:7" x14ac:dyDescent="0.25">
      <c r="A18707">
        <v>59</v>
      </c>
      <c r="B18707" t="s">
        <v>18487</v>
      </c>
      <c r="C18707">
        <v>16139</v>
      </c>
      <c r="D18707" t="str">
        <f>"1524-8399"</f>
        <v>1524-8399</v>
      </c>
      <c r="E18707" t="s">
        <v>8</v>
      </c>
      <c r="F18707" t="s">
        <v>18722</v>
      </c>
      <c r="G18707">
        <v>1</v>
      </c>
    </row>
    <row r="18708" spans="1:7" x14ac:dyDescent="0.25">
      <c r="A18708">
        <v>59</v>
      </c>
      <c r="B18708" t="s">
        <v>18487</v>
      </c>
      <c r="C18708">
        <v>3757</v>
      </c>
      <c r="E18708" t="s">
        <v>8</v>
      </c>
      <c r="F18708" t="s">
        <v>18723</v>
      </c>
      <c r="G18708">
        <v>1</v>
      </c>
    </row>
    <row r="18709" spans="1:7" x14ac:dyDescent="0.25">
      <c r="A18709">
        <v>59</v>
      </c>
      <c r="B18709" t="s">
        <v>18487</v>
      </c>
      <c r="C18709">
        <v>277</v>
      </c>
      <c r="D18709" t="str">
        <f>"1387-3741"</f>
        <v>1387-3741</v>
      </c>
      <c r="E18709" t="s">
        <v>8</v>
      </c>
      <c r="F18709" t="s">
        <v>18724</v>
      </c>
      <c r="G18709">
        <v>1</v>
      </c>
    </row>
    <row r="18710" spans="1:7" x14ac:dyDescent="0.25">
      <c r="A18710">
        <v>59</v>
      </c>
      <c r="B18710" t="s">
        <v>18487</v>
      </c>
      <c r="C18710">
        <v>2258</v>
      </c>
      <c r="D18710" t="str">
        <f>"0951-4848"</f>
        <v>0951-4848</v>
      </c>
      <c r="E18710" t="s">
        <v>8</v>
      </c>
      <c r="F18710" t="s">
        <v>18725</v>
      </c>
      <c r="G18710">
        <v>1</v>
      </c>
    </row>
    <row r="18711" spans="1:7" x14ac:dyDescent="0.25">
      <c r="A18711">
        <v>59</v>
      </c>
      <c r="B18711" t="s">
        <v>18487</v>
      </c>
      <c r="C18711">
        <v>17480</v>
      </c>
      <c r="D18711" t="str">
        <f>"1366-5278"</f>
        <v>1366-5278</v>
      </c>
      <c r="E18711" t="s">
        <v>15</v>
      </c>
      <c r="F18711" t="s">
        <v>18726</v>
      </c>
      <c r="G18711">
        <v>1</v>
      </c>
    </row>
    <row r="18712" spans="1:7" x14ac:dyDescent="0.25">
      <c r="A18712">
        <v>59</v>
      </c>
      <c r="B18712" t="s">
        <v>18487</v>
      </c>
      <c r="C18712">
        <v>8783586</v>
      </c>
      <c r="E18712" t="s">
        <v>15</v>
      </c>
      <c r="F18712" t="s">
        <v>18727</v>
      </c>
      <c r="G18712">
        <v>1</v>
      </c>
    </row>
    <row r="18713" spans="1:7" x14ac:dyDescent="0.25">
      <c r="A18713">
        <v>59</v>
      </c>
      <c r="B18713" t="s">
        <v>18487</v>
      </c>
      <c r="C18713">
        <v>2602</v>
      </c>
      <c r="D18713" t="str">
        <f>"0956-2737"</f>
        <v>0956-2737</v>
      </c>
      <c r="E18713" t="s">
        <v>8</v>
      </c>
      <c r="F18713" t="s">
        <v>18728</v>
      </c>
      <c r="G18713">
        <v>1</v>
      </c>
    </row>
    <row r="18714" spans="1:7" x14ac:dyDescent="0.25">
      <c r="A18714">
        <v>59</v>
      </c>
      <c r="B18714" t="s">
        <v>18487</v>
      </c>
      <c r="C18714">
        <v>83286</v>
      </c>
      <c r="D18714" t="str">
        <f>"1937-5867"</f>
        <v>1937-5867</v>
      </c>
      <c r="E18714" t="s">
        <v>8</v>
      </c>
      <c r="F18714" t="s">
        <v>18729</v>
      </c>
      <c r="G18714">
        <v>1</v>
      </c>
    </row>
    <row r="18715" spans="1:7" x14ac:dyDescent="0.25">
      <c r="A18715">
        <v>59</v>
      </c>
      <c r="B18715" t="s">
        <v>18487</v>
      </c>
      <c r="C18715">
        <v>11947</v>
      </c>
      <c r="D18715" t="str">
        <f>"0162-1424"</f>
        <v>0162-1424</v>
      </c>
      <c r="E18715" t="s">
        <v>8</v>
      </c>
      <c r="F18715" t="s">
        <v>18730</v>
      </c>
      <c r="G18715">
        <v>1</v>
      </c>
    </row>
    <row r="18716" spans="1:7" x14ac:dyDescent="0.25">
      <c r="A18716">
        <v>59</v>
      </c>
      <c r="B18716" t="s">
        <v>18487</v>
      </c>
      <c r="C18716">
        <v>5671</v>
      </c>
      <c r="D18716" t="str">
        <f>"1475-4916"</f>
        <v>1475-4916</v>
      </c>
      <c r="E18716" t="s">
        <v>8</v>
      </c>
      <c r="F18716" t="s">
        <v>18731</v>
      </c>
      <c r="G18716">
        <v>1</v>
      </c>
    </row>
    <row r="18717" spans="1:7" x14ac:dyDescent="0.25">
      <c r="A18717">
        <v>59</v>
      </c>
      <c r="B18717" t="s">
        <v>18487</v>
      </c>
      <c r="C18717">
        <v>14494</v>
      </c>
      <c r="D18717" t="str">
        <f>"1068-8838"</f>
        <v>1068-8838</v>
      </c>
      <c r="E18717" t="s">
        <v>8</v>
      </c>
      <c r="F18717" t="s">
        <v>18732</v>
      </c>
      <c r="G18717">
        <v>1</v>
      </c>
    </row>
    <row r="18718" spans="1:7" x14ac:dyDescent="0.25">
      <c r="A18718">
        <v>59</v>
      </c>
      <c r="B18718" t="s">
        <v>18487</v>
      </c>
      <c r="C18718">
        <v>4983</v>
      </c>
      <c r="D18718" t="str">
        <f>"1464-7273"</f>
        <v>1464-7273</v>
      </c>
      <c r="E18718" t="s">
        <v>8</v>
      </c>
      <c r="F18718" t="s">
        <v>18733</v>
      </c>
      <c r="G18718">
        <v>1</v>
      </c>
    </row>
    <row r="18719" spans="1:7" x14ac:dyDescent="0.25">
      <c r="A18719">
        <v>59</v>
      </c>
      <c r="B18719" t="s">
        <v>18487</v>
      </c>
      <c r="C18719">
        <v>9513</v>
      </c>
      <c r="D18719" t="str">
        <f>"0001-5652"</f>
        <v>0001-5652</v>
      </c>
      <c r="E18719" t="s">
        <v>8</v>
      </c>
      <c r="F18719" t="s">
        <v>18734</v>
      </c>
      <c r="G18719">
        <v>1</v>
      </c>
    </row>
    <row r="18720" spans="1:7" x14ac:dyDescent="0.25">
      <c r="A18720">
        <v>59</v>
      </c>
      <c r="B18720" t="s">
        <v>18487</v>
      </c>
      <c r="C18720">
        <v>14831</v>
      </c>
      <c r="E18720" t="s">
        <v>8</v>
      </c>
      <c r="F18720" t="s">
        <v>18735</v>
      </c>
      <c r="G18720">
        <v>1</v>
      </c>
    </row>
    <row r="18721" spans="1:7" x14ac:dyDescent="0.25">
      <c r="A18721">
        <v>59</v>
      </c>
      <c r="B18721" t="s">
        <v>18487</v>
      </c>
      <c r="C18721">
        <v>90963</v>
      </c>
      <c r="E18721" t="s">
        <v>8</v>
      </c>
      <c r="F18721" t="s">
        <v>18736</v>
      </c>
      <c r="G18721">
        <v>1</v>
      </c>
    </row>
    <row r="18722" spans="1:7" x14ac:dyDescent="0.25">
      <c r="A18722">
        <v>59</v>
      </c>
      <c r="B18722" t="s">
        <v>18487</v>
      </c>
      <c r="C18722">
        <v>11620</v>
      </c>
      <c r="D18722" t="str">
        <f>"0019-8366"</f>
        <v>0019-8366</v>
      </c>
      <c r="E18722" t="s">
        <v>8</v>
      </c>
      <c r="F18722" t="s">
        <v>18737</v>
      </c>
      <c r="G18722">
        <v>1</v>
      </c>
    </row>
    <row r="18723" spans="1:7" x14ac:dyDescent="0.25">
      <c r="A18723">
        <v>59</v>
      </c>
      <c r="B18723" t="s">
        <v>18487</v>
      </c>
      <c r="C18723">
        <v>7324</v>
      </c>
      <c r="D18723" t="str">
        <f>"0019-9567"</f>
        <v>0019-9567</v>
      </c>
      <c r="E18723" t="s">
        <v>8</v>
      </c>
      <c r="F18723" t="s">
        <v>18738</v>
      </c>
      <c r="G18723">
        <v>1</v>
      </c>
    </row>
    <row r="18724" spans="1:7" x14ac:dyDescent="0.25">
      <c r="A18724">
        <v>59</v>
      </c>
      <c r="B18724" t="s">
        <v>18487</v>
      </c>
      <c r="C18724">
        <v>2032</v>
      </c>
      <c r="D18724" t="str">
        <f>"1078-0998"</f>
        <v>1078-0998</v>
      </c>
      <c r="E18724" t="s">
        <v>8</v>
      </c>
      <c r="F18724" t="s">
        <v>18739</v>
      </c>
      <c r="G18724">
        <v>1</v>
      </c>
    </row>
    <row r="18725" spans="1:7" x14ac:dyDescent="0.25">
      <c r="A18725">
        <v>59</v>
      </c>
      <c r="B18725" t="s">
        <v>18487</v>
      </c>
      <c r="C18725">
        <v>9197</v>
      </c>
      <c r="D18725" t="str">
        <f>"0895-8378"</f>
        <v>0895-8378</v>
      </c>
      <c r="E18725" t="s">
        <v>8</v>
      </c>
      <c r="F18725" t="s">
        <v>18740</v>
      </c>
      <c r="G18725">
        <v>1</v>
      </c>
    </row>
    <row r="18726" spans="1:7" x14ac:dyDescent="0.25">
      <c r="A18726">
        <v>59</v>
      </c>
      <c r="B18726" t="s">
        <v>18487</v>
      </c>
      <c r="C18726">
        <v>11957</v>
      </c>
      <c r="D18726" t="str">
        <f>"1353-8047"</f>
        <v>1353-8047</v>
      </c>
      <c r="E18726" t="s">
        <v>8</v>
      </c>
      <c r="F18726" t="s">
        <v>18741</v>
      </c>
      <c r="G18726">
        <v>1</v>
      </c>
    </row>
    <row r="18727" spans="1:7" x14ac:dyDescent="0.25">
      <c r="A18727">
        <v>59</v>
      </c>
      <c r="B18727" t="s">
        <v>18487</v>
      </c>
      <c r="C18727">
        <v>15996</v>
      </c>
      <c r="D18727" t="str">
        <f>"0046-9580"</f>
        <v>0046-9580</v>
      </c>
      <c r="E18727" t="s">
        <v>8</v>
      </c>
      <c r="F18727" t="s">
        <v>18742</v>
      </c>
      <c r="G18727">
        <v>1</v>
      </c>
    </row>
    <row r="18728" spans="1:7" x14ac:dyDescent="0.25">
      <c r="A18728">
        <v>59</v>
      </c>
      <c r="B18728" t="s">
        <v>18487</v>
      </c>
      <c r="C18728">
        <v>1135</v>
      </c>
      <c r="D18728" t="str">
        <f>"1546-993X"</f>
        <v>1546-993X</v>
      </c>
      <c r="E18728" t="s">
        <v>8</v>
      </c>
      <c r="F18728" t="s">
        <v>18743</v>
      </c>
      <c r="G18728">
        <v>1</v>
      </c>
    </row>
    <row r="18729" spans="1:7" x14ac:dyDescent="0.25">
      <c r="A18729">
        <v>59</v>
      </c>
      <c r="B18729" t="s">
        <v>18487</v>
      </c>
      <c r="C18729">
        <v>952</v>
      </c>
      <c r="D18729" t="str">
        <f>"0340-0131"</f>
        <v>0340-0131</v>
      </c>
      <c r="E18729" t="s">
        <v>8</v>
      </c>
      <c r="F18729" t="s">
        <v>18744</v>
      </c>
      <c r="G18729">
        <v>1</v>
      </c>
    </row>
    <row r="18730" spans="1:7" x14ac:dyDescent="0.25">
      <c r="A18730">
        <v>59</v>
      </c>
      <c r="B18730" t="s">
        <v>18487</v>
      </c>
      <c r="C18730">
        <v>7702238</v>
      </c>
      <c r="D18730" t="str">
        <f>"1876-3413"</f>
        <v>1876-3413</v>
      </c>
      <c r="E18730" t="s">
        <v>8</v>
      </c>
      <c r="F18730" t="s">
        <v>18745</v>
      </c>
      <c r="G18730">
        <v>1</v>
      </c>
    </row>
    <row r="18731" spans="1:7" x14ac:dyDescent="0.25">
      <c r="A18731">
        <v>59</v>
      </c>
      <c r="B18731" t="s">
        <v>18487</v>
      </c>
      <c r="C18731">
        <v>2663</v>
      </c>
      <c r="D18731" t="str">
        <f>"1353-4505"</f>
        <v>1353-4505</v>
      </c>
      <c r="E18731" t="s">
        <v>8</v>
      </c>
      <c r="F18731" t="s">
        <v>18746</v>
      </c>
      <c r="G18731">
        <v>1</v>
      </c>
    </row>
    <row r="18732" spans="1:7" x14ac:dyDescent="0.25">
      <c r="A18732">
        <v>59</v>
      </c>
      <c r="B18732" t="s">
        <v>18487</v>
      </c>
      <c r="C18732">
        <v>27423</v>
      </c>
      <c r="E18732" t="s">
        <v>8</v>
      </c>
      <c r="F18732" t="s">
        <v>18747</v>
      </c>
      <c r="G18732">
        <v>1</v>
      </c>
    </row>
    <row r="18733" spans="1:7" x14ac:dyDescent="0.25">
      <c r="A18733">
        <v>59</v>
      </c>
      <c r="B18733" t="s">
        <v>18487</v>
      </c>
      <c r="C18733">
        <v>15805</v>
      </c>
      <c r="D18733" t="str">
        <f>"0105-6263"</f>
        <v>0105-6263</v>
      </c>
      <c r="E18733" t="s">
        <v>8</v>
      </c>
      <c r="F18733" t="s">
        <v>18748</v>
      </c>
      <c r="G18733">
        <v>1</v>
      </c>
    </row>
    <row r="18734" spans="1:7" x14ac:dyDescent="0.25">
      <c r="A18734">
        <v>59</v>
      </c>
      <c r="B18734" t="s">
        <v>18487</v>
      </c>
      <c r="C18734">
        <v>12688</v>
      </c>
      <c r="D18734" t="str">
        <f>"1070-5503"</f>
        <v>1070-5503</v>
      </c>
      <c r="E18734" t="s">
        <v>8</v>
      </c>
      <c r="F18734" t="s">
        <v>18749</v>
      </c>
      <c r="G18734">
        <v>1</v>
      </c>
    </row>
    <row r="18735" spans="1:7" x14ac:dyDescent="0.25">
      <c r="A18735">
        <v>59</v>
      </c>
      <c r="B18735" t="s">
        <v>18487</v>
      </c>
      <c r="C18735">
        <v>13568</v>
      </c>
      <c r="D18735" t="str">
        <f>"1239-9736"</f>
        <v>1239-9736</v>
      </c>
      <c r="E18735" t="s">
        <v>8</v>
      </c>
      <c r="F18735" t="s">
        <v>18750</v>
      </c>
      <c r="G18735">
        <v>1</v>
      </c>
    </row>
    <row r="18736" spans="1:7" x14ac:dyDescent="0.25">
      <c r="A18736">
        <v>59</v>
      </c>
      <c r="B18736" t="s">
        <v>18487</v>
      </c>
      <c r="C18736">
        <v>5157</v>
      </c>
      <c r="D18736" t="str">
        <f>"1368-5031"</f>
        <v>1368-5031</v>
      </c>
      <c r="E18736" t="s">
        <v>8</v>
      </c>
      <c r="F18736" t="s">
        <v>18751</v>
      </c>
      <c r="G18736">
        <v>1</v>
      </c>
    </row>
    <row r="18737" spans="1:7" x14ac:dyDescent="0.25">
      <c r="A18737">
        <v>59</v>
      </c>
      <c r="B18737" t="s">
        <v>18487</v>
      </c>
      <c r="C18737">
        <v>10650</v>
      </c>
      <c r="D18737" t="str">
        <f>"2047-3869"</f>
        <v>2047-3869</v>
      </c>
      <c r="E18737" t="s">
        <v>8</v>
      </c>
      <c r="F18737" t="s">
        <v>18752</v>
      </c>
      <c r="G18737">
        <v>1</v>
      </c>
    </row>
    <row r="18738" spans="1:7" x14ac:dyDescent="0.25">
      <c r="A18738">
        <v>59</v>
      </c>
      <c r="B18738" t="s">
        <v>18487</v>
      </c>
      <c r="C18738">
        <v>6767</v>
      </c>
      <c r="D18738" t="str">
        <f>"1034-912X"</f>
        <v>1034-912X</v>
      </c>
      <c r="E18738" t="s">
        <v>8</v>
      </c>
      <c r="F18738" t="s">
        <v>18753</v>
      </c>
      <c r="G18738">
        <v>1</v>
      </c>
    </row>
    <row r="18739" spans="1:7" x14ac:dyDescent="0.25">
      <c r="A18739">
        <v>59</v>
      </c>
      <c r="B18739" t="s">
        <v>18487</v>
      </c>
      <c r="C18739">
        <v>3694</v>
      </c>
      <c r="D18739" t="str">
        <f>"1522-4821"</f>
        <v>1522-4821</v>
      </c>
      <c r="E18739" t="s">
        <v>8</v>
      </c>
      <c r="F18739" t="s">
        <v>18754</v>
      </c>
      <c r="G18739">
        <v>1</v>
      </c>
    </row>
    <row r="18740" spans="1:7" x14ac:dyDescent="0.25">
      <c r="A18740">
        <v>59</v>
      </c>
      <c r="B18740" t="s">
        <v>18487</v>
      </c>
      <c r="C18740">
        <v>20022</v>
      </c>
      <c r="D18740" t="str">
        <f>"1743-4955"</f>
        <v>1743-4955</v>
      </c>
      <c r="E18740" t="s">
        <v>8</v>
      </c>
      <c r="F18740" t="s">
        <v>18755</v>
      </c>
      <c r="G18740">
        <v>1</v>
      </c>
    </row>
    <row r="18741" spans="1:7" x14ac:dyDescent="0.25">
      <c r="A18741">
        <v>59</v>
      </c>
      <c r="B18741" t="s">
        <v>18487</v>
      </c>
      <c r="C18741">
        <v>2294</v>
      </c>
      <c r="D18741" t="str">
        <f>"0960-3123"</f>
        <v>0960-3123</v>
      </c>
      <c r="E18741" t="s">
        <v>8</v>
      </c>
      <c r="F18741" t="s">
        <v>18756</v>
      </c>
      <c r="G18741">
        <v>1</v>
      </c>
    </row>
    <row r="18742" spans="1:7" x14ac:dyDescent="0.25">
      <c r="A18742">
        <v>59</v>
      </c>
      <c r="B18742" t="s">
        <v>18487</v>
      </c>
      <c r="C18742">
        <v>123217</v>
      </c>
      <c r="D18742" t="str">
        <f>"1661-7827"</f>
        <v>1661-7827</v>
      </c>
      <c r="E18742" t="s">
        <v>8</v>
      </c>
      <c r="F18742" t="s">
        <v>18757</v>
      </c>
      <c r="G18742">
        <v>1</v>
      </c>
    </row>
    <row r="18743" spans="1:7" x14ac:dyDescent="0.25">
      <c r="A18743">
        <v>59</v>
      </c>
      <c r="B18743" t="s">
        <v>18487</v>
      </c>
      <c r="C18743">
        <v>12348</v>
      </c>
      <c r="D18743" t="str">
        <f>"1744-1595"</f>
        <v>1744-1595</v>
      </c>
      <c r="E18743" t="s">
        <v>8</v>
      </c>
      <c r="F18743" t="s">
        <v>18758</v>
      </c>
      <c r="G18743">
        <v>1</v>
      </c>
    </row>
    <row r="18744" spans="1:7" x14ac:dyDescent="0.25">
      <c r="A18744">
        <v>59</v>
      </c>
      <c r="B18744" t="s">
        <v>18487</v>
      </c>
      <c r="C18744">
        <v>7711650</v>
      </c>
      <c r="D18744" t="str">
        <f>"2090-2042"</f>
        <v>2090-2042</v>
      </c>
      <c r="E18744" t="s">
        <v>8</v>
      </c>
      <c r="F18744" t="s">
        <v>18759</v>
      </c>
      <c r="G18744">
        <v>1</v>
      </c>
    </row>
    <row r="18745" spans="1:7" x14ac:dyDescent="0.25">
      <c r="A18745">
        <v>59</v>
      </c>
      <c r="B18745" t="s">
        <v>18487</v>
      </c>
      <c r="C18745">
        <v>13076</v>
      </c>
      <c r="D18745" t="str">
        <f>"1499-9013"</f>
        <v>1499-9013</v>
      </c>
      <c r="E18745" t="s">
        <v>8</v>
      </c>
      <c r="F18745" t="s">
        <v>18760</v>
      </c>
      <c r="G18745">
        <v>1</v>
      </c>
    </row>
    <row r="18746" spans="1:7" x14ac:dyDescent="0.25">
      <c r="A18746">
        <v>59</v>
      </c>
      <c r="B18746" t="s">
        <v>18487</v>
      </c>
      <c r="C18746">
        <v>1837</v>
      </c>
      <c r="E18746" t="s">
        <v>8</v>
      </c>
      <c r="F18746" t="s">
        <v>18761</v>
      </c>
      <c r="G18746">
        <v>1</v>
      </c>
    </row>
    <row r="18747" spans="1:7" x14ac:dyDescent="0.25">
      <c r="A18747">
        <v>59</v>
      </c>
      <c r="B18747" t="s">
        <v>18487</v>
      </c>
      <c r="C18747">
        <v>8782450</v>
      </c>
      <c r="D18747" t="str">
        <f>"2059-4631"</f>
        <v>2059-4631</v>
      </c>
      <c r="E18747" t="s">
        <v>8</v>
      </c>
      <c r="F18747" t="s">
        <v>18762</v>
      </c>
      <c r="G18747">
        <v>1</v>
      </c>
    </row>
    <row r="18748" spans="1:7" x14ac:dyDescent="0.25">
      <c r="A18748">
        <v>59</v>
      </c>
      <c r="B18748" t="s">
        <v>18487</v>
      </c>
      <c r="C18748">
        <v>1304</v>
      </c>
      <c r="D18748" t="str">
        <f>"0749-6753"</f>
        <v>0749-6753</v>
      </c>
      <c r="E18748" t="s">
        <v>8</v>
      </c>
      <c r="F18748" t="s">
        <v>18763</v>
      </c>
      <c r="G18748">
        <v>1</v>
      </c>
    </row>
    <row r="18749" spans="1:7" x14ac:dyDescent="0.25">
      <c r="A18749">
        <v>59</v>
      </c>
      <c r="B18749" t="s">
        <v>18487</v>
      </c>
      <c r="C18749">
        <v>7750747</v>
      </c>
      <c r="E18749" t="s">
        <v>8</v>
      </c>
      <c r="F18749" t="s">
        <v>18764</v>
      </c>
      <c r="G18749">
        <v>1</v>
      </c>
    </row>
    <row r="18750" spans="1:7" x14ac:dyDescent="0.25">
      <c r="A18750">
        <v>59</v>
      </c>
      <c r="B18750" t="s">
        <v>18487</v>
      </c>
      <c r="C18750">
        <v>12939</v>
      </c>
      <c r="D18750" t="str">
        <f>"0020-7314"</f>
        <v>0020-7314</v>
      </c>
      <c r="E18750" t="s">
        <v>8</v>
      </c>
      <c r="F18750" t="s">
        <v>18765</v>
      </c>
      <c r="G18750">
        <v>1</v>
      </c>
    </row>
    <row r="18751" spans="1:7" x14ac:dyDescent="0.25">
      <c r="A18751">
        <v>59</v>
      </c>
      <c r="B18751" t="s">
        <v>18487</v>
      </c>
      <c r="C18751">
        <v>7691755</v>
      </c>
      <c r="D18751" t="str">
        <f>"2056-4902"</f>
        <v>2056-4902</v>
      </c>
      <c r="E18751" t="s">
        <v>8</v>
      </c>
      <c r="F18751" t="s">
        <v>18766</v>
      </c>
      <c r="G18751">
        <v>1</v>
      </c>
    </row>
    <row r="18752" spans="1:7" x14ac:dyDescent="0.25">
      <c r="A18752">
        <v>59</v>
      </c>
      <c r="B18752" t="s">
        <v>18487</v>
      </c>
      <c r="C18752">
        <v>27750</v>
      </c>
      <c r="D18752" t="str">
        <f>"1745-7300"</f>
        <v>1745-7300</v>
      </c>
      <c r="E18752" t="s">
        <v>8</v>
      </c>
      <c r="F18752" t="s">
        <v>18767</v>
      </c>
      <c r="G18752">
        <v>1</v>
      </c>
    </row>
    <row r="18753" spans="1:7" x14ac:dyDescent="0.25">
      <c r="A18753">
        <v>59</v>
      </c>
      <c r="B18753" t="s">
        <v>18487</v>
      </c>
      <c r="C18753">
        <v>6138</v>
      </c>
      <c r="D18753" t="str">
        <f>"1077-3525"</f>
        <v>1077-3525</v>
      </c>
      <c r="E18753" t="s">
        <v>8</v>
      </c>
      <c r="F18753" t="s">
        <v>18768</v>
      </c>
      <c r="G18753">
        <v>1</v>
      </c>
    </row>
    <row r="18754" spans="1:7" x14ac:dyDescent="0.25">
      <c r="A18754">
        <v>59</v>
      </c>
      <c r="B18754" t="s">
        <v>18487</v>
      </c>
      <c r="C18754">
        <v>7687224</v>
      </c>
      <c r="D18754" t="str">
        <f>"2008-6520"</f>
        <v>2008-6520</v>
      </c>
      <c r="E18754" t="s">
        <v>8</v>
      </c>
      <c r="F18754" t="s">
        <v>18769</v>
      </c>
      <c r="G18754">
        <v>1</v>
      </c>
    </row>
    <row r="18755" spans="1:7" x14ac:dyDescent="0.25">
      <c r="A18755">
        <v>59</v>
      </c>
      <c r="B18755" t="s">
        <v>18487</v>
      </c>
      <c r="C18755">
        <v>5208</v>
      </c>
      <c r="D18755" t="str">
        <f>"1080-3548"</f>
        <v>1080-3548</v>
      </c>
      <c r="E18755" t="s">
        <v>8</v>
      </c>
      <c r="F18755" t="s">
        <v>18770</v>
      </c>
      <c r="G18755">
        <v>1</v>
      </c>
    </row>
    <row r="18756" spans="1:7" x14ac:dyDescent="0.25">
      <c r="A18756">
        <v>59</v>
      </c>
      <c r="B18756" t="s">
        <v>18487</v>
      </c>
      <c r="C18756">
        <v>17816</v>
      </c>
      <c r="D18756" t="str">
        <f>"1661-8556"</f>
        <v>1661-8556</v>
      </c>
      <c r="E18756" t="s">
        <v>8</v>
      </c>
      <c r="F18756" t="s">
        <v>18771</v>
      </c>
      <c r="G18756">
        <v>1</v>
      </c>
    </row>
    <row r="18757" spans="1:7" x14ac:dyDescent="0.25">
      <c r="A18757">
        <v>59</v>
      </c>
      <c r="B18757" t="s">
        <v>18487</v>
      </c>
      <c r="C18757">
        <v>13697</v>
      </c>
      <c r="D18757" t="str">
        <f>"1748-2623"</f>
        <v>1748-2623</v>
      </c>
      <c r="E18757" t="s">
        <v>8</v>
      </c>
      <c r="F18757" t="s">
        <v>18772</v>
      </c>
      <c r="G18757">
        <v>1</v>
      </c>
    </row>
    <row r="18758" spans="1:7" x14ac:dyDescent="0.25">
      <c r="A18758">
        <v>59</v>
      </c>
      <c r="B18758" t="s">
        <v>18487</v>
      </c>
      <c r="C18758">
        <v>13310</v>
      </c>
      <c r="D18758" t="str">
        <f>"0266-4623"</f>
        <v>0266-4623</v>
      </c>
      <c r="E18758" t="s">
        <v>8</v>
      </c>
      <c r="F18758" t="s">
        <v>18773</v>
      </c>
      <c r="G18758">
        <v>1</v>
      </c>
    </row>
    <row r="18759" spans="1:7" x14ac:dyDescent="0.25">
      <c r="A18759">
        <v>59</v>
      </c>
      <c r="B18759" t="s">
        <v>18487</v>
      </c>
      <c r="C18759">
        <v>27612</v>
      </c>
      <c r="D18759" t="str">
        <f>"1687-6415"</f>
        <v>1687-6415</v>
      </c>
      <c r="E18759" t="s">
        <v>8</v>
      </c>
      <c r="F18759" t="s">
        <v>18774</v>
      </c>
      <c r="G18759">
        <v>1</v>
      </c>
    </row>
    <row r="18760" spans="1:7" x14ac:dyDescent="0.25">
      <c r="A18760">
        <v>59</v>
      </c>
      <c r="B18760" t="s">
        <v>18487</v>
      </c>
      <c r="C18760">
        <v>21063</v>
      </c>
      <c r="D18760" t="str">
        <f>"1741-1645"</f>
        <v>1741-1645</v>
      </c>
      <c r="E18760" t="s">
        <v>8</v>
      </c>
      <c r="F18760" t="s">
        <v>18775</v>
      </c>
      <c r="G18760">
        <v>1</v>
      </c>
    </row>
    <row r="18761" spans="1:7" x14ac:dyDescent="0.25">
      <c r="A18761">
        <v>59</v>
      </c>
      <c r="B18761" t="s">
        <v>18487</v>
      </c>
      <c r="C18761">
        <v>87948</v>
      </c>
      <c r="D18761" t="str">
        <f>"1753-8351"</f>
        <v>1753-8351</v>
      </c>
      <c r="E18761" t="s">
        <v>8</v>
      </c>
      <c r="F18761" t="s">
        <v>18776</v>
      </c>
      <c r="G18761">
        <v>1</v>
      </c>
    </row>
    <row r="18762" spans="1:7" x14ac:dyDescent="0.25">
      <c r="A18762">
        <v>59</v>
      </c>
      <c r="B18762" t="s">
        <v>18487</v>
      </c>
      <c r="C18762">
        <v>15372</v>
      </c>
      <c r="D18762" t="str">
        <f>"1641-9251"</f>
        <v>1641-9251</v>
      </c>
      <c r="E18762" t="s">
        <v>8</v>
      </c>
      <c r="F18762" t="s">
        <v>18777</v>
      </c>
      <c r="G18762">
        <v>1</v>
      </c>
    </row>
    <row r="18763" spans="1:7" x14ac:dyDescent="0.25">
      <c r="A18763">
        <v>59</v>
      </c>
      <c r="B18763" t="s">
        <v>18487</v>
      </c>
      <c r="C18763">
        <v>8793</v>
      </c>
      <c r="D18763" t="str">
        <f>"1025-6016"</f>
        <v>1025-6016</v>
      </c>
      <c r="E18763" t="s">
        <v>8</v>
      </c>
      <c r="F18763" t="s">
        <v>18778</v>
      </c>
      <c r="G18763">
        <v>1</v>
      </c>
    </row>
    <row r="18764" spans="1:7" x14ac:dyDescent="0.25">
      <c r="A18764">
        <v>59</v>
      </c>
      <c r="B18764" t="s">
        <v>18487</v>
      </c>
      <c r="C18764">
        <v>5263</v>
      </c>
      <c r="D18764" t="str">
        <f>"2168-6203"</f>
        <v>2168-6203</v>
      </c>
      <c r="E18764" t="s">
        <v>8</v>
      </c>
      <c r="F18764" t="s">
        <v>18779</v>
      </c>
      <c r="G18764">
        <v>1</v>
      </c>
    </row>
    <row r="18765" spans="1:7" x14ac:dyDescent="0.25">
      <c r="A18765">
        <v>59</v>
      </c>
      <c r="B18765" t="s">
        <v>18487</v>
      </c>
      <c r="C18765">
        <v>5582</v>
      </c>
      <c r="D18765" t="str">
        <f>"0972-1177"</f>
        <v>0972-1177</v>
      </c>
      <c r="E18765" t="s">
        <v>8</v>
      </c>
      <c r="F18765" t="s">
        <v>18780</v>
      </c>
      <c r="G18765">
        <v>1</v>
      </c>
    </row>
    <row r="18766" spans="1:7" x14ac:dyDescent="0.25">
      <c r="A18766">
        <v>59</v>
      </c>
      <c r="B18766" t="s">
        <v>18487</v>
      </c>
      <c r="C18766">
        <v>23574</v>
      </c>
      <c r="D18766" t="str">
        <f>"1661-5751"</f>
        <v>1661-5751</v>
      </c>
      <c r="E18766" t="s">
        <v>8</v>
      </c>
      <c r="F18766" t="s">
        <v>18781</v>
      </c>
      <c r="G18766">
        <v>1</v>
      </c>
    </row>
    <row r="18767" spans="1:7" x14ac:dyDescent="0.25">
      <c r="A18767">
        <v>59</v>
      </c>
      <c r="B18767" t="s">
        <v>18487</v>
      </c>
      <c r="C18767">
        <v>23345</v>
      </c>
      <c r="D18767" t="str">
        <f>"1287-7352"</f>
        <v>1287-7352</v>
      </c>
      <c r="E18767" t="s">
        <v>8</v>
      </c>
      <c r="F18767" t="s">
        <v>18782</v>
      </c>
      <c r="G18767">
        <v>1</v>
      </c>
    </row>
    <row r="18768" spans="1:7" x14ac:dyDescent="0.25">
      <c r="A18768">
        <v>59</v>
      </c>
      <c r="B18768" t="s">
        <v>18487</v>
      </c>
      <c r="C18768">
        <v>8815</v>
      </c>
      <c r="D18768" t="str">
        <f>"1054-139X"</f>
        <v>1054-139X</v>
      </c>
      <c r="E18768" t="s">
        <v>8</v>
      </c>
      <c r="F18768" t="s">
        <v>18783</v>
      </c>
      <c r="G18768">
        <v>1</v>
      </c>
    </row>
    <row r="18769" spans="1:7" x14ac:dyDescent="0.25">
      <c r="A18769">
        <v>59</v>
      </c>
      <c r="B18769" t="s">
        <v>18487</v>
      </c>
      <c r="C18769">
        <v>2799</v>
      </c>
      <c r="D18769" t="str">
        <f>"1941-2711"</f>
        <v>1941-2711</v>
      </c>
      <c r="E18769" t="s">
        <v>8</v>
      </c>
      <c r="F18769" t="s">
        <v>18784</v>
      </c>
      <c r="G18769">
        <v>1</v>
      </c>
    </row>
    <row r="18770" spans="1:7" x14ac:dyDescent="0.25">
      <c r="A18770">
        <v>59</v>
      </c>
      <c r="B18770" t="s">
        <v>18487</v>
      </c>
      <c r="C18770">
        <v>14462</v>
      </c>
      <c r="D18770" t="str">
        <f>"1092-6771"</f>
        <v>1092-6771</v>
      </c>
      <c r="E18770" t="s">
        <v>8</v>
      </c>
      <c r="F18770" t="s">
        <v>18785</v>
      </c>
      <c r="G18770">
        <v>1</v>
      </c>
    </row>
    <row r="18771" spans="1:7" x14ac:dyDescent="0.25">
      <c r="A18771">
        <v>59</v>
      </c>
      <c r="B18771" t="s">
        <v>18487</v>
      </c>
      <c r="C18771">
        <v>11323</v>
      </c>
      <c r="D18771" t="str">
        <f>"0898-2643"</f>
        <v>0898-2643</v>
      </c>
      <c r="E18771" t="s">
        <v>8</v>
      </c>
      <c r="F18771" t="s">
        <v>18786</v>
      </c>
      <c r="G18771">
        <v>1</v>
      </c>
    </row>
    <row r="18772" spans="1:7" x14ac:dyDescent="0.25">
      <c r="A18772">
        <v>59</v>
      </c>
      <c r="B18772" t="s">
        <v>18487</v>
      </c>
      <c r="C18772">
        <v>4619</v>
      </c>
      <c r="D18772" t="str">
        <f>"0890-4065"</f>
        <v>0890-4065</v>
      </c>
      <c r="E18772" t="s">
        <v>8</v>
      </c>
      <c r="F18772" t="s">
        <v>18787</v>
      </c>
      <c r="G18772">
        <v>1</v>
      </c>
    </row>
    <row r="18773" spans="1:7" x14ac:dyDescent="0.25">
      <c r="A18773">
        <v>59</v>
      </c>
      <c r="B18773" t="s">
        <v>18487</v>
      </c>
      <c r="C18773">
        <v>21247</v>
      </c>
      <c r="D18773" t="str">
        <f>"1074-7583"</f>
        <v>1074-7583</v>
      </c>
      <c r="E18773" t="s">
        <v>8</v>
      </c>
      <c r="F18773" t="s">
        <v>18788</v>
      </c>
      <c r="G18773">
        <v>1</v>
      </c>
    </row>
    <row r="18774" spans="1:7" x14ac:dyDescent="0.25">
      <c r="A18774">
        <v>59</v>
      </c>
      <c r="B18774" t="s">
        <v>18487</v>
      </c>
      <c r="C18774">
        <v>10067</v>
      </c>
      <c r="D18774" t="str">
        <f>"0090-7421"</f>
        <v>0090-7421</v>
      </c>
      <c r="E18774" t="s">
        <v>8</v>
      </c>
      <c r="F18774" t="s">
        <v>18789</v>
      </c>
      <c r="G18774">
        <v>1</v>
      </c>
    </row>
    <row r="18775" spans="1:7" x14ac:dyDescent="0.25">
      <c r="A18775">
        <v>59</v>
      </c>
      <c r="B18775" t="s">
        <v>18487</v>
      </c>
      <c r="C18775">
        <v>535</v>
      </c>
      <c r="D18775" t="str">
        <f>"1075-5535"</f>
        <v>1075-5535</v>
      </c>
      <c r="E18775" t="s">
        <v>8</v>
      </c>
      <c r="F18775" t="s">
        <v>18790</v>
      </c>
      <c r="G18775">
        <v>1</v>
      </c>
    </row>
    <row r="18776" spans="1:7" x14ac:dyDescent="0.25">
      <c r="A18776">
        <v>59</v>
      </c>
      <c r="B18776" t="s">
        <v>18487</v>
      </c>
      <c r="C18776">
        <v>11789</v>
      </c>
      <c r="D18776" t="str">
        <f>"0148-9917"</f>
        <v>0148-9917</v>
      </c>
      <c r="E18776" t="s">
        <v>8</v>
      </c>
      <c r="F18776" t="s">
        <v>18791</v>
      </c>
      <c r="G18776">
        <v>1</v>
      </c>
    </row>
    <row r="18777" spans="1:7" x14ac:dyDescent="0.25">
      <c r="A18777">
        <v>59</v>
      </c>
      <c r="B18777" t="s">
        <v>18487</v>
      </c>
      <c r="C18777">
        <v>2865</v>
      </c>
      <c r="D18777" t="str">
        <f>"0744-8481"</f>
        <v>0744-8481</v>
      </c>
      <c r="E18777" t="s">
        <v>8</v>
      </c>
      <c r="F18777" t="s">
        <v>18792</v>
      </c>
      <c r="G18777">
        <v>1</v>
      </c>
    </row>
    <row r="18778" spans="1:7" x14ac:dyDescent="0.25">
      <c r="A18778">
        <v>59</v>
      </c>
      <c r="B18778" t="s">
        <v>18487</v>
      </c>
      <c r="C18778">
        <v>9919</v>
      </c>
      <c r="D18778" t="str">
        <f>"0733-4648"</f>
        <v>0733-4648</v>
      </c>
      <c r="E18778" t="s">
        <v>8</v>
      </c>
      <c r="F18778" t="s">
        <v>18793</v>
      </c>
      <c r="G18778">
        <v>1</v>
      </c>
    </row>
    <row r="18779" spans="1:7" x14ac:dyDescent="0.25">
      <c r="A18779">
        <v>59</v>
      </c>
      <c r="B18779" t="s">
        <v>18487</v>
      </c>
      <c r="C18779">
        <v>14104</v>
      </c>
      <c r="D18779" t="str">
        <f>"0260-437X"</f>
        <v>0260-437X</v>
      </c>
      <c r="E18779" t="s">
        <v>8</v>
      </c>
      <c r="F18779" t="s">
        <v>18794</v>
      </c>
      <c r="G18779">
        <v>1</v>
      </c>
    </row>
    <row r="18780" spans="1:7" x14ac:dyDescent="0.25">
      <c r="A18780">
        <v>59</v>
      </c>
      <c r="B18780" t="s">
        <v>18487</v>
      </c>
      <c r="C18780">
        <v>3210</v>
      </c>
      <c r="D18780" t="str">
        <f>"1053-8127"</f>
        <v>1053-8127</v>
      </c>
      <c r="E18780" t="s">
        <v>8</v>
      </c>
      <c r="F18780" t="s">
        <v>18795</v>
      </c>
      <c r="G18780">
        <v>1</v>
      </c>
    </row>
    <row r="18781" spans="1:7" x14ac:dyDescent="0.25">
      <c r="A18781">
        <v>59</v>
      </c>
      <c r="B18781" t="s">
        <v>18487</v>
      </c>
      <c r="C18781">
        <v>16402</v>
      </c>
      <c r="D18781" t="str">
        <f>"1094-3412"</f>
        <v>1094-3412</v>
      </c>
      <c r="E18781" t="s">
        <v>8</v>
      </c>
      <c r="F18781" t="s">
        <v>18796</v>
      </c>
      <c r="G18781">
        <v>1</v>
      </c>
    </row>
    <row r="18782" spans="1:7" x14ac:dyDescent="0.25">
      <c r="A18782">
        <v>59</v>
      </c>
      <c r="B18782" t="s">
        <v>18487</v>
      </c>
      <c r="C18782">
        <v>1713</v>
      </c>
      <c r="D18782" t="str">
        <f>"1176-7529"</f>
        <v>1176-7529</v>
      </c>
      <c r="E18782" t="s">
        <v>8</v>
      </c>
      <c r="F18782" t="s">
        <v>18797</v>
      </c>
      <c r="G18782">
        <v>1</v>
      </c>
    </row>
    <row r="18783" spans="1:7" x14ac:dyDescent="0.25">
      <c r="A18783">
        <v>59</v>
      </c>
      <c r="B18783" t="s">
        <v>18487</v>
      </c>
      <c r="C18783">
        <v>3370</v>
      </c>
      <c r="D18783" t="str">
        <f>"0021-9320"</f>
        <v>0021-9320</v>
      </c>
      <c r="E18783" t="s">
        <v>8</v>
      </c>
      <c r="F18783" t="s">
        <v>18798</v>
      </c>
      <c r="G18783">
        <v>1</v>
      </c>
    </row>
    <row r="18784" spans="1:7" x14ac:dyDescent="0.25">
      <c r="A18784">
        <v>59</v>
      </c>
      <c r="B18784" t="s">
        <v>18487</v>
      </c>
      <c r="C18784">
        <v>9103</v>
      </c>
      <c r="D18784" t="str">
        <f>"1360-8592"</f>
        <v>1360-8592</v>
      </c>
      <c r="E18784" t="s">
        <v>8</v>
      </c>
      <c r="F18784" t="s">
        <v>18799</v>
      </c>
      <c r="G18784">
        <v>1</v>
      </c>
    </row>
    <row r="18785" spans="1:7" x14ac:dyDescent="0.25">
      <c r="A18785">
        <v>59</v>
      </c>
      <c r="B18785" t="s">
        <v>18487</v>
      </c>
      <c r="C18785">
        <v>4365</v>
      </c>
      <c r="D18785" t="str">
        <f>"0885-8195"</f>
        <v>0885-8195</v>
      </c>
      <c r="E18785" t="s">
        <v>8</v>
      </c>
      <c r="F18785" t="s">
        <v>18800</v>
      </c>
      <c r="G18785">
        <v>1</v>
      </c>
    </row>
    <row r="18786" spans="1:7" x14ac:dyDescent="0.25">
      <c r="A18786">
        <v>59</v>
      </c>
      <c r="B18786" t="s">
        <v>18487</v>
      </c>
      <c r="C18786">
        <v>14978</v>
      </c>
      <c r="D18786" t="str">
        <f>"1367-4935"</f>
        <v>1367-4935</v>
      </c>
      <c r="E18786" t="s">
        <v>8</v>
      </c>
      <c r="F18786" t="s">
        <v>18801</v>
      </c>
      <c r="G18786">
        <v>1</v>
      </c>
    </row>
    <row r="18787" spans="1:7" x14ac:dyDescent="0.25">
      <c r="A18787">
        <v>59</v>
      </c>
      <c r="B18787" t="s">
        <v>18487</v>
      </c>
      <c r="C18787">
        <v>2812</v>
      </c>
      <c r="D18787" t="str">
        <f>"1053-8712"</f>
        <v>1053-8712</v>
      </c>
      <c r="E18787" t="s">
        <v>8</v>
      </c>
      <c r="F18787" t="s">
        <v>18802</v>
      </c>
      <c r="G18787">
        <v>1</v>
      </c>
    </row>
    <row r="18788" spans="1:7" x14ac:dyDescent="0.25">
      <c r="A18788">
        <v>59</v>
      </c>
      <c r="B18788" t="s">
        <v>18487</v>
      </c>
      <c r="C18788">
        <v>11933</v>
      </c>
      <c r="D18788" t="str">
        <f>"1079-6533"</f>
        <v>1079-6533</v>
      </c>
      <c r="E18788" t="s">
        <v>8</v>
      </c>
      <c r="F18788" t="s">
        <v>18803</v>
      </c>
      <c r="G18788">
        <v>1</v>
      </c>
    </row>
    <row r="18789" spans="1:7" x14ac:dyDescent="0.25">
      <c r="A18789">
        <v>59</v>
      </c>
      <c r="B18789" t="s">
        <v>18487</v>
      </c>
      <c r="C18789">
        <v>6806</v>
      </c>
      <c r="D18789" t="str">
        <f>"0094-5145"</f>
        <v>0094-5145</v>
      </c>
      <c r="E18789" t="s">
        <v>8</v>
      </c>
      <c r="F18789" t="s">
        <v>18804</v>
      </c>
      <c r="G18789">
        <v>1</v>
      </c>
    </row>
    <row r="18790" spans="1:7" x14ac:dyDescent="0.25">
      <c r="A18790">
        <v>59</v>
      </c>
      <c r="B18790" t="s">
        <v>18487</v>
      </c>
      <c r="C18790">
        <v>4623</v>
      </c>
      <c r="D18790" t="str">
        <f>"1070-5422"</f>
        <v>1070-5422</v>
      </c>
      <c r="E18790" t="s">
        <v>8</v>
      </c>
      <c r="F18790" t="s">
        <v>18805</v>
      </c>
      <c r="G18790">
        <v>1</v>
      </c>
    </row>
    <row r="18791" spans="1:7" x14ac:dyDescent="0.25">
      <c r="A18791">
        <v>59</v>
      </c>
      <c r="B18791" t="s">
        <v>18487</v>
      </c>
      <c r="C18791">
        <v>16890</v>
      </c>
      <c r="D18791" t="str">
        <f>"0894-1912"</f>
        <v>0894-1912</v>
      </c>
      <c r="E18791" t="s">
        <v>8</v>
      </c>
      <c r="F18791" t="s">
        <v>18806</v>
      </c>
      <c r="G18791">
        <v>1</v>
      </c>
    </row>
    <row r="18792" spans="1:7" x14ac:dyDescent="0.25">
      <c r="A18792">
        <v>59</v>
      </c>
      <c r="B18792" t="s">
        <v>18487</v>
      </c>
      <c r="C18792">
        <v>9730</v>
      </c>
      <c r="D18792" t="str">
        <f>"1056-263X"</f>
        <v>1056-263X</v>
      </c>
      <c r="E18792" t="s">
        <v>8</v>
      </c>
      <c r="F18792" t="s">
        <v>18807</v>
      </c>
      <c r="G18792">
        <v>1</v>
      </c>
    </row>
    <row r="18793" spans="1:7" x14ac:dyDescent="0.25">
      <c r="A18793">
        <v>59</v>
      </c>
      <c r="B18793" t="s">
        <v>18487</v>
      </c>
      <c r="C18793">
        <v>13273</v>
      </c>
      <c r="D18793" t="str">
        <f>"0894-6566"</f>
        <v>0894-6566</v>
      </c>
      <c r="E18793" t="s">
        <v>8</v>
      </c>
      <c r="F18793" t="s">
        <v>18808</v>
      </c>
      <c r="G18793">
        <v>1</v>
      </c>
    </row>
    <row r="18794" spans="1:7" x14ac:dyDescent="0.25">
      <c r="A18794">
        <v>59</v>
      </c>
      <c r="B18794" t="s">
        <v>18487</v>
      </c>
      <c r="C18794">
        <v>5606</v>
      </c>
      <c r="D18794" t="str">
        <f>"0022-0892"</f>
        <v>0022-0892</v>
      </c>
      <c r="E18794" t="s">
        <v>8</v>
      </c>
      <c r="F18794" t="s">
        <v>18809</v>
      </c>
      <c r="G18794">
        <v>1</v>
      </c>
    </row>
    <row r="18795" spans="1:7" x14ac:dyDescent="0.25">
      <c r="A18795">
        <v>59</v>
      </c>
      <c r="B18795" t="s">
        <v>18487</v>
      </c>
      <c r="C18795">
        <v>7857</v>
      </c>
      <c r="D18795" t="str">
        <f>"0731-8898"</f>
        <v>0731-8898</v>
      </c>
      <c r="E18795" t="s">
        <v>8</v>
      </c>
      <c r="F18795" t="s">
        <v>18810</v>
      </c>
      <c r="G18795">
        <v>1</v>
      </c>
    </row>
    <row r="18796" spans="1:7" x14ac:dyDescent="0.25">
      <c r="A18796">
        <v>59</v>
      </c>
      <c r="B18796" t="s">
        <v>18487</v>
      </c>
      <c r="C18796">
        <v>4341</v>
      </c>
      <c r="D18796" t="str">
        <f>"0917-5040"</f>
        <v>0917-5040</v>
      </c>
      <c r="E18796" t="s">
        <v>8</v>
      </c>
      <c r="F18796" t="s">
        <v>18811</v>
      </c>
      <c r="G18796">
        <v>1</v>
      </c>
    </row>
    <row r="18797" spans="1:7" x14ac:dyDescent="0.25">
      <c r="A18797">
        <v>59</v>
      </c>
      <c r="B18797" t="s">
        <v>18487</v>
      </c>
      <c r="C18797">
        <v>14912</v>
      </c>
      <c r="D18797" t="str">
        <f>"1356-1294"</f>
        <v>1356-1294</v>
      </c>
      <c r="E18797" t="s">
        <v>8</v>
      </c>
      <c r="F18797" t="s">
        <v>18812</v>
      </c>
      <c r="G18797">
        <v>1</v>
      </c>
    </row>
    <row r="18798" spans="1:7" x14ac:dyDescent="0.25">
      <c r="A18798">
        <v>59</v>
      </c>
      <c r="B18798" t="s">
        <v>18487</v>
      </c>
      <c r="C18798">
        <v>16126</v>
      </c>
      <c r="D18798" t="str">
        <f>"2156-5872"</f>
        <v>2156-5872</v>
      </c>
      <c r="E18798" t="s">
        <v>8</v>
      </c>
      <c r="F18798" t="s">
        <v>18813</v>
      </c>
      <c r="G18798">
        <v>1</v>
      </c>
    </row>
    <row r="18799" spans="1:7" x14ac:dyDescent="0.25">
      <c r="A18799">
        <v>59</v>
      </c>
      <c r="B18799" t="s">
        <v>18487</v>
      </c>
      <c r="C18799">
        <v>2201</v>
      </c>
      <c r="D18799" t="str">
        <f>"1471-1893"</f>
        <v>1471-1893</v>
      </c>
      <c r="E18799" t="s">
        <v>8</v>
      </c>
      <c r="F18799" t="s">
        <v>18814</v>
      </c>
      <c r="G18799">
        <v>1</v>
      </c>
    </row>
    <row r="18800" spans="1:7" x14ac:dyDescent="0.25">
      <c r="A18800">
        <v>59</v>
      </c>
      <c r="B18800" t="s">
        <v>18487</v>
      </c>
      <c r="C18800">
        <v>1809</v>
      </c>
      <c r="D18800" t="str">
        <f>"0094-730X"</f>
        <v>0094-730X</v>
      </c>
      <c r="E18800" t="s">
        <v>8</v>
      </c>
      <c r="F18800" t="s">
        <v>18815</v>
      </c>
      <c r="G18800">
        <v>1</v>
      </c>
    </row>
    <row r="18801" spans="1:7" x14ac:dyDescent="0.25">
      <c r="A18801">
        <v>59</v>
      </c>
      <c r="B18801" t="s">
        <v>18487</v>
      </c>
      <c r="C18801">
        <v>6660</v>
      </c>
      <c r="D18801" t="str">
        <f>"1050-5350"</f>
        <v>1050-5350</v>
      </c>
      <c r="E18801" t="s">
        <v>8</v>
      </c>
      <c r="F18801" t="s">
        <v>18816</v>
      </c>
      <c r="G18801">
        <v>1</v>
      </c>
    </row>
    <row r="18802" spans="1:7" x14ac:dyDescent="0.25">
      <c r="A18802">
        <v>59</v>
      </c>
      <c r="B18802" t="s">
        <v>18487</v>
      </c>
      <c r="C18802">
        <v>4987</v>
      </c>
      <c r="D18802" t="str">
        <f>"1059-7700"</f>
        <v>1059-7700</v>
      </c>
      <c r="E18802" t="s">
        <v>8</v>
      </c>
      <c r="F18802" t="s">
        <v>18817</v>
      </c>
      <c r="G18802">
        <v>1</v>
      </c>
    </row>
    <row r="18803" spans="1:7" x14ac:dyDescent="0.25">
      <c r="A18803">
        <v>59</v>
      </c>
      <c r="B18803" t="s">
        <v>18487</v>
      </c>
      <c r="C18803">
        <v>19269</v>
      </c>
      <c r="D18803" t="str">
        <f>"1539-8412"</f>
        <v>1539-8412</v>
      </c>
      <c r="E18803" t="s">
        <v>8</v>
      </c>
      <c r="F18803" t="s">
        <v>18818</v>
      </c>
      <c r="G18803">
        <v>1</v>
      </c>
    </row>
    <row r="18804" spans="1:7" x14ac:dyDescent="0.25">
      <c r="A18804">
        <v>59</v>
      </c>
      <c r="B18804" t="s">
        <v>18487</v>
      </c>
      <c r="C18804">
        <v>1330</v>
      </c>
      <c r="D18804" t="str">
        <f>"0894-1130"</f>
        <v>0894-1130</v>
      </c>
      <c r="E18804" t="s">
        <v>8</v>
      </c>
      <c r="F18804" t="s">
        <v>18819</v>
      </c>
      <c r="G18804">
        <v>1</v>
      </c>
    </row>
    <row r="18805" spans="1:7" x14ac:dyDescent="0.25">
      <c r="A18805">
        <v>59</v>
      </c>
      <c r="B18805" t="s">
        <v>18487</v>
      </c>
      <c r="C18805">
        <v>14826</v>
      </c>
      <c r="D18805" t="str">
        <f>"1049-2089"</f>
        <v>1049-2089</v>
      </c>
      <c r="E18805" t="s">
        <v>8</v>
      </c>
      <c r="F18805" t="s">
        <v>18820</v>
      </c>
      <c r="G18805">
        <v>1</v>
      </c>
    </row>
    <row r="18806" spans="1:7" x14ac:dyDescent="0.25">
      <c r="A18806">
        <v>59</v>
      </c>
      <c r="B18806" t="s">
        <v>18487</v>
      </c>
      <c r="C18806">
        <v>26774</v>
      </c>
      <c r="D18806" t="str">
        <f>"0972-0634"</f>
        <v>0972-0634</v>
      </c>
      <c r="E18806" t="s">
        <v>8</v>
      </c>
      <c r="F18806" t="s">
        <v>18821</v>
      </c>
      <c r="G18806">
        <v>1</v>
      </c>
    </row>
    <row r="18807" spans="1:7" x14ac:dyDescent="0.25">
      <c r="A18807">
        <v>59</v>
      </c>
      <c r="B18807" t="s">
        <v>18487</v>
      </c>
      <c r="C18807">
        <v>2373</v>
      </c>
      <c r="D18807" t="str">
        <f>"0361-6878"</f>
        <v>0361-6878</v>
      </c>
      <c r="E18807" t="s">
        <v>8</v>
      </c>
      <c r="F18807" t="s">
        <v>18822</v>
      </c>
      <c r="G18807">
        <v>1</v>
      </c>
    </row>
    <row r="18808" spans="1:7" x14ac:dyDescent="0.25">
      <c r="A18808">
        <v>59</v>
      </c>
      <c r="B18808" t="s">
        <v>18487</v>
      </c>
      <c r="C18808">
        <v>2636</v>
      </c>
      <c r="D18808" t="str">
        <f>"1606-0997"</f>
        <v>1606-0997</v>
      </c>
      <c r="E18808" t="s">
        <v>8</v>
      </c>
      <c r="F18808" t="s">
        <v>18823</v>
      </c>
      <c r="G18808">
        <v>1</v>
      </c>
    </row>
    <row r="18809" spans="1:7" x14ac:dyDescent="0.25">
      <c r="A18809">
        <v>59</v>
      </c>
      <c r="B18809" t="s">
        <v>18487</v>
      </c>
      <c r="C18809">
        <v>6115</v>
      </c>
      <c r="D18809" t="str">
        <f>"1359-1053"</f>
        <v>1359-1053</v>
      </c>
      <c r="E18809" t="s">
        <v>8</v>
      </c>
      <c r="F18809" t="s">
        <v>18824</v>
      </c>
      <c r="G18809">
        <v>1</v>
      </c>
    </row>
    <row r="18810" spans="1:7" x14ac:dyDescent="0.25">
      <c r="A18810">
        <v>59</v>
      </c>
      <c r="B18810" t="s">
        <v>18487</v>
      </c>
      <c r="C18810">
        <v>12893</v>
      </c>
      <c r="D18810" t="str">
        <f>"1355-8196"</f>
        <v>1355-8196</v>
      </c>
      <c r="E18810" t="s">
        <v>8</v>
      </c>
      <c r="F18810" t="s">
        <v>18825</v>
      </c>
      <c r="G18810">
        <v>1</v>
      </c>
    </row>
    <row r="18811" spans="1:7" x14ac:dyDescent="0.25">
      <c r="A18811">
        <v>59</v>
      </c>
      <c r="B18811" t="s">
        <v>18487</v>
      </c>
      <c r="C18811">
        <v>9878</v>
      </c>
      <c r="D18811" t="str">
        <f>"1477-7266"</f>
        <v>1477-7266</v>
      </c>
      <c r="E18811" t="s">
        <v>8</v>
      </c>
      <c r="F18811" t="s">
        <v>18826</v>
      </c>
      <c r="G18811">
        <v>1</v>
      </c>
    </row>
    <row r="18812" spans="1:7" x14ac:dyDescent="0.25">
      <c r="A18812">
        <v>59</v>
      </c>
      <c r="B18812" t="s">
        <v>18487</v>
      </c>
      <c r="C18812">
        <v>11029</v>
      </c>
      <c r="D18812" t="str">
        <f>"1096-9012"</f>
        <v>1096-9012</v>
      </c>
      <c r="E18812" t="s">
        <v>8</v>
      </c>
      <c r="F18812" t="s">
        <v>18827</v>
      </c>
      <c r="G18812">
        <v>1</v>
      </c>
    </row>
    <row r="18813" spans="1:7" x14ac:dyDescent="0.25">
      <c r="A18813">
        <v>59</v>
      </c>
      <c r="B18813" t="s">
        <v>18487</v>
      </c>
      <c r="C18813">
        <v>6361</v>
      </c>
      <c r="D18813" t="str">
        <f>"0276-3893"</f>
        <v>0276-3893</v>
      </c>
      <c r="E18813" t="s">
        <v>8</v>
      </c>
      <c r="F18813" t="s">
        <v>18828</v>
      </c>
      <c r="G18813">
        <v>1</v>
      </c>
    </row>
    <row r="18814" spans="1:7" x14ac:dyDescent="0.25">
      <c r="A18814">
        <v>59</v>
      </c>
      <c r="B18814" t="s">
        <v>18487</v>
      </c>
      <c r="C18814">
        <v>13629</v>
      </c>
      <c r="D18814" t="str">
        <f>"2159-0311"</f>
        <v>2159-0311</v>
      </c>
      <c r="E18814" t="s">
        <v>8</v>
      </c>
      <c r="F18814" t="s">
        <v>18829</v>
      </c>
      <c r="G18814">
        <v>1</v>
      </c>
    </row>
    <row r="18815" spans="1:7" x14ac:dyDescent="0.25">
      <c r="A18815">
        <v>59</v>
      </c>
      <c r="B18815" t="s">
        <v>18487</v>
      </c>
      <c r="C18815">
        <v>15098</v>
      </c>
      <c r="D18815" t="str">
        <f>"1557-1912"</f>
        <v>1557-1912</v>
      </c>
      <c r="E18815" t="s">
        <v>8</v>
      </c>
      <c r="F18815" t="s">
        <v>18830</v>
      </c>
      <c r="G18815">
        <v>1</v>
      </c>
    </row>
    <row r="18816" spans="1:7" x14ac:dyDescent="0.25">
      <c r="A18816">
        <v>59</v>
      </c>
      <c r="B18816" t="s">
        <v>18487</v>
      </c>
      <c r="C18816">
        <v>25301</v>
      </c>
      <c r="D18816" t="str">
        <f>"1476-9018"</f>
        <v>1476-9018</v>
      </c>
      <c r="E18816" t="s">
        <v>8</v>
      </c>
      <c r="F18816" t="s">
        <v>18831</v>
      </c>
      <c r="G18816">
        <v>1</v>
      </c>
    </row>
    <row r="18817" spans="1:7" x14ac:dyDescent="0.25">
      <c r="A18817">
        <v>59</v>
      </c>
      <c r="B18817" t="s">
        <v>18487</v>
      </c>
      <c r="C18817">
        <v>12277</v>
      </c>
      <c r="D18817" t="str">
        <f>"0161-4754"</f>
        <v>0161-4754</v>
      </c>
      <c r="E18817" t="s">
        <v>8</v>
      </c>
      <c r="F18817" t="s">
        <v>18832</v>
      </c>
      <c r="G18817">
        <v>1</v>
      </c>
    </row>
    <row r="18818" spans="1:7" x14ac:dyDescent="0.25">
      <c r="A18818">
        <v>59</v>
      </c>
      <c r="B18818" t="s">
        <v>18487</v>
      </c>
      <c r="C18818">
        <v>27243</v>
      </c>
      <c r="D18818" t="str">
        <f>"1369-6998"</f>
        <v>1369-6998</v>
      </c>
      <c r="E18818" t="s">
        <v>8</v>
      </c>
      <c r="F18818" t="s">
        <v>18833</v>
      </c>
      <c r="G18818">
        <v>1</v>
      </c>
    </row>
    <row r="18819" spans="1:7" x14ac:dyDescent="0.25">
      <c r="A18819">
        <v>59</v>
      </c>
      <c r="B18819" t="s">
        <v>18487</v>
      </c>
      <c r="C18819">
        <v>11334</v>
      </c>
      <c r="D18819" t="str">
        <f>"1041-3545"</f>
        <v>1041-3545</v>
      </c>
      <c r="E18819" t="s">
        <v>8</v>
      </c>
      <c r="F18819" t="s">
        <v>18834</v>
      </c>
      <c r="G18819">
        <v>1</v>
      </c>
    </row>
    <row r="18820" spans="1:7" x14ac:dyDescent="0.25">
      <c r="A18820">
        <v>59</v>
      </c>
      <c r="B18820" t="s">
        <v>18487</v>
      </c>
      <c r="C18820">
        <v>6819</v>
      </c>
      <c r="D18820" t="str">
        <f>"0969-1413"</f>
        <v>0969-1413</v>
      </c>
      <c r="E18820" t="s">
        <v>8</v>
      </c>
      <c r="F18820" t="s">
        <v>18835</v>
      </c>
      <c r="G18820">
        <v>1</v>
      </c>
    </row>
    <row r="18821" spans="1:7" x14ac:dyDescent="0.25">
      <c r="A18821">
        <v>59</v>
      </c>
      <c r="B18821" t="s">
        <v>18487</v>
      </c>
      <c r="C18821">
        <v>16560</v>
      </c>
      <c r="D18821" t="str">
        <f>"0148-5598"</f>
        <v>0148-5598</v>
      </c>
      <c r="E18821" t="s">
        <v>8</v>
      </c>
      <c r="F18821" t="s">
        <v>18836</v>
      </c>
      <c r="G18821">
        <v>1</v>
      </c>
    </row>
    <row r="18822" spans="1:7" x14ac:dyDescent="0.25">
      <c r="A18822">
        <v>59</v>
      </c>
      <c r="B18822" t="s">
        <v>18487</v>
      </c>
      <c r="C18822">
        <v>13675</v>
      </c>
      <c r="D18822" t="str">
        <f>"1556-9039"</f>
        <v>1556-9039</v>
      </c>
      <c r="E18822" t="s">
        <v>8</v>
      </c>
      <c r="F18822" t="s">
        <v>18837</v>
      </c>
      <c r="G18822">
        <v>1</v>
      </c>
    </row>
    <row r="18823" spans="1:7" x14ac:dyDescent="0.25">
      <c r="A18823">
        <v>59</v>
      </c>
      <c r="B18823" t="s">
        <v>18487</v>
      </c>
      <c r="C18823">
        <v>12929</v>
      </c>
      <c r="D18823" t="str">
        <f>"0146-6615"</f>
        <v>0146-6615</v>
      </c>
      <c r="E18823" t="s">
        <v>8</v>
      </c>
      <c r="F18823" t="s">
        <v>18838</v>
      </c>
      <c r="G18823">
        <v>1</v>
      </c>
    </row>
    <row r="18824" spans="1:7" x14ac:dyDescent="0.25">
      <c r="A18824">
        <v>59</v>
      </c>
      <c r="B18824" t="s">
        <v>18487</v>
      </c>
      <c r="C18824">
        <v>13402</v>
      </c>
      <c r="D18824" t="str">
        <f>"1091-4358"</f>
        <v>1091-4358</v>
      </c>
      <c r="E18824" t="s">
        <v>8</v>
      </c>
      <c r="F18824" t="s">
        <v>18839</v>
      </c>
      <c r="G18824">
        <v>1</v>
      </c>
    </row>
    <row r="18825" spans="1:7" x14ac:dyDescent="0.25">
      <c r="A18825">
        <v>59</v>
      </c>
      <c r="B18825" t="s">
        <v>18487</v>
      </c>
      <c r="C18825">
        <v>67365</v>
      </c>
      <c r="D18825" t="str">
        <f>"1755-6228"</f>
        <v>1755-6228</v>
      </c>
      <c r="E18825" t="s">
        <v>8</v>
      </c>
      <c r="F18825" t="s">
        <v>18840</v>
      </c>
      <c r="G18825">
        <v>1</v>
      </c>
    </row>
    <row r="18826" spans="1:7" x14ac:dyDescent="0.25">
      <c r="A18826">
        <v>59</v>
      </c>
      <c r="B18826" t="s">
        <v>18487</v>
      </c>
      <c r="C18826">
        <v>11548</v>
      </c>
      <c r="D18826" t="str">
        <f>"1545-9624"</f>
        <v>1545-9624</v>
      </c>
      <c r="E18826" t="s">
        <v>8</v>
      </c>
      <c r="F18826" t="s">
        <v>18841</v>
      </c>
      <c r="G18826">
        <v>1</v>
      </c>
    </row>
    <row r="18827" spans="1:7" x14ac:dyDescent="0.25">
      <c r="A18827">
        <v>59</v>
      </c>
      <c r="B18827" t="s">
        <v>18487</v>
      </c>
      <c r="C18827">
        <v>2693</v>
      </c>
      <c r="D18827" t="str">
        <f>"1341-9145"</f>
        <v>1341-9145</v>
      </c>
      <c r="E18827" t="s">
        <v>8</v>
      </c>
      <c r="F18827" t="s">
        <v>18842</v>
      </c>
      <c r="G18827">
        <v>1</v>
      </c>
    </row>
    <row r="18828" spans="1:7" x14ac:dyDescent="0.25">
      <c r="A18828">
        <v>59</v>
      </c>
      <c r="B18828" t="s">
        <v>18487</v>
      </c>
      <c r="C18828">
        <v>15359</v>
      </c>
      <c r="D18828" t="str">
        <f>"1053-0487"</f>
        <v>1053-0487</v>
      </c>
      <c r="E18828" t="s">
        <v>8</v>
      </c>
      <c r="F18828" t="s">
        <v>18843</v>
      </c>
      <c r="G18828">
        <v>1</v>
      </c>
    </row>
    <row r="18829" spans="1:7" x14ac:dyDescent="0.25">
      <c r="A18829">
        <v>59</v>
      </c>
      <c r="B18829" t="s">
        <v>18487</v>
      </c>
      <c r="C18829">
        <v>11551</v>
      </c>
      <c r="D18829" t="str">
        <f>"0885-3924"</f>
        <v>0885-3924</v>
      </c>
      <c r="E18829" t="s">
        <v>8</v>
      </c>
      <c r="F18829" t="s">
        <v>18844</v>
      </c>
      <c r="G18829">
        <v>1</v>
      </c>
    </row>
    <row r="18830" spans="1:7" x14ac:dyDescent="0.25">
      <c r="A18830">
        <v>59</v>
      </c>
      <c r="B18830" t="s">
        <v>18487</v>
      </c>
      <c r="C18830">
        <v>2209</v>
      </c>
      <c r="D18830" t="str">
        <f>"0825-8597"</f>
        <v>0825-8597</v>
      </c>
      <c r="E18830" t="s">
        <v>8</v>
      </c>
      <c r="F18830" t="s">
        <v>18845</v>
      </c>
      <c r="G18830">
        <v>1</v>
      </c>
    </row>
    <row r="18831" spans="1:7" x14ac:dyDescent="0.25">
      <c r="A18831">
        <v>59</v>
      </c>
      <c r="B18831" t="s">
        <v>18487</v>
      </c>
      <c r="C18831">
        <v>8648</v>
      </c>
      <c r="D18831" t="str">
        <f>"1096-6218"</f>
        <v>1096-6218</v>
      </c>
      <c r="E18831" t="s">
        <v>8</v>
      </c>
      <c r="F18831" t="s">
        <v>18846</v>
      </c>
      <c r="G18831">
        <v>1</v>
      </c>
    </row>
    <row r="18832" spans="1:7" x14ac:dyDescent="0.25">
      <c r="A18832">
        <v>59</v>
      </c>
      <c r="B18832" t="s">
        <v>18487</v>
      </c>
      <c r="C18832">
        <v>119</v>
      </c>
      <c r="D18832" t="str">
        <f>"0022-3859"</f>
        <v>0022-3859</v>
      </c>
      <c r="E18832" t="s">
        <v>8</v>
      </c>
      <c r="F18832" t="s">
        <v>18847</v>
      </c>
      <c r="G18832">
        <v>1</v>
      </c>
    </row>
    <row r="18833" spans="1:7" x14ac:dyDescent="0.25">
      <c r="A18833">
        <v>59</v>
      </c>
      <c r="B18833" t="s">
        <v>18487</v>
      </c>
      <c r="C18833">
        <v>3057</v>
      </c>
      <c r="D18833" t="str">
        <f>"1085-2352"</f>
        <v>1085-2352</v>
      </c>
      <c r="E18833" t="s">
        <v>8</v>
      </c>
      <c r="F18833" t="s">
        <v>18848</v>
      </c>
      <c r="G18833">
        <v>1</v>
      </c>
    </row>
    <row r="18834" spans="1:7" x14ac:dyDescent="0.25">
      <c r="A18834">
        <v>59</v>
      </c>
      <c r="B18834" t="s">
        <v>18487</v>
      </c>
      <c r="C18834">
        <v>401</v>
      </c>
      <c r="D18834" t="str">
        <f>"1040-8800"</f>
        <v>1040-8800</v>
      </c>
      <c r="E18834" t="s">
        <v>8</v>
      </c>
      <c r="F18834" t="s">
        <v>18849</v>
      </c>
      <c r="G18834">
        <v>1</v>
      </c>
    </row>
    <row r="18835" spans="1:7" x14ac:dyDescent="0.25">
      <c r="A18835">
        <v>59</v>
      </c>
      <c r="B18835" t="s">
        <v>18487</v>
      </c>
      <c r="C18835">
        <v>2918</v>
      </c>
      <c r="D18835" t="str">
        <f>"0279-1072"</f>
        <v>0279-1072</v>
      </c>
      <c r="E18835" t="s">
        <v>8</v>
      </c>
      <c r="F18835" t="s">
        <v>18850</v>
      </c>
      <c r="G18835">
        <v>1</v>
      </c>
    </row>
    <row r="18836" spans="1:7" x14ac:dyDescent="0.25">
      <c r="A18836">
        <v>59</v>
      </c>
      <c r="B18836" t="s">
        <v>18487</v>
      </c>
      <c r="C18836">
        <v>2021</v>
      </c>
      <c r="D18836" t="str">
        <f>"0022-3999"</f>
        <v>0022-3999</v>
      </c>
      <c r="E18836" t="s">
        <v>8</v>
      </c>
      <c r="F18836" t="s">
        <v>18851</v>
      </c>
      <c r="G18836">
        <v>1</v>
      </c>
    </row>
    <row r="18837" spans="1:7" x14ac:dyDescent="0.25">
      <c r="A18837">
        <v>59</v>
      </c>
      <c r="B18837" t="s">
        <v>18487</v>
      </c>
      <c r="C18837">
        <v>7402</v>
      </c>
      <c r="D18837" t="str">
        <f>"1741-3842"</f>
        <v>1741-3842</v>
      </c>
      <c r="E18837" t="s">
        <v>8</v>
      </c>
      <c r="F18837" t="s">
        <v>18852</v>
      </c>
      <c r="G18837">
        <v>1</v>
      </c>
    </row>
    <row r="18838" spans="1:7" x14ac:dyDescent="0.25">
      <c r="A18838">
        <v>59</v>
      </c>
      <c r="B18838" t="s">
        <v>18487</v>
      </c>
      <c r="C18838">
        <v>5163</v>
      </c>
      <c r="D18838" t="str">
        <f>"1078-4659"</f>
        <v>1078-4659</v>
      </c>
      <c r="E18838" t="s">
        <v>8</v>
      </c>
      <c r="F18838" t="s">
        <v>18853</v>
      </c>
      <c r="G18838">
        <v>1</v>
      </c>
    </row>
    <row r="18839" spans="1:7" x14ac:dyDescent="0.25">
      <c r="A18839">
        <v>59</v>
      </c>
      <c r="B18839" t="s">
        <v>18487</v>
      </c>
      <c r="C18839">
        <v>8451</v>
      </c>
      <c r="D18839" t="str">
        <f>"0197-5897"</f>
        <v>0197-5897</v>
      </c>
      <c r="E18839" t="s">
        <v>8</v>
      </c>
      <c r="F18839" t="s">
        <v>18854</v>
      </c>
      <c r="G18839">
        <v>1</v>
      </c>
    </row>
    <row r="18840" spans="1:7" x14ac:dyDescent="0.25">
      <c r="A18840">
        <v>59</v>
      </c>
      <c r="B18840" t="s">
        <v>18487</v>
      </c>
      <c r="C18840">
        <v>16820</v>
      </c>
      <c r="D18840" t="str">
        <f>"2198-1833"</f>
        <v>2198-1833</v>
      </c>
      <c r="E18840" t="s">
        <v>8</v>
      </c>
      <c r="F18840" t="s">
        <v>18855</v>
      </c>
      <c r="G18840">
        <v>1</v>
      </c>
    </row>
    <row r="18841" spans="1:7" x14ac:dyDescent="0.25">
      <c r="A18841">
        <v>59</v>
      </c>
      <c r="B18841" t="s">
        <v>18487</v>
      </c>
      <c r="C18841">
        <v>13841</v>
      </c>
      <c r="D18841" t="str">
        <f>"0952-4746"</f>
        <v>0952-4746</v>
      </c>
      <c r="E18841" t="s">
        <v>8</v>
      </c>
      <c r="F18841" t="s">
        <v>18856</v>
      </c>
      <c r="G18841">
        <v>1</v>
      </c>
    </row>
    <row r="18842" spans="1:7" x14ac:dyDescent="0.25">
      <c r="A18842">
        <v>59</v>
      </c>
      <c r="B18842" t="s">
        <v>18487</v>
      </c>
      <c r="C18842">
        <v>10764</v>
      </c>
      <c r="D18842" t="str">
        <f>"0022-4154"</f>
        <v>0022-4154</v>
      </c>
      <c r="E18842" t="s">
        <v>8</v>
      </c>
      <c r="F18842" t="s">
        <v>18857</v>
      </c>
      <c r="G18842">
        <v>1</v>
      </c>
    </row>
    <row r="18843" spans="1:7" x14ac:dyDescent="0.25">
      <c r="A18843">
        <v>59</v>
      </c>
      <c r="B18843" t="s">
        <v>18487</v>
      </c>
      <c r="C18843">
        <v>8194</v>
      </c>
      <c r="D18843" t="str">
        <f>"0748-7711"</f>
        <v>0748-7711</v>
      </c>
      <c r="E18843" t="s">
        <v>8</v>
      </c>
      <c r="F18843" t="s">
        <v>18858</v>
      </c>
      <c r="G18843">
        <v>1</v>
      </c>
    </row>
    <row r="18844" spans="1:7" x14ac:dyDescent="0.25">
      <c r="A18844">
        <v>59</v>
      </c>
      <c r="B18844" t="s">
        <v>18487</v>
      </c>
      <c r="C18844">
        <v>8352</v>
      </c>
      <c r="D18844" t="str">
        <f>"0022-4197"</f>
        <v>0022-4197</v>
      </c>
      <c r="E18844" t="s">
        <v>8</v>
      </c>
      <c r="F18844" t="s">
        <v>18859</v>
      </c>
      <c r="G18844">
        <v>1</v>
      </c>
    </row>
    <row r="18845" spans="1:7" x14ac:dyDescent="0.25">
      <c r="A18845">
        <v>59</v>
      </c>
      <c r="B18845" t="s">
        <v>18487</v>
      </c>
      <c r="C18845">
        <v>2273</v>
      </c>
      <c r="D18845" t="str">
        <f>"0165-0378"</f>
        <v>0165-0378</v>
      </c>
      <c r="E18845" t="s">
        <v>8</v>
      </c>
      <c r="F18845" t="s">
        <v>18860</v>
      </c>
      <c r="G18845">
        <v>1</v>
      </c>
    </row>
    <row r="18846" spans="1:7" x14ac:dyDescent="0.25">
      <c r="A18846">
        <v>59</v>
      </c>
      <c r="B18846" t="s">
        <v>18487</v>
      </c>
      <c r="C18846">
        <v>378</v>
      </c>
      <c r="D18846" t="str">
        <f>"0740-5472"</f>
        <v>0740-5472</v>
      </c>
      <c r="E18846" t="s">
        <v>8</v>
      </c>
      <c r="F18846" t="s">
        <v>18861</v>
      </c>
      <c r="G18846">
        <v>1</v>
      </c>
    </row>
    <row r="18847" spans="1:7" x14ac:dyDescent="0.25">
      <c r="A18847">
        <v>59</v>
      </c>
      <c r="B18847" t="s">
        <v>18487</v>
      </c>
      <c r="C18847">
        <v>14588</v>
      </c>
      <c r="D18847" t="str">
        <f>"1465-9891"</f>
        <v>1465-9891</v>
      </c>
      <c r="E18847" t="s">
        <v>8</v>
      </c>
      <c r="F18847" t="s">
        <v>18862</v>
      </c>
      <c r="G18847">
        <v>1</v>
      </c>
    </row>
    <row r="18848" spans="1:7" x14ac:dyDescent="0.25">
      <c r="A18848">
        <v>59</v>
      </c>
      <c r="B18848" t="s">
        <v>18487</v>
      </c>
      <c r="C18848">
        <v>504</v>
      </c>
      <c r="D18848" t="str">
        <f>"1357-633X"</f>
        <v>1357-633X</v>
      </c>
      <c r="E18848" t="s">
        <v>8</v>
      </c>
      <c r="F18848" t="s">
        <v>18863</v>
      </c>
      <c r="G18848">
        <v>1</v>
      </c>
    </row>
    <row r="18849" spans="1:7" x14ac:dyDescent="0.25">
      <c r="A18849">
        <v>59</v>
      </c>
      <c r="B18849" t="s">
        <v>18487</v>
      </c>
      <c r="C18849">
        <v>17636</v>
      </c>
      <c r="D18849" t="str">
        <f>"1557-2625"</f>
        <v>1557-2625</v>
      </c>
      <c r="E18849" t="s">
        <v>8</v>
      </c>
      <c r="F18849" t="s">
        <v>18864</v>
      </c>
      <c r="G18849">
        <v>1</v>
      </c>
    </row>
    <row r="18850" spans="1:7" x14ac:dyDescent="0.25">
      <c r="A18850">
        <v>59</v>
      </c>
      <c r="B18850" t="s">
        <v>18487</v>
      </c>
      <c r="C18850">
        <v>4823</v>
      </c>
      <c r="D18850" t="str">
        <f>"1525-8610"</f>
        <v>1525-8610</v>
      </c>
      <c r="E18850" t="s">
        <v>8</v>
      </c>
      <c r="F18850" t="s">
        <v>18865</v>
      </c>
      <c r="G18850">
        <v>1</v>
      </c>
    </row>
    <row r="18851" spans="1:7" x14ac:dyDescent="0.25">
      <c r="A18851">
        <v>59</v>
      </c>
      <c r="B18851" t="s">
        <v>18487</v>
      </c>
      <c r="C18851">
        <v>16320</v>
      </c>
      <c r="E18851" t="s">
        <v>8</v>
      </c>
      <c r="F18851" t="s">
        <v>18866</v>
      </c>
      <c r="G18851">
        <v>1</v>
      </c>
    </row>
    <row r="18852" spans="1:7" x14ac:dyDescent="0.25">
      <c r="A18852">
        <v>59</v>
      </c>
      <c r="B18852" t="s">
        <v>18487</v>
      </c>
      <c r="C18852">
        <v>5143</v>
      </c>
      <c r="D18852" t="str">
        <f>"1195-1982"</f>
        <v>1195-1982</v>
      </c>
      <c r="E18852" t="s">
        <v>8</v>
      </c>
      <c r="F18852" t="s">
        <v>18867</v>
      </c>
      <c r="G18852">
        <v>1</v>
      </c>
    </row>
    <row r="18853" spans="1:7" x14ac:dyDescent="0.25">
      <c r="A18853">
        <v>59</v>
      </c>
      <c r="B18853" t="s">
        <v>18487</v>
      </c>
      <c r="C18853">
        <v>6172733</v>
      </c>
      <c r="D18853" t="str">
        <f>"1687-9686"</f>
        <v>1687-9686</v>
      </c>
      <c r="E18853" t="s">
        <v>8</v>
      </c>
      <c r="F18853" t="s">
        <v>18868</v>
      </c>
      <c r="G18853">
        <v>1</v>
      </c>
    </row>
    <row r="18854" spans="1:7" x14ac:dyDescent="0.25">
      <c r="A18854">
        <v>59</v>
      </c>
      <c r="B18854" t="s">
        <v>18487</v>
      </c>
      <c r="C18854">
        <v>22</v>
      </c>
      <c r="D18854" t="str">
        <f>"1099-3460"</f>
        <v>1099-3460</v>
      </c>
      <c r="E18854" t="s">
        <v>8</v>
      </c>
      <c r="F18854" t="s">
        <v>18869</v>
      </c>
      <c r="G18854">
        <v>1</v>
      </c>
    </row>
    <row r="18855" spans="1:7" x14ac:dyDescent="0.25">
      <c r="A18855">
        <v>59</v>
      </c>
      <c r="B18855" t="s">
        <v>18487</v>
      </c>
      <c r="C18855">
        <v>20430</v>
      </c>
      <c r="D18855" t="str">
        <f>"0972-9062"</f>
        <v>0972-9062</v>
      </c>
      <c r="E18855" t="s">
        <v>8</v>
      </c>
      <c r="F18855" t="s">
        <v>18870</v>
      </c>
      <c r="G18855">
        <v>1</v>
      </c>
    </row>
    <row r="18856" spans="1:7" x14ac:dyDescent="0.25">
      <c r="A18856">
        <v>59</v>
      </c>
      <c r="B18856" t="s">
        <v>18487</v>
      </c>
      <c r="C18856">
        <v>470</v>
      </c>
      <c r="D18856" t="str">
        <f>"1052-2263"</f>
        <v>1052-2263</v>
      </c>
      <c r="E18856" t="s">
        <v>8</v>
      </c>
      <c r="F18856" t="s">
        <v>18871</v>
      </c>
      <c r="G18856">
        <v>1</v>
      </c>
    </row>
    <row r="18857" spans="1:7" x14ac:dyDescent="0.25">
      <c r="A18857">
        <v>59</v>
      </c>
      <c r="B18857" t="s">
        <v>18487</v>
      </c>
      <c r="C18857">
        <v>11075</v>
      </c>
      <c r="D18857" t="str">
        <f>"1477-8920"</f>
        <v>1477-8920</v>
      </c>
      <c r="E18857" t="s">
        <v>8</v>
      </c>
      <c r="F18857" t="s">
        <v>18872</v>
      </c>
      <c r="G18857">
        <v>1</v>
      </c>
    </row>
    <row r="18858" spans="1:7" x14ac:dyDescent="0.25">
      <c r="A18858">
        <v>59</v>
      </c>
      <c r="B18858" t="s">
        <v>18487</v>
      </c>
      <c r="C18858">
        <v>2217</v>
      </c>
      <c r="D18858" t="str">
        <f>"0895-2841"</f>
        <v>0895-2841</v>
      </c>
      <c r="E18858" t="s">
        <v>8</v>
      </c>
      <c r="F18858" t="s">
        <v>18873</v>
      </c>
      <c r="G18858">
        <v>1</v>
      </c>
    </row>
    <row r="18859" spans="1:7" x14ac:dyDescent="0.25">
      <c r="A18859">
        <v>59</v>
      </c>
      <c r="B18859" t="s">
        <v>18487</v>
      </c>
      <c r="C18859">
        <v>13886</v>
      </c>
      <c r="D18859" t="str">
        <f>"1540-9996"</f>
        <v>1540-9996</v>
      </c>
      <c r="E18859" t="s">
        <v>8</v>
      </c>
      <c r="F18859" t="s">
        <v>18874</v>
      </c>
      <c r="G18859">
        <v>1</v>
      </c>
    </row>
    <row r="18860" spans="1:7" x14ac:dyDescent="0.25">
      <c r="A18860">
        <v>59</v>
      </c>
      <c r="B18860" t="s">
        <v>18487</v>
      </c>
      <c r="C18860">
        <v>14222</v>
      </c>
      <c r="D18860" t="str">
        <f>"1079-5014"</f>
        <v>1079-5014</v>
      </c>
      <c r="E18860" t="s">
        <v>8</v>
      </c>
      <c r="F18860" t="s">
        <v>18875</v>
      </c>
      <c r="G18860">
        <v>1</v>
      </c>
    </row>
    <row r="18861" spans="1:7" x14ac:dyDescent="0.25">
      <c r="A18861">
        <v>59</v>
      </c>
      <c r="B18861" t="s">
        <v>18487</v>
      </c>
      <c r="C18861">
        <v>18241</v>
      </c>
      <c r="D18861" t="str">
        <f>"0025-7818"</f>
        <v>0025-7818</v>
      </c>
      <c r="E18861" t="s">
        <v>8</v>
      </c>
      <c r="F18861" t="s">
        <v>18876</v>
      </c>
      <c r="G18861">
        <v>1</v>
      </c>
    </row>
    <row r="18862" spans="1:7" x14ac:dyDescent="0.25">
      <c r="A18862">
        <v>59</v>
      </c>
      <c r="B18862" t="s">
        <v>18487</v>
      </c>
      <c r="C18862">
        <v>13960</v>
      </c>
      <c r="D18862" t="str">
        <f>"0035-2640"</f>
        <v>0035-2640</v>
      </c>
      <c r="E18862" t="s">
        <v>15</v>
      </c>
      <c r="F18862" t="s">
        <v>18877</v>
      </c>
      <c r="G18862">
        <v>1</v>
      </c>
    </row>
    <row r="18863" spans="1:7" x14ac:dyDescent="0.25">
      <c r="A18863">
        <v>59</v>
      </c>
      <c r="B18863" t="s">
        <v>18487</v>
      </c>
      <c r="C18863">
        <v>24812</v>
      </c>
      <c r="D18863" t="str">
        <f>"1751-1879"</f>
        <v>1751-1879</v>
      </c>
      <c r="E18863" t="s">
        <v>8</v>
      </c>
      <c r="F18863" t="s">
        <v>18878</v>
      </c>
      <c r="G18863">
        <v>1</v>
      </c>
    </row>
    <row r="18864" spans="1:7" x14ac:dyDescent="0.25">
      <c r="A18864">
        <v>59</v>
      </c>
      <c r="B18864" t="s">
        <v>18487</v>
      </c>
      <c r="C18864">
        <v>8215</v>
      </c>
      <c r="E18864" t="s">
        <v>8</v>
      </c>
      <c r="F18864" t="s">
        <v>18879</v>
      </c>
      <c r="G18864">
        <v>1</v>
      </c>
    </row>
    <row r="18865" spans="1:7" x14ac:dyDescent="0.25">
      <c r="A18865">
        <v>59</v>
      </c>
      <c r="B18865" t="s">
        <v>18487</v>
      </c>
      <c r="C18865">
        <v>16404</v>
      </c>
      <c r="D18865" t="str">
        <f>"0025-2514"</f>
        <v>0025-2514</v>
      </c>
      <c r="E18865" t="s">
        <v>8</v>
      </c>
      <c r="F18865" t="s">
        <v>18880</v>
      </c>
      <c r="G18865">
        <v>1</v>
      </c>
    </row>
    <row r="18866" spans="1:7" x14ac:dyDescent="0.25">
      <c r="A18866">
        <v>59</v>
      </c>
      <c r="B18866" t="s">
        <v>18487</v>
      </c>
      <c r="C18866">
        <v>15850</v>
      </c>
      <c r="D18866" t="str">
        <f>"1092-7875"</f>
        <v>1092-7875</v>
      </c>
      <c r="E18866" t="s">
        <v>8</v>
      </c>
      <c r="F18866" t="s">
        <v>18881</v>
      </c>
      <c r="G18866">
        <v>1</v>
      </c>
    </row>
    <row r="18867" spans="1:7" x14ac:dyDescent="0.25">
      <c r="A18867">
        <v>59</v>
      </c>
      <c r="B18867" t="s">
        <v>18487</v>
      </c>
      <c r="C18867">
        <v>13909</v>
      </c>
      <c r="D18867" t="str">
        <f>"0378-5122"</f>
        <v>0378-5122</v>
      </c>
      <c r="E18867" t="s">
        <v>8</v>
      </c>
      <c r="F18867" t="s">
        <v>18882</v>
      </c>
      <c r="G18867">
        <v>1</v>
      </c>
    </row>
    <row r="18868" spans="1:7" x14ac:dyDescent="0.25">
      <c r="A18868">
        <v>59</v>
      </c>
      <c r="B18868" t="s">
        <v>18487</v>
      </c>
      <c r="C18868">
        <v>7961</v>
      </c>
      <c r="D18868" t="str">
        <f>"1246-7391"</f>
        <v>1246-7391</v>
      </c>
      <c r="E18868" t="s">
        <v>8</v>
      </c>
      <c r="F18868" t="s">
        <v>18883</v>
      </c>
      <c r="G18868">
        <v>1</v>
      </c>
    </row>
    <row r="18869" spans="1:7" x14ac:dyDescent="0.25">
      <c r="A18869">
        <v>59</v>
      </c>
      <c r="B18869" t="s">
        <v>18487</v>
      </c>
      <c r="C18869">
        <v>8361</v>
      </c>
      <c r="D18869" t="str">
        <f>"1077-5587"</f>
        <v>1077-5587</v>
      </c>
      <c r="E18869" t="s">
        <v>8</v>
      </c>
      <c r="F18869" t="s">
        <v>18884</v>
      </c>
      <c r="G18869">
        <v>1</v>
      </c>
    </row>
    <row r="18870" spans="1:7" x14ac:dyDescent="0.25">
      <c r="A18870">
        <v>59</v>
      </c>
      <c r="B18870" t="s">
        <v>18487</v>
      </c>
      <c r="C18870">
        <v>7731</v>
      </c>
      <c r="E18870" t="s">
        <v>8</v>
      </c>
      <c r="F18870" t="s">
        <v>18885</v>
      </c>
      <c r="G18870">
        <v>1</v>
      </c>
    </row>
    <row r="18871" spans="1:7" x14ac:dyDescent="0.25">
      <c r="A18871">
        <v>59</v>
      </c>
      <c r="B18871" t="s">
        <v>18487</v>
      </c>
      <c r="C18871">
        <v>6507</v>
      </c>
      <c r="D18871" t="str">
        <f>"0025-7273"</f>
        <v>0025-7273</v>
      </c>
      <c r="E18871" t="s">
        <v>8</v>
      </c>
      <c r="F18871" t="s">
        <v>18886</v>
      </c>
      <c r="G18871">
        <v>1</v>
      </c>
    </row>
    <row r="18872" spans="1:7" x14ac:dyDescent="0.25">
      <c r="A18872">
        <v>59</v>
      </c>
      <c r="B18872" t="s">
        <v>18487</v>
      </c>
      <c r="C18872">
        <v>8677</v>
      </c>
      <c r="D18872" t="str">
        <f>"0306-9877"</f>
        <v>0306-9877</v>
      </c>
      <c r="E18872" t="s">
        <v>8</v>
      </c>
      <c r="F18872" t="s">
        <v>18887</v>
      </c>
      <c r="G18872">
        <v>1</v>
      </c>
    </row>
    <row r="18873" spans="1:7" x14ac:dyDescent="0.25">
      <c r="A18873">
        <v>59</v>
      </c>
      <c r="B18873" t="s">
        <v>18487</v>
      </c>
      <c r="C18873">
        <v>10032</v>
      </c>
      <c r="D18873" t="str">
        <f>"0885-1158"</f>
        <v>0885-1158</v>
      </c>
      <c r="E18873" t="s">
        <v>8</v>
      </c>
      <c r="F18873" t="s">
        <v>18888</v>
      </c>
      <c r="G18873">
        <v>1</v>
      </c>
    </row>
    <row r="18874" spans="1:7" x14ac:dyDescent="0.25">
      <c r="A18874">
        <v>59</v>
      </c>
      <c r="B18874" t="s">
        <v>18487</v>
      </c>
      <c r="C18874">
        <v>8067</v>
      </c>
      <c r="D18874" t="str">
        <f>"1362-3699"</f>
        <v>1362-3699</v>
      </c>
      <c r="E18874" t="s">
        <v>8</v>
      </c>
      <c r="F18874" t="s">
        <v>18889</v>
      </c>
      <c r="G18874">
        <v>1</v>
      </c>
    </row>
    <row r="18875" spans="1:7" x14ac:dyDescent="0.25">
      <c r="A18875">
        <v>59</v>
      </c>
      <c r="B18875" t="s">
        <v>18487</v>
      </c>
      <c r="C18875">
        <v>1883</v>
      </c>
      <c r="D18875" t="str">
        <f>"1386-7423"</f>
        <v>1386-7423</v>
      </c>
      <c r="E18875" t="s">
        <v>8</v>
      </c>
      <c r="F18875" t="s">
        <v>18890</v>
      </c>
      <c r="G18875">
        <v>1</v>
      </c>
    </row>
    <row r="18876" spans="1:7" x14ac:dyDescent="0.25">
      <c r="A18876">
        <v>59</v>
      </c>
      <c r="B18876" t="s">
        <v>18487</v>
      </c>
      <c r="C18876">
        <v>3477</v>
      </c>
      <c r="D18876" t="str">
        <f>"1754-0453"</f>
        <v>1754-0453</v>
      </c>
      <c r="E18876" t="s">
        <v>8</v>
      </c>
      <c r="F18876" t="s">
        <v>18891</v>
      </c>
      <c r="G18876">
        <v>1</v>
      </c>
    </row>
    <row r="18877" spans="1:7" x14ac:dyDescent="0.25">
      <c r="A18877">
        <v>59</v>
      </c>
      <c r="B18877" t="s">
        <v>18487</v>
      </c>
      <c r="C18877">
        <v>27785</v>
      </c>
      <c r="D18877" t="str">
        <f>"1755-2966"</f>
        <v>1755-2966</v>
      </c>
      <c r="E18877" t="s">
        <v>8</v>
      </c>
      <c r="F18877" t="s">
        <v>18892</v>
      </c>
      <c r="G18877">
        <v>1</v>
      </c>
    </row>
    <row r="18878" spans="1:7" x14ac:dyDescent="0.25">
      <c r="A18878">
        <v>59</v>
      </c>
      <c r="B18878" t="s">
        <v>18487</v>
      </c>
      <c r="C18878">
        <v>6569</v>
      </c>
      <c r="D18878" t="str">
        <f>"0026-4075"</f>
        <v>0026-4075</v>
      </c>
      <c r="E18878" t="s">
        <v>8</v>
      </c>
      <c r="F18878" t="s">
        <v>18893</v>
      </c>
      <c r="G18878">
        <v>1</v>
      </c>
    </row>
    <row r="18879" spans="1:7" x14ac:dyDescent="0.25">
      <c r="A18879">
        <v>59</v>
      </c>
      <c r="B18879" t="s">
        <v>18487</v>
      </c>
      <c r="C18879">
        <v>3077</v>
      </c>
      <c r="D18879" t="str">
        <f>"1360-9947"</f>
        <v>1360-9947</v>
      </c>
      <c r="E18879" t="s">
        <v>8</v>
      </c>
      <c r="F18879" t="s">
        <v>18894</v>
      </c>
      <c r="G18879">
        <v>1</v>
      </c>
    </row>
    <row r="18880" spans="1:7" x14ac:dyDescent="0.25">
      <c r="A18880">
        <v>59</v>
      </c>
      <c r="B18880" t="s">
        <v>18487</v>
      </c>
      <c r="C18880">
        <v>6768</v>
      </c>
      <c r="D18880" t="str">
        <f>"1321-2753"</f>
        <v>1321-2753</v>
      </c>
      <c r="E18880" t="s">
        <v>8</v>
      </c>
      <c r="F18880" t="s">
        <v>18895</v>
      </c>
      <c r="G18880">
        <v>1</v>
      </c>
    </row>
    <row r="18881" spans="1:7" x14ac:dyDescent="0.25">
      <c r="A18881">
        <v>59</v>
      </c>
      <c r="B18881" t="s">
        <v>18487</v>
      </c>
      <c r="C18881">
        <v>5137</v>
      </c>
      <c r="D18881" t="str">
        <f>"1357-6275"</f>
        <v>1357-6275</v>
      </c>
      <c r="E18881" t="s">
        <v>8</v>
      </c>
      <c r="F18881" t="s">
        <v>18896</v>
      </c>
      <c r="G18881">
        <v>1</v>
      </c>
    </row>
    <row r="18882" spans="1:7" x14ac:dyDescent="0.25">
      <c r="A18882">
        <v>59</v>
      </c>
      <c r="B18882" t="s">
        <v>18487</v>
      </c>
      <c r="C18882">
        <v>6786</v>
      </c>
      <c r="D18882" t="str">
        <f>"0245-5919"</f>
        <v>0245-5919</v>
      </c>
      <c r="E18882" t="s">
        <v>8</v>
      </c>
      <c r="F18882" t="s">
        <v>18897</v>
      </c>
      <c r="G18882">
        <v>1</v>
      </c>
    </row>
    <row r="18883" spans="1:7" x14ac:dyDescent="0.25">
      <c r="A18883">
        <v>59</v>
      </c>
      <c r="B18883" t="s">
        <v>18487</v>
      </c>
      <c r="C18883">
        <v>8781998</v>
      </c>
      <c r="D18883" t="str">
        <f>"2468-7812"</f>
        <v>2468-7812</v>
      </c>
      <c r="E18883" t="s">
        <v>8</v>
      </c>
      <c r="F18883" t="s">
        <v>18898</v>
      </c>
      <c r="G18883">
        <v>1</v>
      </c>
    </row>
    <row r="18884" spans="1:7" x14ac:dyDescent="0.25">
      <c r="A18884">
        <v>59</v>
      </c>
      <c r="B18884" t="s">
        <v>18487</v>
      </c>
      <c r="C18884">
        <v>16393</v>
      </c>
      <c r="D18884" t="str">
        <f>"0161-813X"</f>
        <v>0161-813X</v>
      </c>
      <c r="E18884" t="s">
        <v>8</v>
      </c>
      <c r="F18884" t="s">
        <v>18899</v>
      </c>
      <c r="G18884">
        <v>1</v>
      </c>
    </row>
    <row r="18885" spans="1:7" x14ac:dyDescent="0.25">
      <c r="A18885">
        <v>59</v>
      </c>
      <c r="B18885" t="s">
        <v>18487</v>
      </c>
      <c r="C18885">
        <v>6374</v>
      </c>
      <c r="D18885" t="str">
        <f>"1048-2911"</f>
        <v>1048-2911</v>
      </c>
      <c r="E18885" t="s">
        <v>8</v>
      </c>
      <c r="F18885" t="s">
        <v>18900</v>
      </c>
      <c r="G18885">
        <v>1</v>
      </c>
    </row>
    <row r="18886" spans="1:7" x14ac:dyDescent="0.25">
      <c r="A18886">
        <v>59</v>
      </c>
      <c r="B18886" t="s">
        <v>18487</v>
      </c>
      <c r="C18886">
        <v>9084</v>
      </c>
      <c r="D18886" t="str">
        <f>"1462-2203"</f>
        <v>1462-2203</v>
      </c>
      <c r="E18886" t="s">
        <v>8</v>
      </c>
      <c r="F18886" t="s">
        <v>18901</v>
      </c>
      <c r="G18886">
        <v>1</v>
      </c>
    </row>
    <row r="18887" spans="1:7" x14ac:dyDescent="0.25">
      <c r="A18887">
        <v>59</v>
      </c>
      <c r="B18887" t="s">
        <v>18487</v>
      </c>
      <c r="C18887">
        <v>5159</v>
      </c>
      <c r="D18887" t="str">
        <f>"1463-1741"</f>
        <v>1463-1741</v>
      </c>
      <c r="E18887" t="s">
        <v>8</v>
      </c>
      <c r="F18887" t="s">
        <v>18902</v>
      </c>
      <c r="G18887">
        <v>1</v>
      </c>
    </row>
    <row r="18888" spans="1:7" x14ac:dyDescent="0.25">
      <c r="A18888">
        <v>59</v>
      </c>
      <c r="B18888" t="s">
        <v>18487</v>
      </c>
      <c r="C18888">
        <v>2912</v>
      </c>
      <c r="D18888" t="str">
        <f>"1504-3614"</f>
        <v>1504-3614</v>
      </c>
      <c r="E18888" t="s">
        <v>8</v>
      </c>
      <c r="F18888" t="s">
        <v>18903</v>
      </c>
      <c r="G18888">
        <v>1</v>
      </c>
    </row>
    <row r="18889" spans="1:7" x14ac:dyDescent="0.25">
      <c r="A18889">
        <v>59</v>
      </c>
      <c r="B18889" t="s">
        <v>18487</v>
      </c>
      <c r="C18889">
        <v>15680</v>
      </c>
      <c r="D18889" t="str">
        <f>"0803-2491"</f>
        <v>0803-2491</v>
      </c>
      <c r="E18889" t="s">
        <v>8</v>
      </c>
      <c r="F18889" t="s">
        <v>18904</v>
      </c>
      <c r="G18889">
        <v>1</v>
      </c>
    </row>
    <row r="18890" spans="1:7" x14ac:dyDescent="0.25">
      <c r="A18890">
        <v>59</v>
      </c>
      <c r="B18890" t="s">
        <v>18487</v>
      </c>
      <c r="C18890">
        <v>1770</v>
      </c>
      <c r="D18890" t="str">
        <f>"1034-7674"</f>
        <v>1034-7674</v>
      </c>
      <c r="E18890" t="s">
        <v>8</v>
      </c>
      <c r="F18890" t="s">
        <v>18905</v>
      </c>
      <c r="G18890">
        <v>1</v>
      </c>
    </row>
    <row r="18891" spans="1:7" x14ac:dyDescent="0.25">
      <c r="A18891">
        <v>59</v>
      </c>
      <c r="B18891" t="s">
        <v>18487</v>
      </c>
      <c r="C18891">
        <v>8779217</v>
      </c>
      <c r="D18891" t="str">
        <f>"2055-2238"</f>
        <v>2055-2238</v>
      </c>
      <c r="E18891" t="s">
        <v>8</v>
      </c>
      <c r="F18891" t="s">
        <v>18906</v>
      </c>
      <c r="G18891">
        <v>1</v>
      </c>
    </row>
    <row r="18892" spans="1:7" x14ac:dyDescent="0.25">
      <c r="A18892">
        <v>59</v>
      </c>
      <c r="B18892" t="s">
        <v>18487</v>
      </c>
      <c r="C18892">
        <v>10935</v>
      </c>
      <c r="D18892" t="str">
        <f>"0962-7480"</f>
        <v>0962-7480</v>
      </c>
      <c r="E18892" t="s">
        <v>8</v>
      </c>
      <c r="F18892" t="s">
        <v>18907</v>
      </c>
      <c r="G18892">
        <v>1</v>
      </c>
    </row>
    <row r="18893" spans="1:7" x14ac:dyDescent="0.25">
      <c r="A18893">
        <v>59</v>
      </c>
      <c r="B18893" t="s">
        <v>18487</v>
      </c>
      <c r="C18893">
        <v>16295</v>
      </c>
      <c r="D18893" t="str">
        <f>"0738-0577"</f>
        <v>0738-0577</v>
      </c>
      <c r="E18893" t="s">
        <v>8</v>
      </c>
      <c r="F18893" t="s">
        <v>18908</v>
      </c>
      <c r="G18893">
        <v>1</v>
      </c>
    </row>
    <row r="18894" spans="1:7" x14ac:dyDescent="0.25">
      <c r="A18894">
        <v>59</v>
      </c>
      <c r="B18894" t="s">
        <v>18487</v>
      </c>
      <c r="C18894">
        <v>15041</v>
      </c>
      <c r="D18894" t="str">
        <f>"0164-212X"</f>
        <v>0164-212X</v>
      </c>
      <c r="E18894" t="s">
        <v>8</v>
      </c>
      <c r="F18894" t="s">
        <v>18909</v>
      </c>
      <c r="G18894">
        <v>1</v>
      </c>
    </row>
    <row r="18895" spans="1:7" x14ac:dyDescent="0.25">
      <c r="A18895">
        <v>59</v>
      </c>
      <c r="B18895" t="s">
        <v>18487</v>
      </c>
      <c r="C18895">
        <v>15691</v>
      </c>
      <c r="D18895" t="str">
        <f>"0800-7489"</f>
        <v>0800-7489</v>
      </c>
      <c r="E18895" t="s">
        <v>8</v>
      </c>
      <c r="F18895" t="s">
        <v>18910</v>
      </c>
      <c r="G18895">
        <v>1</v>
      </c>
    </row>
    <row r="18896" spans="1:7" x14ac:dyDescent="0.25">
      <c r="A18896">
        <v>59</v>
      </c>
      <c r="B18896" t="s">
        <v>18487</v>
      </c>
      <c r="C18896">
        <v>8783588</v>
      </c>
      <c r="E18896" t="s">
        <v>15</v>
      </c>
      <c r="F18896" t="s">
        <v>18911</v>
      </c>
      <c r="G18896">
        <v>1</v>
      </c>
    </row>
    <row r="18897" spans="1:7" x14ac:dyDescent="0.25">
      <c r="A18897">
        <v>59</v>
      </c>
      <c r="B18897" t="s">
        <v>18487</v>
      </c>
      <c r="C18897">
        <v>7923</v>
      </c>
      <c r="D18897" t="str">
        <f>"0937-941X"</f>
        <v>0937-941X</v>
      </c>
      <c r="E18897" t="s">
        <v>8</v>
      </c>
      <c r="F18897" t="s">
        <v>18912</v>
      </c>
      <c r="G18897">
        <v>1</v>
      </c>
    </row>
    <row r="18898" spans="1:7" x14ac:dyDescent="0.25">
      <c r="A18898">
        <v>59</v>
      </c>
      <c r="B18898" t="s">
        <v>18487</v>
      </c>
      <c r="C18898">
        <v>7491</v>
      </c>
      <c r="D18898" t="str">
        <f>"1539-4492"</f>
        <v>1539-4492</v>
      </c>
      <c r="E18898" t="s">
        <v>8</v>
      </c>
      <c r="F18898" t="s">
        <v>18913</v>
      </c>
      <c r="G18898">
        <v>1</v>
      </c>
    </row>
    <row r="18899" spans="1:7" x14ac:dyDescent="0.25">
      <c r="A18899">
        <v>59</v>
      </c>
      <c r="B18899" t="s">
        <v>18487</v>
      </c>
      <c r="C18899">
        <v>8596</v>
      </c>
      <c r="D18899" t="str">
        <f>"0269-5022"</f>
        <v>0269-5022</v>
      </c>
      <c r="E18899" t="s">
        <v>8</v>
      </c>
      <c r="F18899" t="s">
        <v>18914</v>
      </c>
      <c r="G18899">
        <v>1</v>
      </c>
    </row>
    <row r="18900" spans="1:7" x14ac:dyDescent="0.25">
      <c r="A18900">
        <v>59</v>
      </c>
      <c r="B18900" t="s">
        <v>18487</v>
      </c>
      <c r="C18900">
        <v>13602</v>
      </c>
      <c r="D18900" t="str">
        <f>"0269-2163"</f>
        <v>0269-2163</v>
      </c>
      <c r="E18900" t="s">
        <v>8</v>
      </c>
      <c r="F18900" t="s">
        <v>18915</v>
      </c>
      <c r="G18900">
        <v>1</v>
      </c>
    </row>
    <row r="18901" spans="1:7" x14ac:dyDescent="0.25">
      <c r="A18901">
        <v>59</v>
      </c>
      <c r="B18901" t="s">
        <v>18487</v>
      </c>
      <c r="C18901">
        <v>4453</v>
      </c>
      <c r="D18901" t="str">
        <f>"2047-7724"</f>
        <v>2047-7724</v>
      </c>
      <c r="E18901" t="s">
        <v>8</v>
      </c>
      <c r="F18901" t="s">
        <v>18916</v>
      </c>
      <c r="G18901">
        <v>1</v>
      </c>
    </row>
    <row r="18902" spans="1:7" x14ac:dyDescent="0.25">
      <c r="A18902">
        <v>59</v>
      </c>
      <c r="B18902" t="s">
        <v>18487</v>
      </c>
      <c r="C18902">
        <v>152107</v>
      </c>
      <c r="D18902" t="str">
        <f>"1757-9139"</f>
        <v>1757-9139</v>
      </c>
      <c r="E18902" t="s">
        <v>8</v>
      </c>
      <c r="F18902" t="s">
        <v>18917</v>
      </c>
      <c r="G18902">
        <v>1</v>
      </c>
    </row>
    <row r="18903" spans="1:7" x14ac:dyDescent="0.25">
      <c r="A18903">
        <v>59</v>
      </c>
      <c r="B18903" t="s">
        <v>18487</v>
      </c>
      <c r="C18903">
        <v>8782734</v>
      </c>
      <c r="D18903" t="str">
        <f>" 2509-4262  "</f>
        <v xml:space="preserve"> 2509-4262  </v>
      </c>
      <c r="E18903" t="s">
        <v>8</v>
      </c>
      <c r="F18903" t="s">
        <v>18918</v>
      </c>
      <c r="G18903">
        <v>1</v>
      </c>
    </row>
    <row r="18904" spans="1:7" x14ac:dyDescent="0.25">
      <c r="A18904">
        <v>59</v>
      </c>
      <c r="B18904" t="s">
        <v>18487</v>
      </c>
      <c r="C18904">
        <v>14421</v>
      </c>
      <c r="D18904" t="str">
        <f>"0194-2638"</f>
        <v>0194-2638</v>
      </c>
      <c r="E18904" t="s">
        <v>8</v>
      </c>
      <c r="F18904" t="s">
        <v>18919</v>
      </c>
      <c r="G18904">
        <v>1</v>
      </c>
    </row>
    <row r="18905" spans="1:7" x14ac:dyDescent="0.25">
      <c r="A18905">
        <v>59</v>
      </c>
      <c r="B18905" t="s">
        <v>18487</v>
      </c>
      <c r="C18905">
        <v>2419</v>
      </c>
      <c r="D18905" t="str">
        <f>"0031-9023"</f>
        <v>0031-9023</v>
      </c>
      <c r="E18905" t="s">
        <v>8</v>
      </c>
      <c r="F18905" t="s">
        <v>18920</v>
      </c>
      <c r="G18905">
        <v>1</v>
      </c>
    </row>
    <row r="18906" spans="1:7" x14ac:dyDescent="0.25">
      <c r="A18906">
        <v>59</v>
      </c>
      <c r="B18906" t="s">
        <v>18487</v>
      </c>
      <c r="C18906">
        <v>4629</v>
      </c>
      <c r="D18906" t="str">
        <f>"0940-6689"</f>
        <v>0940-6689</v>
      </c>
      <c r="E18906" t="s">
        <v>8</v>
      </c>
      <c r="F18906" t="s">
        <v>18921</v>
      </c>
      <c r="G18906">
        <v>1</v>
      </c>
    </row>
    <row r="18907" spans="1:7" x14ac:dyDescent="0.25">
      <c r="A18907">
        <v>59</v>
      </c>
      <c r="B18907" t="s">
        <v>18487</v>
      </c>
      <c r="C18907">
        <v>11790</v>
      </c>
      <c r="D18907" t="str">
        <f>"0031-9406"</f>
        <v>0031-9406</v>
      </c>
      <c r="E18907" t="s">
        <v>8</v>
      </c>
      <c r="F18907" t="s">
        <v>18922</v>
      </c>
      <c r="G18907">
        <v>1</v>
      </c>
    </row>
    <row r="18908" spans="1:7" x14ac:dyDescent="0.25">
      <c r="A18908">
        <v>59</v>
      </c>
      <c r="B18908" t="s">
        <v>18487</v>
      </c>
      <c r="C18908">
        <v>15983</v>
      </c>
      <c r="D18908" t="str">
        <f>"0300-0508"</f>
        <v>0300-0508</v>
      </c>
      <c r="E18908" t="s">
        <v>8</v>
      </c>
      <c r="F18908" t="s">
        <v>18923</v>
      </c>
      <c r="G18908">
        <v>1</v>
      </c>
    </row>
    <row r="18909" spans="1:7" x14ac:dyDescent="0.25">
      <c r="A18909">
        <v>59</v>
      </c>
      <c r="B18909" t="s">
        <v>18487</v>
      </c>
      <c r="C18909">
        <v>8160</v>
      </c>
      <c r="D18909" t="str">
        <f>"1358-2267"</f>
        <v>1358-2267</v>
      </c>
      <c r="E18909" t="s">
        <v>8</v>
      </c>
      <c r="F18909" t="s">
        <v>18924</v>
      </c>
      <c r="G18909">
        <v>1</v>
      </c>
    </row>
    <row r="18910" spans="1:7" x14ac:dyDescent="0.25">
      <c r="A18910">
        <v>59</v>
      </c>
      <c r="B18910" t="s">
        <v>18487</v>
      </c>
      <c r="C18910">
        <v>6536</v>
      </c>
      <c r="D18910" t="str">
        <f>"0959-3985"</f>
        <v>0959-3985</v>
      </c>
      <c r="E18910" t="s">
        <v>8</v>
      </c>
      <c r="F18910" t="s">
        <v>18925</v>
      </c>
      <c r="G18910">
        <v>1</v>
      </c>
    </row>
    <row r="18911" spans="1:7" x14ac:dyDescent="0.25">
      <c r="A18911">
        <v>59</v>
      </c>
      <c r="B18911" t="s">
        <v>18487</v>
      </c>
      <c r="C18911">
        <v>3517</v>
      </c>
      <c r="D18911" t="str">
        <f>"1477-3996"</f>
        <v>1477-3996</v>
      </c>
      <c r="E18911" t="s">
        <v>8</v>
      </c>
      <c r="F18911" t="s">
        <v>18926</v>
      </c>
      <c r="G18911">
        <v>1</v>
      </c>
    </row>
    <row r="18912" spans="1:7" x14ac:dyDescent="0.25">
      <c r="A18912">
        <v>59</v>
      </c>
      <c r="B18912" t="s">
        <v>18487</v>
      </c>
      <c r="C18912">
        <v>8752</v>
      </c>
      <c r="D18912" t="str">
        <f>"1942-7891"</f>
        <v>1942-7891</v>
      </c>
      <c r="E18912" t="s">
        <v>8</v>
      </c>
      <c r="F18912" t="s">
        <v>18927</v>
      </c>
      <c r="G18912">
        <v>1</v>
      </c>
    </row>
    <row r="18913" spans="1:7" x14ac:dyDescent="0.25">
      <c r="A18913">
        <v>59</v>
      </c>
      <c r="B18913" t="s">
        <v>18487</v>
      </c>
      <c r="C18913">
        <v>419</v>
      </c>
      <c r="E18913" t="s">
        <v>8</v>
      </c>
      <c r="F18913" t="s">
        <v>18928</v>
      </c>
      <c r="G18913">
        <v>1</v>
      </c>
    </row>
    <row r="18914" spans="1:7" x14ac:dyDescent="0.25">
      <c r="A18914">
        <v>59</v>
      </c>
      <c r="B18914" t="s">
        <v>18487</v>
      </c>
      <c r="C18914">
        <v>9854</v>
      </c>
      <c r="D18914" t="str">
        <f>"0032-5473"</f>
        <v>0032-5473</v>
      </c>
      <c r="E18914" t="s">
        <v>8</v>
      </c>
      <c r="F18914" t="s">
        <v>18929</v>
      </c>
      <c r="G18914">
        <v>1</v>
      </c>
    </row>
    <row r="18915" spans="1:7" x14ac:dyDescent="0.25">
      <c r="A18915">
        <v>59</v>
      </c>
      <c r="B18915" t="s">
        <v>18487</v>
      </c>
      <c r="C18915">
        <v>16372</v>
      </c>
      <c r="D18915" t="str">
        <f>"0032-5481"</f>
        <v>0032-5481</v>
      </c>
      <c r="E18915" t="s">
        <v>8</v>
      </c>
      <c r="F18915" t="s">
        <v>18930</v>
      </c>
      <c r="G18915">
        <v>1</v>
      </c>
    </row>
    <row r="18916" spans="1:7" x14ac:dyDescent="0.25">
      <c r="A18916">
        <v>59</v>
      </c>
      <c r="B18916" t="s">
        <v>18487</v>
      </c>
      <c r="C18916">
        <v>13647</v>
      </c>
      <c r="D18916" t="str">
        <f>"0950-3153"</f>
        <v>0950-3153</v>
      </c>
      <c r="E18916" t="s">
        <v>8</v>
      </c>
      <c r="F18916" t="s">
        <v>18931</v>
      </c>
      <c r="G18916">
        <v>1</v>
      </c>
    </row>
    <row r="18917" spans="1:7" x14ac:dyDescent="0.25">
      <c r="A18917">
        <v>59</v>
      </c>
      <c r="B18917" t="s">
        <v>18487</v>
      </c>
      <c r="C18917">
        <v>2396</v>
      </c>
      <c r="D18917" t="str">
        <f>"1661-8157"</f>
        <v>1661-8157</v>
      </c>
      <c r="E18917" t="s">
        <v>8</v>
      </c>
      <c r="F18917" t="s">
        <v>18932</v>
      </c>
      <c r="G18917">
        <v>1</v>
      </c>
    </row>
    <row r="18918" spans="1:7" x14ac:dyDescent="0.25">
      <c r="A18918">
        <v>59</v>
      </c>
      <c r="B18918" t="s">
        <v>18487</v>
      </c>
      <c r="C18918">
        <v>1954</v>
      </c>
      <c r="E18918" t="s">
        <v>8</v>
      </c>
      <c r="F18918" t="s">
        <v>18933</v>
      </c>
      <c r="G18918">
        <v>1</v>
      </c>
    </row>
    <row r="18919" spans="1:7" x14ac:dyDescent="0.25">
      <c r="A18919">
        <v>59</v>
      </c>
      <c r="B18919" t="s">
        <v>18487</v>
      </c>
      <c r="C18919">
        <v>330</v>
      </c>
      <c r="D18919" t="str">
        <f>"1389-4986"</f>
        <v>1389-4986</v>
      </c>
      <c r="E18919" t="s">
        <v>8</v>
      </c>
      <c r="F18919" t="s">
        <v>18934</v>
      </c>
      <c r="G18919">
        <v>1</v>
      </c>
    </row>
    <row r="18920" spans="1:7" x14ac:dyDescent="0.25">
      <c r="A18920">
        <v>59</v>
      </c>
      <c r="B18920" t="s">
        <v>18487</v>
      </c>
      <c r="C18920">
        <v>8767925</v>
      </c>
      <c r="E18920" t="s">
        <v>8</v>
      </c>
      <c r="F18920" t="s">
        <v>18935</v>
      </c>
      <c r="G18920">
        <v>1</v>
      </c>
    </row>
    <row r="18921" spans="1:7" x14ac:dyDescent="0.25">
      <c r="A18921">
        <v>59</v>
      </c>
      <c r="B18921" t="s">
        <v>18487</v>
      </c>
      <c r="C18921">
        <v>18575</v>
      </c>
      <c r="D18921" t="str">
        <f>"1751-9918"</f>
        <v>1751-9918</v>
      </c>
      <c r="E18921" t="s">
        <v>8</v>
      </c>
      <c r="F18921" t="s">
        <v>18936</v>
      </c>
      <c r="G18921">
        <v>1</v>
      </c>
    </row>
    <row r="18922" spans="1:7" x14ac:dyDescent="0.25">
      <c r="A18922">
        <v>59</v>
      </c>
      <c r="B18922" t="s">
        <v>18487</v>
      </c>
      <c r="C18922">
        <v>2146</v>
      </c>
      <c r="D18922" t="str">
        <f>"0095-4543"</f>
        <v>0095-4543</v>
      </c>
      <c r="E18922" t="s">
        <v>8</v>
      </c>
      <c r="F18922" t="s">
        <v>18937</v>
      </c>
      <c r="G18922">
        <v>1</v>
      </c>
    </row>
    <row r="18923" spans="1:7" x14ac:dyDescent="0.25">
      <c r="A18923">
        <v>59</v>
      </c>
      <c r="B18923" t="s">
        <v>18487</v>
      </c>
      <c r="C18923">
        <v>7885</v>
      </c>
      <c r="D18923" t="str">
        <f>"1463-4236"</f>
        <v>1463-4236</v>
      </c>
      <c r="E18923" t="s">
        <v>8</v>
      </c>
      <c r="F18923" t="s">
        <v>18938</v>
      </c>
      <c r="G18923">
        <v>1</v>
      </c>
    </row>
    <row r="18924" spans="1:7" x14ac:dyDescent="0.25">
      <c r="A18924">
        <v>59</v>
      </c>
      <c r="B18924" t="s">
        <v>18487</v>
      </c>
      <c r="C18924">
        <v>7444</v>
      </c>
      <c r="D18924" t="str">
        <f>"0029-6651"</f>
        <v>0029-6651</v>
      </c>
      <c r="E18924" t="s">
        <v>8</v>
      </c>
      <c r="F18924" t="s">
        <v>18939</v>
      </c>
      <c r="G18924">
        <v>1</v>
      </c>
    </row>
    <row r="18925" spans="1:7" x14ac:dyDescent="0.25">
      <c r="A18925">
        <v>59</v>
      </c>
      <c r="B18925" t="s">
        <v>18487</v>
      </c>
      <c r="C18925">
        <v>2171</v>
      </c>
      <c r="D18925" t="str">
        <f>"0033-3182"</f>
        <v>0033-3182</v>
      </c>
      <c r="E18925" t="s">
        <v>8</v>
      </c>
      <c r="F18925" t="s">
        <v>18940</v>
      </c>
      <c r="G18925">
        <v>1</v>
      </c>
    </row>
    <row r="18926" spans="1:7" x14ac:dyDescent="0.25">
      <c r="A18926">
        <v>59</v>
      </c>
      <c r="B18926" t="s">
        <v>18487</v>
      </c>
      <c r="C18926">
        <v>13201</v>
      </c>
      <c r="D18926" t="str">
        <f>"0033-3506"</f>
        <v>0033-3506</v>
      </c>
      <c r="E18926" t="s">
        <v>8</v>
      </c>
      <c r="F18926" t="s">
        <v>18941</v>
      </c>
      <c r="G18926">
        <v>1</v>
      </c>
    </row>
    <row r="18927" spans="1:7" x14ac:dyDescent="0.25">
      <c r="A18927">
        <v>59</v>
      </c>
      <c r="B18927" t="s">
        <v>18487</v>
      </c>
      <c r="C18927">
        <v>8783587</v>
      </c>
      <c r="E18927" t="s">
        <v>8</v>
      </c>
      <c r="F18927" t="s">
        <v>18942</v>
      </c>
      <c r="G18927">
        <v>1</v>
      </c>
    </row>
    <row r="18928" spans="1:7" x14ac:dyDescent="0.25">
      <c r="A18928">
        <v>59</v>
      </c>
      <c r="B18928" t="s">
        <v>18487</v>
      </c>
      <c r="C18928">
        <v>9269</v>
      </c>
      <c r="D18928" t="str">
        <f>"0033-3549"</f>
        <v>0033-3549</v>
      </c>
      <c r="E18928" t="s">
        <v>8</v>
      </c>
      <c r="F18928" t="s">
        <v>18943</v>
      </c>
      <c r="G18928">
        <v>1</v>
      </c>
    </row>
    <row r="18929" spans="1:7" x14ac:dyDescent="0.25">
      <c r="A18929">
        <v>59</v>
      </c>
      <c r="B18929" t="s">
        <v>18487</v>
      </c>
      <c r="C18929">
        <v>7698277</v>
      </c>
      <c r="D18929" t="str">
        <f>"0301-0422"</f>
        <v>0301-0422</v>
      </c>
      <c r="E18929" t="s">
        <v>8</v>
      </c>
      <c r="F18929" t="s">
        <v>18944</v>
      </c>
      <c r="G18929">
        <v>1</v>
      </c>
    </row>
    <row r="18930" spans="1:7" x14ac:dyDescent="0.25">
      <c r="A18930">
        <v>59</v>
      </c>
      <c r="B18930" t="s">
        <v>18487</v>
      </c>
      <c r="C18930">
        <v>79332</v>
      </c>
      <c r="D18930" t="str">
        <f>"1471-7794"</f>
        <v>1471-7794</v>
      </c>
      <c r="E18930" t="s">
        <v>8</v>
      </c>
      <c r="F18930" t="s">
        <v>18945</v>
      </c>
      <c r="G18930">
        <v>1</v>
      </c>
    </row>
    <row r="18931" spans="1:7" x14ac:dyDescent="0.25">
      <c r="A18931">
        <v>59</v>
      </c>
      <c r="B18931" t="s">
        <v>18487</v>
      </c>
      <c r="C18931">
        <v>15200</v>
      </c>
      <c r="D18931" t="str">
        <f>"1063-8628"</f>
        <v>1063-8628</v>
      </c>
      <c r="E18931" t="s">
        <v>8</v>
      </c>
      <c r="F18931" t="s">
        <v>18946</v>
      </c>
      <c r="G18931">
        <v>1</v>
      </c>
    </row>
    <row r="18932" spans="1:7" x14ac:dyDescent="0.25">
      <c r="A18932">
        <v>59</v>
      </c>
      <c r="B18932" t="s">
        <v>18487</v>
      </c>
      <c r="C18932">
        <v>6876</v>
      </c>
      <c r="D18932" t="str">
        <f>"0144-8420"</f>
        <v>0144-8420</v>
      </c>
      <c r="E18932" t="s">
        <v>8</v>
      </c>
      <c r="F18932" t="s">
        <v>18947</v>
      </c>
      <c r="G18932">
        <v>1</v>
      </c>
    </row>
    <row r="18933" spans="1:7" x14ac:dyDescent="0.25">
      <c r="A18933">
        <v>59</v>
      </c>
      <c r="B18933" t="s">
        <v>18487</v>
      </c>
      <c r="C18933">
        <v>2131</v>
      </c>
      <c r="D18933" t="str">
        <f>"0033-8451"</f>
        <v>0033-8451</v>
      </c>
      <c r="E18933" t="s">
        <v>8</v>
      </c>
      <c r="F18933" t="s">
        <v>18948</v>
      </c>
      <c r="G18933">
        <v>1</v>
      </c>
    </row>
    <row r="18934" spans="1:7" x14ac:dyDescent="0.25">
      <c r="A18934">
        <v>59</v>
      </c>
      <c r="B18934" t="s">
        <v>18487</v>
      </c>
      <c r="C18934">
        <v>105352</v>
      </c>
      <c r="D18934" t="str">
        <f>"0048-7120"</f>
        <v>0048-7120</v>
      </c>
      <c r="E18934" t="s">
        <v>8</v>
      </c>
      <c r="F18934" t="s">
        <v>18949</v>
      </c>
      <c r="G18934">
        <v>1</v>
      </c>
    </row>
    <row r="18935" spans="1:7" x14ac:dyDescent="0.25">
      <c r="A18935">
        <v>59</v>
      </c>
      <c r="B18935" t="s">
        <v>18487</v>
      </c>
      <c r="C18935">
        <v>10970</v>
      </c>
      <c r="D18935" t="str">
        <f>"0034-3552"</f>
        <v>0034-3552</v>
      </c>
      <c r="E18935" t="s">
        <v>8</v>
      </c>
      <c r="F18935" t="s">
        <v>18950</v>
      </c>
      <c r="G18935">
        <v>1</v>
      </c>
    </row>
    <row r="18936" spans="1:7" x14ac:dyDescent="0.25">
      <c r="A18936">
        <v>59</v>
      </c>
      <c r="B18936" t="s">
        <v>18487</v>
      </c>
      <c r="C18936">
        <v>8782613</v>
      </c>
      <c r="D18936" t="str">
        <f>"2090-2867"</f>
        <v>2090-2867</v>
      </c>
      <c r="E18936" t="s">
        <v>8</v>
      </c>
      <c r="F18936" t="s">
        <v>18951</v>
      </c>
      <c r="G18936">
        <v>1</v>
      </c>
    </row>
    <row r="18937" spans="1:7" x14ac:dyDescent="0.25">
      <c r="A18937">
        <v>59</v>
      </c>
      <c r="B18937" t="s">
        <v>18487</v>
      </c>
      <c r="C18937">
        <v>4178</v>
      </c>
      <c r="D18937" t="str">
        <f>"0968-8080"</f>
        <v>0968-8080</v>
      </c>
      <c r="E18937" t="s">
        <v>8</v>
      </c>
      <c r="F18937" t="s">
        <v>18952</v>
      </c>
      <c r="G18937">
        <v>1</v>
      </c>
    </row>
    <row r="18938" spans="1:7" x14ac:dyDescent="0.25">
      <c r="A18938">
        <v>59</v>
      </c>
      <c r="B18938" t="s">
        <v>18487</v>
      </c>
      <c r="C18938">
        <v>17302</v>
      </c>
      <c r="D18938" t="str">
        <f>"1933-7191"</f>
        <v>1933-7191</v>
      </c>
      <c r="E18938" t="s">
        <v>8</v>
      </c>
      <c r="F18938" t="s">
        <v>18953</v>
      </c>
      <c r="G18938">
        <v>1</v>
      </c>
    </row>
    <row r="18939" spans="1:7" x14ac:dyDescent="0.25">
      <c r="A18939">
        <v>59</v>
      </c>
      <c r="B18939" t="s">
        <v>18487</v>
      </c>
      <c r="C18939">
        <v>103375</v>
      </c>
      <c r="D18939" t="str">
        <f>"1540-7969"</f>
        <v>1540-7969</v>
      </c>
      <c r="E18939" t="s">
        <v>8</v>
      </c>
      <c r="F18939" t="s">
        <v>18954</v>
      </c>
      <c r="G18939">
        <v>1</v>
      </c>
    </row>
    <row r="18940" spans="1:7" x14ac:dyDescent="0.25">
      <c r="A18940">
        <v>59</v>
      </c>
      <c r="B18940" t="s">
        <v>18487</v>
      </c>
      <c r="C18940">
        <v>212</v>
      </c>
      <c r="D18940" t="str">
        <f>"0164-0275"</f>
        <v>0164-0275</v>
      </c>
      <c r="E18940" t="s">
        <v>8</v>
      </c>
      <c r="F18940" t="s">
        <v>18955</v>
      </c>
      <c r="G18940">
        <v>1</v>
      </c>
    </row>
    <row r="18941" spans="1:7" x14ac:dyDescent="0.25">
      <c r="A18941">
        <v>59</v>
      </c>
      <c r="B18941" t="s">
        <v>18487</v>
      </c>
      <c r="C18941">
        <v>3079</v>
      </c>
      <c r="D18941" t="str">
        <f>"0886-571X"</f>
        <v>0886-571X</v>
      </c>
      <c r="E18941" t="s">
        <v>8</v>
      </c>
      <c r="F18941" t="s">
        <v>18956</v>
      </c>
      <c r="G18941">
        <v>1</v>
      </c>
    </row>
    <row r="18942" spans="1:7" x14ac:dyDescent="0.25">
      <c r="A18942">
        <v>59</v>
      </c>
      <c r="B18942" t="s">
        <v>18487</v>
      </c>
      <c r="C18942">
        <v>5974</v>
      </c>
      <c r="D18942" t="str">
        <f>"0020-1324"</f>
        <v>0020-1324</v>
      </c>
      <c r="E18942" t="s">
        <v>8</v>
      </c>
      <c r="F18942" t="s">
        <v>18957</v>
      </c>
      <c r="G18942">
        <v>1</v>
      </c>
    </row>
    <row r="18943" spans="1:7" x14ac:dyDescent="0.25">
      <c r="A18943">
        <v>59</v>
      </c>
      <c r="B18943" t="s">
        <v>18487</v>
      </c>
      <c r="C18943">
        <v>7290</v>
      </c>
      <c r="D18943" t="str">
        <f>"0034-8910"</f>
        <v>0034-8910</v>
      </c>
      <c r="E18943" t="s">
        <v>8</v>
      </c>
      <c r="F18943" t="s">
        <v>18958</v>
      </c>
      <c r="G18943">
        <v>1</v>
      </c>
    </row>
    <row r="18944" spans="1:7" x14ac:dyDescent="0.25">
      <c r="A18944">
        <v>59</v>
      </c>
      <c r="B18944" t="s">
        <v>18487</v>
      </c>
      <c r="C18944">
        <v>64</v>
      </c>
      <c r="D18944" t="str">
        <f>"0398-7620"</f>
        <v>0398-7620</v>
      </c>
      <c r="E18944" t="s">
        <v>8</v>
      </c>
      <c r="F18944" t="s">
        <v>18959</v>
      </c>
      <c r="G18944">
        <v>1</v>
      </c>
    </row>
    <row r="18945" spans="1:7" x14ac:dyDescent="0.25">
      <c r="A18945">
        <v>59</v>
      </c>
      <c r="B18945" t="s">
        <v>18487</v>
      </c>
      <c r="C18945">
        <v>2154</v>
      </c>
      <c r="D18945" t="str">
        <f>"1341-1667"</f>
        <v>1341-1667</v>
      </c>
      <c r="E18945" t="s">
        <v>8</v>
      </c>
      <c r="F18945" t="s">
        <v>18960</v>
      </c>
      <c r="G18945">
        <v>1</v>
      </c>
    </row>
    <row r="18946" spans="1:7" x14ac:dyDescent="0.25">
      <c r="A18946">
        <v>59</v>
      </c>
      <c r="B18946" t="s">
        <v>18487</v>
      </c>
      <c r="C18946">
        <v>3055</v>
      </c>
      <c r="D18946" t="str">
        <f>"0272-4332"</f>
        <v>0272-4332</v>
      </c>
      <c r="E18946" t="s">
        <v>8</v>
      </c>
      <c r="F18946" t="s">
        <v>18961</v>
      </c>
      <c r="G18946">
        <v>1</v>
      </c>
    </row>
    <row r="18947" spans="1:7" x14ac:dyDescent="0.25">
      <c r="A18947">
        <v>59</v>
      </c>
      <c r="B18947" t="s">
        <v>18487</v>
      </c>
      <c r="C18947">
        <v>6265549</v>
      </c>
      <c r="E18947" t="s">
        <v>8</v>
      </c>
      <c r="F18947" t="s">
        <v>18962</v>
      </c>
      <c r="G18947">
        <v>1</v>
      </c>
    </row>
    <row r="18948" spans="1:7" x14ac:dyDescent="0.25">
      <c r="A18948">
        <v>59</v>
      </c>
      <c r="B18948" t="s">
        <v>18487</v>
      </c>
      <c r="C18948">
        <v>125457</v>
      </c>
      <c r="D18948" t="str">
        <f>"1445-6354"</f>
        <v>1445-6354</v>
      </c>
      <c r="E18948" t="s">
        <v>8</v>
      </c>
      <c r="F18948" t="s">
        <v>18963</v>
      </c>
      <c r="G18948">
        <v>1</v>
      </c>
    </row>
    <row r="18949" spans="1:7" x14ac:dyDescent="0.25">
      <c r="A18949">
        <v>59</v>
      </c>
      <c r="B18949" t="s">
        <v>18487</v>
      </c>
      <c r="C18949">
        <v>12483</v>
      </c>
      <c r="D18949" t="str">
        <f>"0036-3634"</f>
        <v>0036-3634</v>
      </c>
      <c r="E18949" t="s">
        <v>8</v>
      </c>
      <c r="F18949" t="s">
        <v>18964</v>
      </c>
      <c r="G18949">
        <v>1</v>
      </c>
    </row>
    <row r="18950" spans="1:7" x14ac:dyDescent="0.25">
      <c r="A18950">
        <v>59</v>
      </c>
      <c r="B18950" t="s">
        <v>18487</v>
      </c>
      <c r="C18950">
        <v>16723</v>
      </c>
      <c r="D18950" t="str">
        <f>"1501-7419"</f>
        <v>1501-7419</v>
      </c>
      <c r="E18950" t="s">
        <v>8</v>
      </c>
      <c r="F18950" t="s">
        <v>18965</v>
      </c>
      <c r="G18950">
        <v>1</v>
      </c>
    </row>
    <row r="18951" spans="1:7" x14ac:dyDescent="0.25">
      <c r="A18951">
        <v>59</v>
      </c>
      <c r="B18951" t="s">
        <v>18487</v>
      </c>
      <c r="C18951">
        <v>15751</v>
      </c>
      <c r="D18951" t="str">
        <f>"1103-8128"</f>
        <v>1103-8128</v>
      </c>
      <c r="E18951" t="s">
        <v>8</v>
      </c>
      <c r="F18951" t="s">
        <v>18966</v>
      </c>
      <c r="G18951">
        <v>1</v>
      </c>
    </row>
    <row r="18952" spans="1:7" x14ac:dyDescent="0.25">
      <c r="A18952">
        <v>59</v>
      </c>
      <c r="B18952" t="s">
        <v>18487</v>
      </c>
      <c r="C18952">
        <v>15533</v>
      </c>
      <c r="D18952" t="str">
        <f>"0281-3432"</f>
        <v>0281-3432</v>
      </c>
      <c r="E18952" t="s">
        <v>8</v>
      </c>
      <c r="F18952" t="s">
        <v>18967</v>
      </c>
      <c r="G18952">
        <v>1</v>
      </c>
    </row>
    <row r="18953" spans="1:7" x14ac:dyDescent="0.25">
      <c r="A18953">
        <v>59</v>
      </c>
      <c r="B18953" t="s">
        <v>18487</v>
      </c>
      <c r="C18953">
        <v>7815</v>
      </c>
      <c r="D18953" t="str">
        <f>"1403-4948"</f>
        <v>1403-4948</v>
      </c>
      <c r="E18953" t="s">
        <v>8</v>
      </c>
      <c r="F18953" t="s">
        <v>18968</v>
      </c>
      <c r="G18953">
        <v>1</v>
      </c>
    </row>
    <row r="18954" spans="1:7" x14ac:dyDescent="0.25">
      <c r="A18954">
        <v>59</v>
      </c>
      <c r="B18954" t="s">
        <v>18487</v>
      </c>
      <c r="C18954">
        <v>22608</v>
      </c>
      <c r="D18954" t="str">
        <f>"1403-4956"</f>
        <v>1403-4956</v>
      </c>
      <c r="E18954" t="s">
        <v>15</v>
      </c>
      <c r="F18954" t="s">
        <v>18969</v>
      </c>
      <c r="G18954">
        <v>1</v>
      </c>
    </row>
    <row r="18955" spans="1:7" x14ac:dyDescent="0.25">
      <c r="A18955">
        <v>59</v>
      </c>
      <c r="B18955" t="s">
        <v>18487</v>
      </c>
      <c r="C18955">
        <v>6272853</v>
      </c>
      <c r="D18955" t="str">
        <f>"1866-2625"</f>
        <v>1866-2625</v>
      </c>
      <c r="E18955" t="s">
        <v>8</v>
      </c>
      <c r="F18955" t="s">
        <v>18970</v>
      </c>
      <c r="G18955">
        <v>1</v>
      </c>
    </row>
    <row r="18956" spans="1:7" x14ac:dyDescent="0.25">
      <c r="A18956">
        <v>59</v>
      </c>
      <c r="B18956" t="s">
        <v>18487</v>
      </c>
      <c r="C18956">
        <v>687</v>
      </c>
      <c r="D18956" t="str">
        <f>"0294-0337"</f>
        <v>0294-0337</v>
      </c>
      <c r="E18956" t="s">
        <v>8</v>
      </c>
      <c r="F18956" t="s">
        <v>18971</v>
      </c>
      <c r="G18956">
        <v>1</v>
      </c>
    </row>
    <row r="18957" spans="1:7" x14ac:dyDescent="0.25">
      <c r="A18957">
        <v>59</v>
      </c>
      <c r="B18957" t="s">
        <v>18487</v>
      </c>
      <c r="C18957">
        <v>2104</v>
      </c>
      <c r="D18957" t="str">
        <f>"0740-2570"</f>
        <v>0740-2570</v>
      </c>
      <c r="E18957" t="s">
        <v>8</v>
      </c>
      <c r="F18957" t="s">
        <v>18972</v>
      </c>
      <c r="G18957">
        <v>1</v>
      </c>
    </row>
    <row r="18958" spans="1:7" x14ac:dyDescent="0.25">
      <c r="A18958">
        <v>59</v>
      </c>
      <c r="B18958" t="s">
        <v>18487</v>
      </c>
      <c r="C18958">
        <v>7703568</v>
      </c>
      <c r="D18958" t="str">
        <f>"1877-5756"</f>
        <v>1877-5756</v>
      </c>
      <c r="E18958" t="s">
        <v>8</v>
      </c>
      <c r="F18958" t="s">
        <v>18973</v>
      </c>
      <c r="G18958">
        <v>1</v>
      </c>
    </row>
    <row r="18959" spans="1:7" x14ac:dyDescent="0.25">
      <c r="A18959">
        <v>59</v>
      </c>
      <c r="B18959" t="s">
        <v>18487</v>
      </c>
      <c r="C18959">
        <v>23921</v>
      </c>
      <c r="D18959" t="str">
        <f>"1448-5028"</f>
        <v>1448-5028</v>
      </c>
      <c r="E18959" t="s">
        <v>8</v>
      </c>
      <c r="F18959" t="s">
        <v>18974</v>
      </c>
      <c r="G18959">
        <v>1</v>
      </c>
    </row>
    <row r="18960" spans="1:7" x14ac:dyDescent="0.25">
      <c r="A18960">
        <v>59</v>
      </c>
      <c r="B18960" t="s">
        <v>18487</v>
      </c>
      <c r="C18960">
        <v>558</v>
      </c>
      <c r="D18960" t="str">
        <f>"0146-1044"</f>
        <v>0146-1044</v>
      </c>
      <c r="E18960" t="s">
        <v>8</v>
      </c>
      <c r="F18960" t="s">
        <v>18975</v>
      </c>
      <c r="G18960">
        <v>1</v>
      </c>
    </row>
    <row r="18961" spans="1:7" x14ac:dyDescent="0.25">
      <c r="A18961">
        <v>59</v>
      </c>
      <c r="B18961" t="s">
        <v>18487</v>
      </c>
      <c r="C18961">
        <v>4320</v>
      </c>
      <c r="D18961" t="str">
        <f>"0148-5717"</f>
        <v>0148-5717</v>
      </c>
      <c r="E18961" t="s">
        <v>8</v>
      </c>
      <c r="F18961" t="s">
        <v>18976</v>
      </c>
      <c r="G18961">
        <v>1</v>
      </c>
    </row>
    <row r="18962" spans="1:7" x14ac:dyDescent="0.25">
      <c r="A18962">
        <v>59</v>
      </c>
      <c r="B18962" t="s">
        <v>18487</v>
      </c>
      <c r="C18962">
        <v>10435</v>
      </c>
      <c r="D18962" t="str">
        <f>"0933-7954"</f>
        <v>0933-7954</v>
      </c>
      <c r="E18962" t="s">
        <v>8</v>
      </c>
      <c r="F18962" t="s">
        <v>18977</v>
      </c>
      <c r="G18962">
        <v>1</v>
      </c>
    </row>
    <row r="18963" spans="1:7" x14ac:dyDescent="0.25">
      <c r="A18963">
        <v>59</v>
      </c>
      <c r="B18963" t="s">
        <v>18487</v>
      </c>
      <c r="C18963">
        <v>10446</v>
      </c>
      <c r="D18963" t="str">
        <f>"1937-1918"</f>
        <v>1937-1918</v>
      </c>
      <c r="E18963" t="s">
        <v>8</v>
      </c>
      <c r="F18963" t="s">
        <v>18978</v>
      </c>
      <c r="G18963">
        <v>1</v>
      </c>
    </row>
    <row r="18964" spans="1:7" x14ac:dyDescent="0.25">
      <c r="A18964">
        <v>59</v>
      </c>
      <c r="B18964" t="s">
        <v>18487</v>
      </c>
      <c r="C18964">
        <v>5619</v>
      </c>
      <c r="D18964" t="str">
        <f>"0037-833X"</f>
        <v>0037-833X</v>
      </c>
      <c r="E18964" t="s">
        <v>8</v>
      </c>
      <c r="F18964" t="s">
        <v>18979</v>
      </c>
      <c r="G18964">
        <v>1</v>
      </c>
    </row>
    <row r="18965" spans="1:7" x14ac:dyDescent="0.25">
      <c r="A18965">
        <v>59</v>
      </c>
      <c r="B18965" t="s">
        <v>18487</v>
      </c>
      <c r="C18965">
        <v>3405</v>
      </c>
      <c r="D18965" t="str">
        <f>"1432-9123"</f>
        <v>1432-9123</v>
      </c>
      <c r="E18965" t="s">
        <v>8</v>
      </c>
      <c r="F18965" t="s">
        <v>18980</v>
      </c>
      <c r="G18965">
        <v>1</v>
      </c>
    </row>
    <row r="18966" spans="1:7" x14ac:dyDescent="0.25">
      <c r="A18966">
        <v>59</v>
      </c>
      <c r="B18966" t="s">
        <v>18487</v>
      </c>
      <c r="C18966">
        <v>18973</v>
      </c>
      <c r="D18966" t="str">
        <f>"0125-1562"</f>
        <v>0125-1562</v>
      </c>
      <c r="E18966" t="s">
        <v>8</v>
      </c>
      <c r="F18966" t="s">
        <v>18981</v>
      </c>
      <c r="G18966">
        <v>1</v>
      </c>
    </row>
    <row r="18967" spans="1:7" x14ac:dyDescent="0.25">
      <c r="A18967">
        <v>59</v>
      </c>
      <c r="B18967" t="s">
        <v>18487</v>
      </c>
      <c r="C18967">
        <v>12269</v>
      </c>
      <c r="D18967" t="str">
        <f>"0362-2436"</f>
        <v>0362-2436</v>
      </c>
      <c r="E18967" t="s">
        <v>8</v>
      </c>
      <c r="F18967" t="s">
        <v>18982</v>
      </c>
      <c r="G18967">
        <v>1</v>
      </c>
    </row>
    <row r="18968" spans="1:7" x14ac:dyDescent="0.25">
      <c r="A18968">
        <v>59</v>
      </c>
      <c r="B18968" t="s">
        <v>18487</v>
      </c>
      <c r="C18968">
        <v>8782478</v>
      </c>
      <c r="D18968" t="str">
        <f>"2352-8273"</f>
        <v>2352-8273</v>
      </c>
      <c r="E18968" t="s">
        <v>8</v>
      </c>
      <c r="F18968" t="s">
        <v>18983</v>
      </c>
      <c r="G18968">
        <v>1</v>
      </c>
    </row>
    <row r="18969" spans="1:7" x14ac:dyDescent="0.25">
      <c r="A18969">
        <v>59</v>
      </c>
      <c r="B18969" t="s">
        <v>18487</v>
      </c>
      <c r="C18969">
        <v>3520</v>
      </c>
      <c r="D18969" t="str">
        <f>"0039-3665"</f>
        <v>0039-3665</v>
      </c>
      <c r="E18969" t="s">
        <v>8</v>
      </c>
      <c r="F18969" t="s">
        <v>18984</v>
      </c>
      <c r="G18969">
        <v>1</v>
      </c>
    </row>
    <row r="18970" spans="1:7" x14ac:dyDescent="0.25">
      <c r="A18970">
        <v>59</v>
      </c>
      <c r="B18970" t="s">
        <v>18487</v>
      </c>
      <c r="C18970">
        <v>139699</v>
      </c>
      <c r="E18970" t="s">
        <v>8</v>
      </c>
      <c r="F18970" t="s">
        <v>18985</v>
      </c>
      <c r="G18970">
        <v>1</v>
      </c>
    </row>
    <row r="18971" spans="1:7" x14ac:dyDescent="0.25">
      <c r="A18971">
        <v>59</v>
      </c>
      <c r="B18971" t="s">
        <v>18487</v>
      </c>
      <c r="C18971">
        <v>154596</v>
      </c>
      <c r="D18971" t="str">
        <f>"1178-2218"</f>
        <v>1178-2218</v>
      </c>
      <c r="E18971" t="s">
        <v>8</v>
      </c>
      <c r="F18971" t="s">
        <v>18986</v>
      </c>
      <c r="G18971">
        <v>1</v>
      </c>
    </row>
    <row r="18972" spans="1:7" x14ac:dyDescent="0.25">
      <c r="A18972">
        <v>59</v>
      </c>
      <c r="B18972" t="s">
        <v>18487</v>
      </c>
      <c r="C18972">
        <v>16524</v>
      </c>
      <c r="D18972" t="str">
        <f>"1082-6084"</f>
        <v>1082-6084</v>
      </c>
      <c r="E18972" t="s">
        <v>8</v>
      </c>
      <c r="F18972" t="s">
        <v>18987</v>
      </c>
      <c r="G18972">
        <v>1</v>
      </c>
    </row>
    <row r="18973" spans="1:7" x14ac:dyDescent="0.25">
      <c r="A18973">
        <v>59</v>
      </c>
      <c r="B18973" t="s">
        <v>18487</v>
      </c>
      <c r="C18973">
        <v>1858</v>
      </c>
      <c r="D18973" t="str">
        <f>"0363-0234"</f>
        <v>0363-0234</v>
      </c>
      <c r="E18973" t="s">
        <v>8</v>
      </c>
      <c r="F18973" t="s">
        <v>18988</v>
      </c>
      <c r="G18973">
        <v>1</v>
      </c>
    </row>
    <row r="18974" spans="1:7" x14ac:dyDescent="0.25">
      <c r="A18974">
        <v>59</v>
      </c>
      <c r="B18974" t="s">
        <v>18487</v>
      </c>
      <c r="C18974">
        <v>7426</v>
      </c>
      <c r="D18974" t="str">
        <f>"1501-6994"</f>
        <v>1501-6994</v>
      </c>
      <c r="E18974" t="s">
        <v>8</v>
      </c>
      <c r="F18974" t="s">
        <v>18989</v>
      </c>
      <c r="G18974">
        <v>1</v>
      </c>
    </row>
    <row r="18975" spans="1:7" x14ac:dyDescent="0.25">
      <c r="A18975">
        <v>59</v>
      </c>
      <c r="B18975" t="s">
        <v>18487</v>
      </c>
      <c r="C18975">
        <v>71336</v>
      </c>
      <c r="D18975" t="str">
        <f>"0039-5560"</f>
        <v>0039-5560</v>
      </c>
      <c r="E18975" t="s">
        <v>8</v>
      </c>
      <c r="F18975" t="s">
        <v>18990</v>
      </c>
      <c r="G18975">
        <v>1</v>
      </c>
    </row>
    <row r="18976" spans="1:7" x14ac:dyDescent="0.25">
      <c r="A18976">
        <v>59</v>
      </c>
      <c r="B18976" t="s">
        <v>18487</v>
      </c>
      <c r="C18976">
        <v>2363</v>
      </c>
      <c r="D18976" t="str">
        <f>"0941-4355"</f>
        <v>0941-4355</v>
      </c>
      <c r="E18976" t="s">
        <v>8</v>
      </c>
      <c r="F18976" t="s">
        <v>18991</v>
      </c>
      <c r="G18976">
        <v>1</v>
      </c>
    </row>
    <row r="18977" spans="1:7" x14ac:dyDescent="0.25">
      <c r="A18977">
        <v>59</v>
      </c>
      <c r="B18977" t="s">
        <v>18487</v>
      </c>
      <c r="C18977">
        <v>9406</v>
      </c>
      <c r="D18977" t="str">
        <f>"1939-6368"</f>
        <v>1939-6368</v>
      </c>
      <c r="E18977" t="s">
        <v>8</v>
      </c>
      <c r="F18977" t="s">
        <v>18992</v>
      </c>
      <c r="G18977">
        <v>1</v>
      </c>
    </row>
    <row r="18978" spans="1:7" x14ac:dyDescent="0.25">
      <c r="A18978">
        <v>59</v>
      </c>
      <c r="B18978" t="s">
        <v>18487</v>
      </c>
      <c r="C18978">
        <v>9508</v>
      </c>
      <c r="D18978" t="str">
        <f>"0928-7329"</f>
        <v>0928-7329</v>
      </c>
      <c r="E18978" t="s">
        <v>8</v>
      </c>
      <c r="F18978" t="s">
        <v>18993</v>
      </c>
      <c r="G18978">
        <v>1</v>
      </c>
    </row>
    <row r="18979" spans="1:7" x14ac:dyDescent="0.25">
      <c r="A18979">
        <v>59</v>
      </c>
      <c r="B18979" t="s">
        <v>18487</v>
      </c>
      <c r="C18979">
        <v>153346</v>
      </c>
      <c r="D18979" t="str">
        <f>"1530-5627"</f>
        <v>1530-5627</v>
      </c>
      <c r="E18979" t="s">
        <v>8</v>
      </c>
      <c r="F18979" t="s">
        <v>18994</v>
      </c>
      <c r="G18979">
        <v>1</v>
      </c>
    </row>
    <row r="18980" spans="1:7" x14ac:dyDescent="0.25">
      <c r="A18980">
        <v>59</v>
      </c>
      <c r="B18980" t="s">
        <v>18487</v>
      </c>
      <c r="C18980">
        <v>5810</v>
      </c>
      <c r="D18980" t="str">
        <f>"1368-5538"</f>
        <v>1368-5538</v>
      </c>
      <c r="E18980" t="s">
        <v>8</v>
      </c>
      <c r="F18980" t="s">
        <v>18995</v>
      </c>
      <c r="G18980">
        <v>1</v>
      </c>
    </row>
    <row r="18981" spans="1:7" x14ac:dyDescent="0.25">
      <c r="A18981">
        <v>59</v>
      </c>
      <c r="B18981" t="s">
        <v>18487</v>
      </c>
      <c r="C18981">
        <v>6185</v>
      </c>
      <c r="D18981" t="str">
        <f>"1096-1860"</f>
        <v>1096-1860</v>
      </c>
      <c r="E18981" t="s">
        <v>8</v>
      </c>
      <c r="F18981" t="s">
        <v>18996</v>
      </c>
      <c r="G18981">
        <v>1</v>
      </c>
    </row>
    <row r="18982" spans="1:7" x14ac:dyDescent="0.25">
      <c r="A18982">
        <v>59</v>
      </c>
      <c r="B18982" t="s">
        <v>18487</v>
      </c>
      <c r="C18982">
        <v>9735</v>
      </c>
      <c r="D18982" t="str">
        <f>"1203-7796"</f>
        <v>1203-7796</v>
      </c>
      <c r="E18982" t="s">
        <v>8</v>
      </c>
      <c r="F18982" t="s">
        <v>18997</v>
      </c>
      <c r="G18982">
        <v>1</v>
      </c>
    </row>
    <row r="18983" spans="1:7" x14ac:dyDescent="0.25">
      <c r="A18983">
        <v>59</v>
      </c>
      <c r="B18983" t="s">
        <v>18487</v>
      </c>
      <c r="C18983">
        <v>11058</v>
      </c>
      <c r="D18983" t="str">
        <f>"1021-6790"</f>
        <v>1021-6790</v>
      </c>
      <c r="E18983" t="s">
        <v>8</v>
      </c>
      <c r="F18983" t="s">
        <v>18998</v>
      </c>
      <c r="G18983">
        <v>1</v>
      </c>
    </row>
    <row r="18984" spans="1:7" x14ac:dyDescent="0.25">
      <c r="A18984">
        <v>59</v>
      </c>
      <c r="B18984" t="s">
        <v>18487</v>
      </c>
      <c r="C18984">
        <v>7535</v>
      </c>
      <c r="D18984" t="str">
        <f>"1381-4788"</f>
        <v>1381-4788</v>
      </c>
      <c r="E18984" t="s">
        <v>8</v>
      </c>
      <c r="F18984" t="s">
        <v>18999</v>
      </c>
      <c r="G18984">
        <v>1</v>
      </c>
    </row>
    <row r="18985" spans="1:7" x14ac:dyDescent="0.25">
      <c r="A18985">
        <v>59</v>
      </c>
      <c r="B18985" t="s">
        <v>18487</v>
      </c>
      <c r="C18985">
        <v>11727</v>
      </c>
      <c r="D18985" t="str">
        <f>"1618-7598"</f>
        <v>1618-7598</v>
      </c>
      <c r="E18985" t="s">
        <v>8</v>
      </c>
      <c r="F18985" t="s">
        <v>19000</v>
      </c>
      <c r="G18985">
        <v>1</v>
      </c>
    </row>
    <row r="18986" spans="1:7" x14ac:dyDescent="0.25">
      <c r="A18986">
        <v>59</v>
      </c>
      <c r="B18986" t="s">
        <v>18487</v>
      </c>
      <c r="C18986">
        <v>20285</v>
      </c>
      <c r="D18986" t="str">
        <f>"1525-5794"</f>
        <v>1525-5794</v>
      </c>
      <c r="E18986" t="s">
        <v>8</v>
      </c>
      <c r="F18986" t="s">
        <v>19001</v>
      </c>
      <c r="G18986">
        <v>1</v>
      </c>
    </row>
    <row r="18987" spans="1:7" x14ac:dyDescent="0.25">
      <c r="A18987">
        <v>59</v>
      </c>
      <c r="B18987" t="s">
        <v>18487</v>
      </c>
      <c r="C18987">
        <v>14217</v>
      </c>
      <c r="D18987" t="str">
        <f>"0393-6155"</f>
        <v>0393-6155</v>
      </c>
      <c r="E18987" t="s">
        <v>8</v>
      </c>
      <c r="F18987" t="s">
        <v>19002</v>
      </c>
      <c r="G18987">
        <v>1</v>
      </c>
    </row>
    <row r="18988" spans="1:7" x14ac:dyDescent="0.25">
      <c r="A18988">
        <v>59</v>
      </c>
      <c r="B18988" t="s">
        <v>18487</v>
      </c>
      <c r="C18988">
        <v>5366</v>
      </c>
      <c r="D18988" t="str">
        <f>"0924-6479"</f>
        <v>0924-6479</v>
      </c>
      <c r="E18988" t="s">
        <v>8</v>
      </c>
      <c r="F18988" t="s">
        <v>19003</v>
      </c>
      <c r="G18988">
        <v>1</v>
      </c>
    </row>
    <row r="18989" spans="1:7" x14ac:dyDescent="0.25">
      <c r="A18989">
        <v>59</v>
      </c>
      <c r="B18989" t="s">
        <v>18487</v>
      </c>
      <c r="C18989">
        <v>15755</v>
      </c>
      <c r="D18989" t="str">
        <f>"1553-7250"</f>
        <v>1553-7250</v>
      </c>
      <c r="E18989" t="s">
        <v>8</v>
      </c>
      <c r="F18989" t="s">
        <v>19004</v>
      </c>
      <c r="G18989">
        <v>1</v>
      </c>
    </row>
    <row r="18990" spans="1:7" x14ac:dyDescent="0.25">
      <c r="A18990">
        <v>59</v>
      </c>
      <c r="B18990" t="s">
        <v>18487</v>
      </c>
      <c r="C18990">
        <v>8527</v>
      </c>
      <c r="D18990" t="str">
        <f>"1046-7890"</f>
        <v>1046-7890</v>
      </c>
      <c r="E18990" t="s">
        <v>8</v>
      </c>
      <c r="F18990" t="s">
        <v>19005</v>
      </c>
      <c r="G18990">
        <v>1</v>
      </c>
    </row>
    <row r="18991" spans="1:7" x14ac:dyDescent="0.25">
      <c r="A18991">
        <v>59</v>
      </c>
      <c r="B18991" t="s">
        <v>18487</v>
      </c>
      <c r="C18991">
        <v>6236</v>
      </c>
      <c r="D18991" t="str">
        <f>"0094-3509"</f>
        <v>0094-3509</v>
      </c>
      <c r="E18991" t="s">
        <v>8</v>
      </c>
      <c r="F18991" t="s">
        <v>19006</v>
      </c>
      <c r="G18991">
        <v>1</v>
      </c>
    </row>
    <row r="18992" spans="1:7" x14ac:dyDescent="0.25">
      <c r="A18992">
        <v>59</v>
      </c>
      <c r="B18992" t="s">
        <v>18487</v>
      </c>
      <c r="C18992">
        <v>3868</v>
      </c>
      <c r="D18992" t="str">
        <f>"1073-1105"</f>
        <v>1073-1105</v>
      </c>
      <c r="E18992" t="s">
        <v>8</v>
      </c>
      <c r="F18992" t="s">
        <v>19007</v>
      </c>
      <c r="G18992">
        <v>1</v>
      </c>
    </row>
    <row r="18993" spans="1:7" x14ac:dyDescent="0.25">
      <c r="A18993">
        <v>59</v>
      </c>
      <c r="B18993" t="s">
        <v>18487</v>
      </c>
      <c r="C18993">
        <v>16104</v>
      </c>
      <c r="D18993" t="str">
        <f>"0194-7648"</f>
        <v>0194-7648</v>
      </c>
      <c r="E18993" t="s">
        <v>8</v>
      </c>
      <c r="F18993" t="s">
        <v>19008</v>
      </c>
      <c r="G18993">
        <v>1</v>
      </c>
    </row>
    <row r="18994" spans="1:7" x14ac:dyDescent="0.25">
      <c r="A18994">
        <v>59</v>
      </c>
      <c r="B18994" t="s">
        <v>18487</v>
      </c>
      <c r="C18994">
        <v>14984</v>
      </c>
      <c r="D18994" t="str">
        <f>"0278-095X"</f>
        <v>0278-095X</v>
      </c>
      <c r="E18994" t="s">
        <v>8</v>
      </c>
      <c r="F18994" t="s">
        <v>19009</v>
      </c>
      <c r="G18994">
        <v>1</v>
      </c>
    </row>
    <row r="18995" spans="1:7" x14ac:dyDescent="0.25">
      <c r="A18995">
        <v>59</v>
      </c>
      <c r="B18995" t="s">
        <v>18487</v>
      </c>
      <c r="C18995">
        <v>932</v>
      </c>
      <c r="D18995" t="str">
        <f>"0890-765X"</f>
        <v>0890-765X</v>
      </c>
      <c r="E18995" t="s">
        <v>8</v>
      </c>
      <c r="F18995" t="s">
        <v>19010</v>
      </c>
      <c r="G18995">
        <v>1</v>
      </c>
    </row>
    <row r="18996" spans="1:7" x14ac:dyDescent="0.25">
      <c r="A18996">
        <v>59</v>
      </c>
      <c r="B18996" t="s">
        <v>18487</v>
      </c>
      <c r="C18996">
        <v>8782512</v>
      </c>
      <c r="D18996" t="str">
        <f>"2468-2667 "</f>
        <v xml:space="preserve">2468-2667 </v>
      </c>
      <c r="E18996" t="s">
        <v>8</v>
      </c>
      <c r="F18996" t="s">
        <v>19011</v>
      </c>
      <c r="G18996">
        <v>1</v>
      </c>
    </row>
    <row r="18997" spans="1:7" x14ac:dyDescent="0.25">
      <c r="A18997">
        <v>59</v>
      </c>
      <c r="B18997" t="s">
        <v>18487</v>
      </c>
      <c r="C18997">
        <v>8764</v>
      </c>
      <c r="D18997" t="str">
        <f>"0887-378X"</f>
        <v>0887-378X</v>
      </c>
      <c r="E18997" t="s">
        <v>8</v>
      </c>
      <c r="F18997" t="s">
        <v>19012</v>
      </c>
      <c r="G18997">
        <v>1</v>
      </c>
    </row>
    <row r="18998" spans="1:7" x14ac:dyDescent="0.25">
      <c r="A18998">
        <v>59</v>
      </c>
      <c r="B18998" t="s">
        <v>18487</v>
      </c>
      <c r="C18998">
        <v>13572</v>
      </c>
      <c r="D18998" t="str">
        <f>"0972-5997"</f>
        <v>0972-5997</v>
      </c>
      <c r="E18998" t="s">
        <v>8</v>
      </c>
      <c r="F18998" t="s">
        <v>19013</v>
      </c>
      <c r="G18998">
        <v>1</v>
      </c>
    </row>
    <row r="18999" spans="1:7" x14ac:dyDescent="0.25">
      <c r="A18999">
        <v>59</v>
      </c>
      <c r="B18999" t="s">
        <v>18487</v>
      </c>
      <c r="C18999">
        <v>97911</v>
      </c>
      <c r="D18999" t="str">
        <f>"1178-1653"</f>
        <v>1178-1653</v>
      </c>
      <c r="E18999" t="s">
        <v>8</v>
      </c>
      <c r="F18999" t="s">
        <v>19014</v>
      </c>
      <c r="G18999">
        <v>1</v>
      </c>
    </row>
    <row r="19000" spans="1:7" x14ac:dyDescent="0.25">
      <c r="A19000">
        <v>59</v>
      </c>
      <c r="B19000" t="s">
        <v>18487</v>
      </c>
      <c r="C19000">
        <v>8369</v>
      </c>
      <c r="D19000" t="str">
        <f>"0032-6518"</f>
        <v>0032-6518</v>
      </c>
      <c r="E19000" t="s">
        <v>8</v>
      </c>
      <c r="F19000" t="s">
        <v>19015</v>
      </c>
      <c r="G19000">
        <v>1</v>
      </c>
    </row>
    <row r="19001" spans="1:7" x14ac:dyDescent="0.25">
      <c r="A19001">
        <v>59</v>
      </c>
      <c r="B19001" t="s">
        <v>18487</v>
      </c>
      <c r="C19001">
        <v>16483</v>
      </c>
      <c r="D19001" t="str">
        <f>"0042-8639"</f>
        <v>0042-8639</v>
      </c>
      <c r="E19001" t="s">
        <v>8</v>
      </c>
      <c r="F19001" t="s">
        <v>19016</v>
      </c>
      <c r="G19001">
        <v>1</v>
      </c>
    </row>
    <row r="19002" spans="1:7" x14ac:dyDescent="0.25">
      <c r="A19002">
        <v>59</v>
      </c>
      <c r="B19002" t="s">
        <v>18487</v>
      </c>
      <c r="C19002">
        <v>6067</v>
      </c>
      <c r="D19002" t="str">
        <f>"1463-922X"</f>
        <v>1463-922X</v>
      </c>
      <c r="E19002" t="s">
        <v>8</v>
      </c>
      <c r="F19002" t="s">
        <v>19017</v>
      </c>
      <c r="G19002">
        <v>1</v>
      </c>
    </row>
    <row r="19003" spans="1:7" x14ac:dyDescent="0.25">
      <c r="A19003">
        <v>59</v>
      </c>
      <c r="B19003" t="s">
        <v>18487</v>
      </c>
      <c r="C19003">
        <v>12423</v>
      </c>
      <c r="D19003" t="str">
        <f>"0040-5930"</f>
        <v>0040-5930</v>
      </c>
      <c r="E19003" t="s">
        <v>8</v>
      </c>
      <c r="F19003" t="s">
        <v>19018</v>
      </c>
      <c r="G19003">
        <v>1</v>
      </c>
    </row>
    <row r="19004" spans="1:7" x14ac:dyDescent="0.25">
      <c r="A19004">
        <v>59</v>
      </c>
      <c r="B19004" t="s">
        <v>18487</v>
      </c>
      <c r="C19004">
        <v>11821</v>
      </c>
      <c r="D19004" t="str">
        <f>"1604-3405"</f>
        <v>1604-3405</v>
      </c>
      <c r="E19004" t="s">
        <v>8</v>
      </c>
      <c r="F19004" t="s">
        <v>19019</v>
      </c>
      <c r="G19004">
        <v>1</v>
      </c>
    </row>
    <row r="19005" spans="1:7" x14ac:dyDescent="0.25">
      <c r="A19005">
        <v>59</v>
      </c>
      <c r="B19005" t="s">
        <v>18487</v>
      </c>
      <c r="C19005">
        <v>758</v>
      </c>
      <c r="D19005" t="str">
        <f>"1583-5251"</f>
        <v>1583-5251</v>
      </c>
      <c r="E19005" t="s">
        <v>8</v>
      </c>
      <c r="F19005" t="s">
        <v>19020</v>
      </c>
      <c r="G19005">
        <v>1</v>
      </c>
    </row>
    <row r="19006" spans="1:7" x14ac:dyDescent="0.25">
      <c r="A19006">
        <v>59</v>
      </c>
      <c r="B19006" t="s">
        <v>18487</v>
      </c>
      <c r="C19006">
        <v>1202</v>
      </c>
      <c r="D19006" t="str">
        <f>"0883-5691"</f>
        <v>0883-5691</v>
      </c>
      <c r="E19006" t="s">
        <v>8</v>
      </c>
      <c r="F19006" t="s">
        <v>19021</v>
      </c>
      <c r="G19006">
        <v>1</v>
      </c>
    </row>
    <row r="19007" spans="1:7" x14ac:dyDescent="0.25">
      <c r="A19007">
        <v>59</v>
      </c>
      <c r="B19007" t="s">
        <v>18487</v>
      </c>
      <c r="C19007">
        <v>7450</v>
      </c>
      <c r="D19007" t="str">
        <f>"0882-7524"</f>
        <v>0882-7524</v>
      </c>
      <c r="E19007" t="s">
        <v>8</v>
      </c>
      <c r="F19007" t="s">
        <v>19022</v>
      </c>
      <c r="G19007">
        <v>1</v>
      </c>
    </row>
    <row r="19008" spans="1:7" x14ac:dyDescent="0.25">
      <c r="A19008">
        <v>59</v>
      </c>
      <c r="B19008" t="s">
        <v>18487</v>
      </c>
      <c r="C19008">
        <v>2253</v>
      </c>
      <c r="D19008" t="str">
        <f>"0271-8294"</f>
        <v>0271-8294</v>
      </c>
      <c r="E19008" t="s">
        <v>8</v>
      </c>
      <c r="F19008" t="s">
        <v>19023</v>
      </c>
      <c r="G19008">
        <v>1</v>
      </c>
    </row>
    <row r="19009" spans="1:7" x14ac:dyDescent="0.25">
      <c r="A19009">
        <v>59</v>
      </c>
      <c r="B19009" t="s">
        <v>18487</v>
      </c>
      <c r="C19009">
        <v>3806</v>
      </c>
      <c r="D19009" t="str">
        <f>"0035-9203"</f>
        <v>0035-9203</v>
      </c>
      <c r="E19009" t="s">
        <v>8</v>
      </c>
      <c r="F19009" t="s">
        <v>19024</v>
      </c>
      <c r="G19009">
        <v>1</v>
      </c>
    </row>
    <row r="19010" spans="1:7" x14ac:dyDescent="0.25">
      <c r="A19010">
        <v>59</v>
      </c>
      <c r="B19010" t="s">
        <v>18487</v>
      </c>
      <c r="C19010">
        <v>17697</v>
      </c>
      <c r="D19010" t="str">
        <f>"1745-6215"</f>
        <v>1745-6215</v>
      </c>
      <c r="E19010" t="s">
        <v>8</v>
      </c>
      <c r="F19010" t="s">
        <v>19025</v>
      </c>
      <c r="G19010">
        <v>1</v>
      </c>
    </row>
    <row r="19011" spans="1:7" x14ac:dyDescent="0.25">
      <c r="A19011">
        <v>59</v>
      </c>
      <c r="B19011" t="s">
        <v>18487</v>
      </c>
      <c r="C19011">
        <v>8431</v>
      </c>
      <c r="D19011" t="str">
        <f>"0049-4755"</f>
        <v>0049-4755</v>
      </c>
      <c r="E19011" t="s">
        <v>8</v>
      </c>
      <c r="F19011" t="s">
        <v>19026</v>
      </c>
      <c r="G19011">
        <v>1</v>
      </c>
    </row>
    <row r="19012" spans="1:7" x14ac:dyDescent="0.25">
      <c r="A19012">
        <v>59</v>
      </c>
      <c r="B19012" t="s">
        <v>18487</v>
      </c>
      <c r="C19012">
        <v>12522</v>
      </c>
      <c r="D19012" t="str">
        <f>"1832-4274"</f>
        <v>1832-4274</v>
      </c>
      <c r="E19012" t="s">
        <v>8</v>
      </c>
      <c r="F19012" t="s">
        <v>19027</v>
      </c>
      <c r="G19012">
        <v>1</v>
      </c>
    </row>
    <row r="19013" spans="1:7" x14ac:dyDescent="0.25">
      <c r="A19013">
        <v>59</v>
      </c>
      <c r="B19013" t="s">
        <v>18487</v>
      </c>
      <c r="C19013">
        <v>3092</v>
      </c>
      <c r="D19013" t="str">
        <f>"1066-2936"</f>
        <v>1066-2936</v>
      </c>
      <c r="E19013" t="s">
        <v>8</v>
      </c>
      <c r="F19013" t="s">
        <v>19028</v>
      </c>
      <c r="G19013">
        <v>1</v>
      </c>
    </row>
    <row r="19014" spans="1:7" x14ac:dyDescent="0.25">
      <c r="A19014">
        <v>59</v>
      </c>
      <c r="B19014" t="s">
        <v>18487</v>
      </c>
      <c r="C19014">
        <v>1243</v>
      </c>
      <c r="D19014" t="str">
        <f>"0512-3054"</f>
        <v>0512-3054</v>
      </c>
      <c r="E19014" t="s">
        <v>15</v>
      </c>
      <c r="F19014" t="s">
        <v>19029</v>
      </c>
      <c r="G19014">
        <v>1</v>
      </c>
    </row>
    <row r="19015" spans="1:7" x14ac:dyDescent="0.25">
      <c r="A19015">
        <v>59</v>
      </c>
      <c r="B19015" t="s">
        <v>18487</v>
      </c>
      <c r="C19015">
        <v>6796</v>
      </c>
      <c r="D19015" t="str">
        <f>"1080-6032"</f>
        <v>1080-6032</v>
      </c>
      <c r="E19015" t="s">
        <v>8</v>
      </c>
      <c r="F19015" t="s">
        <v>19030</v>
      </c>
      <c r="G19015">
        <v>1</v>
      </c>
    </row>
    <row r="19016" spans="1:7" x14ac:dyDescent="0.25">
      <c r="A19016">
        <v>59</v>
      </c>
      <c r="B19016" t="s">
        <v>18487</v>
      </c>
      <c r="C19016">
        <v>1991</v>
      </c>
      <c r="D19016" t="str">
        <f>"0363-0242"</f>
        <v>0363-0242</v>
      </c>
      <c r="E19016" t="s">
        <v>8</v>
      </c>
      <c r="F19016" t="s">
        <v>19031</v>
      </c>
      <c r="G19016">
        <v>1</v>
      </c>
    </row>
    <row r="19017" spans="1:7" x14ac:dyDescent="0.25">
      <c r="A19017">
        <v>59</v>
      </c>
      <c r="B19017" t="s">
        <v>18487</v>
      </c>
      <c r="C19017">
        <v>21384</v>
      </c>
      <c r="D19017" t="str">
        <f>"1871-5192"</f>
        <v>1871-5192</v>
      </c>
      <c r="E19017" t="s">
        <v>8</v>
      </c>
      <c r="F19017" t="s">
        <v>19032</v>
      </c>
      <c r="G19017">
        <v>1</v>
      </c>
    </row>
    <row r="19018" spans="1:7" x14ac:dyDescent="0.25">
      <c r="A19018">
        <v>59</v>
      </c>
      <c r="B19018" t="s">
        <v>18487</v>
      </c>
      <c r="C19018">
        <v>11644</v>
      </c>
      <c r="D19018" t="str">
        <f>"1049-3867"</f>
        <v>1049-3867</v>
      </c>
      <c r="E19018" t="s">
        <v>8</v>
      </c>
      <c r="F19018" t="s">
        <v>19033</v>
      </c>
      <c r="G19018">
        <v>1</v>
      </c>
    </row>
    <row r="19019" spans="1:7" x14ac:dyDescent="0.25">
      <c r="A19019">
        <v>59</v>
      </c>
      <c r="B19019" t="s">
        <v>18487</v>
      </c>
      <c r="C19019">
        <v>3262</v>
      </c>
      <c r="D19019" t="str">
        <f>"1051-9815"</f>
        <v>1051-9815</v>
      </c>
      <c r="E19019" t="s">
        <v>8</v>
      </c>
      <c r="F19019" t="s">
        <v>19034</v>
      </c>
      <c r="G19019">
        <v>1</v>
      </c>
    </row>
    <row r="19020" spans="1:7" x14ac:dyDescent="0.25">
      <c r="A19020">
        <v>59</v>
      </c>
      <c r="B19020" t="s">
        <v>18487</v>
      </c>
      <c r="C19020">
        <v>138741</v>
      </c>
      <c r="D19020" t="str">
        <f>"1366-3666"</f>
        <v>1366-3666</v>
      </c>
      <c r="E19020" t="s">
        <v>8</v>
      </c>
      <c r="F19020" t="s">
        <v>19035</v>
      </c>
      <c r="G19020">
        <v>1</v>
      </c>
    </row>
    <row r="19021" spans="1:7" x14ac:dyDescent="0.25">
      <c r="A19021">
        <v>59</v>
      </c>
      <c r="B19021" t="s">
        <v>18487</v>
      </c>
      <c r="C19021">
        <v>15626</v>
      </c>
      <c r="D19021" t="str">
        <f>"0342-300X"</f>
        <v>0342-300X</v>
      </c>
      <c r="E19021" t="s">
        <v>8</v>
      </c>
      <c r="F19021" t="s">
        <v>19036</v>
      </c>
      <c r="G19021">
        <v>1</v>
      </c>
    </row>
    <row r="19022" spans="1:7" x14ac:dyDescent="0.25">
      <c r="A19022">
        <v>59</v>
      </c>
      <c r="B19022" t="s">
        <v>18487</v>
      </c>
      <c r="C19022">
        <v>25694</v>
      </c>
      <c r="D19022" t="str">
        <f>"1865-9217"</f>
        <v>1865-9217</v>
      </c>
      <c r="E19022" t="s">
        <v>8</v>
      </c>
      <c r="F19022" t="s">
        <v>19037</v>
      </c>
      <c r="G19022">
        <v>1</v>
      </c>
    </row>
    <row r="19023" spans="1:7" x14ac:dyDescent="0.25">
      <c r="A19023">
        <v>6</v>
      </c>
      <c r="B19023" t="s">
        <v>19038</v>
      </c>
      <c r="C19023">
        <v>11229</v>
      </c>
      <c r="D19023" t="str">
        <f>"0003-7982"</f>
        <v>0003-7982</v>
      </c>
      <c r="E19023" t="s">
        <v>8</v>
      </c>
      <c r="F19023" t="s">
        <v>19039</v>
      </c>
      <c r="G19023">
        <v>2</v>
      </c>
    </row>
    <row r="19024" spans="1:7" x14ac:dyDescent="0.25">
      <c r="A19024">
        <v>6</v>
      </c>
      <c r="B19024" t="s">
        <v>19038</v>
      </c>
      <c r="C19024">
        <v>2057</v>
      </c>
      <c r="D19024" t="str">
        <f>"0190-3659"</f>
        <v>0190-3659</v>
      </c>
      <c r="E19024" t="s">
        <v>8</v>
      </c>
      <c r="F19024" t="s">
        <v>19040</v>
      </c>
      <c r="G19024">
        <v>2</v>
      </c>
    </row>
    <row r="19025" spans="1:7" x14ac:dyDescent="0.25">
      <c r="A19025">
        <v>6</v>
      </c>
      <c r="B19025" t="s">
        <v>19038</v>
      </c>
      <c r="C19025">
        <v>460</v>
      </c>
      <c r="D19025" t="str">
        <f>"0007-0904"</f>
        <v>0007-0904</v>
      </c>
      <c r="E19025" t="s">
        <v>8</v>
      </c>
      <c r="F19025" t="s">
        <v>19041</v>
      </c>
      <c r="G19025">
        <v>2</v>
      </c>
    </row>
    <row r="19026" spans="1:7" x14ac:dyDescent="0.25">
      <c r="A19026">
        <v>6</v>
      </c>
      <c r="B19026" t="s">
        <v>19038</v>
      </c>
      <c r="C19026">
        <v>6053189</v>
      </c>
      <c r="E19026" t="s">
        <v>15</v>
      </c>
      <c r="F19026" t="s">
        <v>19042</v>
      </c>
      <c r="G19026">
        <v>2</v>
      </c>
    </row>
    <row r="19027" spans="1:7" x14ac:dyDescent="0.25">
      <c r="A19027">
        <v>6</v>
      </c>
      <c r="B19027" t="s">
        <v>19038</v>
      </c>
      <c r="C19027">
        <v>33788</v>
      </c>
      <c r="D19027" t="str">
        <f>"0959-5767"</f>
        <v>0959-5767</v>
      </c>
      <c r="E19027" t="s">
        <v>15</v>
      </c>
      <c r="F19027" t="s">
        <v>19043</v>
      </c>
      <c r="G19027">
        <v>2</v>
      </c>
    </row>
    <row r="19028" spans="1:7" x14ac:dyDescent="0.25">
      <c r="A19028">
        <v>6</v>
      </c>
      <c r="B19028" t="s">
        <v>19038</v>
      </c>
      <c r="C19028">
        <v>61087</v>
      </c>
      <c r="D19028" t="str">
        <f>"1747-3136"</f>
        <v>1747-3136</v>
      </c>
      <c r="E19028" t="s">
        <v>15</v>
      </c>
      <c r="F19028" t="s">
        <v>19044</v>
      </c>
      <c r="G19028">
        <v>2</v>
      </c>
    </row>
    <row r="19029" spans="1:7" x14ac:dyDescent="0.25">
      <c r="A19029">
        <v>6</v>
      </c>
      <c r="B19029" t="s">
        <v>19038</v>
      </c>
      <c r="C19029">
        <v>129861</v>
      </c>
      <c r="D19029" t="str">
        <f>"1747-3926"</f>
        <v>1747-3926</v>
      </c>
      <c r="E19029" t="s">
        <v>15</v>
      </c>
      <c r="F19029" t="s">
        <v>19045</v>
      </c>
      <c r="G19029">
        <v>2</v>
      </c>
    </row>
    <row r="19030" spans="1:7" x14ac:dyDescent="0.25">
      <c r="A19030">
        <v>6</v>
      </c>
      <c r="B19030" t="s">
        <v>19038</v>
      </c>
      <c r="C19030">
        <v>88684</v>
      </c>
      <c r="D19030" t="str">
        <f>"1747-3934"</f>
        <v>1747-3934</v>
      </c>
      <c r="E19030" t="s">
        <v>15</v>
      </c>
      <c r="F19030" t="s">
        <v>19046</v>
      </c>
      <c r="G19030">
        <v>2</v>
      </c>
    </row>
    <row r="19031" spans="1:7" x14ac:dyDescent="0.25">
      <c r="A19031">
        <v>6</v>
      </c>
      <c r="B19031" t="s">
        <v>19038</v>
      </c>
      <c r="C19031">
        <v>8782494</v>
      </c>
      <c r="E19031" t="s">
        <v>8</v>
      </c>
      <c r="F19031" t="s">
        <v>19047</v>
      </c>
      <c r="G19031">
        <v>2</v>
      </c>
    </row>
    <row r="19032" spans="1:7" x14ac:dyDescent="0.25">
      <c r="A19032">
        <v>6</v>
      </c>
      <c r="B19032" t="s">
        <v>19038</v>
      </c>
      <c r="C19032">
        <v>6436</v>
      </c>
      <c r="D19032" t="str">
        <f>"0238-0668"</f>
        <v>0238-0668</v>
      </c>
      <c r="E19032" t="s">
        <v>15</v>
      </c>
      <c r="F19032" t="s">
        <v>19048</v>
      </c>
      <c r="G19032">
        <v>2</v>
      </c>
    </row>
    <row r="19033" spans="1:7" x14ac:dyDescent="0.25">
      <c r="A19033">
        <v>6</v>
      </c>
      <c r="B19033" t="s">
        <v>19038</v>
      </c>
      <c r="C19033">
        <v>13189</v>
      </c>
      <c r="D19033" t="str">
        <f>"0010-4124"</f>
        <v>0010-4124</v>
      </c>
      <c r="E19033" t="s">
        <v>8</v>
      </c>
      <c r="F19033" t="s">
        <v>19049</v>
      </c>
      <c r="G19033">
        <v>2</v>
      </c>
    </row>
    <row r="19034" spans="1:7" x14ac:dyDescent="0.25">
      <c r="A19034">
        <v>6</v>
      </c>
      <c r="B19034" t="s">
        <v>19038</v>
      </c>
      <c r="C19034">
        <v>14727</v>
      </c>
      <c r="D19034" t="str">
        <f>"0010-4132"</f>
        <v>0010-4132</v>
      </c>
      <c r="E19034" t="s">
        <v>8</v>
      </c>
      <c r="F19034" t="s">
        <v>19050</v>
      </c>
      <c r="G19034">
        <v>2</v>
      </c>
    </row>
    <row r="19035" spans="1:7" x14ac:dyDescent="0.25">
      <c r="A19035">
        <v>6</v>
      </c>
      <c r="B19035" t="s">
        <v>19038</v>
      </c>
      <c r="C19035">
        <v>170388</v>
      </c>
      <c r="E19035" t="s">
        <v>15</v>
      </c>
      <c r="F19035" t="s">
        <v>19051</v>
      </c>
      <c r="G19035">
        <v>2</v>
      </c>
    </row>
    <row r="19036" spans="1:7" x14ac:dyDescent="0.25">
      <c r="A19036">
        <v>6</v>
      </c>
      <c r="B19036" t="s">
        <v>19038</v>
      </c>
      <c r="C19036">
        <v>5746</v>
      </c>
      <c r="D19036" t="str">
        <f>"0011-1562"</f>
        <v>0011-1562</v>
      </c>
      <c r="E19036" t="s">
        <v>8</v>
      </c>
      <c r="F19036" t="s">
        <v>19052</v>
      </c>
      <c r="G19036">
        <v>2</v>
      </c>
    </row>
    <row r="19037" spans="1:7" x14ac:dyDescent="0.25">
      <c r="A19037">
        <v>6</v>
      </c>
      <c r="B19037" t="s">
        <v>19038</v>
      </c>
      <c r="C19037">
        <v>5994</v>
      </c>
      <c r="D19037" t="str">
        <f>"0011-1589"</f>
        <v>0011-1589</v>
      </c>
      <c r="E19037" t="s">
        <v>8</v>
      </c>
      <c r="F19037" t="s">
        <v>19053</v>
      </c>
      <c r="G19037">
        <v>2</v>
      </c>
    </row>
    <row r="19038" spans="1:7" x14ac:dyDescent="0.25">
      <c r="A19038">
        <v>6</v>
      </c>
      <c r="B19038" t="s">
        <v>19038</v>
      </c>
      <c r="C19038">
        <v>5798</v>
      </c>
      <c r="D19038" t="str">
        <f>"0011-1600"</f>
        <v>0011-1600</v>
      </c>
      <c r="E19038" t="s">
        <v>8</v>
      </c>
      <c r="F19038" t="s">
        <v>19054</v>
      </c>
      <c r="G19038">
        <v>2</v>
      </c>
    </row>
    <row r="19039" spans="1:7" x14ac:dyDescent="0.25">
      <c r="A19039">
        <v>6</v>
      </c>
      <c r="B19039" t="s">
        <v>19038</v>
      </c>
      <c r="C19039">
        <v>9405</v>
      </c>
      <c r="D19039" t="str">
        <f>"0924-1426"</f>
        <v>0924-1426</v>
      </c>
      <c r="E19039" t="s">
        <v>15</v>
      </c>
      <c r="F19039" t="s">
        <v>19055</v>
      </c>
      <c r="G19039">
        <v>2</v>
      </c>
    </row>
    <row r="19040" spans="1:7" x14ac:dyDescent="0.25">
      <c r="A19040">
        <v>6</v>
      </c>
      <c r="B19040" t="s">
        <v>19038</v>
      </c>
      <c r="C19040">
        <v>6079575</v>
      </c>
      <c r="E19040" t="s">
        <v>15</v>
      </c>
      <c r="F19040" t="s">
        <v>19056</v>
      </c>
      <c r="G19040">
        <v>2</v>
      </c>
    </row>
    <row r="19041" spans="1:7" x14ac:dyDescent="0.25">
      <c r="A19041">
        <v>6</v>
      </c>
      <c r="B19041" t="s">
        <v>19038</v>
      </c>
      <c r="C19041">
        <v>6655</v>
      </c>
      <c r="D19041" t="str">
        <f>"0300-7162"</f>
        <v>0300-7162</v>
      </c>
      <c r="E19041" t="s">
        <v>8</v>
      </c>
      <c r="F19041" t="s">
        <v>19057</v>
      </c>
      <c r="G19041">
        <v>2</v>
      </c>
    </row>
    <row r="19042" spans="1:7" x14ac:dyDescent="0.25">
      <c r="A19042">
        <v>6</v>
      </c>
      <c r="B19042" t="s">
        <v>19038</v>
      </c>
      <c r="C19042">
        <v>6094653</v>
      </c>
      <c r="E19042" t="s">
        <v>15</v>
      </c>
      <c r="F19042" t="s">
        <v>19058</v>
      </c>
      <c r="G19042">
        <v>2</v>
      </c>
    </row>
    <row r="19043" spans="1:7" x14ac:dyDescent="0.25">
      <c r="A19043">
        <v>6</v>
      </c>
      <c r="B19043" t="s">
        <v>19038</v>
      </c>
      <c r="C19043">
        <v>2443</v>
      </c>
      <c r="D19043" t="str">
        <f>"0093-8297"</f>
        <v>0093-8297</v>
      </c>
      <c r="E19043" t="s">
        <v>8</v>
      </c>
      <c r="F19043" t="s">
        <v>19059</v>
      </c>
      <c r="G19043">
        <v>2</v>
      </c>
    </row>
    <row r="19044" spans="1:7" x14ac:dyDescent="0.25">
      <c r="A19044">
        <v>6</v>
      </c>
      <c r="B19044" t="s">
        <v>19038</v>
      </c>
      <c r="C19044">
        <v>145588</v>
      </c>
      <c r="D19044" t="str">
        <f>"0929-6999"</f>
        <v>0929-6999</v>
      </c>
      <c r="E19044" t="s">
        <v>15</v>
      </c>
      <c r="F19044" t="s">
        <v>19060</v>
      </c>
      <c r="G19044">
        <v>2</v>
      </c>
    </row>
    <row r="19045" spans="1:7" x14ac:dyDescent="0.25">
      <c r="A19045">
        <v>6</v>
      </c>
      <c r="B19045" t="s">
        <v>19038</v>
      </c>
      <c r="C19045">
        <v>6175</v>
      </c>
      <c r="D19045" t="str">
        <f>"0022-281X"</f>
        <v>0022-281X</v>
      </c>
      <c r="E19045" t="s">
        <v>8</v>
      </c>
      <c r="F19045" t="s">
        <v>19061</v>
      </c>
      <c r="G19045">
        <v>2</v>
      </c>
    </row>
    <row r="19046" spans="1:7" x14ac:dyDescent="0.25">
      <c r="A19046">
        <v>6</v>
      </c>
      <c r="B19046" t="s">
        <v>19038</v>
      </c>
      <c r="C19046">
        <v>8775288</v>
      </c>
      <c r="D19046" t="str">
        <f>"2405-6472"</f>
        <v>2405-6472</v>
      </c>
      <c r="E19046" t="s">
        <v>8</v>
      </c>
      <c r="F19046" t="s">
        <v>19062</v>
      </c>
      <c r="G19046">
        <v>2</v>
      </c>
    </row>
    <row r="19047" spans="1:7" x14ac:dyDescent="0.25">
      <c r="A19047">
        <v>6</v>
      </c>
      <c r="B19047" t="s">
        <v>19038</v>
      </c>
      <c r="C19047">
        <v>100244</v>
      </c>
      <c r="D19047" t="str">
        <f>"1543-7442"</f>
        <v>1543-7442</v>
      </c>
      <c r="E19047" t="s">
        <v>15</v>
      </c>
      <c r="F19047" t="s">
        <v>19063</v>
      </c>
      <c r="G19047">
        <v>2</v>
      </c>
    </row>
    <row r="19048" spans="1:7" x14ac:dyDescent="0.25">
      <c r="A19048">
        <v>6</v>
      </c>
      <c r="B19048" t="s">
        <v>19038</v>
      </c>
      <c r="C19048">
        <v>2249</v>
      </c>
      <c r="D19048" t="str">
        <f>"1092-6488"</f>
        <v>1092-6488</v>
      </c>
      <c r="E19048" t="s">
        <v>8</v>
      </c>
      <c r="F19048" t="s">
        <v>19064</v>
      </c>
      <c r="G19048">
        <v>2</v>
      </c>
    </row>
    <row r="19049" spans="1:7" x14ac:dyDescent="0.25">
      <c r="A19049">
        <v>6</v>
      </c>
      <c r="B19049" t="s">
        <v>19038</v>
      </c>
      <c r="C19049">
        <v>13550</v>
      </c>
      <c r="D19049" t="str">
        <f>"0026-7724"</f>
        <v>0026-7724</v>
      </c>
      <c r="E19049" t="s">
        <v>8</v>
      </c>
      <c r="F19049" t="s">
        <v>19065</v>
      </c>
      <c r="G19049">
        <v>2</v>
      </c>
    </row>
    <row r="19050" spans="1:7" x14ac:dyDescent="0.25">
      <c r="A19050">
        <v>6</v>
      </c>
      <c r="B19050" t="s">
        <v>19038</v>
      </c>
      <c r="C19050">
        <v>12159</v>
      </c>
      <c r="D19050" t="str">
        <f>"0026-7929"</f>
        <v>0026-7929</v>
      </c>
      <c r="E19050" t="s">
        <v>8</v>
      </c>
      <c r="F19050" t="s">
        <v>19066</v>
      </c>
      <c r="G19050">
        <v>2</v>
      </c>
    </row>
    <row r="19051" spans="1:7" x14ac:dyDescent="0.25">
      <c r="A19051">
        <v>6</v>
      </c>
      <c r="B19051" t="s">
        <v>19038</v>
      </c>
      <c r="C19051">
        <v>6528</v>
      </c>
      <c r="D19051" t="str">
        <f>"1071-6068"</f>
        <v>1071-6068</v>
      </c>
      <c r="E19051" t="s">
        <v>8</v>
      </c>
      <c r="F19051" t="s">
        <v>19067</v>
      </c>
      <c r="G19051">
        <v>2</v>
      </c>
    </row>
    <row r="19052" spans="1:7" x14ac:dyDescent="0.25">
      <c r="A19052">
        <v>6</v>
      </c>
      <c r="B19052" t="s">
        <v>19038</v>
      </c>
      <c r="C19052">
        <v>6212</v>
      </c>
      <c r="D19052" t="str">
        <f>"0027-1276"</f>
        <v>0027-1276</v>
      </c>
      <c r="E19052" t="s">
        <v>8</v>
      </c>
      <c r="F19052" t="s">
        <v>19068</v>
      </c>
      <c r="G19052">
        <v>2</v>
      </c>
    </row>
    <row r="19053" spans="1:7" x14ac:dyDescent="0.25">
      <c r="A19053">
        <v>6</v>
      </c>
      <c r="B19053" t="s">
        <v>19038</v>
      </c>
      <c r="C19053">
        <v>13040</v>
      </c>
      <c r="D19053" t="str">
        <f>"1063-3685"</f>
        <v>1063-3685</v>
      </c>
      <c r="E19053" t="s">
        <v>8</v>
      </c>
      <c r="F19053" t="s">
        <v>19069</v>
      </c>
      <c r="G19053">
        <v>2</v>
      </c>
    </row>
    <row r="19054" spans="1:7" x14ac:dyDescent="0.25">
      <c r="A19054">
        <v>6</v>
      </c>
      <c r="B19054" t="s">
        <v>19038</v>
      </c>
      <c r="C19054">
        <v>16379</v>
      </c>
      <c r="D19054" t="str">
        <f>"0028-6087"</f>
        <v>0028-6087</v>
      </c>
      <c r="E19054" t="s">
        <v>8</v>
      </c>
      <c r="F19054" t="s">
        <v>19070</v>
      </c>
      <c r="G19054">
        <v>2</v>
      </c>
    </row>
    <row r="19055" spans="1:7" x14ac:dyDescent="0.25">
      <c r="A19055">
        <v>6</v>
      </c>
      <c r="B19055" t="s">
        <v>19038</v>
      </c>
      <c r="C19055">
        <v>7481</v>
      </c>
      <c r="D19055" t="str">
        <f>"0029-5132"</f>
        <v>0029-5132</v>
      </c>
      <c r="E19055" t="s">
        <v>8</v>
      </c>
      <c r="F19055" t="s">
        <v>19071</v>
      </c>
      <c r="G19055">
        <v>2</v>
      </c>
    </row>
    <row r="19056" spans="1:7" x14ac:dyDescent="0.25">
      <c r="A19056">
        <v>6</v>
      </c>
      <c r="B19056" t="s">
        <v>19038</v>
      </c>
      <c r="C19056">
        <v>12734</v>
      </c>
      <c r="D19056" t="str">
        <f>"0105-7510"</f>
        <v>0105-7510</v>
      </c>
      <c r="E19056" t="s">
        <v>8</v>
      </c>
      <c r="F19056" t="s">
        <v>19072</v>
      </c>
      <c r="G19056">
        <v>2</v>
      </c>
    </row>
    <row r="19057" spans="1:7" x14ac:dyDescent="0.25">
      <c r="A19057">
        <v>6</v>
      </c>
      <c r="B19057" t="s">
        <v>19038</v>
      </c>
      <c r="C19057">
        <v>13061</v>
      </c>
      <c r="D19057" t="str">
        <f>"0264-8334"</f>
        <v>0264-8334</v>
      </c>
      <c r="E19057" t="s">
        <v>8</v>
      </c>
      <c r="F19057" t="s">
        <v>19073</v>
      </c>
      <c r="G19057">
        <v>2</v>
      </c>
    </row>
    <row r="19058" spans="1:7" x14ac:dyDescent="0.25">
      <c r="A19058">
        <v>6</v>
      </c>
      <c r="B19058" t="s">
        <v>19038</v>
      </c>
      <c r="C19058">
        <v>12291</v>
      </c>
      <c r="D19058" t="str">
        <f>"0303-4178"</f>
        <v>0303-4178</v>
      </c>
      <c r="E19058" t="s">
        <v>8</v>
      </c>
      <c r="F19058" t="s">
        <v>19074</v>
      </c>
      <c r="G19058">
        <v>2</v>
      </c>
    </row>
    <row r="19059" spans="1:7" x14ac:dyDescent="0.25">
      <c r="A19059">
        <v>6</v>
      </c>
      <c r="B19059" t="s">
        <v>19038</v>
      </c>
      <c r="C19059">
        <v>15902</v>
      </c>
      <c r="D19059" t="str">
        <f>"0304-422X"</f>
        <v>0304-422X</v>
      </c>
      <c r="E19059" t="s">
        <v>8</v>
      </c>
      <c r="F19059" t="s">
        <v>19075</v>
      </c>
      <c r="G19059">
        <v>2</v>
      </c>
    </row>
    <row r="19060" spans="1:7" x14ac:dyDescent="0.25">
      <c r="A19060">
        <v>6</v>
      </c>
      <c r="B19060" t="s">
        <v>19038</v>
      </c>
      <c r="C19060">
        <v>11351</v>
      </c>
      <c r="D19060" t="str">
        <f>"0333-5372"</f>
        <v>0333-5372</v>
      </c>
      <c r="E19060" t="s">
        <v>8</v>
      </c>
      <c r="F19060" t="s">
        <v>19076</v>
      </c>
      <c r="G19060">
        <v>2</v>
      </c>
    </row>
    <row r="19061" spans="1:7" x14ac:dyDescent="0.25">
      <c r="A19061">
        <v>6</v>
      </c>
      <c r="B19061" t="s">
        <v>19038</v>
      </c>
      <c r="C19061">
        <v>11909</v>
      </c>
      <c r="D19061" t="str">
        <f>"0032-2024"</f>
        <v>0032-2024</v>
      </c>
      <c r="E19061" t="s">
        <v>8</v>
      </c>
      <c r="F19061" t="s">
        <v>19077</v>
      </c>
      <c r="G19061">
        <v>2</v>
      </c>
    </row>
    <row r="19062" spans="1:7" x14ac:dyDescent="0.25">
      <c r="A19062">
        <v>6</v>
      </c>
      <c r="B19062" t="s">
        <v>19038</v>
      </c>
      <c r="C19062">
        <v>4895</v>
      </c>
      <c r="D19062" t="str">
        <f>"0034-4338"</f>
        <v>0034-4338</v>
      </c>
      <c r="E19062" t="s">
        <v>8</v>
      </c>
      <c r="F19062" t="s">
        <v>19078</v>
      </c>
      <c r="G19062">
        <v>2</v>
      </c>
    </row>
    <row r="19063" spans="1:7" x14ac:dyDescent="0.25">
      <c r="A19063">
        <v>6</v>
      </c>
      <c r="B19063" t="s">
        <v>19038</v>
      </c>
      <c r="C19063">
        <v>2064</v>
      </c>
      <c r="D19063" t="str">
        <f>"0734-6018"</f>
        <v>0734-6018</v>
      </c>
      <c r="E19063" t="s">
        <v>8</v>
      </c>
      <c r="F19063" t="s">
        <v>19079</v>
      </c>
      <c r="G19063">
        <v>2</v>
      </c>
    </row>
    <row r="19064" spans="1:7" x14ac:dyDescent="0.25">
      <c r="A19064">
        <v>6</v>
      </c>
      <c r="B19064" t="s">
        <v>19038</v>
      </c>
      <c r="C19064">
        <v>12615</v>
      </c>
      <c r="D19064" t="str">
        <f>"0277-3945"</f>
        <v>0277-3945</v>
      </c>
      <c r="E19064" t="s">
        <v>8</v>
      </c>
      <c r="F19064" t="s">
        <v>19080</v>
      </c>
      <c r="G19064">
        <v>2</v>
      </c>
    </row>
    <row r="19065" spans="1:7" x14ac:dyDescent="0.25">
      <c r="A19065">
        <v>6</v>
      </c>
      <c r="B19065" t="s">
        <v>19038</v>
      </c>
      <c r="C19065">
        <v>180177</v>
      </c>
      <c r="D19065" t="str">
        <f>"2245-599X"</f>
        <v>2245-599X</v>
      </c>
      <c r="E19065" t="s">
        <v>8</v>
      </c>
      <c r="F19065" t="s">
        <v>19081</v>
      </c>
      <c r="G19065">
        <v>2</v>
      </c>
    </row>
    <row r="19066" spans="1:7" x14ac:dyDescent="0.25">
      <c r="A19066">
        <v>6</v>
      </c>
      <c r="B19066" t="s">
        <v>19038</v>
      </c>
      <c r="C19066">
        <v>42064</v>
      </c>
      <c r="D19066" t="str">
        <f>"0927-5754"</f>
        <v>0927-5754</v>
      </c>
      <c r="E19066" t="s">
        <v>15</v>
      </c>
      <c r="F19066" t="s">
        <v>19082</v>
      </c>
      <c r="G19066">
        <v>2</v>
      </c>
    </row>
    <row r="19067" spans="1:7" x14ac:dyDescent="0.25">
      <c r="A19067">
        <v>6</v>
      </c>
      <c r="B19067" t="s">
        <v>19038</v>
      </c>
      <c r="C19067">
        <v>8259</v>
      </c>
      <c r="D19067" t="str">
        <f>"1060-1503"</f>
        <v>1060-1503</v>
      </c>
      <c r="E19067" t="s">
        <v>8</v>
      </c>
      <c r="F19067" t="s">
        <v>19083</v>
      </c>
      <c r="G19067">
        <v>2</v>
      </c>
    </row>
    <row r="19068" spans="1:7" x14ac:dyDescent="0.25">
      <c r="A19068">
        <v>6</v>
      </c>
      <c r="B19068" t="s">
        <v>19038</v>
      </c>
      <c r="C19068">
        <v>6369</v>
      </c>
      <c r="D19068" t="str">
        <f>"0898-9575"</f>
        <v>0898-9575</v>
      </c>
      <c r="E19068" t="s">
        <v>8</v>
      </c>
      <c r="F19068" t="s">
        <v>19084</v>
      </c>
      <c r="G19068">
        <v>1</v>
      </c>
    </row>
    <row r="19069" spans="1:7" x14ac:dyDescent="0.25">
      <c r="A19069">
        <v>6</v>
      </c>
      <c r="B19069" t="s">
        <v>19038</v>
      </c>
      <c r="C19069">
        <v>12232</v>
      </c>
      <c r="D19069" t="str">
        <f>"0806-3222"</f>
        <v>0806-3222</v>
      </c>
      <c r="E19069" t="s">
        <v>15</v>
      </c>
      <c r="F19069" t="s">
        <v>19085</v>
      </c>
      <c r="G19069">
        <v>1</v>
      </c>
    </row>
    <row r="19070" spans="1:7" x14ac:dyDescent="0.25">
      <c r="A19070">
        <v>6</v>
      </c>
      <c r="B19070" t="s">
        <v>19038</v>
      </c>
      <c r="C19070">
        <v>5781</v>
      </c>
      <c r="D19070" t="str">
        <f>"0716-0909"</f>
        <v>0716-0909</v>
      </c>
      <c r="E19070" t="s">
        <v>8</v>
      </c>
      <c r="F19070" t="s">
        <v>19086</v>
      </c>
      <c r="G19070">
        <v>1</v>
      </c>
    </row>
    <row r="19071" spans="1:7" x14ac:dyDescent="0.25">
      <c r="A19071">
        <v>6</v>
      </c>
      <c r="B19071" t="s">
        <v>19038</v>
      </c>
      <c r="C19071">
        <v>2822</v>
      </c>
      <c r="D19071" t="str">
        <f>"0567-784X"</f>
        <v>0567-784X</v>
      </c>
      <c r="E19071" t="s">
        <v>8</v>
      </c>
      <c r="F19071" t="s">
        <v>19087</v>
      </c>
      <c r="G19071">
        <v>1</v>
      </c>
    </row>
    <row r="19072" spans="1:7" x14ac:dyDescent="0.25">
      <c r="A19072">
        <v>6</v>
      </c>
      <c r="B19072" t="s">
        <v>19038</v>
      </c>
      <c r="C19072">
        <v>5595</v>
      </c>
      <c r="D19072" t="str">
        <f>"0002-0796"</f>
        <v>0002-0796</v>
      </c>
      <c r="E19072" t="s">
        <v>8</v>
      </c>
      <c r="F19072" t="s">
        <v>5024</v>
      </c>
      <c r="G19072">
        <v>1</v>
      </c>
    </row>
    <row r="19073" spans="1:7" x14ac:dyDescent="0.25">
      <c r="A19073">
        <v>6</v>
      </c>
      <c r="B19073" t="s">
        <v>19038</v>
      </c>
      <c r="C19073">
        <v>9204</v>
      </c>
      <c r="D19073" t="str">
        <f>"1110-8673"</f>
        <v>1110-8673</v>
      </c>
      <c r="E19073" t="s">
        <v>8</v>
      </c>
      <c r="F19073" t="s">
        <v>19088</v>
      </c>
      <c r="G19073">
        <v>1</v>
      </c>
    </row>
    <row r="19074" spans="1:7" x14ac:dyDescent="0.25">
      <c r="A19074">
        <v>6</v>
      </c>
      <c r="B19074" t="s">
        <v>19038</v>
      </c>
      <c r="C19074">
        <v>11848</v>
      </c>
      <c r="D19074" t="str">
        <f>"0149-9408"</f>
        <v>0149-9408</v>
      </c>
      <c r="E19074" t="s">
        <v>8</v>
      </c>
      <c r="F19074" t="s">
        <v>19089</v>
      </c>
      <c r="G19074">
        <v>1</v>
      </c>
    </row>
    <row r="19075" spans="1:7" x14ac:dyDescent="0.25">
      <c r="A19075">
        <v>6</v>
      </c>
      <c r="B19075" t="s">
        <v>19038</v>
      </c>
      <c r="C19075">
        <v>8097</v>
      </c>
      <c r="D19075" t="str">
        <f>"0065-860X"</f>
        <v>0065-860X</v>
      </c>
      <c r="E19075" t="s">
        <v>8</v>
      </c>
      <c r="F19075" t="s">
        <v>19090</v>
      </c>
      <c r="G19075">
        <v>1</v>
      </c>
    </row>
    <row r="19076" spans="1:7" x14ac:dyDescent="0.25">
      <c r="A19076">
        <v>6</v>
      </c>
      <c r="B19076" t="s">
        <v>19038</v>
      </c>
      <c r="C19076">
        <v>9772</v>
      </c>
      <c r="D19076" t="str">
        <f>"0065-9142"</f>
        <v>0065-9142</v>
      </c>
      <c r="E19076" t="s">
        <v>8</v>
      </c>
      <c r="F19076" t="s">
        <v>19091</v>
      </c>
      <c r="G19076">
        <v>1</v>
      </c>
    </row>
    <row r="19077" spans="1:7" x14ac:dyDescent="0.25">
      <c r="A19077">
        <v>6</v>
      </c>
      <c r="B19077" t="s">
        <v>19038</v>
      </c>
      <c r="C19077">
        <v>8783490</v>
      </c>
      <c r="E19077" t="s">
        <v>15</v>
      </c>
      <c r="F19077" t="s">
        <v>19092</v>
      </c>
      <c r="G19077">
        <v>1</v>
      </c>
    </row>
    <row r="19078" spans="1:7" x14ac:dyDescent="0.25">
      <c r="A19078">
        <v>6</v>
      </c>
      <c r="B19078" t="s">
        <v>19038</v>
      </c>
      <c r="C19078">
        <v>9935</v>
      </c>
      <c r="D19078" t="str">
        <f>"0895-769X"</f>
        <v>0895-769X</v>
      </c>
      <c r="E19078" t="s">
        <v>8</v>
      </c>
      <c r="F19078" t="s">
        <v>19093</v>
      </c>
      <c r="G19078">
        <v>1</v>
      </c>
    </row>
    <row r="19079" spans="1:7" x14ac:dyDescent="0.25">
      <c r="A19079">
        <v>6</v>
      </c>
      <c r="B19079" t="s">
        <v>19038</v>
      </c>
      <c r="C19079">
        <v>6123</v>
      </c>
      <c r="D19079" t="str">
        <f>"0003-8970"</f>
        <v>0003-8970</v>
      </c>
      <c r="E19079" t="s">
        <v>8</v>
      </c>
      <c r="F19079" t="s">
        <v>19094</v>
      </c>
      <c r="G19079">
        <v>1</v>
      </c>
    </row>
    <row r="19080" spans="1:7" x14ac:dyDescent="0.25">
      <c r="A19080">
        <v>6</v>
      </c>
      <c r="B19080" t="s">
        <v>19038</v>
      </c>
      <c r="C19080">
        <v>3482</v>
      </c>
      <c r="D19080" t="str">
        <f>"0004-1327"</f>
        <v>0004-1327</v>
      </c>
      <c r="E19080" t="s">
        <v>8</v>
      </c>
      <c r="F19080" t="s">
        <v>19095</v>
      </c>
      <c r="G19080">
        <v>1</v>
      </c>
    </row>
    <row r="19081" spans="1:7" x14ac:dyDescent="0.25">
      <c r="A19081">
        <v>6</v>
      </c>
      <c r="B19081" t="s">
        <v>19038</v>
      </c>
      <c r="C19081">
        <v>10270</v>
      </c>
      <c r="D19081" t="str">
        <f>"0004-9697"</f>
        <v>0004-9697</v>
      </c>
      <c r="E19081" t="s">
        <v>8</v>
      </c>
      <c r="F19081" t="s">
        <v>19096</v>
      </c>
      <c r="G19081">
        <v>1</v>
      </c>
    </row>
    <row r="19082" spans="1:7" x14ac:dyDescent="0.25">
      <c r="A19082">
        <v>6</v>
      </c>
      <c r="B19082" t="s">
        <v>19038</v>
      </c>
      <c r="C19082">
        <v>88898</v>
      </c>
      <c r="D19082" t="str">
        <f>"1860-1820"</f>
        <v>1860-1820</v>
      </c>
      <c r="E19082" t="s">
        <v>15</v>
      </c>
      <c r="F19082" t="s">
        <v>19097</v>
      </c>
      <c r="G19082">
        <v>1</v>
      </c>
    </row>
    <row r="19083" spans="1:7" x14ac:dyDescent="0.25">
      <c r="A19083">
        <v>6</v>
      </c>
      <c r="B19083" t="s">
        <v>19038</v>
      </c>
      <c r="C19083">
        <v>8783661</v>
      </c>
      <c r="E19083" t="s">
        <v>15</v>
      </c>
      <c r="F19083" t="s">
        <v>19098</v>
      </c>
      <c r="G19083">
        <v>1</v>
      </c>
    </row>
    <row r="19084" spans="1:7" x14ac:dyDescent="0.25">
      <c r="A19084">
        <v>6</v>
      </c>
      <c r="B19084" t="s">
        <v>19038</v>
      </c>
      <c r="C19084">
        <v>12555</v>
      </c>
      <c r="D19084" t="str">
        <f>"0162-4962"</f>
        <v>0162-4962</v>
      </c>
      <c r="E19084" t="s">
        <v>8</v>
      </c>
      <c r="F19084" t="s">
        <v>19099</v>
      </c>
      <c r="G19084">
        <v>1</v>
      </c>
    </row>
    <row r="19085" spans="1:7" x14ac:dyDescent="0.25">
      <c r="A19085">
        <v>6</v>
      </c>
      <c r="B19085" t="s">
        <v>19038</v>
      </c>
      <c r="C19085">
        <v>10383</v>
      </c>
      <c r="D19085" t="str">
        <f>"1098-7371"</f>
        <v>1098-7371</v>
      </c>
      <c r="E19085" t="s">
        <v>8</v>
      </c>
      <c r="F19085" t="s">
        <v>19100</v>
      </c>
      <c r="G19085">
        <v>1</v>
      </c>
    </row>
    <row r="19086" spans="1:7" x14ac:dyDescent="0.25">
      <c r="A19086">
        <v>6</v>
      </c>
      <c r="B19086" t="s">
        <v>19038</v>
      </c>
      <c r="C19086">
        <v>119676</v>
      </c>
      <c r="D19086" t="str">
        <f>"1541-8995"</f>
        <v>1541-8995</v>
      </c>
      <c r="E19086" t="s">
        <v>15</v>
      </c>
      <c r="F19086" t="s">
        <v>19101</v>
      </c>
      <c r="G19086">
        <v>1</v>
      </c>
    </row>
    <row r="19087" spans="1:7" x14ac:dyDescent="0.25">
      <c r="A19087">
        <v>6</v>
      </c>
      <c r="B19087" t="s">
        <v>19038</v>
      </c>
      <c r="C19087">
        <v>8782799</v>
      </c>
      <c r="D19087" t="str">
        <f>"2366-3596"</f>
        <v>2366-3596</v>
      </c>
      <c r="E19087" t="s">
        <v>15</v>
      </c>
      <c r="F19087" t="s">
        <v>19102</v>
      </c>
      <c r="G19087">
        <v>1</v>
      </c>
    </row>
    <row r="19088" spans="1:7" x14ac:dyDescent="0.25">
      <c r="A19088">
        <v>6</v>
      </c>
      <c r="B19088" t="s">
        <v>19038</v>
      </c>
      <c r="C19088">
        <v>604</v>
      </c>
      <c r="D19088" t="str">
        <f>"0008-4360"</f>
        <v>0008-4360</v>
      </c>
      <c r="E19088" t="s">
        <v>8</v>
      </c>
      <c r="F19088" t="s">
        <v>19103</v>
      </c>
      <c r="G19088">
        <v>1</v>
      </c>
    </row>
    <row r="19089" spans="1:7" x14ac:dyDescent="0.25">
      <c r="A19089">
        <v>6</v>
      </c>
      <c r="B19089" t="s">
        <v>19038</v>
      </c>
      <c r="C19089">
        <v>3100</v>
      </c>
      <c r="D19089" t="str">
        <f>"0145-8973"</f>
        <v>0145-8973</v>
      </c>
      <c r="E19089" t="s">
        <v>8</v>
      </c>
      <c r="F19089" t="s">
        <v>19104</v>
      </c>
      <c r="G19089">
        <v>1</v>
      </c>
    </row>
    <row r="19090" spans="1:7" x14ac:dyDescent="0.25">
      <c r="A19090">
        <v>6</v>
      </c>
      <c r="B19090" t="s">
        <v>19038</v>
      </c>
      <c r="C19090">
        <v>1164</v>
      </c>
      <c r="D19090" t="str">
        <f>"0009-3696"</f>
        <v>0009-3696</v>
      </c>
      <c r="E19090" t="s">
        <v>8</v>
      </c>
      <c r="F19090" t="s">
        <v>19105</v>
      </c>
      <c r="G19090">
        <v>1</v>
      </c>
    </row>
    <row r="19091" spans="1:7" x14ac:dyDescent="0.25">
      <c r="A19091">
        <v>6</v>
      </c>
      <c r="B19091" t="s">
        <v>19038</v>
      </c>
      <c r="C19091">
        <v>16993</v>
      </c>
      <c r="D19091" t="str">
        <f>"0092-8208"</f>
        <v>0092-8208</v>
      </c>
      <c r="E19091" t="s">
        <v>8</v>
      </c>
      <c r="F19091" t="s">
        <v>19106</v>
      </c>
      <c r="G19091">
        <v>1</v>
      </c>
    </row>
    <row r="19092" spans="1:7" x14ac:dyDescent="0.25">
      <c r="A19092">
        <v>6</v>
      </c>
      <c r="B19092" t="s">
        <v>19038</v>
      </c>
      <c r="C19092">
        <v>8783662</v>
      </c>
      <c r="E19092" t="s">
        <v>15</v>
      </c>
      <c r="F19092" t="s">
        <v>19107</v>
      </c>
      <c r="G19092">
        <v>1</v>
      </c>
    </row>
    <row r="19093" spans="1:7" x14ac:dyDescent="0.25">
      <c r="A19093">
        <v>6</v>
      </c>
      <c r="B19093" t="s">
        <v>19038</v>
      </c>
      <c r="C19093">
        <v>4604</v>
      </c>
      <c r="D19093" t="str">
        <f>"0885-0429"</f>
        <v>0885-0429</v>
      </c>
      <c r="E19093" t="s">
        <v>8</v>
      </c>
      <c r="F19093" t="s">
        <v>19108</v>
      </c>
      <c r="G19093">
        <v>1</v>
      </c>
    </row>
    <row r="19094" spans="1:7" x14ac:dyDescent="0.25">
      <c r="A19094">
        <v>6</v>
      </c>
      <c r="B19094" t="s">
        <v>19038</v>
      </c>
      <c r="C19094">
        <v>7741043</v>
      </c>
      <c r="D19094" t="str">
        <f>"2212-9006"</f>
        <v>2212-9006</v>
      </c>
      <c r="E19094" t="s">
        <v>15</v>
      </c>
      <c r="F19094" t="s">
        <v>19109</v>
      </c>
      <c r="G19094">
        <v>1</v>
      </c>
    </row>
    <row r="19095" spans="1:7" x14ac:dyDescent="0.25">
      <c r="A19095">
        <v>6</v>
      </c>
      <c r="B19095" t="s">
        <v>19038</v>
      </c>
      <c r="C19095">
        <v>6632</v>
      </c>
      <c r="E19095" t="s">
        <v>8</v>
      </c>
      <c r="F19095" t="s">
        <v>19110</v>
      </c>
      <c r="G19095">
        <v>1</v>
      </c>
    </row>
    <row r="19096" spans="1:7" x14ac:dyDescent="0.25">
      <c r="A19096">
        <v>6</v>
      </c>
      <c r="B19096" t="s">
        <v>19038</v>
      </c>
      <c r="C19096">
        <v>9452</v>
      </c>
      <c r="D19096" t="str">
        <f>"0007-8549"</f>
        <v>0007-8549</v>
      </c>
      <c r="E19096" t="s">
        <v>8</v>
      </c>
      <c r="F19096" t="s">
        <v>19111</v>
      </c>
      <c r="G19096">
        <v>1</v>
      </c>
    </row>
    <row r="19097" spans="1:7" x14ac:dyDescent="0.25">
      <c r="A19097">
        <v>6</v>
      </c>
      <c r="B19097" t="s">
        <v>19038</v>
      </c>
      <c r="C19097">
        <v>6065011</v>
      </c>
      <c r="E19097" t="s">
        <v>15</v>
      </c>
      <c r="F19097" t="s">
        <v>19112</v>
      </c>
      <c r="G19097">
        <v>1</v>
      </c>
    </row>
    <row r="19098" spans="1:7" x14ac:dyDescent="0.25">
      <c r="A19098">
        <v>6</v>
      </c>
      <c r="B19098" t="s">
        <v>19038</v>
      </c>
      <c r="C19098">
        <v>7705</v>
      </c>
      <c r="E19098" t="s">
        <v>8</v>
      </c>
      <c r="F19098" t="s">
        <v>19113</v>
      </c>
      <c r="G19098">
        <v>1</v>
      </c>
    </row>
    <row r="19099" spans="1:7" x14ac:dyDescent="0.25">
      <c r="A19099">
        <v>6</v>
      </c>
      <c r="B19099" t="s">
        <v>19038</v>
      </c>
      <c r="C19099">
        <v>10395</v>
      </c>
      <c r="D19099" t="str">
        <f>"0884-2043"</f>
        <v>0884-2043</v>
      </c>
      <c r="E19099" t="s">
        <v>8</v>
      </c>
      <c r="F19099" t="s">
        <v>19114</v>
      </c>
      <c r="G19099">
        <v>1</v>
      </c>
    </row>
    <row r="19100" spans="1:7" x14ac:dyDescent="0.25">
      <c r="A19100">
        <v>6</v>
      </c>
      <c r="B19100" t="s">
        <v>19038</v>
      </c>
      <c r="C19100">
        <v>10584</v>
      </c>
      <c r="D19100" t="str">
        <f>"0093-3139"</f>
        <v>0093-3139</v>
      </c>
      <c r="E19100" t="s">
        <v>8</v>
      </c>
      <c r="F19100" t="s">
        <v>19115</v>
      </c>
      <c r="G19100">
        <v>1</v>
      </c>
    </row>
    <row r="19101" spans="1:7" x14ac:dyDescent="0.25">
      <c r="A19101">
        <v>6</v>
      </c>
      <c r="B19101" t="s">
        <v>19038</v>
      </c>
      <c r="C19101">
        <v>7371</v>
      </c>
      <c r="D19101" t="str">
        <f>"0010-1451"</f>
        <v>0010-1451</v>
      </c>
      <c r="E19101" t="s">
        <v>8</v>
      </c>
      <c r="F19101" t="s">
        <v>19116</v>
      </c>
      <c r="G19101">
        <v>1</v>
      </c>
    </row>
    <row r="19102" spans="1:7" x14ac:dyDescent="0.25">
      <c r="A19102">
        <v>6</v>
      </c>
      <c r="B19102" t="s">
        <v>19038</v>
      </c>
      <c r="C19102">
        <v>14318</v>
      </c>
      <c r="D19102" t="str">
        <f>"1744-1854"</f>
        <v>1744-1854</v>
      </c>
      <c r="E19102" t="s">
        <v>8</v>
      </c>
      <c r="F19102" t="s">
        <v>19117</v>
      </c>
      <c r="G19102">
        <v>1</v>
      </c>
    </row>
    <row r="19103" spans="1:7" x14ac:dyDescent="0.25">
      <c r="A19103">
        <v>6</v>
      </c>
      <c r="B19103" t="s">
        <v>19038</v>
      </c>
      <c r="C19103">
        <v>11501</v>
      </c>
      <c r="D19103" t="str">
        <f>"0010-5716"</f>
        <v>0010-5716</v>
      </c>
      <c r="E19103" t="s">
        <v>8</v>
      </c>
      <c r="F19103" t="s">
        <v>19118</v>
      </c>
      <c r="G19103">
        <v>1</v>
      </c>
    </row>
    <row r="19104" spans="1:7" x14ac:dyDescent="0.25">
      <c r="A19104">
        <v>6</v>
      </c>
      <c r="B19104" t="s">
        <v>19038</v>
      </c>
      <c r="C19104">
        <v>13608</v>
      </c>
      <c r="D19104" t="str">
        <f>"0939-5482"</f>
        <v>0939-5482</v>
      </c>
      <c r="E19104" t="s">
        <v>8</v>
      </c>
      <c r="F19104" t="s">
        <v>19119</v>
      </c>
      <c r="G19104">
        <v>1</v>
      </c>
    </row>
    <row r="19105" spans="1:7" x14ac:dyDescent="0.25">
      <c r="A19105">
        <v>6</v>
      </c>
      <c r="B19105" t="s">
        <v>19038</v>
      </c>
      <c r="C19105">
        <v>5983</v>
      </c>
      <c r="D19105" t="str">
        <f>"1573-2193"</f>
        <v>1573-2193</v>
      </c>
      <c r="E19105" t="s">
        <v>15</v>
      </c>
      <c r="F19105" t="s">
        <v>19120</v>
      </c>
      <c r="G19105">
        <v>1</v>
      </c>
    </row>
    <row r="19106" spans="1:7" x14ac:dyDescent="0.25">
      <c r="A19106">
        <v>6</v>
      </c>
      <c r="B19106" t="s">
        <v>19038</v>
      </c>
      <c r="C19106">
        <v>6073659</v>
      </c>
      <c r="E19106" t="s">
        <v>15</v>
      </c>
      <c r="F19106" t="s">
        <v>19121</v>
      </c>
      <c r="G19106">
        <v>1</v>
      </c>
    </row>
    <row r="19107" spans="1:7" x14ac:dyDescent="0.25">
      <c r="A19107">
        <v>6</v>
      </c>
      <c r="B19107" t="s">
        <v>19038</v>
      </c>
      <c r="C19107">
        <v>15475</v>
      </c>
      <c r="D19107" t="str">
        <f>"0390-0142"</f>
        <v>0390-0142</v>
      </c>
      <c r="E19107" t="s">
        <v>8</v>
      </c>
      <c r="F19107" t="s">
        <v>19122</v>
      </c>
      <c r="G19107">
        <v>1</v>
      </c>
    </row>
    <row r="19108" spans="1:7" x14ac:dyDescent="0.25">
      <c r="A19108">
        <v>6</v>
      </c>
      <c r="B19108" t="s">
        <v>19038</v>
      </c>
      <c r="C19108">
        <v>6227</v>
      </c>
      <c r="D19108" t="str">
        <f>"0011-1570"</f>
        <v>0011-1570</v>
      </c>
      <c r="E19108" t="s">
        <v>8</v>
      </c>
      <c r="F19108" t="s">
        <v>19123</v>
      </c>
      <c r="G19108">
        <v>1</v>
      </c>
    </row>
    <row r="19109" spans="1:7" x14ac:dyDescent="0.25">
      <c r="A19109">
        <v>6</v>
      </c>
      <c r="B19109" t="s">
        <v>19038</v>
      </c>
      <c r="C19109">
        <v>16030</v>
      </c>
      <c r="D19109" t="str">
        <f>"0247-381X"</f>
        <v>0247-381X</v>
      </c>
      <c r="E19109" t="s">
        <v>8</v>
      </c>
      <c r="F19109" t="s">
        <v>19124</v>
      </c>
      <c r="G19109">
        <v>1</v>
      </c>
    </row>
    <row r="19110" spans="1:7" x14ac:dyDescent="0.25">
      <c r="A19110">
        <v>6</v>
      </c>
      <c r="B19110" t="s">
        <v>19038</v>
      </c>
      <c r="C19110">
        <v>13872</v>
      </c>
      <c r="D19110" t="str">
        <f>"0011-250X"</f>
        <v>0011-250X</v>
      </c>
      <c r="E19110" t="s">
        <v>8</v>
      </c>
      <c r="F19110" t="s">
        <v>19125</v>
      </c>
      <c r="G19110">
        <v>1</v>
      </c>
    </row>
    <row r="19111" spans="1:7" x14ac:dyDescent="0.25">
      <c r="A19111">
        <v>6</v>
      </c>
      <c r="B19111" t="s">
        <v>19038</v>
      </c>
      <c r="C19111">
        <v>7720049</v>
      </c>
      <c r="D19111" t="str">
        <f>" 2162-9544"</f>
        <v xml:space="preserve"> 2162-9544</v>
      </c>
      <c r="E19111" t="s">
        <v>8</v>
      </c>
      <c r="F19111" t="s">
        <v>19126</v>
      </c>
      <c r="G19111">
        <v>1</v>
      </c>
    </row>
    <row r="19112" spans="1:7" x14ac:dyDescent="0.25">
      <c r="A19112">
        <v>6</v>
      </c>
      <c r="B19112" t="s">
        <v>19038</v>
      </c>
      <c r="C19112">
        <v>170033</v>
      </c>
      <c r="E19112" t="s">
        <v>15</v>
      </c>
      <c r="F19112" t="s">
        <v>19127</v>
      </c>
      <c r="G19112">
        <v>1</v>
      </c>
    </row>
    <row r="19113" spans="1:7" x14ac:dyDescent="0.25">
      <c r="A19113">
        <v>6</v>
      </c>
      <c r="B19113" t="s">
        <v>19038</v>
      </c>
      <c r="C19113">
        <v>6504</v>
      </c>
      <c r="E19113" t="s">
        <v>8</v>
      </c>
      <c r="F19113" t="s">
        <v>19128</v>
      </c>
      <c r="G19113">
        <v>1</v>
      </c>
    </row>
    <row r="19114" spans="1:7" x14ac:dyDescent="0.25">
      <c r="A19114">
        <v>6</v>
      </c>
      <c r="B19114" t="s">
        <v>19038</v>
      </c>
      <c r="C19114">
        <v>8783664</v>
      </c>
      <c r="E19114" t="s">
        <v>15</v>
      </c>
      <c r="F19114" t="s">
        <v>19129</v>
      </c>
      <c r="G19114">
        <v>1</v>
      </c>
    </row>
    <row r="19115" spans="1:7" x14ac:dyDescent="0.25">
      <c r="A19115">
        <v>6</v>
      </c>
      <c r="B19115" t="s">
        <v>19038</v>
      </c>
      <c r="C19115">
        <v>11536</v>
      </c>
      <c r="D19115" t="str">
        <f>"0840-6286"</f>
        <v>0840-6286</v>
      </c>
      <c r="E19115" t="s">
        <v>8</v>
      </c>
      <c r="F19115" t="s">
        <v>19130</v>
      </c>
      <c r="G19115">
        <v>1</v>
      </c>
    </row>
    <row r="19116" spans="1:7" x14ac:dyDescent="0.25">
      <c r="A19116">
        <v>6</v>
      </c>
      <c r="B19116" t="s">
        <v>19038</v>
      </c>
      <c r="C19116">
        <v>15004</v>
      </c>
      <c r="D19116" t="str">
        <f>"1525-3120"</f>
        <v>1525-3120</v>
      </c>
      <c r="E19116" t="s">
        <v>8</v>
      </c>
      <c r="F19116" t="s">
        <v>19131</v>
      </c>
      <c r="G19116">
        <v>1</v>
      </c>
    </row>
    <row r="19117" spans="1:7" x14ac:dyDescent="0.25">
      <c r="A19117">
        <v>6</v>
      </c>
      <c r="B19117" t="s">
        <v>19038</v>
      </c>
      <c r="C19117">
        <v>15880</v>
      </c>
      <c r="D19117" t="str">
        <f>"1139-3637"</f>
        <v>1139-3637</v>
      </c>
      <c r="E19117" t="s">
        <v>8</v>
      </c>
      <c r="F19117" t="s">
        <v>19132</v>
      </c>
      <c r="G19117">
        <v>1</v>
      </c>
    </row>
    <row r="19118" spans="1:7" x14ac:dyDescent="0.25">
      <c r="A19118">
        <v>6</v>
      </c>
      <c r="B19118" t="s">
        <v>19038</v>
      </c>
      <c r="C19118">
        <v>1728</v>
      </c>
      <c r="D19118" t="str">
        <f>"0014-0759"</f>
        <v>0014-0759</v>
      </c>
      <c r="E19118" t="s">
        <v>8</v>
      </c>
      <c r="F19118" t="s">
        <v>19133</v>
      </c>
      <c r="G19118">
        <v>1</v>
      </c>
    </row>
    <row r="19119" spans="1:7" x14ac:dyDescent="0.25">
      <c r="A19119">
        <v>6</v>
      </c>
      <c r="B19119" t="s">
        <v>19038</v>
      </c>
      <c r="C19119">
        <v>6089</v>
      </c>
      <c r="D19119" t="str">
        <f>"0071-1357"</f>
        <v>0071-1357</v>
      </c>
      <c r="E19119" t="s">
        <v>15</v>
      </c>
      <c r="F19119" t="s">
        <v>19134</v>
      </c>
      <c r="G19119">
        <v>1</v>
      </c>
    </row>
    <row r="19120" spans="1:7" x14ac:dyDescent="0.25">
      <c r="A19120">
        <v>6</v>
      </c>
      <c r="B19120" t="s">
        <v>19038</v>
      </c>
      <c r="C19120">
        <v>14945</v>
      </c>
      <c r="D19120" t="str">
        <f>"0014-0856"</f>
        <v>0014-0856</v>
      </c>
      <c r="E19120" t="s">
        <v>8</v>
      </c>
      <c r="F19120" t="s">
        <v>19135</v>
      </c>
      <c r="G19120">
        <v>1</v>
      </c>
    </row>
    <row r="19121" spans="1:7" x14ac:dyDescent="0.25">
      <c r="A19121">
        <v>6</v>
      </c>
      <c r="B19121" t="s">
        <v>19038</v>
      </c>
      <c r="C19121">
        <v>139732</v>
      </c>
      <c r="D19121" t="str">
        <f>"0188-0853"</f>
        <v>0188-0853</v>
      </c>
      <c r="E19121" t="s">
        <v>8</v>
      </c>
      <c r="F19121" t="s">
        <v>19136</v>
      </c>
      <c r="G19121">
        <v>1</v>
      </c>
    </row>
    <row r="19122" spans="1:7" x14ac:dyDescent="0.25">
      <c r="A19122">
        <v>6</v>
      </c>
      <c r="B19122" t="s">
        <v>19038</v>
      </c>
      <c r="C19122">
        <v>6013</v>
      </c>
      <c r="D19122" t="str">
        <f>"0014-2751"</f>
        <v>0014-2751</v>
      </c>
      <c r="E19122" t="s">
        <v>8</v>
      </c>
      <c r="F19122" t="s">
        <v>19137</v>
      </c>
      <c r="G19122">
        <v>1</v>
      </c>
    </row>
    <row r="19123" spans="1:7" x14ac:dyDescent="0.25">
      <c r="A19123">
        <v>6</v>
      </c>
      <c r="B19123" t="s">
        <v>19038</v>
      </c>
      <c r="C19123">
        <v>5649</v>
      </c>
      <c r="D19123" t="str">
        <f>"1050-9585"</f>
        <v>1050-9585</v>
      </c>
      <c r="E19123" t="s">
        <v>8</v>
      </c>
      <c r="F19123" t="s">
        <v>19138</v>
      </c>
      <c r="G19123">
        <v>1</v>
      </c>
    </row>
    <row r="19124" spans="1:7" x14ac:dyDescent="0.25">
      <c r="A19124">
        <v>6</v>
      </c>
      <c r="B19124" t="s">
        <v>19038</v>
      </c>
      <c r="C19124">
        <v>8782495</v>
      </c>
      <c r="D19124" t="str">
        <f>"2472-9884"</f>
        <v>2472-9884</v>
      </c>
      <c r="E19124" t="s">
        <v>8</v>
      </c>
      <c r="F19124" t="s">
        <v>19139</v>
      </c>
      <c r="G19124">
        <v>1</v>
      </c>
    </row>
    <row r="19125" spans="1:7" x14ac:dyDescent="0.25">
      <c r="A19125">
        <v>6</v>
      </c>
      <c r="B19125" t="s">
        <v>19038</v>
      </c>
      <c r="C19125">
        <v>3695</v>
      </c>
      <c r="D19125" t="str">
        <f>"0014-5483"</f>
        <v>0014-5483</v>
      </c>
      <c r="E19125" t="s">
        <v>8</v>
      </c>
      <c r="F19125" t="s">
        <v>19140</v>
      </c>
      <c r="G19125">
        <v>1</v>
      </c>
    </row>
    <row r="19126" spans="1:7" x14ac:dyDescent="0.25">
      <c r="A19126">
        <v>6</v>
      </c>
      <c r="B19126" t="s">
        <v>19038</v>
      </c>
      <c r="C19126">
        <v>49507</v>
      </c>
      <c r="D19126" t="str">
        <f>"0167-9392"</f>
        <v>0167-9392</v>
      </c>
      <c r="E19126" t="s">
        <v>15</v>
      </c>
      <c r="F19126" t="s">
        <v>19141</v>
      </c>
      <c r="G19126">
        <v>1</v>
      </c>
    </row>
    <row r="19127" spans="1:7" x14ac:dyDescent="0.25">
      <c r="A19127">
        <v>6</v>
      </c>
      <c r="B19127" t="s">
        <v>19038</v>
      </c>
      <c r="C19127">
        <v>8783491</v>
      </c>
      <c r="D19127" t="str">
        <f>"2213-428X"</f>
        <v>2213-428X</v>
      </c>
      <c r="E19127" t="s">
        <v>15</v>
      </c>
      <c r="F19127" t="s">
        <v>19142</v>
      </c>
      <c r="G19127">
        <v>1</v>
      </c>
    </row>
    <row r="19128" spans="1:7" x14ac:dyDescent="0.25">
      <c r="A19128">
        <v>6</v>
      </c>
      <c r="B19128" t="s">
        <v>19038</v>
      </c>
      <c r="C19128">
        <v>8783665</v>
      </c>
      <c r="E19128" t="s">
        <v>15</v>
      </c>
      <c r="F19128" t="s">
        <v>19143</v>
      </c>
      <c r="G19128">
        <v>1</v>
      </c>
    </row>
    <row r="19129" spans="1:7" x14ac:dyDescent="0.25">
      <c r="A19129">
        <v>6</v>
      </c>
      <c r="B19129" t="s">
        <v>19038</v>
      </c>
      <c r="C19129">
        <v>6980</v>
      </c>
      <c r="D19129" t="str">
        <f>"0015-8518"</f>
        <v>0015-8518</v>
      </c>
      <c r="E19129" t="s">
        <v>8</v>
      </c>
      <c r="F19129" t="s">
        <v>19144</v>
      </c>
      <c r="G19129">
        <v>1</v>
      </c>
    </row>
    <row r="19130" spans="1:7" x14ac:dyDescent="0.25">
      <c r="A19130">
        <v>6</v>
      </c>
      <c r="B19130" t="s">
        <v>19038</v>
      </c>
      <c r="C19130">
        <v>447</v>
      </c>
      <c r="D19130" t="str">
        <f>"0306-4964"</f>
        <v>0306-4964</v>
      </c>
      <c r="E19130" t="s">
        <v>8</v>
      </c>
      <c r="F19130" t="s">
        <v>19145</v>
      </c>
      <c r="G19130">
        <v>1</v>
      </c>
    </row>
    <row r="19131" spans="1:7" x14ac:dyDescent="0.25">
      <c r="A19131">
        <v>6</v>
      </c>
      <c r="B19131" t="s">
        <v>19038</v>
      </c>
      <c r="C19131">
        <v>10833</v>
      </c>
      <c r="D19131" t="str">
        <f>"1522-3868"</f>
        <v>1522-3868</v>
      </c>
      <c r="E19131" t="s">
        <v>8</v>
      </c>
      <c r="F19131" t="s">
        <v>19146</v>
      </c>
      <c r="G19131">
        <v>1</v>
      </c>
    </row>
    <row r="19132" spans="1:7" x14ac:dyDescent="0.25">
      <c r="A19132">
        <v>6</v>
      </c>
      <c r="B19132" t="s">
        <v>19038</v>
      </c>
      <c r="C19132">
        <v>8782709</v>
      </c>
      <c r="D19132" t="str">
        <f>"2509-4882"</f>
        <v>2509-4882</v>
      </c>
      <c r="E19132" t="s">
        <v>8</v>
      </c>
      <c r="F19132" t="s">
        <v>19147</v>
      </c>
      <c r="G19132">
        <v>1</v>
      </c>
    </row>
    <row r="19133" spans="1:7" x14ac:dyDescent="0.25">
      <c r="A19133">
        <v>6</v>
      </c>
      <c r="B19133" t="s">
        <v>19038</v>
      </c>
      <c r="C19133">
        <v>7235064</v>
      </c>
      <c r="D19133" t="str">
        <f>"1167-5101"</f>
        <v>1167-5101</v>
      </c>
      <c r="E19133" t="s">
        <v>8</v>
      </c>
      <c r="F19133" t="s">
        <v>19148</v>
      </c>
      <c r="G19133">
        <v>1</v>
      </c>
    </row>
    <row r="19134" spans="1:7" x14ac:dyDescent="0.25">
      <c r="A19134">
        <v>6</v>
      </c>
      <c r="B19134" t="s">
        <v>19038</v>
      </c>
      <c r="C19134">
        <v>5286</v>
      </c>
      <c r="D19134" t="str">
        <f>"0016-6928"</f>
        <v>0016-6928</v>
      </c>
      <c r="E19134" t="s">
        <v>8</v>
      </c>
      <c r="F19134" t="s">
        <v>19149</v>
      </c>
      <c r="G19134">
        <v>1</v>
      </c>
    </row>
    <row r="19135" spans="1:7" x14ac:dyDescent="0.25">
      <c r="A19135">
        <v>6</v>
      </c>
      <c r="B19135" t="s">
        <v>19038</v>
      </c>
      <c r="C19135">
        <v>8783666</v>
      </c>
      <c r="E19135" t="s">
        <v>15</v>
      </c>
      <c r="F19135" t="s">
        <v>19150</v>
      </c>
      <c r="G19135">
        <v>1</v>
      </c>
    </row>
    <row r="19136" spans="1:7" x14ac:dyDescent="0.25">
      <c r="A19136">
        <v>6</v>
      </c>
      <c r="B19136" t="s">
        <v>19038</v>
      </c>
      <c r="C19136">
        <v>16620</v>
      </c>
      <c r="D19136" t="str">
        <f>"0016-8882"</f>
        <v>0016-8882</v>
      </c>
      <c r="E19136" t="s">
        <v>8</v>
      </c>
      <c r="F19136" t="s">
        <v>19151</v>
      </c>
      <c r="G19136">
        <v>1</v>
      </c>
    </row>
    <row r="19137" spans="1:7" x14ac:dyDescent="0.25">
      <c r="A19137">
        <v>6</v>
      </c>
      <c r="B19137" t="s">
        <v>19038</v>
      </c>
      <c r="C19137">
        <v>8783667</v>
      </c>
      <c r="D19137" t="str">
        <f>"2510-0793 "</f>
        <v xml:space="preserve">2510-0793 </v>
      </c>
      <c r="E19137" t="s">
        <v>15</v>
      </c>
      <c r="F19137" t="s">
        <v>19152</v>
      </c>
      <c r="G19137">
        <v>1</v>
      </c>
    </row>
    <row r="19138" spans="1:7" x14ac:dyDescent="0.25">
      <c r="A19138">
        <v>6</v>
      </c>
      <c r="B19138" t="s">
        <v>19038</v>
      </c>
      <c r="C19138">
        <v>8863</v>
      </c>
      <c r="D19138" t="str">
        <f>"1362-7937"</f>
        <v>1362-7937</v>
      </c>
      <c r="E19138" t="s">
        <v>8</v>
      </c>
      <c r="F19138" t="s">
        <v>19153</v>
      </c>
      <c r="G19138">
        <v>1</v>
      </c>
    </row>
    <row r="19139" spans="1:7" x14ac:dyDescent="0.25">
      <c r="A19139">
        <v>6</v>
      </c>
      <c r="B19139" t="s">
        <v>19038</v>
      </c>
      <c r="C19139">
        <v>8783663</v>
      </c>
      <c r="E19139" t="s">
        <v>15</v>
      </c>
      <c r="F19139" t="s">
        <v>19154</v>
      </c>
      <c r="G19139">
        <v>1</v>
      </c>
    </row>
    <row r="19140" spans="1:7" x14ac:dyDescent="0.25">
      <c r="A19140">
        <v>6</v>
      </c>
      <c r="B19140" t="s">
        <v>19038</v>
      </c>
      <c r="C19140">
        <v>8783668</v>
      </c>
      <c r="E19140" t="s">
        <v>15</v>
      </c>
      <c r="F19140" t="s">
        <v>19155</v>
      </c>
      <c r="G19140">
        <v>1</v>
      </c>
    </row>
    <row r="19141" spans="1:7" x14ac:dyDescent="0.25">
      <c r="A19141">
        <v>6</v>
      </c>
      <c r="B19141" t="s">
        <v>19038</v>
      </c>
      <c r="C19141">
        <v>86166</v>
      </c>
      <c r="D19141" t="str">
        <f>"0073-0696"</f>
        <v>0073-0696</v>
      </c>
      <c r="E19141" t="s">
        <v>15</v>
      </c>
      <c r="F19141" t="s">
        <v>19156</v>
      </c>
      <c r="G19141">
        <v>1</v>
      </c>
    </row>
    <row r="19142" spans="1:7" x14ac:dyDescent="0.25">
      <c r="A19142">
        <v>6</v>
      </c>
      <c r="B19142" t="s">
        <v>19038</v>
      </c>
      <c r="C19142">
        <v>13055</v>
      </c>
      <c r="D19142" t="str">
        <f>"1623-5843"</f>
        <v>1623-5843</v>
      </c>
      <c r="E19142" t="s">
        <v>8</v>
      </c>
      <c r="F19142" t="s">
        <v>19157</v>
      </c>
      <c r="G19142">
        <v>1</v>
      </c>
    </row>
    <row r="19143" spans="1:7" x14ac:dyDescent="0.25">
      <c r="A19143">
        <v>6</v>
      </c>
      <c r="B19143" t="s">
        <v>19038</v>
      </c>
      <c r="C19143">
        <v>170040</v>
      </c>
      <c r="E19143" t="s">
        <v>15</v>
      </c>
      <c r="F19143" t="s">
        <v>19158</v>
      </c>
      <c r="G19143">
        <v>1</v>
      </c>
    </row>
    <row r="19144" spans="1:7" x14ac:dyDescent="0.25">
      <c r="A19144">
        <v>6</v>
      </c>
      <c r="B19144" t="s">
        <v>19038</v>
      </c>
      <c r="C19144">
        <v>7562</v>
      </c>
      <c r="D19144" t="str">
        <f>"0340-6849"</f>
        <v>0340-6849</v>
      </c>
      <c r="E19144" t="s">
        <v>8</v>
      </c>
      <c r="F19144" t="s">
        <v>19159</v>
      </c>
      <c r="G19144">
        <v>1</v>
      </c>
    </row>
    <row r="19145" spans="1:7" x14ac:dyDescent="0.25">
      <c r="A19145">
        <v>6</v>
      </c>
      <c r="B19145" t="s">
        <v>19038</v>
      </c>
      <c r="C19145">
        <v>823</v>
      </c>
      <c r="D19145" t="str">
        <f>"0018-7895"</f>
        <v>0018-7895</v>
      </c>
      <c r="E19145" t="s">
        <v>8</v>
      </c>
      <c r="F19145" t="s">
        <v>19160</v>
      </c>
      <c r="G19145">
        <v>1</v>
      </c>
    </row>
    <row r="19146" spans="1:7" x14ac:dyDescent="0.25">
      <c r="A19146">
        <v>6</v>
      </c>
      <c r="B19146" t="s">
        <v>19038</v>
      </c>
      <c r="C19146">
        <v>4840</v>
      </c>
      <c r="D19146" t="str">
        <f>"1873-5037"</f>
        <v>1873-5037</v>
      </c>
      <c r="E19146" t="s">
        <v>15</v>
      </c>
      <c r="F19146" t="s">
        <v>19161</v>
      </c>
      <c r="G19146">
        <v>1</v>
      </c>
    </row>
    <row r="19147" spans="1:7" x14ac:dyDescent="0.25">
      <c r="A19147">
        <v>6</v>
      </c>
      <c r="B19147" t="s">
        <v>19038</v>
      </c>
      <c r="C19147">
        <v>6584</v>
      </c>
      <c r="D19147" t="str">
        <f>"0176-3733"</f>
        <v>0176-3733</v>
      </c>
      <c r="E19147" t="s">
        <v>15</v>
      </c>
      <c r="F19147" t="s">
        <v>19162</v>
      </c>
      <c r="G19147">
        <v>1</v>
      </c>
    </row>
    <row r="19148" spans="1:7" x14ac:dyDescent="0.25">
      <c r="A19148">
        <v>6</v>
      </c>
      <c r="B19148" t="s">
        <v>19038</v>
      </c>
      <c r="C19148">
        <v>2660</v>
      </c>
      <c r="D19148" t="str">
        <f>"1076-0962"</f>
        <v>1076-0962</v>
      </c>
      <c r="E19148" t="s">
        <v>8</v>
      </c>
      <c r="F19148" t="s">
        <v>19163</v>
      </c>
      <c r="G19148">
        <v>1</v>
      </c>
    </row>
    <row r="19149" spans="1:7" x14ac:dyDescent="0.25">
      <c r="A19149">
        <v>6</v>
      </c>
      <c r="B19149" t="s">
        <v>19038</v>
      </c>
      <c r="C19149">
        <v>8782710</v>
      </c>
      <c r="E19149" t="s">
        <v>8</v>
      </c>
      <c r="F19149" t="s">
        <v>19164</v>
      </c>
      <c r="G19149">
        <v>1</v>
      </c>
    </row>
    <row r="19150" spans="1:7" x14ac:dyDescent="0.25">
      <c r="A19150">
        <v>6</v>
      </c>
      <c r="B19150" t="s">
        <v>19038</v>
      </c>
      <c r="C19150">
        <v>9017</v>
      </c>
      <c r="D19150" t="str">
        <f>"1406-0701"</f>
        <v>1406-0701</v>
      </c>
      <c r="E19150" t="s">
        <v>8</v>
      </c>
      <c r="F19150" t="s">
        <v>19165</v>
      </c>
      <c r="G19150">
        <v>1</v>
      </c>
    </row>
    <row r="19151" spans="1:7" x14ac:dyDescent="0.25">
      <c r="A19151">
        <v>6</v>
      </c>
      <c r="B19151" t="s">
        <v>19038</v>
      </c>
      <c r="C19151">
        <v>4126</v>
      </c>
      <c r="D19151" t="str">
        <f>"1447-9516"</f>
        <v>1447-9516</v>
      </c>
      <c r="E19151" t="s">
        <v>8</v>
      </c>
      <c r="F19151" t="s">
        <v>19166</v>
      </c>
      <c r="G19151">
        <v>1</v>
      </c>
    </row>
    <row r="19152" spans="1:7" x14ac:dyDescent="0.25">
      <c r="A19152">
        <v>6</v>
      </c>
      <c r="B19152" t="s">
        <v>19038</v>
      </c>
      <c r="C19152">
        <v>4716</v>
      </c>
      <c r="D19152" t="str">
        <f>"1447-9508"</f>
        <v>1447-9508</v>
      </c>
      <c r="E19152" t="s">
        <v>8</v>
      </c>
      <c r="F19152" t="s">
        <v>19167</v>
      </c>
      <c r="G19152">
        <v>1</v>
      </c>
    </row>
    <row r="19153" spans="1:7" x14ac:dyDescent="0.25">
      <c r="A19153">
        <v>6</v>
      </c>
      <c r="B19153" t="s">
        <v>19038</v>
      </c>
      <c r="C19153">
        <v>26977</v>
      </c>
      <c r="D19153" t="str">
        <f>"1755-6198"</f>
        <v>1755-6198</v>
      </c>
      <c r="E19153" t="s">
        <v>8</v>
      </c>
      <c r="F19153" t="s">
        <v>19168</v>
      </c>
      <c r="G19153">
        <v>1</v>
      </c>
    </row>
    <row r="19154" spans="1:7" x14ac:dyDescent="0.25">
      <c r="A19154">
        <v>6</v>
      </c>
      <c r="B19154" t="s">
        <v>19038</v>
      </c>
      <c r="C19154">
        <v>14397</v>
      </c>
      <c r="D19154" t="str">
        <f>"0021-1427"</f>
        <v>0021-1427</v>
      </c>
      <c r="E19154" t="s">
        <v>8</v>
      </c>
      <c r="F19154" t="s">
        <v>19169</v>
      </c>
      <c r="G19154">
        <v>1</v>
      </c>
    </row>
    <row r="19155" spans="1:7" x14ac:dyDescent="0.25">
      <c r="A19155">
        <v>6</v>
      </c>
      <c r="B19155" t="s">
        <v>19038</v>
      </c>
      <c r="C19155">
        <v>3281</v>
      </c>
      <c r="D19155" t="str">
        <f>"0309-5207"</f>
        <v>0309-5207</v>
      </c>
      <c r="E19155" t="s">
        <v>8</v>
      </c>
      <c r="F19155" t="s">
        <v>19170</v>
      </c>
      <c r="G19155">
        <v>1</v>
      </c>
    </row>
    <row r="19156" spans="1:7" x14ac:dyDescent="0.25">
      <c r="A19156">
        <v>6</v>
      </c>
      <c r="B19156" t="s">
        <v>19038</v>
      </c>
      <c r="C19156">
        <v>9274</v>
      </c>
      <c r="D19156" t="str">
        <f>"2051-2856"</f>
        <v>2051-2856</v>
      </c>
      <c r="E19156" t="s">
        <v>8</v>
      </c>
      <c r="F19156" t="s">
        <v>19171</v>
      </c>
      <c r="G19156">
        <v>1</v>
      </c>
    </row>
    <row r="19157" spans="1:7" x14ac:dyDescent="0.25">
      <c r="A19157">
        <v>6</v>
      </c>
      <c r="B19157" t="s">
        <v>19038</v>
      </c>
      <c r="C19157">
        <v>1766</v>
      </c>
      <c r="D19157" t="str">
        <f>"1862-5290"</f>
        <v>1862-5290</v>
      </c>
      <c r="E19157" t="s">
        <v>8</v>
      </c>
      <c r="F19157" t="s">
        <v>19172</v>
      </c>
      <c r="G19157">
        <v>1</v>
      </c>
    </row>
    <row r="19158" spans="1:7" x14ac:dyDescent="0.25">
      <c r="A19158">
        <v>6</v>
      </c>
      <c r="B19158" t="s">
        <v>19038</v>
      </c>
      <c r="C19158">
        <v>7745604</v>
      </c>
      <c r="D19158" t="str">
        <f>"2162-3627"</f>
        <v>2162-3627</v>
      </c>
      <c r="E19158" t="s">
        <v>8</v>
      </c>
      <c r="F19158" t="s">
        <v>19173</v>
      </c>
      <c r="G19158">
        <v>1</v>
      </c>
    </row>
    <row r="19159" spans="1:7" x14ac:dyDescent="0.25">
      <c r="A19159">
        <v>6</v>
      </c>
      <c r="B19159" t="s">
        <v>19038</v>
      </c>
      <c r="C19159">
        <v>16073</v>
      </c>
      <c r="D19159" t="str">
        <f>"1549-0815"</f>
        <v>1549-0815</v>
      </c>
      <c r="E19159" t="s">
        <v>8</v>
      </c>
      <c r="F19159" t="s">
        <v>19174</v>
      </c>
      <c r="G19159">
        <v>1</v>
      </c>
    </row>
    <row r="19160" spans="1:7" x14ac:dyDescent="0.25">
      <c r="A19160">
        <v>6</v>
      </c>
      <c r="B19160" t="s">
        <v>19038</v>
      </c>
      <c r="C19160">
        <v>27892</v>
      </c>
      <c r="D19160" t="str">
        <f>"1447-8986"</f>
        <v>1447-8986</v>
      </c>
      <c r="E19160" t="s">
        <v>8</v>
      </c>
      <c r="F19160" t="s">
        <v>19175</v>
      </c>
      <c r="G19160">
        <v>1</v>
      </c>
    </row>
    <row r="19161" spans="1:7" x14ac:dyDescent="0.25">
      <c r="A19161">
        <v>6</v>
      </c>
      <c r="B19161" t="s">
        <v>19038</v>
      </c>
      <c r="C19161">
        <v>11659</v>
      </c>
      <c r="D19161" t="str">
        <f>"1525-6790"</f>
        <v>1525-6790</v>
      </c>
      <c r="E19161" t="s">
        <v>8</v>
      </c>
      <c r="F19161" t="s">
        <v>19176</v>
      </c>
      <c r="G19161">
        <v>1</v>
      </c>
    </row>
    <row r="19162" spans="1:7" x14ac:dyDescent="0.25">
      <c r="A19162">
        <v>6</v>
      </c>
      <c r="B19162" t="s">
        <v>19038</v>
      </c>
      <c r="C19162">
        <v>102062</v>
      </c>
      <c r="D19162" t="str">
        <f>"1465-2609"</f>
        <v>1465-2609</v>
      </c>
      <c r="E19162" t="s">
        <v>8</v>
      </c>
      <c r="F19162" t="s">
        <v>19177</v>
      </c>
      <c r="G19162">
        <v>1</v>
      </c>
    </row>
    <row r="19163" spans="1:7" x14ac:dyDescent="0.25">
      <c r="A19163">
        <v>6</v>
      </c>
      <c r="B19163" t="s">
        <v>19038</v>
      </c>
      <c r="C19163">
        <v>18359</v>
      </c>
      <c r="D19163" t="str">
        <f>"1616-1203"</f>
        <v>1616-1203</v>
      </c>
      <c r="E19163" t="s">
        <v>8</v>
      </c>
      <c r="F19163" t="s">
        <v>19178</v>
      </c>
      <c r="G19163">
        <v>1</v>
      </c>
    </row>
    <row r="19164" spans="1:7" x14ac:dyDescent="0.25">
      <c r="A19164">
        <v>6</v>
      </c>
      <c r="B19164" t="s">
        <v>19038</v>
      </c>
      <c r="C19164">
        <v>2722</v>
      </c>
      <c r="D19164" t="str">
        <f>"0023-7930"</f>
        <v>0023-7930</v>
      </c>
      <c r="E19164" t="s">
        <v>8</v>
      </c>
      <c r="F19164" t="s">
        <v>19179</v>
      </c>
      <c r="G19164">
        <v>1</v>
      </c>
    </row>
    <row r="19165" spans="1:7" x14ac:dyDescent="0.25">
      <c r="A19165">
        <v>6</v>
      </c>
      <c r="B19165" t="s">
        <v>19038</v>
      </c>
      <c r="C19165">
        <v>7807</v>
      </c>
      <c r="D19165" t="str">
        <f>"0888-5613"</f>
        <v>0888-5613</v>
      </c>
      <c r="E19165" t="s">
        <v>8</v>
      </c>
      <c r="F19165" t="s">
        <v>19180</v>
      </c>
      <c r="G19165">
        <v>1</v>
      </c>
    </row>
    <row r="19166" spans="1:7" x14ac:dyDescent="0.25">
      <c r="A19166">
        <v>6</v>
      </c>
      <c r="B19166" t="s">
        <v>19038</v>
      </c>
      <c r="C19166">
        <v>87328</v>
      </c>
      <c r="D19166" t="str">
        <f>"1752-1483"</f>
        <v>1752-1483</v>
      </c>
      <c r="E19166" t="s">
        <v>8</v>
      </c>
      <c r="F19166" t="s">
        <v>19181</v>
      </c>
      <c r="G19166">
        <v>1</v>
      </c>
    </row>
    <row r="19167" spans="1:7" x14ac:dyDescent="0.25">
      <c r="A19167">
        <v>6</v>
      </c>
      <c r="B19167" t="s">
        <v>19038</v>
      </c>
      <c r="C19167">
        <v>13931</v>
      </c>
      <c r="D19167" t="str">
        <f>"0014-0767"</f>
        <v>0014-0767</v>
      </c>
      <c r="E19167" t="s">
        <v>8</v>
      </c>
      <c r="F19167" t="s">
        <v>19182</v>
      </c>
      <c r="G19167">
        <v>1</v>
      </c>
    </row>
    <row r="19168" spans="1:7" x14ac:dyDescent="0.25">
      <c r="A19168">
        <v>6</v>
      </c>
      <c r="B19168" t="s">
        <v>19038</v>
      </c>
      <c r="C19168">
        <v>2176</v>
      </c>
      <c r="D19168" t="str">
        <f>"1569-3112"</f>
        <v>1569-3112</v>
      </c>
      <c r="E19168" t="s">
        <v>15</v>
      </c>
      <c r="F19168" t="s">
        <v>19183</v>
      </c>
      <c r="G19168">
        <v>1</v>
      </c>
    </row>
    <row r="19169" spans="1:7" x14ac:dyDescent="0.25">
      <c r="A19169">
        <v>6</v>
      </c>
      <c r="B19169" t="s">
        <v>19038</v>
      </c>
      <c r="C19169">
        <v>27258</v>
      </c>
      <c r="D19169" t="str">
        <f>"1523-9012"</f>
        <v>1523-9012</v>
      </c>
      <c r="E19169" t="s">
        <v>8</v>
      </c>
      <c r="F19169" t="s">
        <v>19184</v>
      </c>
      <c r="G19169">
        <v>1</v>
      </c>
    </row>
    <row r="19170" spans="1:7" x14ac:dyDescent="0.25">
      <c r="A19170">
        <v>6</v>
      </c>
      <c r="B19170" t="s">
        <v>19038</v>
      </c>
      <c r="C19170">
        <v>8335</v>
      </c>
      <c r="D19170" t="str">
        <f>"0024-466X"</f>
        <v>0024-466X</v>
      </c>
      <c r="E19170" t="s">
        <v>8</v>
      </c>
      <c r="F19170" t="s">
        <v>19185</v>
      </c>
      <c r="G19170">
        <v>1</v>
      </c>
    </row>
    <row r="19171" spans="1:7" x14ac:dyDescent="0.25">
      <c r="A19171">
        <v>6</v>
      </c>
      <c r="B19171" t="s">
        <v>19038</v>
      </c>
      <c r="C19171">
        <v>124</v>
      </c>
      <c r="D19171" t="str">
        <f>"0306-1973"</f>
        <v>0306-1973</v>
      </c>
      <c r="E19171" t="s">
        <v>8</v>
      </c>
      <c r="F19171" t="s">
        <v>19186</v>
      </c>
      <c r="G19171">
        <v>1</v>
      </c>
    </row>
    <row r="19172" spans="1:7" x14ac:dyDescent="0.25">
      <c r="A19172">
        <v>6</v>
      </c>
      <c r="B19172" t="s">
        <v>19038</v>
      </c>
      <c r="C19172">
        <v>5308</v>
      </c>
      <c r="D19172" t="str">
        <f>"0278-9671"</f>
        <v>0278-9671</v>
      </c>
      <c r="E19172" t="s">
        <v>8</v>
      </c>
      <c r="F19172" t="s">
        <v>19187</v>
      </c>
      <c r="G19172">
        <v>1</v>
      </c>
    </row>
    <row r="19173" spans="1:7" x14ac:dyDescent="0.25">
      <c r="A19173">
        <v>6</v>
      </c>
      <c r="B19173" t="s">
        <v>19038</v>
      </c>
      <c r="C19173">
        <v>8783669</v>
      </c>
      <c r="E19173" t="s">
        <v>15</v>
      </c>
      <c r="F19173" t="s">
        <v>19188</v>
      </c>
      <c r="G19173">
        <v>1</v>
      </c>
    </row>
    <row r="19174" spans="1:7" x14ac:dyDescent="0.25">
      <c r="A19174">
        <v>6</v>
      </c>
      <c r="B19174" t="s">
        <v>19038</v>
      </c>
      <c r="C19174">
        <v>8783670</v>
      </c>
      <c r="E19174" t="s">
        <v>15</v>
      </c>
      <c r="F19174" t="s">
        <v>19189</v>
      </c>
      <c r="G19174">
        <v>1</v>
      </c>
    </row>
    <row r="19175" spans="1:7" x14ac:dyDescent="0.25">
      <c r="A19175">
        <v>6</v>
      </c>
      <c r="B19175" t="s">
        <v>19038</v>
      </c>
      <c r="C19175">
        <v>9468</v>
      </c>
      <c r="D19175" t="str">
        <f>"0047-4800"</f>
        <v>0047-4800</v>
      </c>
      <c r="E19175" t="s">
        <v>8</v>
      </c>
      <c r="F19175" t="s">
        <v>19190</v>
      </c>
      <c r="G19175">
        <v>1</v>
      </c>
    </row>
    <row r="19176" spans="1:7" x14ac:dyDescent="0.25">
      <c r="A19176">
        <v>6</v>
      </c>
      <c r="B19176" t="s">
        <v>19038</v>
      </c>
      <c r="C19176">
        <v>16650</v>
      </c>
      <c r="D19176" t="str">
        <f>"0563-9751"</f>
        <v>0563-9751</v>
      </c>
      <c r="E19176" t="s">
        <v>8</v>
      </c>
      <c r="F19176" t="s">
        <v>19191</v>
      </c>
      <c r="G19176">
        <v>1</v>
      </c>
    </row>
    <row r="19177" spans="1:7" x14ac:dyDescent="0.25">
      <c r="A19177">
        <v>6</v>
      </c>
      <c r="B19177" t="s">
        <v>19038</v>
      </c>
      <c r="C19177">
        <v>5042</v>
      </c>
      <c r="D19177" t="str">
        <f>"0025-4878"</f>
        <v>0025-4878</v>
      </c>
      <c r="E19177" t="s">
        <v>8</v>
      </c>
      <c r="F19177" t="s">
        <v>19192</v>
      </c>
      <c r="G19177">
        <v>1</v>
      </c>
    </row>
    <row r="19178" spans="1:7" x14ac:dyDescent="0.25">
      <c r="A19178">
        <v>6</v>
      </c>
      <c r="B19178" t="s">
        <v>19038</v>
      </c>
      <c r="C19178">
        <v>13658</v>
      </c>
      <c r="E19178" t="s">
        <v>15</v>
      </c>
      <c r="F19178" t="s">
        <v>19193</v>
      </c>
      <c r="G19178">
        <v>1</v>
      </c>
    </row>
    <row r="19179" spans="1:7" x14ac:dyDescent="0.25">
      <c r="A19179">
        <v>6</v>
      </c>
      <c r="B19179" t="s">
        <v>19038</v>
      </c>
      <c r="C19179">
        <v>170036</v>
      </c>
      <c r="E19179" t="s">
        <v>15</v>
      </c>
      <c r="F19179" t="s">
        <v>19194</v>
      </c>
      <c r="G19179">
        <v>1</v>
      </c>
    </row>
    <row r="19180" spans="1:7" x14ac:dyDescent="0.25">
      <c r="A19180">
        <v>6</v>
      </c>
      <c r="B19180" t="s">
        <v>19038</v>
      </c>
      <c r="C19180">
        <v>22189</v>
      </c>
      <c r="D19180" t="str">
        <f>"1080-1219"</f>
        <v>1080-1219</v>
      </c>
      <c r="E19180" t="s">
        <v>8</v>
      </c>
      <c r="F19180" t="s">
        <v>19195</v>
      </c>
      <c r="G19180">
        <v>1</v>
      </c>
    </row>
    <row r="19181" spans="1:7" x14ac:dyDescent="0.25">
      <c r="A19181">
        <v>6</v>
      </c>
      <c r="B19181" t="s">
        <v>19038</v>
      </c>
      <c r="C19181">
        <v>8269</v>
      </c>
      <c r="D19181" t="str">
        <f>"0324-4652"</f>
        <v>0324-4652</v>
      </c>
      <c r="E19181" t="s">
        <v>8</v>
      </c>
      <c r="F19181" t="s">
        <v>19196</v>
      </c>
      <c r="G19181">
        <v>1</v>
      </c>
    </row>
    <row r="19182" spans="1:7" x14ac:dyDescent="0.25">
      <c r="A19182">
        <v>6</v>
      </c>
      <c r="B19182" t="s">
        <v>19038</v>
      </c>
      <c r="C19182">
        <v>8783671</v>
      </c>
      <c r="E19182" t="s">
        <v>15</v>
      </c>
      <c r="F19182" t="s">
        <v>19197</v>
      </c>
      <c r="G19182">
        <v>1</v>
      </c>
    </row>
    <row r="19183" spans="1:7" x14ac:dyDescent="0.25">
      <c r="A19183">
        <v>6</v>
      </c>
      <c r="B19183" t="s">
        <v>19038</v>
      </c>
      <c r="C19183">
        <v>170041</v>
      </c>
      <c r="E19183" t="s">
        <v>15</v>
      </c>
      <c r="F19183" t="s">
        <v>19198</v>
      </c>
      <c r="G19183">
        <v>1</v>
      </c>
    </row>
    <row r="19184" spans="1:7" x14ac:dyDescent="0.25">
      <c r="A19184">
        <v>6</v>
      </c>
      <c r="B19184" t="s">
        <v>19038</v>
      </c>
      <c r="C19184">
        <v>6144</v>
      </c>
      <c r="D19184" t="str">
        <f>"0314-7495"</f>
        <v>0314-7495</v>
      </c>
      <c r="E19184" t="s">
        <v>8</v>
      </c>
      <c r="F19184" t="s">
        <v>19199</v>
      </c>
      <c r="G19184">
        <v>1</v>
      </c>
    </row>
    <row r="19185" spans="1:7" x14ac:dyDescent="0.25">
      <c r="A19185">
        <v>6</v>
      </c>
      <c r="B19185" t="s">
        <v>19038</v>
      </c>
      <c r="C19185">
        <v>19397</v>
      </c>
      <c r="D19185" t="str">
        <f>"1479-0726"</f>
        <v>1479-0726</v>
      </c>
      <c r="E19185" t="s">
        <v>8</v>
      </c>
      <c r="F19185" t="s">
        <v>19200</v>
      </c>
      <c r="G19185">
        <v>1</v>
      </c>
    </row>
    <row r="19186" spans="1:7" x14ac:dyDescent="0.25">
      <c r="A19186">
        <v>6</v>
      </c>
      <c r="B19186" t="s">
        <v>19038</v>
      </c>
      <c r="C19186">
        <v>1541</v>
      </c>
      <c r="D19186" t="str">
        <f>"1052-0406"</f>
        <v>1052-0406</v>
      </c>
      <c r="E19186" t="s">
        <v>8</v>
      </c>
      <c r="F19186" t="s">
        <v>19201</v>
      </c>
      <c r="G19186">
        <v>1</v>
      </c>
    </row>
    <row r="19187" spans="1:7" x14ac:dyDescent="0.25">
      <c r="A19187">
        <v>6</v>
      </c>
      <c r="B19187" t="s">
        <v>19038</v>
      </c>
      <c r="C19187">
        <v>13783</v>
      </c>
      <c r="D19187" t="str">
        <f>"0029-1501"</f>
        <v>0029-1501</v>
      </c>
      <c r="E19187" t="s">
        <v>8</v>
      </c>
      <c r="F19187" t="s">
        <v>19202</v>
      </c>
      <c r="G19187">
        <v>1</v>
      </c>
    </row>
    <row r="19188" spans="1:7" x14ac:dyDescent="0.25">
      <c r="A19188">
        <v>6</v>
      </c>
      <c r="B19188" t="s">
        <v>19038</v>
      </c>
      <c r="C19188">
        <v>2218</v>
      </c>
      <c r="D19188" t="str">
        <f>"0809-2044"</f>
        <v>0809-2044</v>
      </c>
      <c r="E19188" t="s">
        <v>8</v>
      </c>
      <c r="F19188" t="s">
        <v>19203</v>
      </c>
      <c r="G19188">
        <v>1</v>
      </c>
    </row>
    <row r="19189" spans="1:7" x14ac:dyDescent="0.25">
      <c r="A19189">
        <v>6</v>
      </c>
      <c r="B19189" t="s">
        <v>19038</v>
      </c>
      <c r="C19189">
        <v>8783672</v>
      </c>
      <c r="E19189" t="s">
        <v>15</v>
      </c>
      <c r="F19189" t="s">
        <v>19204</v>
      </c>
      <c r="G19189">
        <v>1</v>
      </c>
    </row>
    <row r="19190" spans="1:7" x14ac:dyDescent="0.25">
      <c r="A19190">
        <v>6</v>
      </c>
      <c r="B19190" t="s">
        <v>19038</v>
      </c>
      <c r="C19190">
        <v>170034</v>
      </c>
      <c r="E19190" t="s">
        <v>15</v>
      </c>
      <c r="F19190" t="s">
        <v>19205</v>
      </c>
      <c r="G19190">
        <v>1</v>
      </c>
    </row>
    <row r="19191" spans="1:7" x14ac:dyDescent="0.25">
      <c r="A19191">
        <v>6</v>
      </c>
      <c r="B19191" t="s">
        <v>19038</v>
      </c>
      <c r="C19191">
        <v>12103</v>
      </c>
      <c r="D19191" t="str">
        <f>"0031-1294"</f>
        <v>0031-1294</v>
      </c>
      <c r="E19191" t="s">
        <v>8</v>
      </c>
      <c r="F19191" t="s">
        <v>19206</v>
      </c>
      <c r="G19191">
        <v>1</v>
      </c>
    </row>
    <row r="19192" spans="1:7" x14ac:dyDescent="0.25">
      <c r="A19192">
        <v>6</v>
      </c>
      <c r="B19192" t="s">
        <v>19038</v>
      </c>
      <c r="C19192">
        <v>15468</v>
      </c>
      <c r="D19192" t="str">
        <f>"1837-4530"</f>
        <v>1837-4530</v>
      </c>
      <c r="E19192" t="s">
        <v>8</v>
      </c>
      <c r="F19192" t="s">
        <v>19207</v>
      </c>
      <c r="G19192">
        <v>1</v>
      </c>
    </row>
    <row r="19193" spans="1:7" x14ac:dyDescent="0.25">
      <c r="A19193">
        <v>6</v>
      </c>
      <c r="B19193" t="s">
        <v>19038</v>
      </c>
      <c r="C19193">
        <v>119987</v>
      </c>
      <c r="D19193" t="str">
        <f>"1079-8072"</f>
        <v>1079-8072</v>
      </c>
      <c r="E19193" t="s">
        <v>8</v>
      </c>
      <c r="F19193" t="s">
        <v>19208</v>
      </c>
      <c r="G19193">
        <v>1</v>
      </c>
    </row>
    <row r="19194" spans="1:7" x14ac:dyDescent="0.25">
      <c r="A19194">
        <v>6</v>
      </c>
      <c r="B19194" t="s">
        <v>19038</v>
      </c>
      <c r="C19194">
        <v>170031</v>
      </c>
      <c r="E19194" t="s">
        <v>15</v>
      </c>
      <c r="F19194" t="s">
        <v>19209</v>
      </c>
      <c r="G19194">
        <v>1</v>
      </c>
    </row>
    <row r="19195" spans="1:7" x14ac:dyDescent="0.25">
      <c r="A19195">
        <v>6</v>
      </c>
      <c r="B19195" t="s">
        <v>19038</v>
      </c>
      <c r="C19195">
        <v>989</v>
      </c>
      <c r="D19195" t="str">
        <f>"1565-3668"</f>
        <v>1565-3668</v>
      </c>
      <c r="E19195" t="s">
        <v>8</v>
      </c>
      <c r="F19195" t="s">
        <v>19210</v>
      </c>
      <c r="G19195">
        <v>1</v>
      </c>
    </row>
    <row r="19196" spans="1:7" x14ac:dyDescent="0.25">
      <c r="A19196">
        <v>6</v>
      </c>
      <c r="B19196" t="s">
        <v>19038</v>
      </c>
      <c r="C19196">
        <v>12530</v>
      </c>
      <c r="D19196" t="str">
        <f>"1433-7177"</f>
        <v>1433-7177</v>
      </c>
      <c r="E19196" t="s">
        <v>8</v>
      </c>
      <c r="F19196" t="s">
        <v>19211</v>
      </c>
      <c r="G19196">
        <v>1</v>
      </c>
    </row>
    <row r="19197" spans="1:7" x14ac:dyDescent="0.25">
      <c r="A19197">
        <v>6</v>
      </c>
      <c r="B19197" t="s">
        <v>19038</v>
      </c>
      <c r="C19197">
        <v>4293</v>
      </c>
      <c r="D19197" t="str">
        <f>"0048-4474"</f>
        <v>0048-4474</v>
      </c>
      <c r="E19197" t="s">
        <v>8</v>
      </c>
      <c r="F19197" t="s">
        <v>19212</v>
      </c>
      <c r="G19197">
        <v>1</v>
      </c>
    </row>
    <row r="19198" spans="1:7" x14ac:dyDescent="0.25">
      <c r="A19198">
        <v>6</v>
      </c>
      <c r="B19198" t="s">
        <v>19038</v>
      </c>
      <c r="C19198">
        <v>4809</v>
      </c>
      <c r="D19198" t="str">
        <f>"0032-2156"</f>
        <v>0032-2156</v>
      </c>
      <c r="E19198" t="s">
        <v>8</v>
      </c>
      <c r="F19198" t="s">
        <v>19213</v>
      </c>
      <c r="G19198">
        <v>1</v>
      </c>
    </row>
    <row r="19199" spans="1:7" x14ac:dyDescent="0.25">
      <c r="A19199">
        <v>6</v>
      </c>
      <c r="B19199" t="s">
        <v>19038</v>
      </c>
      <c r="C19199">
        <v>180</v>
      </c>
      <c r="D19199" t="str">
        <f>"0032-2202"</f>
        <v>0032-2202</v>
      </c>
      <c r="E19199" t="s">
        <v>8</v>
      </c>
      <c r="F19199" t="s">
        <v>19214</v>
      </c>
      <c r="G19199">
        <v>1</v>
      </c>
    </row>
    <row r="19200" spans="1:7" x14ac:dyDescent="0.25">
      <c r="A19200">
        <v>6</v>
      </c>
      <c r="B19200" t="s">
        <v>19038</v>
      </c>
      <c r="C19200">
        <v>170038</v>
      </c>
      <c r="E19200" t="s">
        <v>15</v>
      </c>
      <c r="F19200" t="s">
        <v>19215</v>
      </c>
      <c r="G19200">
        <v>1</v>
      </c>
    </row>
    <row r="19201" spans="1:7" x14ac:dyDescent="0.25">
      <c r="A19201">
        <v>6</v>
      </c>
      <c r="B19201" t="s">
        <v>19038</v>
      </c>
      <c r="C19201">
        <v>16942</v>
      </c>
      <c r="D19201" t="str">
        <f>"0272-9601"</f>
        <v>0272-9601</v>
      </c>
      <c r="E19201" t="s">
        <v>8</v>
      </c>
      <c r="F19201" t="s">
        <v>19216</v>
      </c>
      <c r="G19201">
        <v>1</v>
      </c>
    </row>
    <row r="19202" spans="1:7" x14ac:dyDescent="0.25">
      <c r="A19202">
        <v>6</v>
      </c>
      <c r="B19202" t="s">
        <v>19038</v>
      </c>
      <c r="C19202">
        <v>12333</v>
      </c>
      <c r="D19202" t="str">
        <f>"0144-0357"</f>
        <v>0144-0357</v>
      </c>
      <c r="E19202" t="s">
        <v>8</v>
      </c>
      <c r="F19202" t="s">
        <v>19217</v>
      </c>
      <c r="G19202">
        <v>1</v>
      </c>
    </row>
    <row r="19203" spans="1:7" x14ac:dyDescent="0.25">
      <c r="A19203">
        <v>6</v>
      </c>
      <c r="B19203" t="s">
        <v>19038</v>
      </c>
      <c r="C19203">
        <v>15833</v>
      </c>
      <c r="D19203" t="str">
        <f>"0804-8592"</f>
        <v>0804-8592</v>
      </c>
      <c r="E19203" t="s">
        <v>8</v>
      </c>
      <c r="F19203" t="s">
        <v>19218</v>
      </c>
      <c r="G19203">
        <v>1</v>
      </c>
    </row>
    <row r="19204" spans="1:7" x14ac:dyDescent="0.25">
      <c r="A19204">
        <v>6</v>
      </c>
      <c r="B19204" t="s">
        <v>19038</v>
      </c>
      <c r="C19204">
        <v>1637</v>
      </c>
      <c r="D19204" t="str">
        <f>"0014-9527"</f>
        <v>0014-9527</v>
      </c>
      <c r="E19204" t="s">
        <v>8</v>
      </c>
      <c r="F19204" t="s">
        <v>19219</v>
      </c>
      <c r="G19204">
        <v>1</v>
      </c>
    </row>
    <row r="19205" spans="1:7" x14ac:dyDescent="0.25">
      <c r="A19205">
        <v>6</v>
      </c>
      <c r="B19205" t="s">
        <v>19038</v>
      </c>
      <c r="C19205">
        <v>16945</v>
      </c>
      <c r="D19205" t="str">
        <f>"0033-6041"</f>
        <v>0033-6041</v>
      </c>
      <c r="E19205" t="s">
        <v>8</v>
      </c>
      <c r="F19205" t="s">
        <v>19220</v>
      </c>
      <c r="G19205">
        <v>1</v>
      </c>
    </row>
    <row r="19206" spans="1:7" x14ac:dyDescent="0.25">
      <c r="A19206">
        <v>6</v>
      </c>
      <c r="B19206" t="s">
        <v>19038</v>
      </c>
      <c r="C19206">
        <v>7690527</v>
      </c>
      <c r="D19206" t="str">
        <f>"1662-9094"</f>
        <v>1662-9094</v>
      </c>
      <c r="E19206" t="s">
        <v>15</v>
      </c>
      <c r="F19206" t="s">
        <v>19221</v>
      </c>
      <c r="G19206">
        <v>1</v>
      </c>
    </row>
    <row r="19207" spans="1:7" x14ac:dyDescent="0.25">
      <c r="A19207">
        <v>6</v>
      </c>
      <c r="B19207" t="s">
        <v>19038</v>
      </c>
      <c r="C19207">
        <v>7230</v>
      </c>
      <c r="D19207" t="str">
        <f>"0925-4757"</f>
        <v>0925-4757</v>
      </c>
      <c r="E19207" t="s">
        <v>15</v>
      </c>
      <c r="F19207" t="s">
        <v>19222</v>
      </c>
      <c r="G19207">
        <v>1</v>
      </c>
    </row>
    <row r="19208" spans="1:7" x14ac:dyDescent="0.25">
      <c r="A19208">
        <v>6</v>
      </c>
      <c r="B19208" t="s">
        <v>19038</v>
      </c>
      <c r="C19208">
        <v>1789</v>
      </c>
      <c r="D19208" t="str">
        <f>"0034-4346"</f>
        <v>0034-4346</v>
      </c>
      <c r="E19208" t="s">
        <v>8</v>
      </c>
      <c r="F19208" t="s">
        <v>19223</v>
      </c>
      <c r="G19208">
        <v>1</v>
      </c>
    </row>
    <row r="19209" spans="1:7" x14ac:dyDescent="0.25">
      <c r="A19209">
        <v>6</v>
      </c>
      <c r="B19209" t="s">
        <v>19038</v>
      </c>
      <c r="C19209">
        <v>2028</v>
      </c>
      <c r="D19209" t="str">
        <f>"0035-1466"</f>
        <v>0035-1466</v>
      </c>
      <c r="E19209" t="s">
        <v>8</v>
      </c>
      <c r="F19209" t="s">
        <v>19224</v>
      </c>
      <c r="G19209">
        <v>1</v>
      </c>
    </row>
    <row r="19210" spans="1:7" x14ac:dyDescent="0.25">
      <c r="A19210">
        <v>6</v>
      </c>
      <c r="B19210" t="s">
        <v>19038</v>
      </c>
      <c r="C19210">
        <v>5332</v>
      </c>
      <c r="D19210" t="str">
        <f>"0391-2108"</f>
        <v>0391-2108</v>
      </c>
      <c r="E19210" t="s">
        <v>8</v>
      </c>
      <c r="F19210" t="s">
        <v>19225</v>
      </c>
      <c r="G19210">
        <v>1</v>
      </c>
    </row>
    <row r="19211" spans="1:7" x14ac:dyDescent="0.25">
      <c r="A19211">
        <v>6</v>
      </c>
      <c r="B19211" t="s">
        <v>19038</v>
      </c>
      <c r="C19211">
        <v>3501</v>
      </c>
      <c r="D19211" t="str">
        <f>"0295-5024"</f>
        <v>0295-5024</v>
      </c>
      <c r="E19211" t="s">
        <v>8</v>
      </c>
      <c r="F19211" t="s">
        <v>19226</v>
      </c>
      <c r="G19211">
        <v>1</v>
      </c>
    </row>
    <row r="19212" spans="1:7" x14ac:dyDescent="0.25">
      <c r="A19212">
        <v>6</v>
      </c>
      <c r="B19212" t="s">
        <v>19038</v>
      </c>
      <c r="C19212">
        <v>8783673</v>
      </c>
      <c r="D19212" t="str">
        <f>"1422-4896"</f>
        <v>1422-4896</v>
      </c>
      <c r="E19212" t="s">
        <v>15</v>
      </c>
      <c r="F19212" t="s">
        <v>19227</v>
      </c>
      <c r="G19212">
        <v>1</v>
      </c>
    </row>
    <row r="19213" spans="1:7" x14ac:dyDescent="0.25">
      <c r="A19213">
        <v>6</v>
      </c>
      <c r="B19213" t="s">
        <v>19038</v>
      </c>
      <c r="C19213">
        <v>15704</v>
      </c>
      <c r="D19213" t="str">
        <f>"1467-1255"</f>
        <v>1467-1255</v>
      </c>
      <c r="E19213" t="s">
        <v>8</v>
      </c>
      <c r="F19213" t="s">
        <v>19228</v>
      </c>
      <c r="G19213">
        <v>1</v>
      </c>
    </row>
    <row r="19214" spans="1:7" x14ac:dyDescent="0.25">
      <c r="A19214">
        <v>6</v>
      </c>
      <c r="B19214" t="s">
        <v>19038</v>
      </c>
      <c r="C19214">
        <v>14498</v>
      </c>
      <c r="D19214" t="str">
        <f>"0048-8593"</f>
        <v>0048-8593</v>
      </c>
      <c r="E19214" t="s">
        <v>8</v>
      </c>
      <c r="F19214" t="s">
        <v>19229</v>
      </c>
      <c r="G19214">
        <v>1</v>
      </c>
    </row>
    <row r="19215" spans="1:7" x14ac:dyDescent="0.25">
      <c r="A19215">
        <v>6</v>
      </c>
      <c r="B19215" t="s">
        <v>19038</v>
      </c>
      <c r="C19215">
        <v>8783674</v>
      </c>
      <c r="E19215" t="s">
        <v>15</v>
      </c>
      <c r="F19215" t="s">
        <v>19230</v>
      </c>
      <c r="G19215">
        <v>1</v>
      </c>
    </row>
    <row r="19216" spans="1:7" x14ac:dyDescent="0.25">
      <c r="A19216">
        <v>6</v>
      </c>
      <c r="B19216" t="s">
        <v>19038</v>
      </c>
      <c r="C19216">
        <v>8783675</v>
      </c>
      <c r="E19216" t="s">
        <v>15</v>
      </c>
      <c r="F19216" t="s">
        <v>19231</v>
      </c>
      <c r="G19216">
        <v>1</v>
      </c>
    </row>
    <row r="19217" spans="1:7" x14ac:dyDescent="0.25">
      <c r="A19217">
        <v>6</v>
      </c>
      <c r="B19217" t="s">
        <v>19038</v>
      </c>
      <c r="C19217">
        <v>1793</v>
      </c>
      <c r="D19217" t="str">
        <f>"0348-6133"</f>
        <v>0348-6133</v>
      </c>
      <c r="E19217" t="s">
        <v>8</v>
      </c>
      <c r="F19217" t="s">
        <v>19232</v>
      </c>
      <c r="G19217">
        <v>1</v>
      </c>
    </row>
    <row r="19218" spans="1:7" x14ac:dyDescent="0.25">
      <c r="A19218">
        <v>6</v>
      </c>
      <c r="B19218" t="s">
        <v>19038</v>
      </c>
      <c r="C19218">
        <v>123</v>
      </c>
      <c r="D19218" t="str">
        <f>"0927-3131"</f>
        <v>0927-3131</v>
      </c>
      <c r="E19218" t="s">
        <v>15</v>
      </c>
      <c r="F19218" t="s">
        <v>19233</v>
      </c>
      <c r="G19218">
        <v>1</v>
      </c>
    </row>
    <row r="19219" spans="1:7" x14ac:dyDescent="0.25">
      <c r="A19219">
        <v>6</v>
      </c>
      <c r="B19219" t="s">
        <v>19038</v>
      </c>
      <c r="C19219">
        <v>7696723</v>
      </c>
      <c r="D19219" t="str">
        <f>"2210-4372"</f>
        <v>2210-4372</v>
      </c>
      <c r="E19219" t="s">
        <v>8</v>
      </c>
      <c r="F19219" t="s">
        <v>19234</v>
      </c>
      <c r="G19219">
        <v>1</v>
      </c>
    </row>
    <row r="19220" spans="1:7" x14ac:dyDescent="0.25">
      <c r="A19220">
        <v>6</v>
      </c>
      <c r="B19220" t="s">
        <v>19038</v>
      </c>
      <c r="C19220">
        <v>97996</v>
      </c>
      <c r="D19220" t="str">
        <f>"1860-210X"</f>
        <v>1860-210X</v>
      </c>
      <c r="E19220" t="s">
        <v>15</v>
      </c>
      <c r="F19220" t="s">
        <v>19235</v>
      </c>
      <c r="G19220">
        <v>1</v>
      </c>
    </row>
    <row r="19221" spans="1:7" x14ac:dyDescent="0.25">
      <c r="A19221">
        <v>6</v>
      </c>
      <c r="B19221" t="s">
        <v>19038</v>
      </c>
      <c r="C19221">
        <v>755</v>
      </c>
      <c r="D19221" t="str">
        <f>"0038-8483"</f>
        <v>0038-8483</v>
      </c>
      <c r="E19221" t="s">
        <v>8</v>
      </c>
      <c r="F19221" t="s">
        <v>19236</v>
      </c>
      <c r="G19221">
        <v>1</v>
      </c>
    </row>
    <row r="19222" spans="1:7" x14ac:dyDescent="0.25">
      <c r="A19222">
        <v>6</v>
      </c>
      <c r="B19222" t="s">
        <v>19038</v>
      </c>
      <c r="C19222">
        <v>1965</v>
      </c>
      <c r="D19222" t="str">
        <f>"0049-2361"</f>
        <v>0049-2361</v>
      </c>
      <c r="E19222" t="s">
        <v>8</v>
      </c>
      <c r="F19222" t="s">
        <v>19237</v>
      </c>
      <c r="G19222">
        <v>1</v>
      </c>
    </row>
    <row r="19223" spans="1:7" x14ac:dyDescent="0.25">
      <c r="A19223">
        <v>6</v>
      </c>
      <c r="B19223" t="s">
        <v>19038</v>
      </c>
      <c r="C19223">
        <v>12363</v>
      </c>
      <c r="D19223" t="str">
        <f>"1555-7839"</f>
        <v>1555-7839</v>
      </c>
      <c r="E19223" t="s">
        <v>8</v>
      </c>
      <c r="F19223" t="s">
        <v>19238</v>
      </c>
      <c r="G19223">
        <v>1</v>
      </c>
    </row>
    <row r="19224" spans="1:7" x14ac:dyDescent="0.25">
      <c r="A19224">
        <v>6</v>
      </c>
      <c r="B19224" t="s">
        <v>19038</v>
      </c>
      <c r="C19224">
        <v>10141</v>
      </c>
      <c r="D19224" t="str">
        <f>"0380-6995"</f>
        <v>0380-6995</v>
      </c>
      <c r="E19224" t="s">
        <v>8</v>
      </c>
      <c r="F19224" t="s">
        <v>19239</v>
      </c>
      <c r="G19224">
        <v>1</v>
      </c>
    </row>
    <row r="19225" spans="1:7" x14ac:dyDescent="0.25">
      <c r="A19225">
        <v>6</v>
      </c>
      <c r="B19225" t="s">
        <v>19038</v>
      </c>
      <c r="C19225">
        <v>6292857</v>
      </c>
      <c r="D19225" t="str">
        <f>"1466-8173"</f>
        <v>1466-8173</v>
      </c>
      <c r="E19225" t="s">
        <v>15</v>
      </c>
      <c r="F19225" t="s">
        <v>19240</v>
      </c>
      <c r="G19225">
        <v>1</v>
      </c>
    </row>
    <row r="19226" spans="1:7" x14ac:dyDescent="0.25">
      <c r="A19226">
        <v>6</v>
      </c>
      <c r="B19226" t="s">
        <v>19038</v>
      </c>
      <c r="C19226">
        <v>140738</v>
      </c>
      <c r="D19226" t="str">
        <f>"0940-1571"</f>
        <v>0940-1571</v>
      </c>
      <c r="E19226" t="s">
        <v>15</v>
      </c>
      <c r="F19226" t="s">
        <v>19241</v>
      </c>
      <c r="G19226">
        <v>1</v>
      </c>
    </row>
    <row r="19227" spans="1:7" x14ac:dyDescent="0.25">
      <c r="A19227">
        <v>6</v>
      </c>
      <c r="B19227" t="s">
        <v>19038</v>
      </c>
      <c r="C19227">
        <v>170032</v>
      </c>
      <c r="E19227" t="s">
        <v>15</v>
      </c>
      <c r="F19227" t="s">
        <v>19242</v>
      </c>
      <c r="G19227">
        <v>1</v>
      </c>
    </row>
    <row r="19228" spans="1:7" x14ac:dyDescent="0.25">
      <c r="A19228">
        <v>6</v>
      </c>
      <c r="B19228" t="s">
        <v>19038</v>
      </c>
      <c r="C19228">
        <v>8783678</v>
      </c>
      <c r="D19228" t="str">
        <f>"2365-645X"</f>
        <v>2365-645X</v>
      </c>
      <c r="E19228" t="s">
        <v>15</v>
      </c>
      <c r="F19228" t="s">
        <v>19243</v>
      </c>
      <c r="G19228">
        <v>1</v>
      </c>
    </row>
    <row r="19229" spans="1:7" x14ac:dyDescent="0.25">
      <c r="A19229">
        <v>6</v>
      </c>
      <c r="B19229" t="s">
        <v>19038</v>
      </c>
      <c r="C19229">
        <v>8426</v>
      </c>
      <c r="D19229" t="str">
        <f>"0039-3800"</f>
        <v>0039-3800</v>
      </c>
      <c r="E19229" t="s">
        <v>8</v>
      </c>
      <c r="F19229" t="s">
        <v>19244</v>
      </c>
      <c r="G19229">
        <v>1</v>
      </c>
    </row>
    <row r="19230" spans="1:7" x14ac:dyDescent="0.25">
      <c r="A19230">
        <v>6</v>
      </c>
      <c r="B19230" t="s">
        <v>19038</v>
      </c>
      <c r="C19230">
        <v>6938</v>
      </c>
      <c r="D19230" t="str">
        <f>"0039-3819"</f>
        <v>0039-3819</v>
      </c>
      <c r="E19230" t="s">
        <v>8</v>
      </c>
      <c r="F19230" t="s">
        <v>19245</v>
      </c>
      <c r="G19230">
        <v>1</v>
      </c>
    </row>
    <row r="19231" spans="1:7" x14ac:dyDescent="0.25">
      <c r="A19231">
        <v>6</v>
      </c>
      <c r="B19231" t="s">
        <v>19038</v>
      </c>
      <c r="C19231">
        <v>12912</v>
      </c>
      <c r="D19231" t="str">
        <f>"0039-4238"</f>
        <v>0039-4238</v>
      </c>
      <c r="E19231" t="s">
        <v>8</v>
      </c>
      <c r="F19231" t="s">
        <v>19246</v>
      </c>
      <c r="G19231">
        <v>1</v>
      </c>
    </row>
    <row r="19232" spans="1:7" x14ac:dyDescent="0.25">
      <c r="A19232">
        <v>6</v>
      </c>
      <c r="B19232" t="s">
        <v>19038</v>
      </c>
      <c r="C19232">
        <v>4622</v>
      </c>
      <c r="D19232" t="str">
        <f>"0049-2426"</f>
        <v>0049-2426</v>
      </c>
      <c r="E19232" t="s">
        <v>8</v>
      </c>
      <c r="F19232" t="s">
        <v>19247</v>
      </c>
      <c r="G19232">
        <v>1</v>
      </c>
    </row>
    <row r="19233" spans="1:7" x14ac:dyDescent="0.25">
      <c r="A19233">
        <v>6</v>
      </c>
      <c r="B19233" t="s">
        <v>19038</v>
      </c>
      <c r="C19233">
        <v>533</v>
      </c>
      <c r="D19233" t="str">
        <f>"1528-3623"</f>
        <v>1528-3623</v>
      </c>
      <c r="E19233" t="s">
        <v>8</v>
      </c>
      <c r="F19233" t="s">
        <v>19248</v>
      </c>
      <c r="G19233">
        <v>1</v>
      </c>
    </row>
    <row r="19234" spans="1:7" x14ac:dyDescent="0.25">
      <c r="A19234">
        <v>6</v>
      </c>
      <c r="B19234" t="s">
        <v>19038</v>
      </c>
      <c r="C19234">
        <v>3524</v>
      </c>
      <c r="D19234" t="str">
        <f>"1069-0697"</f>
        <v>1069-0697</v>
      </c>
      <c r="E19234" t="s">
        <v>8</v>
      </c>
      <c r="F19234" t="s">
        <v>19249</v>
      </c>
      <c r="G19234">
        <v>1</v>
      </c>
    </row>
    <row r="19235" spans="1:7" x14ac:dyDescent="0.25">
      <c r="A19235">
        <v>6</v>
      </c>
      <c r="B19235" t="s">
        <v>19038</v>
      </c>
      <c r="C19235">
        <v>14103</v>
      </c>
      <c r="D19235" t="str">
        <f>"0039-7709"</f>
        <v>0039-7709</v>
      </c>
      <c r="E19235" t="s">
        <v>8</v>
      </c>
      <c r="F19235" t="s">
        <v>19250</v>
      </c>
      <c r="G19235">
        <v>1</v>
      </c>
    </row>
    <row r="19236" spans="1:7" x14ac:dyDescent="0.25">
      <c r="A19236">
        <v>6</v>
      </c>
      <c r="B19236" t="s">
        <v>19038</v>
      </c>
      <c r="C19236">
        <v>8885</v>
      </c>
      <c r="D19236" t="str">
        <f>"0256-7245"</f>
        <v>0256-7245</v>
      </c>
      <c r="E19236" t="s">
        <v>8</v>
      </c>
      <c r="F19236" t="s">
        <v>9961</v>
      </c>
      <c r="G19236">
        <v>1</v>
      </c>
    </row>
    <row r="19237" spans="1:7" x14ac:dyDescent="0.25">
      <c r="A19237">
        <v>6</v>
      </c>
      <c r="B19237" t="s">
        <v>19038</v>
      </c>
      <c r="C19237">
        <v>24485</v>
      </c>
      <c r="D19237" t="str">
        <f>"0090-6514"</f>
        <v>0090-6514</v>
      </c>
      <c r="E19237" t="s">
        <v>8</v>
      </c>
      <c r="F19237" t="s">
        <v>584</v>
      </c>
      <c r="G19237">
        <v>1</v>
      </c>
    </row>
    <row r="19238" spans="1:7" x14ac:dyDescent="0.25">
      <c r="A19238">
        <v>6</v>
      </c>
      <c r="B19238" t="s">
        <v>19038</v>
      </c>
      <c r="C19238">
        <v>45889</v>
      </c>
      <c r="D19238" t="str">
        <f>"1128-238X"</f>
        <v>1128-238X</v>
      </c>
      <c r="E19238" t="s">
        <v>8</v>
      </c>
      <c r="F19238" t="s">
        <v>19251</v>
      </c>
      <c r="G19238">
        <v>1</v>
      </c>
    </row>
    <row r="19239" spans="1:7" x14ac:dyDescent="0.25">
      <c r="A19239">
        <v>6</v>
      </c>
      <c r="B19239" t="s">
        <v>19038</v>
      </c>
      <c r="C19239">
        <v>7557</v>
      </c>
      <c r="D19239" t="str">
        <f>"0040-4691"</f>
        <v>0040-4691</v>
      </c>
      <c r="E19239" t="s">
        <v>8</v>
      </c>
      <c r="F19239" t="s">
        <v>19252</v>
      </c>
      <c r="G19239">
        <v>1</v>
      </c>
    </row>
    <row r="19240" spans="1:7" x14ac:dyDescent="0.25">
      <c r="A19240">
        <v>6</v>
      </c>
      <c r="B19240" t="s">
        <v>19038</v>
      </c>
      <c r="C19240">
        <v>6567</v>
      </c>
      <c r="D19240" t="str">
        <f>"0040-5329"</f>
        <v>0040-5329</v>
      </c>
      <c r="E19240" t="s">
        <v>8</v>
      </c>
      <c r="F19240" t="s">
        <v>19253</v>
      </c>
      <c r="G19240">
        <v>1</v>
      </c>
    </row>
    <row r="19241" spans="1:7" x14ac:dyDescent="0.25">
      <c r="A19241">
        <v>6</v>
      </c>
      <c r="B19241" t="s">
        <v>19038</v>
      </c>
      <c r="C19241">
        <v>15230</v>
      </c>
      <c r="D19241" t="str">
        <f>"0715-8920"</f>
        <v>0715-8920</v>
      </c>
      <c r="E19241" t="s">
        <v>8</v>
      </c>
      <c r="F19241" t="s">
        <v>19254</v>
      </c>
      <c r="G19241">
        <v>1</v>
      </c>
    </row>
    <row r="19242" spans="1:7" x14ac:dyDescent="0.25">
      <c r="A19242">
        <v>6</v>
      </c>
      <c r="B19242" t="s">
        <v>19038</v>
      </c>
      <c r="C19242">
        <v>1790</v>
      </c>
      <c r="D19242" t="str">
        <f>"0003-5661"</f>
        <v>0003-5661</v>
      </c>
      <c r="E19242" t="s">
        <v>8</v>
      </c>
      <c r="F19242" t="s">
        <v>19255</v>
      </c>
      <c r="G19242">
        <v>1</v>
      </c>
    </row>
    <row r="19243" spans="1:7" x14ac:dyDescent="0.25">
      <c r="A19243">
        <v>6</v>
      </c>
      <c r="B19243" t="s">
        <v>19038</v>
      </c>
      <c r="C19243">
        <v>16155</v>
      </c>
      <c r="D19243" t="str">
        <f>"0008-199X"</f>
        <v>0008-199X</v>
      </c>
      <c r="E19243" t="s">
        <v>8</v>
      </c>
      <c r="F19243" t="s">
        <v>19256</v>
      </c>
      <c r="G19243">
        <v>1</v>
      </c>
    </row>
    <row r="19244" spans="1:7" x14ac:dyDescent="0.25">
      <c r="A19244">
        <v>6</v>
      </c>
      <c r="B19244" t="s">
        <v>19038</v>
      </c>
      <c r="C19244">
        <v>1680</v>
      </c>
      <c r="D19244" t="str">
        <f>"0007-8069"</f>
        <v>0007-8069</v>
      </c>
      <c r="E19244" t="s">
        <v>8</v>
      </c>
      <c r="F19244" t="s">
        <v>19257</v>
      </c>
      <c r="G19244">
        <v>1</v>
      </c>
    </row>
    <row r="19245" spans="1:7" x14ac:dyDescent="0.25">
      <c r="A19245">
        <v>6</v>
      </c>
      <c r="B19245" t="s">
        <v>19038</v>
      </c>
      <c r="C19245">
        <v>529</v>
      </c>
      <c r="D19245" t="str">
        <f>"0011-5827"</f>
        <v>0011-5827</v>
      </c>
      <c r="E19245" t="s">
        <v>8</v>
      </c>
      <c r="F19245" t="s">
        <v>19258</v>
      </c>
      <c r="G19245">
        <v>1</v>
      </c>
    </row>
    <row r="19246" spans="1:7" x14ac:dyDescent="0.25">
      <c r="A19246">
        <v>6</v>
      </c>
      <c r="B19246" t="s">
        <v>19038</v>
      </c>
      <c r="C19246">
        <v>12518</v>
      </c>
      <c r="D19246" t="str">
        <f>"0193-5380"</f>
        <v>0193-5380</v>
      </c>
      <c r="E19246" t="s">
        <v>8</v>
      </c>
      <c r="F19246" t="s">
        <v>19259</v>
      </c>
      <c r="G19246">
        <v>1</v>
      </c>
    </row>
    <row r="19247" spans="1:7" x14ac:dyDescent="0.25">
      <c r="A19247">
        <v>6</v>
      </c>
      <c r="B19247" t="s">
        <v>19038</v>
      </c>
      <c r="C19247">
        <v>6246</v>
      </c>
      <c r="D19247" t="str">
        <f>"1528-3631"</f>
        <v>1528-3631</v>
      </c>
      <c r="E19247" t="s">
        <v>8</v>
      </c>
      <c r="F19247" t="s">
        <v>19260</v>
      </c>
      <c r="G19247">
        <v>1</v>
      </c>
    </row>
    <row r="19248" spans="1:7" x14ac:dyDescent="0.25">
      <c r="A19248">
        <v>6</v>
      </c>
      <c r="B19248" t="s">
        <v>19038</v>
      </c>
      <c r="C19248">
        <v>5399</v>
      </c>
      <c r="D19248" t="str">
        <f>"0014-4940"</f>
        <v>0014-4940</v>
      </c>
      <c r="E19248" t="s">
        <v>8</v>
      </c>
      <c r="F19248" t="s">
        <v>19261</v>
      </c>
      <c r="G19248">
        <v>1</v>
      </c>
    </row>
    <row r="19249" spans="1:7" x14ac:dyDescent="0.25">
      <c r="A19249">
        <v>6</v>
      </c>
      <c r="B19249" t="s">
        <v>19038</v>
      </c>
      <c r="C19249">
        <v>24757</v>
      </c>
      <c r="D19249" t="str">
        <f>"0276-3362"</f>
        <v>0276-3362</v>
      </c>
      <c r="E19249" t="s">
        <v>8</v>
      </c>
      <c r="F19249" t="s">
        <v>19262</v>
      </c>
      <c r="G19249">
        <v>1</v>
      </c>
    </row>
    <row r="19250" spans="1:7" x14ac:dyDescent="0.25">
      <c r="A19250">
        <v>6</v>
      </c>
      <c r="B19250" t="s">
        <v>19038</v>
      </c>
      <c r="C19250">
        <v>211</v>
      </c>
      <c r="D19250" t="str">
        <f>"0147-2593"</f>
        <v>0147-2593</v>
      </c>
      <c r="E19250" t="s">
        <v>8</v>
      </c>
      <c r="F19250" t="s">
        <v>19263</v>
      </c>
      <c r="G19250">
        <v>1</v>
      </c>
    </row>
    <row r="19251" spans="1:7" x14ac:dyDescent="0.25">
      <c r="A19251">
        <v>6</v>
      </c>
      <c r="B19251" t="s">
        <v>19038</v>
      </c>
      <c r="C19251">
        <v>10728</v>
      </c>
      <c r="D19251" t="str">
        <f>"0026-5667"</f>
        <v>0026-5667</v>
      </c>
      <c r="E19251" t="s">
        <v>8</v>
      </c>
      <c r="F19251" t="s">
        <v>19264</v>
      </c>
      <c r="G19251">
        <v>1</v>
      </c>
    </row>
    <row r="19252" spans="1:7" x14ac:dyDescent="0.25">
      <c r="A19252">
        <v>6</v>
      </c>
      <c r="B19252" t="s">
        <v>19038</v>
      </c>
      <c r="C19252">
        <v>127443</v>
      </c>
      <c r="D19252" t="str">
        <f>"1901-9912"</f>
        <v>1901-9912</v>
      </c>
      <c r="E19252" t="s">
        <v>15</v>
      </c>
      <c r="F19252" t="s">
        <v>19265</v>
      </c>
      <c r="G19252">
        <v>1</v>
      </c>
    </row>
    <row r="19253" spans="1:7" x14ac:dyDescent="0.25">
      <c r="A19253">
        <v>6</v>
      </c>
      <c r="B19253" t="s">
        <v>19038</v>
      </c>
      <c r="C19253">
        <v>6036</v>
      </c>
      <c r="D19253" t="str">
        <f>"1104-0556"</f>
        <v>1104-0556</v>
      </c>
      <c r="E19253" t="s">
        <v>8</v>
      </c>
      <c r="F19253" t="s">
        <v>19266</v>
      </c>
      <c r="G19253">
        <v>1</v>
      </c>
    </row>
    <row r="19254" spans="1:7" x14ac:dyDescent="0.25">
      <c r="A19254">
        <v>6</v>
      </c>
      <c r="B19254" t="s">
        <v>19038</v>
      </c>
      <c r="C19254">
        <v>16065</v>
      </c>
      <c r="D19254" t="str">
        <f>"0041-3097"</f>
        <v>0041-3097</v>
      </c>
      <c r="E19254" t="s">
        <v>8</v>
      </c>
      <c r="F19254" t="s">
        <v>19267</v>
      </c>
      <c r="G19254">
        <v>1</v>
      </c>
    </row>
    <row r="19255" spans="1:7" x14ac:dyDescent="0.25">
      <c r="A19255">
        <v>6</v>
      </c>
      <c r="B19255" t="s">
        <v>19038</v>
      </c>
      <c r="C19255">
        <v>16013</v>
      </c>
      <c r="D19255" t="str">
        <f>"0082-660X"</f>
        <v>0082-660X</v>
      </c>
      <c r="E19255" t="s">
        <v>8</v>
      </c>
      <c r="F19255" t="s">
        <v>19268</v>
      </c>
      <c r="G19255">
        <v>1</v>
      </c>
    </row>
    <row r="19256" spans="1:7" x14ac:dyDescent="0.25">
      <c r="A19256">
        <v>6</v>
      </c>
      <c r="B19256" t="s">
        <v>19038</v>
      </c>
      <c r="C19256">
        <v>265</v>
      </c>
      <c r="D19256" t="str">
        <f>"0732-7730"</f>
        <v>0732-7730</v>
      </c>
      <c r="E19256" t="s">
        <v>8</v>
      </c>
      <c r="F19256" t="s">
        <v>19269</v>
      </c>
      <c r="G19256">
        <v>1</v>
      </c>
    </row>
    <row r="19257" spans="1:7" x14ac:dyDescent="0.25">
      <c r="A19257">
        <v>6</v>
      </c>
      <c r="B19257" t="s">
        <v>19038</v>
      </c>
      <c r="C19257">
        <v>4278</v>
      </c>
      <c r="D19257" t="str">
        <f>"0041-462X"</f>
        <v>0041-462X</v>
      </c>
      <c r="E19257" t="s">
        <v>8</v>
      </c>
      <c r="F19257" t="s">
        <v>19270</v>
      </c>
      <c r="G19257">
        <v>1</v>
      </c>
    </row>
    <row r="19258" spans="1:7" x14ac:dyDescent="0.25">
      <c r="A19258">
        <v>6</v>
      </c>
      <c r="B19258" t="s">
        <v>19038</v>
      </c>
      <c r="C19258">
        <v>5257</v>
      </c>
      <c r="D19258" t="str">
        <f>"0042-0247"</f>
        <v>0042-0247</v>
      </c>
      <c r="E19258" t="s">
        <v>8</v>
      </c>
      <c r="F19258" t="s">
        <v>19271</v>
      </c>
      <c r="G19258">
        <v>1</v>
      </c>
    </row>
    <row r="19259" spans="1:7" x14ac:dyDescent="0.25">
      <c r="A19259">
        <v>6</v>
      </c>
      <c r="B19259" t="s">
        <v>19038</v>
      </c>
      <c r="C19259">
        <v>170071</v>
      </c>
      <c r="D19259" t="str">
        <f>"2034-9416"</f>
        <v>2034-9416</v>
      </c>
      <c r="E19259" t="s">
        <v>15</v>
      </c>
      <c r="F19259" t="s">
        <v>19272</v>
      </c>
      <c r="G19259">
        <v>1</v>
      </c>
    </row>
    <row r="19260" spans="1:7" x14ac:dyDescent="0.25">
      <c r="A19260">
        <v>6</v>
      </c>
      <c r="B19260" t="s">
        <v>19038</v>
      </c>
      <c r="C19260">
        <v>15855</v>
      </c>
      <c r="D19260" t="str">
        <f>"1396-0482"</f>
        <v>1396-0482</v>
      </c>
      <c r="E19260" t="s">
        <v>8</v>
      </c>
      <c r="F19260" t="s">
        <v>19273</v>
      </c>
      <c r="G19260">
        <v>1</v>
      </c>
    </row>
    <row r="19261" spans="1:7" x14ac:dyDescent="0.25">
      <c r="A19261">
        <v>6</v>
      </c>
      <c r="B19261" t="s">
        <v>19038</v>
      </c>
      <c r="C19261">
        <v>170039</v>
      </c>
      <c r="E19261" t="s">
        <v>15</v>
      </c>
      <c r="F19261" t="s">
        <v>19274</v>
      </c>
      <c r="G19261">
        <v>1</v>
      </c>
    </row>
    <row r="19262" spans="1:7" x14ac:dyDescent="0.25">
      <c r="A19262">
        <v>6</v>
      </c>
      <c r="B19262" t="s">
        <v>19038</v>
      </c>
      <c r="C19262">
        <v>7703885</v>
      </c>
      <c r="E19262" t="s">
        <v>8</v>
      </c>
      <c r="F19262" t="s">
        <v>19275</v>
      </c>
      <c r="G19262">
        <v>1</v>
      </c>
    </row>
    <row r="19263" spans="1:7" x14ac:dyDescent="0.25">
      <c r="A19263">
        <v>6</v>
      </c>
      <c r="B19263" t="s">
        <v>19038</v>
      </c>
      <c r="C19263">
        <v>8488</v>
      </c>
      <c r="D19263" t="str">
        <f>"1003-7519"</f>
        <v>1003-7519</v>
      </c>
      <c r="E19263" t="s">
        <v>8</v>
      </c>
      <c r="F19263" t="s">
        <v>19276</v>
      </c>
      <c r="G19263">
        <v>1</v>
      </c>
    </row>
    <row r="19264" spans="1:7" x14ac:dyDescent="0.25">
      <c r="A19264">
        <v>6</v>
      </c>
      <c r="B19264" t="s">
        <v>19038</v>
      </c>
      <c r="C19264">
        <v>6330527</v>
      </c>
      <c r="E19264" t="s">
        <v>15</v>
      </c>
      <c r="F19264" t="s">
        <v>19277</v>
      </c>
      <c r="G19264">
        <v>1</v>
      </c>
    </row>
    <row r="19265" spans="1:7" x14ac:dyDescent="0.25">
      <c r="A19265">
        <v>6</v>
      </c>
      <c r="B19265" t="s">
        <v>19038</v>
      </c>
      <c r="C19265">
        <v>10990</v>
      </c>
      <c r="D19265" t="str">
        <f>"0266-6286"</f>
        <v>0266-6286</v>
      </c>
      <c r="E19265" t="s">
        <v>8</v>
      </c>
      <c r="F19265" t="s">
        <v>19278</v>
      </c>
      <c r="G19265">
        <v>1</v>
      </c>
    </row>
    <row r="19266" spans="1:7" x14ac:dyDescent="0.25">
      <c r="A19266">
        <v>6</v>
      </c>
      <c r="B19266" t="s">
        <v>19038</v>
      </c>
      <c r="C19266">
        <v>369</v>
      </c>
      <c r="D19266" t="str">
        <f>"0044-2305"</f>
        <v>0044-2305</v>
      </c>
      <c r="E19266" t="s">
        <v>8</v>
      </c>
      <c r="F19266" t="s">
        <v>19279</v>
      </c>
      <c r="G19266">
        <v>1</v>
      </c>
    </row>
    <row r="19267" spans="1:7" x14ac:dyDescent="0.25">
      <c r="A19267">
        <v>60</v>
      </c>
      <c r="B19267" t="s">
        <v>19280</v>
      </c>
      <c r="C19267">
        <v>151928</v>
      </c>
      <c r="D19267" t="str">
        <f>"0044-605X"</f>
        <v>0044-605X</v>
      </c>
      <c r="E19267" t="s">
        <v>8</v>
      </c>
      <c r="F19267" t="s">
        <v>19281</v>
      </c>
      <c r="G19267">
        <v>2</v>
      </c>
    </row>
    <row r="19268" spans="1:7" x14ac:dyDescent="0.25">
      <c r="A19268">
        <v>60</v>
      </c>
      <c r="B19268" t="s">
        <v>19280</v>
      </c>
      <c r="C19268">
        <v>15425</v>
      </c>
      <c r="D19268" t="str">
        <f>"0002-9645"</f>
        <v>0002-9645</v>
      </c>
      <c r="E19268" t="s">
        <v>8</v>
      </c>
      <c r="F19268" t="s">
        <v>19282</v>
      </c>
      <c r="G19268">
        <v>2</v>
      </c>
    </row>
    <row r="19269" spans="1:7" x14ac:dyDescent="0.25">
      <c r="A19269">
        <v>60</v>
      </c>
      <c r="B19269" t="s">
        <v>19280</v>
      </c>
      <c r="C19269">
        <v>3513</v>
      </c>
      <c r="D19269" t="str">
        <f>"0425-1644"</f>
        <v>0425-1644</v>
      </c>
      <c r="E19269" t="s">
        <v>8</v>
      </c>
      <c r="F19269" t="s">
        <v>19283</v>
      </c>
      <c r="G19269">
        <v>2</v>
      </c>
    </row>
    <row r="19270" spans="1:7" x14ac:dyDescent="0.25">
      <c r="A19270">
        <v>60</v>
      </c>
      <c r="B19270" t="s">
        <v>19280</v>
      </c>
      <c r="C19270">
        <v>10059</v>
      </c>
      <c r="D19270" t="str">
        <f>"0003-1488"</f>
        <v>0003-1488</v>
      </c>
      <c r="E19270" t="s">
        <v>8</v>
      </c>
      <c r="F19270" t="s">
        <v>19284</v>
      </c>
      <c r="G19270">
        <v>2</v>
      </c>
    </row>
    <row r="19271" spans="1:7" x14ac:dyDescent="0.25">
      <c r="A19271">
        <v>60</v>
      </c>
      <c r="B19271" t="s">
        <v>19280</v>
      </c>
      <c r="C19271">
        <v>6110</v>
      </c>
      <c r="D19271" t="str">
        <f>"0891-6640"</f>
        <v>0891-6640</v>
      </c>
      <c r="E19271" t="s">
        <v>8</v>
      </c>
      <c r="F19271" t="s">
        <v>19285</v>
      </c>
      <c r="G19271">
        <v>2</v>
      </c>
    </row>
    <row r="19272" spans="1:7" x14ac:dyDescent="0.25">
      <c r="A19272">
        <v>60</v>
      </c>
      <c r="B19272" t="s">
        <v>19280</v>
      </c>
      <c r="C19272">
        <v>555</v>
      </c>
      <c r="D19272" t="str">
        <f>"0140-7783"</f>
        <v>0140-7783</v>
      </c>
      <c r="E19272" t="s">
        <v>8</v>
      </c>
      <c r="F19272" t="s">
        <v>19286</v>
      </c>
      <c r="G19272">
        <v>2</v>
      </c>
    </row>
    <row r="19273" spans="1:7" x14ac:dyDescent="0.25">
      <c r="A19273">
        <v>60</v>
      </c>
      <c r="B19273" t="s">
        <v>19280</v>
      </c>
      <c r="C19273">
        <v>7628</v>
      </c>
      <c r="D19273" t="str">
        <f>"0031-1820"</f>
        <v>0031-1820</v>
      </c>
      <c r="E19273" t="s">
        <v>8</v>
      </c>
      <c r="F19273" t="s">
        <v>19287</v>
      </c>
      <c r="G19273">
        <v>2</v>
      </c>
    </row>
    <row r="19274" spans="1:7" x14ac:dyDescent="0.25">
      <c r="A19274">
        <v>60</v>
      </c>
      <c r="B19274" t="s">
        <v>19280</v>
      </c>
      <c r="C19274">
        <v>511</v>
      </c>
      <c r="D19274" t="str">
        <f>"0167-5877"</f>
        <v>0167-5877</v>
      </c>
      <c r="E19274" t="s">
        <v>8</v>
      </c>
      <c r="F19274" t="s">
        <v>19288</v>
      </c>
      <c r="G19274">
        <v>2</v>
      </c>
    </row>
    <row r="19275" spans="1:7" x14ac:dyDescent="0.25">
      <c r="A19275">
        <v>60</v>
      </c>
      <c r="B19275" t="s">
        <v>19280</v>
      </c>
      <c r="C19275">
        <v>3168</v>
      </c>
      <c r="D19275" t="str">
        <f>"0034-5288"</f>
        <v>0034-5288</v>
      </c>
      <c r="E19275" t="s">
        <v>8</v>
      </c>
      <c r="F19275" t="s">
        <v>19289</v>
      </c>
      <c r="G19275">
        <v>2</v>
      </c>
    </row>
    <row r="19276" spans="1:7" x14ac:dyDescent="0.25">
      <c r="A19276">
        <v>60</v>
      </c>
      <c r="B19276" t="s">
        <v>19280</v>
      </c>
      <c r="C19276">
        <v>4959</v>
      </c>
      <c r="D19276" t="str">
        <f>"1090-0233"</f>
        <v>1090-0233</v>
      </c>
      <c r="E19276" t="s">
        <v>8</v>
      </c>
      <c r="F19276" t="s">
        <v>19290</v>
      </c>
      <c r="G19276">
        <v>2</v>
      </c>
    </row>
    <row r="19277" spans="1:7" x14ac:dyDescent="0.25">
      <c r="A19277">
        <v>60</v>
      </c>
      <c r="B19277" t="s">
        <v>19280</v>
      </c>
      <c r="C19277">
        <v>14528</v>
      </c>
      <c r="D19277" t="str">
        <f>"0093-691X"</f>
        <v>0093-691X</v>
      </c>
      <c r="E19277" t="s">
        <v>8</v>
      </c>
      <c r="F19277" t="s">
        <v>19291</v>
      </c>
      <c r="G19277">
        <v>2</v>
      </c>
    </row>
    <row r="19278" spans="1:7" x14ac:dyDescent="0.25">
      <c r="A19278">
        <v>60</v>
      </c>
      <c r="B19278" t="s">
        <v>19280</v>
      </c>
      <c r="C19278">
        <v>14628</v>
      </c>
      <c r="D19278" t="str">
        <f>"0165-2427"</f>
        <v>0165-2427</v>
      </c>
      <c r="E19278" t="s">
        <v>8</v>
      </c>
      <c r="F19278" t="s">
        <v>19292</v>
      </c>
      <c r="G19278">
        <v>2</v>
      </c>
    </row>
    <row r="19279" spans="1:7" x14ac:dyDescent="0.25">
      <c r="A19279">
        <v>60</v>
      </c>
      <c r="B19279" t="s">
        <v>19280</v>
      </c>
      <c r="C19279">
        <v>16226</v>
      </c>
      <c r="D19279" t="str">
        <f>"0378-1135"</f>
        <v>0378-1135</v>
      </c>
      <c r="E19279" t="s">
        <v>8</v>
      </c>
      <c r="F19279" t="s">
        <v>19293</v>
      </c>
      <c r="G19279">
        <v>2</v>
      </c>
    </row>
    <row r="19280" spans="1:7" x14ac:dyDescent="0.25">
      <c r="A19280">
        <v>60</v>
      </c>
      <c r="B19280" t="s">
        <v>19280</v>
      </c>
      <c r="C19280">
        <v>7955</v>
      </c>
      <c r="D19280" t="str">
        <f>"0304-4017"</f>
        <v>0304-4017</v>
      </c>
      <c r="E19280" t="s">
        <v>8</v>
      </c>
      <c r="F19280" t="s">
        <v>19294</v>
      </c>
      <c r="G19280">
        <v>2</v>
      </c>
    </row>
    <row r="19281" spans="1:7" x14ac:dyDescent="0.25">
      <c r="A19281">
        <v>60</v>
      </c>
      <c r="B19281" t="s">
        <v>19280</v>
      </c>
      <c r="C19281">
        <v>14094</v>
      </c>
      <c r="D19281" t="str">
        <f>"0928-4249"</f>
        <v>0928-4249</v>
      </c>
      <c r="E19281" t="s">
        <v>8</v>
      </c>
      <c r="F19281" t="s">
        <v>19295</v>
      </c>
      <c r="G19281">
        <v>2</v>
      </c>
    </row>
    <row r="19282" spans="1:7" x14ac:dyDescent="0.25">
      <c r="A19282">
        <v>60</v>
      </c>
      <c r="B19282" t="s">
        <v>19280</v>
      </c>
      <c r="C19282">
        <v>17245</v>
      </c>
      <c r="E19282" t="s">
        <v>8</v>
      </c>
      <c r="F19282" t="s">
        <v>19296</v>
      </c>
      <c r="G19282">
        <v>2</v>
      </c>
    </row>
    <row r="19283" spans="1:7" x14ac:dyDescent="0.25">
      <c r="A19283">
        <v>60</v>
      </c>
      <c r="B19283" t="s">
        <v>19280</v>
      </c>
      <c r="C19283">
        <v>14592</v>
      </c>
      <c r="D19283" t="str">
        <f>"0236-6290"</f>
        <v>0236-6290</v>
      </c>
      <c r="E19283" t="s">
        <v>8</v>
      </c>
      <c r="F19283" t="s">
        <v>19297</v>
      </c>
      <c r="G19283">
        <v>1</v>
      </c>
    </row>
    <row r="19284" spans="1:7" x14ac:dyDescent="0.25">
      <c r="A19284">
        <v>60</v>
      </c>
      <c r="B19284" t="s">
        <v>19280</v>
      </c>
      <c r="C19284">
        <v>1610</v>
      </c>
      <c r="D19284" t="str">
        <f>"0261-1929"</f>
        <v>0261-1929</v>
      </c>
      <c r="E19284" t="s">
        <v>8</v>
      </c>
      <c r="F19284" t="s">
        <v>19298</v>
      </c>
      <c r="G19284">
        <v>1</v>
      </c>
    </row>
    <row r="19285" spans="1:7" x14ac:dyDescent="0.25">
      <c r="A19285">
        <v>60</v>
      </c>
      <c r="B19285" t="s">
        <v>19280</v>
      </c>
      <c r="C19285">
        <v>6271</v>
      </c>
      <c r="E19285" t="s">
        <v>8</v>
      </c>
      <c r="F19285" t="s">
        <v>19299</v>
      </c>
      <c r="G19285">
        <v>1</v>
      </c>
    </row>
    <row r="19286" spans="1:7" x14ac:dyDescent="0.25">
      <c r="A19286">
        <v>60</v>
      </c>
      <c r="B19286" t="s">
        <v>19280</v>
      </c>
      <c r="C19286">
        <v>8783382</v>
      </c>
      <c r="D19286" t="str">
        <f>"2405-6545"</f>
        <v>2405-6545</v>
      </c>
      <c r="E19286" t="s">
        <v>8</v>
      </c>
      <c r="F19286" t="s">
        <v>19300</v>
      </c>
      <c r="G19286">
        <v>1</v>
      </c>
    </row>
    <row r="19287" spans="1:7" x14ac:dyDescent="0.25">
      <c r="A19287">
        <v>60</v>
      </c>
      <c r="B19287" t="s">
        <v>19280</v>
      </c>
      <c r="C19287">
        <v>4839</v>
      </c>
      <c r="D19287" t="str">
        <f>"1781-3875"</f>
        <v>1781-3875</v>
      </c>
      <c r="E19287" t="s">
        <v>8</v>
      </c>
      <c r="F19287" t="s">
        <v>19301</v>
      </c>
      <c r="G19287">
        <v>1</v>
      </c>
    </row>
    <row r="19288" spans="1:7" x14ac:dyDescent="0.25">
      <c r="A19288">
        <v>60</v>
      </c>
      <c r="B19288" t="s">
        <v>19280</v>
      </c>
      <c r="C19288">
        <v>11349</v>
      </c>
      <c r="D19288" t="str">
        <f>"0005-0423"</f>
        <v>0005-0423</v>
      </c>
      <c r="E19288" t="s">
        <v>8</v>
      </c>
      <c r="F19288" t="s">
        <v>19302</v>
      </c>
      <c r="G19288">
        <v>1</v>
      </c>
    </row>
    <row r="19289" spans="1:7" x14ac:dyDescent="0.25">
      <c r="A19289">
        <v>60</v>
      </c>
      <c r="B19289" t="s">
        <v>19280</v>
      </c>
      <c r="C19289">
        <v>14167</v>
      </c>
      <c r="D19289" t="str">
        <f>"0005-2086"</f>
        <v>0005-2086</v>
      </c>
      <c r="E19289" t="s">
        <v>8</v>
      </c>
      <c r="F19289" t="s">
        <v>19303</v>
      </c>
      <c r="G19289">
        <v>1</v>
      </c>
    </row>
    <row r="19290" spans="1:7" x14ac:dyDescent="0.25">
      <c r="A19290">
        <v>60</v>
      </c>
      <c r="B19290" t="s">
        <v>19280</v>
      </c>
      <c r="C19290">
        <v>7376</v>
      </c>
      <c r="D19290" t="str">
        <f>"0307-9457"</f>
        <v>0307-9457</v>
      </c>
      <c r="E19290" t="s">
        <v>8</v>
      </c>
      <c r="F19290" t="s">
        <v>19304</v>
      </c>
      <c r="G19290">
        <v>1</v>
      </c>
    </row>
    <row r="19291" spans="1:7" x14ac:dyDescent="0.25">
      <c r="A19291">
        <v>60</v>
      </c>
      <c r="B19291" t="s">
        <v>19280</v>
      </c>
      <c r="C19291">
        <v>12229</v>
      </c>
      <c r="D19291" t="str">
        <f>"0005-9366"</f>
        <v>0005-9366</v>
      </c>
      <c r="E19291" t="s">
        <v>8</v>
      </c>
      <c r="F19291" t="s">
        <v>19305</v>
      </c>
      <c r="G19291">
        <v>1</v>
      </c>
    </row>
    <row r="19292" spans="1:7" x14ac:dyDescent="0.25">
      <c r="A19292">
        <v>60</v>
      </c>
      <c r="B19292" t="s">
        <v>19280</v>
      </c>
      <c r="C19292">
        <v>27659</v>
      </c>
      <c r="E19292" t="s">
        <v>8</v>
      </c>
      <c r="F19292" t="s">
        <v>19306</v>
      </c>
      <c r="G19292">
        <v>1</v>
      </c>
    </row>
    <row r="19293" spans="1:7" x14ac:dyDescent="0.25">
      <c r="A19293">
        <v>60</v>
      </c>
      <c r="B19293" t="s">
        <v>19280</v>
      </c>
      <c r="C19293">
        <v>5854</v>
      </c>
      <c r="D19293" t="str">
        <f>"0042-4870"</f>
        <v>0042-4870</v>
      </c>
      <c r="E19293" t="s">
        <v>8</v>
      </c>
      <c r="F19293" t="s">
        <v>19307</v>
      </c>
      <c r="G19293">
        <v>1</v>
      </c>
    </row>
    <row r="19294" spans="1:7" x14ac:dyDescent="0.25">
      <c r="A19294">
        <v>60</v>
      </c>
      <c r="B19294" t="s">
        <v>19280</v>
      </c>
      <c r="C19294">
        <v>5843</v>
      </c>
      <c r="D19294" t="str">
        <f>"0830-9000"</f>
        <v>0830-9000</v>
      </c>
      <c r="E19294" t="s">
        <v>8</v>
      </c>
      <c r="F19294" t="s">
        <v>19308</v>
      </c>
      <c r="G19294">
        <v>1</v>
      </c>
    </row>
    <row r="19295" spans="1:7" x14ac:dyDescent="0.25">
      <c r="A19295">
        <v>60</v>
      </c>
      <c r="B19295" t="s">
        <v>19280</v>
      </c>
      <c r="C19295">
        <v>8412</v>
      </c>
      <c r="D19295" t="str">
        <f>"0147-9571"</f>
        <v>0147-9571</v>
      </c>
      <c r="E19295" t="s">
        <v>8</v>
      </c>
      <c r="F19295" t="s">
        <v>19309</v>
      </c>
      <c r="G19295">
        <v>1</v>
      </c>
    </row>
    <row r="19296" spans="1:7" x14ac:dyDescent="0.25">
      <c r="A19296">
        <v>60</v>
      </c>
      <c r="B19296" t="s">
        <v>19280</v>
      </c>
      <c r="C19296">
        <v>8195</v>
      </c>
      <c r="D19296" t="str">
        <f>"1532-0820"</f>
        <v>1532-0820</v>
      </c>
      <c r="E19296" t="s">
        <v>8</v>
      </c>
      <c r="F19296" t="s">
        <v>19310</v>
      </c>
      <c r="G19296">
        <v>1</v>
      </c>
    </row>
    <row r="19297" spans="1:7" x14ac:dyDescent="0.25">
      <c r="A19297">
        <v>60</v>
      </c>
      <c r="B19297" t="s">
        <v>19280</v>
      </c>
      <c r="C19297">
        <v>27536</v>
      </c>
      <c r="D19297" t="str">
        <f>"0106-6854"</f>
        <v>0106-6854</v>
      </c>
      <c r="E19297" t="s">
        <v>8</v>
      </c>
      <c r="F19297" t="s">
        <v>19311</v>
      </c>
      <c r="G19297">
        <v>1</v>
      </c>
    </row>
    <row r="19298" spans="1:7" x14ac:dyDescent="0.25">
      <c r="A19298">
        <v>60</v>
      </c>
      <c r="B19298" t="s">
        <v>19280</v>
      </c>
      <c r="C19298">
        <v>12111</v>
      </c>
      <c r="D19298" t="str">
        <f>"0032-681X"</f>
        <v>0032-681X</v>
      </c>
      <c r="E19298" t="s">
        <v>8</v>
      </c>
      <c r="F19298" t="s">
        <v>19312</v>
      </c>
      <c r="G19298">
        <v>1</v>
      </c>
    </row>
    <row r="19299" spans="1:7" x14ac:dyDescent="0.25">
      <c r="A19299">
        <v>60</v>
      </c>
      <c r="B19299" t="s">
        <v>19280</v>
      </c>
      <c r="C19299">
        <v>7714410</v>
      </c>
      <c r="E19299" t="s">
        <v>8</v>
      </c>
      <c r="F19299" t="s">
        <v>19313</v>
      </c>
      <c r="G19299">
        <v>1</v>
      </c>
    </row>
    <row r="19300" spans="1:7" x14ac:dyDescent="0.25">
      <c r="A19300">
        <v>60</v>
      </c>
      <c r="B19300" t="s">
        <v>19280</v>
      </c>
      <c r="C19300">
        <v>12663</v>
      </c>
      <c r="D19300" t="str">
        <f>"0177-5103"</f>
        <v>0177-5103</v>
      </c>
      <c r="E19300" t="s">
        <v>8</v>
      </c>
      <c r="F19300" t="s">
        <v>19314</v>
      </c>
      <c r="G19300">
        <v>1</v>
      </c>
    </row>
    <row r="19301" spans="1:7" x14ac:dyDescent="0.25">
      <c r="A19301">
        <v>60</v>
      </c>
      <c r="B19301" t="s">
        <v>19280</v>
      </c>
      <c r="C19301">
        <v>5072</v>
      </c>
      <c r="D19301" t="str">
        <f>"0957-7734"</f>
        <v>0957-7734</v>
      </c>
      <c r="E19301" t="s">
        <v>8</v>
      </c>
      <c r="F19301" t="s">
        <v>19315</v>
      </c>
      <c r="G19301">
        <v>1</v>
      </c>
    </row>
    <row r="19302" spans="1:7" x14ac:dyDescent="0.25">
      <c r="A19302">
        <v>60</v>
      </c>
      <c r="B19302" t="s">
        <v>19280</v>
      </c>
      <c r="C19302">
        <v>53075</v>
      </c>
      <c r="D19302" t="str">
        <f>"1382-6077"</f>
        <v>1382-6077</v>
      </c>
      <c r="E19302" t="s">
        <v>15</v>
      </c>
      <c r="F19302" t="s">
        <v>19316</v>
      </c>
      <c r="G19302">
        <v>1</v>
      </c>
    </row>
    <row r="19303" spans="1:7" x14ac:dyDescent="0.25">
      <c r="A19303">
        <v>60</v>
      </c>
      <c r="B19303" t="s">
        <v>19280</v>
      </c>
      <c r="C19303">
        <v>7714930</v>
      </c>
      <c r="E19303" t="s">
        <v>8</v>
      </c>
      <c r="F19303" t="s">
        <v>19317</v>
      </c>
      <c r="G19303">
        <v>1</v>
      </c>
    </row>
    <row r="19304" spans="1:7" x14ac:dyDescent="0.25">
      <c r="A19304">
        <v>60</v>
      </c>
      <c r="B19304" t="s">
        <v>19280</v>
      </c>
      <c r="C19304">
        <v>8770679</v>
      </c>
      <c r="E19304" t="s">
        <v>8</v>
      </c>
      <c r="F19304" t="s">
        <v>19318</v>
      </c>
      <c r="G19304">
        <v>1</v>
      </c>
    </row>
    <row r="19305" spans="1:7" x14ac:dyDescent="0.25">
      <c r="A19305">
        <v>60</v>
      </c>
      <c r="B19305" t="s">
        <v>19280</v>
      </c>
      <c r="C19305">
        <v>7754248</v>
      </c>
      <c r="E19305" t="s">
        <v>8</v>
      </c>
      <c r="F19305" t="s">
        <v>19319</v>
      </c>
      <c r="G19305">
        <v>1</v>
      </c>
    </row>
    <row r="19306" spans="1:7" x14ac:dyDescent="0.25">
      <c r="A19306">
        <v>60</v>
      </c>
      <c r="B19306" t="s">
        <v>19280</v>
      </c>
      <c r="C19306">
        <v>54875</v>
      </c>
      <c r="D19306" t="str">
        <f>"1827-1987"</f>
        <v>1827-1987</v>
      </c>
      <c r="E19306" t="s">
        <v>8</v>
      </c>
      <c r="F19306" t="s">
        <v>19320</v>
      </c>
      <c r="G19306">
        <v>1</v>
      </c>
    </row>
    <row r="19307" spans="1:7" x14ac:dyDescent="0.25">
      <c r="A19307">
        <v>60</v>
      </c>
      <c r="B19307" t="s">
        <v>19280</v>
      </c>
      <c r="C19307">
        <v>154486</v>
      </c>
      <c r="E19307" t="s">
        <v>8</v>
      </c>
      <c r="F19307" t="s">
        <v>19321</v>
      </c>
      <c r="G19307">
        <v>1</v>
      </c>
    </row>
    <row r="19308" spans="1:7" x14ac:dyDescent="0.25">
      <c r="A19308">
        <v>60</v>
      </c>
      <c r="B19308" t="s">
        <v>19280</v>
      </c>
      <c r="C19308">
        <v>12329</v>
      </c>
      <c r="D19308" t="str">
        <f>"0263-841X"</f>
        <v>0263-841X</v>
      </c>
      <c r="E19308" t="s">
        <v>8</v>
      </c>
      <c r="F19308" t="s">
        <v>19322</v>
      </c>
      <c r="G19308">
        <v>1</v>
      </c>
    </row>
    <row r="19309" spans="1:7" x14ac:dyDescent="0.25">
      <c r="A19309">
        <v>60</v>
      </c>
      <c r="B19309" t="s">
        <v>19280</v>
      </c>
      <c r="C19309">
        <v>8374</v>
      </c>
      <c r="D19309" t="str">
        <f>"0020-7519"</f>
        <v>0020-7519</v>
      </c>
      <c r="E19309" t="s">
        <v>8</v>
      </c>
      <c r="F19309" t="s">
        <v>19323</v>
      </c>
      <c r="G19309">
        <v>1</v>
      </c>
    </row>
    <row r="19310" spans="1:7" x14ac:dyDescent="0.25">
      <c r="A19310">
        <v>60</v>
      </c>
      <c r="B19310" t="s">
        <v>19280</v>
      </c>
      <c r="C19310">
        <v>6049</v>
      </c>
      <c r="D19310" t="str">
        <f>"1082-6742"</f>
        <v>1082-6742</v>
      </c>
      <c r="E19310" t="s">
        <v>8</v>
      </c>
      <c r="F19310" t="s">
        <v>19324</v>
      </c>
      <c r="G19310">
        <v>1</v>
      </c>
    </row>
    <row r="19311" spans="1:7" x14ac:dyDescent="0.25">
      <c r="A19311">
        <v>60</v>
      </c>
      <c r="B19311" t="s">
        <v>19280</v>
      </c>
      <c r="C19311">
        <v>6606</v>
      </c>
      <c r="D19311" t="str">
        <f>"0021-9975"</f>
        <v>0021-9975</v>
      </c>
      <c r="E19311" t="s">
        <v>8</v>
      </c>
      <c r="F19311" t="s">
        <v>19325</v>
      </c>
      <c r="G19311">
        <v>1</v>
      </c>
    </row>
    <row r="19312" spans="1:7" x14ac:dyDescent="0.25">
      <c r="A19312">
        <v>60</v>
      </c>
      <c r="B19312" t="s">
        <v>19280</v>
      </c>
      <c r="C19312">
        <v>24319</v>
      </c>
      <c r="D19312" t="str">
        <f>"2314-6745"</f>
        <v>2314-6745</v>
      </c>
      <c r="E19312" t="s">
        <v>8</v>
      </c>
      <c r="F19312" t="s">
        <v>19326</v>
      </c>
      <c r="G19312">
        <v>1</v>
      </c>
    </row>
    <row r="19313" spans="1:7" x14ac:dyDescent="0.25">
      <c r="A19313">
        <v>60</v>
      </c>
      <c r="B19313" t="s">
        <v>19280</v>
      </c>
      <c r="C19313">
        <v>14405</v>
      </c>
      <c r="D19313" t="str">
        <f>"1098-612X"</f>
        <v>1098-612X</v>
      </c>
      <c r="E19313" t="s">
        <v>8</v>
      </c>
      <c r="F19313" t="s">
        <v>19327</v>
      </c>
      <c r="G19313">
        <v>1</v>
      </c>
    </row>
    <row r="19314" spans="1:7" x14ac:dyDescent="0.25">
      <c r="A19314">
        <v>60</v>
      </c>
      <c r="B19314" t="s">
        <v>19280</v>
      </c>
      <c r="C19314">
        <v>8081</v>
      </c>
      <c r="D19314" t="str">
        <f>"0140-7775"</f>
        <v>0140-7775</v>
      </c>
      <c r="E19314" t="s">
        <v>8</v>
      </c>
      <c r="F19314" t="s">
        <v>19328</v>
      </c>
      <c r="G19314">
        <v>1</v>
      </c>
    </row>
    <row r="19315" spans="1:7" x14ac:dyDescent="0.25">
      <c r="A19315">
        <v>60</v>
      </c>
      <c r="B19315" t="s">
        <v>19280</v>
      </c>
      <c r="C19315">
        <v>12607</v>
      </c>
      <c r="D19315" t="str">
        <f>"0022-2585"</f>
        <v>0022-2585</v>
      </c>
      <c r="E19315" t="s">
        <v>8</v>
      </c>
      <c r="F19315" t="s">
        <v>19329</v>
      </c>
      <c r="G19315">
        <v>1</v>
      </c>
    </row>
    <row r="19316" spans="1:7" x14ac:dyDescent="0.25">
      <c r="A19316">
        <v>60</v>
      </c>
      <c r="B19316" t="s">
        <v>19280</v>
      </c>
      <c r="C19316">
        <v>9654</v>
      </c>
      <c r="D19316" t="str">
        <f>"0047-2565"</f>
        <v>0047-2565</v>
      </c>
      <c r="E19316" t="s">
        <v>8</v>
      </c>
      <c r="F19316" t="s">
        <v>19330</v>
      </c>
      <c r="G19316">
        <v>1</v>
      </c>
    </row>
    <row r="19317" spans="1:7" x14ac:dyDescent="0.25">
      <c r="A19317">
        <v>60</v>
      </c>
      <c r="B19317" t="s">
        <v>19280</v>
      </c>
      <c r="C19317">
        <v>147</v>
      </c>
      <c r="D19317" t="str">
        <f>"0022-4510"</f>
        <v>0022-4510</v>
      </c>
      <c r="E19317" t="s">
        <v>8</v>
      </c>
      <c r="F19317" t="s">
        <v>19331</v>
      </c>
      <c r="G19317">
        <v>1</v>
      </c>
    </row>
    <row r="19318" spans="1:7" x14ac:dyDescent="0.25">
      <c r="A19318">
        <v>60</v>
      </c>
      <c r="B19318" t="s">
        <v>19280</v>
      </c>
      <c r="C19318">
        <v>17654</v>
      </c>
      <c r="D19318" t="str">
        <f>"1559-6109"</f>
        <v>1559-6109</v>
      </c>
      <c r="E19318" t="s">
        <v>8</v>
      </c>
      <c r="F19318" t="s">
        <v>19332</v>
      </c>
      <c r="G19318">
        <v>1</v>
      </c>
    </row>
    <row r="19319" spans="1:7" x14ac:dyDescent="0.25">
      <c r="A19319">
        <v>60</v>
      </c>
      <c r="B19319" t="s">
        <v>19280</v>
      </c>
      <c r="C19319">
        <v>20201</v>
      </c>
      <c r="D19319" t="str">
        <f>"1760-2734"</f>
        <v>1760-2734</v>
      </c>
      <c r="E19319" t="s">
        <v>8</v>
      </c>
      <c r="F19319" t="s">
        <v>19333</v>
      </c>
      <c r="G19319">
        <v>1</v>
      </c>
    </row>
    <row r="19320" spans="1:7" x14ac:dyDescent="0.25">
      <c r="A19320">
        <v>60</v>
      </c>
      <c r="B19320" t="s">
        <v>19280</v>
      </c>
      <c r="C19320">
        <v>1276</v>
      </c>
      <c r="D19320" t="str">
        <f>"1040-6387"</f>
        <v>1040-6387</v>
      </c>
      <c r="E19320" t="s">
        <v>8</v>
      </c>
      <c r="F19320" t="s">
        <v>19334</v>
      </c>
      <c r="G19320">
        <v>1</v>
      </c>
    </row>
    <row r="19321" spans="1:7" x14ac:dyDescent="0.25">
      <c r="A19321">
        <v>60</v>
      </c>
      <c r="B19321" t="s">
        <v>19280</v>
      </c>
      <c r="C19321">
        <v>16356</v>
      </c>
      <c r="D19321" t="str">
        <f>"1476-4431"</f>
        <v>1476-4431</v>
      </c>
      <c r="E19321" t="s">
        <v>8</v>
      </c>
      <c r="F19321" t="s">
        <v>19335</v>
      </c>
      <c r="G19321">
        <v>1</v>
      </c>
    </row>
    <row r="19322" spans="1:7" x14ac:dyDescent="0.25">
      <c r="A19322">
        <v>60</v>
      </c>
      <c r="B19322" t="s">
        <v>19280</v>
      </c>
      <c r="C19322">
        <v>16957</v>
      </c>
      <c r="D19322" t="str">
        <f>"0916-7250"</f>
        <v>0916-7250</v>
      </c>
      <c r="E19322" t="s">
        <v>8</v>
      </c>
      <c r="F19322" t="s">
        <v>19336</v>
      </c>
      <c r="G19322">
        <v>1</v>
      </c>
    </row>
    <row r="19323" spans="1:7" x14ac:dyDescent="0.25">
      <c r="A19323">
        <v>60</v>
      </c>
      <c r="B19323" t="s">
        <v>19280</v>
      </c>
      <c r="C19323">
        <v>7714</v>
      </c>
      <c r="D19323" t="str">
        <f>"0090-3558"</f>
        <v>0090-3558</v>
      </c>
      <c r="E19323" t="s">
        <v>8</v>
      </c>
      <c r="F19323" t="s">
        <v>19337</v>
      </c>
      <c r="G19323">
        <v>1</v>
      </c>
    </row>
    <row r="19324" spans="1:7" x14ac:dyDescent="0.25">
      <c r="A19324">
        <v>60</v>
      </c>
      <c r="B19324" t="s">
        <v>19280</v>
      </c>
      <c r="C19324">
        <v>188</v>
      </c>
      <c r="D19324" t="str">
        <f>"1042-7260"</f>
        <v>1042-7260</v>
      </c>
      <c r="E19324" t="s">
        <v>8</v>
      </c>
      <c r="F19324" t="s">
        <v>19338</v>
      </c>
      <c r="G19324">
        <v>1</v>
      </c>
    </row>
    <row r="19325" spans="1:7" x14ac:dyDescent="0.25">
      <c r="A19325">
        <v>60</v>
      </c>
      <c r="B19325" t="s">
        <v>19280</v>
      </c>
      <c r="C19325">
        <v>16807</v>
      </c>
      <c r="D19325" t="str">
        <f>"0093-7355"</f>
        <v>0093-7355</v>
      </c>
      <c r="E19325" t="s">
        <v>8</v>
      </c>
      <c r="F19325" t="s">
        <v>19339</v>
      </c>
      <c r="G19325">
        <v>1</v>
      </c>
    </row>
    <row r="19326" spans="1:7" x14ac:dyDescent="0.25">
      <c r="A19326">
        <v>60</v>
      </c>
      <c r="B19326" t="s">
        <v>19280</v>
      </c>
      <c r="C19326">
        <v>16481</v>
      </c>
      <c r="D19326" t="str">
        <f>"0023-6772"</f>
        <v>0023-6772</v>
      </c>
      <c r="E19326" t="s">
        <v>8</v>
      </c>
      <c r="F19326" t="s">
        <v>19340</v>
      </c>
      <c r="G19326">
        <v>1</v>
      </c>
    </row>
    <row r="19327" spans="1:7" x14ac:dyDescent="0.25">
      <c r="A19327">
        <v>60</v>
      </c>
      <c r="B19327" t="s">
        <v>19280</v>
      </c>
      <c r="C19327">
        <v>153448</v>
      </c>
      <c r="D19327" t="str">
        <f>"0121-3784"</f>
        <v>0121-3784</v>
      </c>
      <c r="E19327" t="s">
        <v>8</v>
      </c>
      <c r="F19327" t="s">
        <v>19341</v>
      </c>
      <c r="G19327">
        <v>1</v>
      </c>
    </row>
    <row r="19328" spans="1:7" x14ac:dyDescent="0.25">
      <c r="A19328">
        <v>60</v>
      </c>
      <c r="B19328" t="s">
        <v>19280</v>
      </c>
      <c r="C19328">
        <v>5020</v>
      </c>
      <c r="D19328" t="str">
        <f>"0269-283X"</f>
        <v>0269-283X</v>
      </c>
      <c r="E19328" t="s">
        <v>8</v>
      </c>
      <c r="F19328" t="s">
        <v>19342</v>
      </c>
      <c r="G19328">
        <v>1</v>
      </c>
    </row>
    <row r="19329" spans="1:7" x14ac:dyDescent="0.25">
      <c r="A19329">
        <v>60</v>
      </c>
      <c r="B19329" t="s">
        <v>19280</v>
      </c>
      <c r="C19329">
        <v>6851</v>
      </c>
      <c r="D19329" t="str">
        <f>"1369-3786"</f>
        <v>1369-3786</v>
      </c>
      <c r="E19329" t="s">
        <v>8</v>
      </c>
      <c r="F19329" t="s">
        <v>19343</v>
      </c>
      <c r="G19329">
        <v>1</v>
      </c>
    </row>
    <row r="19330" spans="1:7" x14ac:dyDescent="0.25">
      <c r="A19330">
        <v>60</v>
      </c>
      <c r="B19330" t="s">
        <v>19280</v>
      </c>
      <c r="C19330">
        <v>9807</v>
      </c>
      <c r="D19330" t="str">
        <f>"0025-8628"</f>
        <v>0025-8628</v>
      </c>
      <c r="E19330" t="s">
        <v>8</v>
      </c>
      <c r="F19330" t="s">
        <v>19344</v>
      </c>
      <c r="G19330">
        <v>1</v>
      </c>
    </row>
    <row r="19331" spans="1:7" x14ac:dyDescent="0.25">
      <c r="A19331">
        <v>60</v>
      </c>
      <c r="B19331" t="s">
        <v>19280</v>
      </c>
      <c r="C19331">
        <v>11481</v>
      </c>
      <c r="D19331" t="str">
        <f>"0048-0169"</f>
        <v>0048-0169</v>
      </c>
      <c r="E19331" t="s">
        <v>8</v>
      </c>
      <c r="F19331" t="s">
        <v>19345</v>
      </c>
      <c r="G19331">
        <v>1</v>
      </c>
    </row>
    <row r="19332" spans="1:7" x14ac:dyDescent="0.25">
      <c r="A19332">
        <v>60</v>
      </c>
      <c r="B19332" t="s">
        <v>19280</v>
      </c>
      <c r="C19332">
        <v>8932</v>
      </c>
      <c r="D19332" t="str">
        <f>"0332-5741"</f>
        <v>0332-5741</v>
      </c>
      <c r="E19332" t="s">
        <v>8</v>
      </c>
      <c r="F19332" t="s">
        <v>19346</v>
      </c>
      <c r="G19332">
        <v>1</v>
      </c>
    </row>
    <row r="19333" spans="1:7" x14ac:dyDescent="0.25">
      <c r="A19333">
        <v>60</v>
      </c>
      <c r="B19333" t="s">
        <v>19280</v>
      </c>
      <c r="C19333">
        <v>15949</v>
      </c>
      <c r="D19333" t="str">
        <f>"0030-2465"</f>
        <v>0030-2465</v>
      </c>
      <c r="E19333" t="s">
        <v>8</v>
      </c>
      <c r="F19333" t="s">
        <v>19347</v>
      </c>
      <c r="G19333">
        <v>1</v>
      </c>
    </row>
    <row r="19334" spans="1:7" x14ac:dyDescent="0.25">
      <c r="A19334">
        <v>60</v>
      </c>
      <c r="B19334" t="s">
        <v>19280</v>
      </c>
      <c r="C19334">
        <v>8782499</v>
      </c>
      <c r="D19334" t="str">
        <f>"2405-6731"</f>
        <v>2405-6731</v>
      </c>
      <c r="E19334" t="s">
        <v>8</v>
      </c>
      <c r="F19334" t="s">
        <v>19348</v>
      </c>
      <c r="G19334">
        <v>1</v>
      </c>
    </row>
    <row r="19335" spans="1:7" x14ac:dyDescent="0.25">
      <c r="A19335">
        <v>60</v>
      </c>
      <c r="B19335" t="s">
        <v>19280</v>
      </c>
      <c r="C19335">
        <v>12783</v>
      </c>
      <c r="D19335" t="str">
        <f>"0141-9838"</f>
        <v>0141-9838</v>
      </c>
      <c r="E19335" t="s">
        <v>8</v>
      </c>
      <c r="F19335" t="s">
        <v>19349</v>
      </c>
      <c r="G19335">
        <v>1</v>
      </c>
    </row>
    <row r="19336" spans="1:7" x14ac:dyDescent="0.25">
      <c r="A19336">
        <v>60</v>
      </c>
      <c r="B19336" t="s">
        <v>19280</v>
      </c>
      <c r="C19336">
        <v>8610</v>
      </c>
      <c r="D19336" t="str">
        <f>"1383-5769"</f>
        <v>1383-5769</v>
      </c>
      <c r="E19336" t="s">
        <v>8</v>
      </c>
      <c r="F19336" t="s">
        <v>19350</v>
      </c>
      <c r="G19336">
        <v>1</v>
      </c>
    </row>
    <row r="19337" spans="1:7" x14ac:dyDescent="0.25">
      <c r="A19337">
        <v>60</v>
      </c>
      <c r="B19337" t="s">
        <v>19280</v>
      </c>
      <c r="C19337">
        <v>18071</v>
      </c>
      <c r="D19337" t="str">
        <f>"0031-1847"</f>
        <v>0031-1847</v>
      </c>
      <c r="E19337" t="s">
        <v>8</v>
      </c>
      <c r="F19337" t="s">
        <v>19351</v>
      </c>
      <c r="G19337">
        <v>1</v>
      </c>
    </row>
    <row r="19338" spans="1:7" x14ac:dyDescent="0.25">
      <c r="A19338">
        <v>60</v>
      </c>
      <c r="B19338" t="s">
        <v>19280</v>
      </c>
      <c r="C19338">
        <v>6948</v>
      </c>
      <c r="D19338" t="str">
        <f>"0100-736X"</f>
        <v>0100-736X</v>
      </c>
      <c r="E19338" t="s">
        <v>8</v>
      </c>
      <c r="F19338" t="s">
        <v>19352</v>
      </c>
      <c r="G19338">
        <v>1</v>
      </c>
    </row>
    <row r="19339" spans="1:7" x14ac:dyDescent="0.25">
      <c r="A19339">
        <v>60</v>
      </c>
      <c r="B19339" t="s">
        <v>19280</v>
      </c>
      <c r="C19339">
        <v>7635298</v>
      </c>
      <c r="D19339" t="str">
        <f>"1935-2727"</f>
        <v>1935-2727</v>
      </c>
      <c r="E19339" t="s">
        <v>8</v>
      </c>
      <c r="F19339" t="s">
        <v>19353</v>
      </c>
      <c r="G19339">
        <v>1</v>
      </c>
    </row>
    <row r="19340" spans="1:7" x14ac:dyDescent="0.25">
      <c r="A19340">
        <v>60</v>
      </c>
      <c r="B19340" t="s">
        <v>19280</v>
      </c>
      <c r="C19340">
        <v>8778690</v>
      </c>
      <c r="E19340" t="s">
        <v>8</v>
      </c>
      <c r="F19340" t="s">
        <v>19354</v>
      </c>
      <c r="G19340">
        <v>1</v>
      </c>
    </row>
    <row r="19341" spans="1:7" x14ac:dyDescent="0.25">
      <c r="A19341">
        <v>60</v>
      </c>
      <c r="B19341" t="s">
        <v>19280</v>
      </c>
      <c r="C19341">
        <v>7753270</v>
      </c>
      <c r="E19341" t="s">
        <v>8</v>
      </c>
      <c r="F19341" t="s">
        <v>19355</v>
      </c>
      <c r="G19341">
        <v>1</v>
      </c>
    </row>
    <row r="19342" spans="1:7" x14ac:dyDescent="0.25">
      <c r="A19342">
        <v>60</v>
      </c>
      <c r="B19342" t="s">
        <v>19280</v>
      </c>
      <c r="C19342">
        <v>15642</v>
      </c>
      <c r="D19342" t="str">
        <f>"0936-6768"</f>
        <v>0936-6768</v>
      </c>
      <c r="E19342" t="s">
        <v>8</v>
      </c>
      <c r="F19342" t="s">
        <v>19356</v>
      </c>
      <c r="G19342">
        <v>1</v>
      </c>
    </row>
    <row r="19343" spans="1:7" x14ac:dyDescent="0.25">
      <c r="A19343">
        <v>60</v>
      </c>
      <c r="B19343" t="s">
        <v>19280</v>
      </c>
      <c r="C19343">
        <v>6012</v>
      </c>
      <c r="D19343" t="str">
        <f>"0253-1933"</f>
        <v>0253-1933</v>
      </c>
      <c r="E19343" t="s">
        <v>8</v>
      </c>
      <c r="F19343" t="s">
        <v>19357</v>
      </c>
      <c r="G19343">
        <v>1</v>
      </c>
    </row>
    <row r="19344" spans="1:7" x14ac:dyDescent="0.25">
      <c r="A19344">
        <v>60</v>
      </c>
      <c r="B19344" t="s">
        <v>19280</v>
      </c>
      <c r="C19344">
        <v>15123</v>
      </c>
      <c r="D19344" t="str">
        <f>"0901-3393"</f>
        <v>0901-3393</v>
      </c>
      <c r="E19344" t="s">
        <v>8</v>
      </c>
      <c r="F19344" t="s">
        <v>19358</v>
      </c>
      <c r="G19344">
        <v>1</v>
      </c>
    </row>
    <row r="19345" spans="1:7" x14ac:dyDescent="0.25">
      <c r="A19345">
        <v>60</v>
      </c>
      <c r="B19345" t="s">
        <v>19280</v>
      </c>
      <c r="C19345">
        <v>16663</v>
      </c>
      <c r="D19345" t="str">
        <f>"0036-7281"</f>
        <v>0036-7281</v>
      </c>
      <c r="E19345" t="s">
        <v>8</v>
      </c>
      <c r="F19345" t="s">
        <v>19359</v>
      </c>
      <c r="G19345">
        <v>1</v>
      </c>
    </row>
    <row r="19346" spans="1:7" x14ac:dyDescent="0.25">
      <c r="A19346">
        <v>60</v>
      </c>
      <c r="B19346" t="s">
        <v>19280</v>
      </c>
      <c r="C19346">
        <v>6286873</v>
      </c>
      <c r="D19346" t="str">
        <f>"1877-5845"</f>
        <v>1877-5845</v>
      </c>
      <c r="E19346" t="s">
        <v>8</v>
      </c>
      <c r="F19346" t="s">
        <v>19360</v>
      </c>
      <c r="G19346">
        <v>1</v>
      </c>
    </row>
    <row r="19347" spans="1:7" x14ac:dyDescent="0.25">
      <c r="A19347">
        <v>60</v>
      </c>
      <c r="B19347" t="s">
        <v>19280</v>
      </c>
      <c r="C19347">
        <v>3554</v>
      </c>
      <c r="D19347" t="str">
        <f>"0165-5752"</f>
        <v>0165-5752</v>
      </c>
      <c r="E19347" t="s">
        <v>8</v>
      </c>
      <c r="F19347" t="s">
        <v>19361</v>
      </c>
      <c r="G19347">
        <v>1</v>
      </c>
    </row>
    <row r="19348" spans="1:7" x14ac:dyDescent="0.25">
      <c r="A19348">
        <v>60</v>
      </c>
      <c r="B19348" t="s">
        <v>19280</v>
      </c>
      <c r="C19348">
        <v>11648</v>
      </c>
      <c r="D19348" t="str">
        <f>"0008-5286"</f>
        <v>0008-5286</v>
      </c>
      <c r="E19348" t="s">
        <v>8</v>
      </c>
      <c r="F19348" t="s">
        <v>19362</v>
      </c>
      <c r="G19348">
        <v>1</v>
      </c>
    </row>
    <row r="19349" spans="1:7" x14ac:dyDescent="0.25">
      <c r="A19349">
        <v>60</v>
      </c>
      <c r="B19349" t="s">
        <v>19280</v>
      </c>
      <c r="C19349">
        <v>15127</v>
      </c>
      <c r="D19349" t="str">
        <f>"0737-0806"</f>
        <v>0737-0806</v>
      </c>
      <c r="E19349" t="s">
        <v>8</v>
      </c>
      <c r="F19349" t="s">
        <v>19363</v>
      </c>
      <c r="G19349">
        <v>1</v>
      </c>
    </row>
    <row r="19350" spans="1:7" x14ac:dyDescent="0.25">
      <c r="A19350">
        <v>60</v>
      </c>
      <c r="B19350" t="s">
        <v>19280</v>
      </c>
      <c r="C19350">
        <v>1725</v>
      </c>
      <c r="D19350" t="str">
        <f>"0022-541X"</f>
        <v>0022-541X</v>
      </c>
      <c r="E19350" t="s">
        <v>8</v>
      </c>
      <c r="F19350" t="s">
        <v>19364</v>
      </c>
      <c r="G19350">
        <v>1</v>
      </c>
    </row>
    <row r="19351" spans="1:7" x14ac:dyDescent="0.25">
      <c r="A19351">
        <v>60</v>
      </c>
      <c r="B19351" t="s">
        <v>19280</v>
      </c>
      <c r="C19351">
        <v>8783449</v>
      </c>
      <c r="E19351" t="s">
        <v>15</v>
      </c>
      <c r="F19351" t="s">
        <v>19365</v>
      </c>
      <c r="G19351">
        <v>1</v>
      </c>
    </row>
    <row r="19352" spans="1:7" x14ac:dyDescent="0.25">
      <c r="A19352">
        <v>60</v>
      </c>
      <c r="B19352" t="s">
        <v>19280</v>
      </c>
      <c r="C19352">
        <v>7550</v>
      </c>
      <c r="D19352" t="str">
        <f>"0042-4900"</f>
        <v>0042-4900</v>
      </c>
      <c r="E19352" t="s">
        <v>8</v>
      </c>
      <c r="F19352" t="s">
        <v>19366</v>
      </c>
      <c r="G19352">
        <v>1</v>
      </c>
    </row>
    <row r="19353" spans="1:7" x14ac:dyDescent="0.25">
      <c r="A19353">
        <v>60</v>
      </c>
      <c r="B19353" t="s">
        <v>19280</v>
      </c>
      <c r="C19353">
        <v>24876</v>
      </c>
      <c r="E19353" t="s">
        <v>8</v>
      </c>
      <c r="F19353" t="s">
        <v>19367</v>
      </c>
      <c r="G19353">
        <v>1</v>
      </c>
    </row>
    <row r="19354" spans="1:7" x14ac:dyDescent="0.25">
      <c r="A19354">
        <v>60</v>
      </c>
      <c r="B19354" t="s">
        <v>19280</v>
      </c>
      <c r="C19354">
        <v>11826</v>
      </c>
      <c r="D19354" t="str">
        <f>"0049-4747"</f>
        <v>0049-4747</v>
      </c>
      <c r="E19354" t="s">
        <v>8</v>
      </c>
      <c r="F19354" t="s">
        <v>19368</v>
      </c>
      <c r="G19354">
        <v>1</v>
      </c>
    </row>
    <row r="19355" spans="1:7" x14ac:dyDescent="0.25">
      <c r="A19355">
        <v>60</v>
      </c>
      <c r="B19355" t="s">
        <v>19280</v>
      </c>
      <c r="C19355">
        <v>3989</v>
      </c>
      <c r="D19355" t="str">
        <f>"0264-410X"</f>
        <v>0264-410X</v>
      </c>
      <c r="E19355" t="s">
        <v>8</v>
      </c>
      <c r="F19355" t="s">
        <v>19369</v>
      </c>
      <c r="G19355">
        <v>1</v>
      </c>
    </row>
    <row r="19356" spans="1:7" x14ac:dyDescent="0.25">
      <c r="A19356">
        <v>60</v>
      </c>
      <c r="B19356" t="s">
        <v>19280</v>
      </c>
      <c r="C19356">
        <v>7714509</v>
      </c>
      <c r="E19356" t="s">
        <v>8</v>
      </c>
      <c r="F19356" t="s">
        <v>19370</v>
      </c>
      <c r="G19356">
        <v>1</v>
      </c>
    </row>
    <row r="19357" spans="1:7" x14ac:dyDescent="0.25">
      <c r="A19357">
        <v>60</v>
      </c>
      <c r="B19357" t="s">
        <v>19280</v>
      </c>
      <c r="C19357">
        <v>11369</v>
      </c>
      <c r="D19357" t="str">
        <f>"0372-5480"</f>
        <v>0372-5480</v>
      </c>
      <c r="E19357" t="s">
        <v>8</v>
      </c>
      <c r="F19357" t="s">
        <v>19371</v>
      </c>
      <c r="G19357">
        <v>1</v>
      </c>
    </row>
    <row r="19358" spans="1:7" x14ac:dyDescent="0.25">
      <c r="A19358">
        <v>60</v>
      </c>
      <c r="B19358" t="s">
        <v>19280</v>
      </c>
      <c r="C19358">
        <v>4180</v>
      </c>
      <c r="D19358" t="str">
        <f>"1467-2987"</f>
        <v>1467-2987</v>
      </c>
      <c r="E19358" t="s">
        <v>8</v>
      </c>
      <c r="F19358" t="s">
        <v>19372</v>
      </c>
      <c r="G19358">
        <v>1</v>
      </c>
    </row>
    <row r="19359" spans="1:7" x14ac:dyDescent="0.25">
      <c r="A19359">
        <v>60</v>
      </c>
      <c r="B19359" t="s">
        <v>19280</v>
      </c>
      <c r="C19359">
        <v>2125</v>
      </c>
      <c r="D19359" t="str">
        <f>"1476-5810"</f>
        <v>1476-5810</v>
      </c>
      <c r="E19359" t="s">
        <v>8</v>
      </c>
      <c r="F19359" t="s">
        <v>19373</v>
      </c>
      <c r="G19359">
        <v>1</v>
      </c>
    </row>
    <row r="19360" spans="1:7" x14ac:dyDescent="0.25">
      <c r="A19360">
        <v>60</v>
      </c>
      <c r="B19360" t="s">
        <v>19280</v>
      </c>
      <c r="C19360">
        <v>4871</v>
      </c>
      <c r="D19360" t="str">
        <f>"0932-0814"</f>
        <v>0932-0814</v>
      </c>
      <c r="E19360" t="s">
        <v>8</v>
      </c>
      <c r="F19360" t="s">
        <v>19374</v>
      </c>
      <c r="G19360">
        <v>1</v>
      </c>
    </row>
    <row r="19361" spans="1:7" x14ac:dyDescent="0.25">
      <c r="A19361">
        <v>60</v>
      </c>
      <c r="B19361" t="s">
        <v>19280</v>
      </c>
      <c r="C19361">
        <v>13338</v>
      </c>
      <c r="D19361" t="str">
        <f>"0275-6382"</f>
        <v>0275-6382</v>
      </c>
      <c r="E19361" t="s">
        <v>8</v>
      </c>
      <c r="F19361" t="s">
        <v>19375</v>
      </c>
      <c r="G19361">
        <v>1</v>
      </c>
    </row>
    <row r="19362" spans="1:7" x14ac:dyDescent="0.25">
      <c r="A19362">
        <v>60</v>
      </c>
      <c r="B19362" t="s">
        <v>19280</v>
      </c>
      <c r="C19362">
        <v>3725</v>
      </c>
      <c r="D19362" t="str">
        <f>"0749-0739"</f>
        <v>0749-0739</v>
      </c>
      <c r="E19362" t="s">
        <v>8</v>
      </c>
      <c r="F19362" t="s">
        <v>19376</v>
      </c>
      <c r="G19362">
        <v>1</v>
      </c>
    </row>
    <row r="19363" spans="1:7" x14ac:dyDescent="0.25">
      <c r="A19363">
        <v>60</v>
      </c>
      <c r="B19363" t="s">
        <v>19280</v>
      </c>
      <c r="C19363">
        <v>804</v>
      </c>
      <c r="D19363" t="str">
        <f>"0959-4493"</f>
        <v>0959-4493</v>
      </c>
      <c r="E19363" t="s">
        <v>8</v>
      </c>
      <c r="F19363" t="s">
        <v>19377</v>
      </c>
      <c r="G19363">
        <v>1</v>
      </c>
    </row>
    <row r="19364" spans="1:7" x14ac:dyDescent="0.25">
      <c r="A19364">
        <v>60</v>
      </c>
      <c r="B19364" t="s">
        <v>19280</v>
      </c>
      <c r="C19364">
        <v>7942</v>
      </c>
      <c r="D19364" t="str">
        <f>"1463-5216"</f>
        <v>1463-5216</v>
      </c>
      <c r="E19364" t="s">
        <v>8</v>
      </c>
      <c r="F19364" t="s">
        <v>19378</v>
      </c>
      <c r="G19364">
        <v>1</v>
      </c>
    </row>
    <row r="19365" spans="1:7" x14ac:dyDescent="0.25">
      <c r="A19365">
        <v>60</v>
      </c>
      <c r="B19365" t="s">
        <v>19280</v>
      </c>
      <c r="C19365">
        <v>3155</v>
      </c>
      <c r="D19365" t="str">
        <f>"0300-9858"</f>
        <v>0300-9858</v>
      </c>
      <c r="E19365" t="s">
        <v>8</v>
      </c>
      <c r="F19365" t="s">
        <v>19379</v>
      </c>
      <c r="G19365">
        <v>1</v>
      </c>
    </row>
    <row r="19366" spans="1:7" x14ac:dyDescent="0.25">
      <c r="A19366">
        <v>60</v>
      </c>
      <c r="B19366" t="s">
        <v>19280</v>
      </c>
      <c r="C19366">
        <v>14987</v>
      </c>
      <c r="D19366" t="str">
        <f>"0165-2176"</f>
        <v>0165-2176</v>
      </c>
      <c r="E19366" t="s">
        <v>8</v>
      </c>
      <c r="F19366" t="s">
        <v>19380</v>
      </c>
      <c r="G19366">
        <v>1</v>
      </c>
    </row>
    <row r="19367" spans="1:7" x14ac:dyDescent="0.25">
      <c r="A19367">
        <v>60</v>
      </c>
      <c r="B19367" t="s">
        <v>19280</v>
      </c>
      <c r="C19367">
        <v>333</v>
      </c>
      <c r="D19367" t="str">
        <f>"1058-8183"</f>
        <v>1058-8183</v>
      </c>
      <c r="E19367" t="s">
        <v>8</v>
      </c>
      <c r="F19367" t="s">
        <v>19381</v>
      </c>
      <c r="G19367">
        <v>1</v>
      </c>
    </row>
    <row r="19368" spans="1:7" x14ac:dyDescent="0.25">
      <c r="A19368">
        <v>60</v>
      </c>
      <c r="B19368" t="s">
        <v>19280</v>
      </c>
      <c r="C19368">
        <v>4317</v>
      </c>
      <c r="D19368" t="str">
        <f>"0165-7380"</f>
        <v>0165-7380</v>
      </c>
      <c r="E19368" t="s">
        <v>8</v>
      </c>
      <c r="F19368" t="s">
        <v>19382</v>
      </c>
      <c r="G19368">
        <v>1</v>
      </c>
    </row>
    <row r="19369" spans="1:7" x14ac:dyDescent="0.25">
      <c r="A19369">
        <v>60</v>
      </c>
      <c r="B19369" t="s">
        <v>19280</v>
      </c>
      <c r="C19369">
        <v>8763463</v>
      </c>
      <c r="E19369" t="s">
        <v>8</v>
      </c>
      <c r="F19369" t="s">
        <v>19383</v>
      </c>
      <c r="G19369">
        <v>1</v>
      </c>
    </row>
    <row r="19370" spans="1:7" x14ac:dyDescent="0.25">
      <c r="A19370">
        <v>60</v>
      </c>
      <c r="B19370" t="s">
        <v>19280</v>
      </c>
      <c r="C19370">
        <v>5400</v>
      </c>
      <c r="D19370" t="str">
        <f>"0161-3499"</f>
        <v>0161-3499</v>
      </c>
      <c r="E19370" t="s">
        <v>8</v>
      </c>
      <c r="F19370" t="s">
        <v>19384</v>
      </c>
      <c r="G19370">
        <v>1</v>
      </c>
    </row>
    <row r="19371" spans="1:7" x14ac:dyDescent="0.25">
      <c r="A19371">
        <v>61</v>
      </c>
      <c r="B19371" t="s">
        <v>19385</v>
      </c>
      <c r="C19371">
        <v>10196</v>
      </c>
      <c r="D19371" t="str">
        <f>"1015-6305"</f>
        <v>1015-6305</v>
      </c>
      <c r="E19371" t="s">
        <v>8</v>
      </c>
      <c r="F19371" t="s">
        <v>19386</v>
      </c>
      <c r="G19371">
        <v>2</v>
      </c>
    </row>
    <row r="19372" spans="1:7" x14ac:dyDescent="0.25">
      <c r="A19372">
        <v>61</v>
      </c>
      <c r="B19372" t="s">
        <v>19385</v>
      </c>
      <c r="C19372">
        <v>5692</v>
      </c>
      <c r="D19372" t="str">
        <f>"1054-8807"</f>
        <v>1054-8807</v>
      </c>
      <c r="E19372" t="s">
        <v>8</v>
      </c>
      <c r="F19372" t="s">
        <v>19387</v>
      </c>
      <c r="G19372">
        <v>2</v>
      </c>
    </row>
    <row r="19373" spans="1:7" x14ac:dyDescent="0.25">
      <c r="A19373">
        <v>61</v>
      </c>
      <c r="B19373" t="s">
        <v>19385</v>
      </c>
      <c r="C19373">
        <v>7423</v>
      </c>
      <c r="D19373" t="str">
        <f>"0379-0738"</f>
        <v>0379-0738</v>
      </c>
      <c r="E19373" t="s">
        <v>8</v>
      </c>
      <c r="F19373" t="s">
        <v>19388</v>
      </c>
      <c r="G19373">
        <v>2</v>
      </c>
    </row>
    <row r="19374" spans="1:7" x14ac:dyDescent="0.25">
      <c r="A19374">
        <v>61</v>
      </c>
      <c r="B19374" t="s">
        <v>19385</v>
      </c>
      <c r="C19374">
        <v>20693</v>
      </c>
      <c r="D19374" t="str">
        <f>"1872-4973"</f>
        <v>1872-4973</v>
      </c>
      <c r="E19374" t="s">
        <v>8</v>
      </c>
      <c r="F19374" t="s">
        <v>19389</v>
      </c>
      <c r="G19374">
        <v>2</v>
      </c>
    </row>
    <row r="19375" spans="1:7" x14ac:dyDescent="0.25">
      <c r="A19375">
        <v>61</v>
      </c>
      <c r="B19375" t="s">
        <v>19385</v>
      </c>
      <c r="C19375">
        <v>1104</v>
      </c>
      <c r="D19375" t="str">
        <f>"0937-9827"</f>
        <v>0937-9827</v>
      </c>
      <c r="E19375" t="s">
        <v>8</v>
      </c>
      <c r="F19375" t="s">
        <v>19390</v>
      </c>
      <c r="G19375">
        <v>2</v>
      </c>
    </row>
    <row r="19376" spans="1:7" x14ac:dyDescent="0.25">
      <c r="A19376">
        <v>61</v>
      </c>
      <c r="B19376" t="s">
        <v>19385</v>
      </c>
      <c r="C19376">
        <v>10920</v>
      </c>
      <c r="D19376" t="str">
        <f>"0022-1198"</f>
        <v>0022-1198</v>
      </c>
      <c r="E19376" t="s">
        <v>8</v>
      </c>
      <c r="F19376" t="s">
        <v>19391</v>
      </c>
      <c r="G19376">
        <v>2</v>
      </c>
    </row>
    <row r="19377" spans="1:7" x14ac:dyDescent="0.25">
      <c r="A19377">
        <v>61</v>
      </c>
      <c r="B19377" t="s">
        <v>19385</v>
      </c>
      <c r="C19377">
        <v>4646</v>
      </c>
      <c r="D19377" t="str">
        <f>"0022-3417"</f>
        <v>0022-3417</v>
      </c>
      <c r="E19377" t="s">
        <v>8</v>
      </c>
      <c r="F19377" t="s">
        <v>19392</v>
      </c>
      <c r="G19377">
        <v>2</v>
      </c>
    </row>
    <row r="19378" spans="1:7" x14ac:dyDescent="0.25">
      <c r="A19378">
        <v>61</v>
      </c>
      <c r="B19378" t="s">
        <v>19385</v>
      </c>
      <c r="C19378">
        <v>16323</v>
      </c>
      <c r="D19378" t="str">
        <f>"0893-3952"</f>
        <v>0893-3952</v>
      </c>
      <c r="E19378" t="s">
        <v>8</v>
      </c>
      <c r="F19378" t="s">
        <v>19393</v>
      </c>
      <c r="G19378">
        <v>2</v>
      </c>
    </row>
    <row r="19379" spans="1:7" x14ac:dyDescent="0.25">
      <c r="A19379">
        <v>61</v>
      </c>
      <c r="B19379" t="s">
        <v>19385</v>
      </c>
      <c r="C19379">
        <v>2388</v>
      </c>
      <c r="D19379" t="str">
        <f>"0001-5547"</f>
        <v>0001-5547</v>
      </c>
      <c r="E19379" t="s">
        <v>8</v>
      </c>
      <c r="F19379" t="s">
        <v>19394</v>
      </c>
      <c r="G19379">
        <v>1</v>
      </c>
    </row>
    <row r="19380" spans="1:7" x14ac:dyDescent="0.25">
      <c r="A19380">
        <v>61</v>
      </c>
      <c r="B19380" t="s">
        <v>19385</v>
      </c>
      <c r="C19380">
        <v>2627</v>
      </c>
      <c r="D19380" t="str">
        <f>"0065-1281"</f>
        <v>0065-1281</v>
      </c>
      <c r="E19380" t="s">
        <v>8</v>
      </c>
      <c r="F19380" t="s">
        <v>19395</v>
      </c>
      <c r="G19380">
        <v>1</v>
      </c>
    </row>
    <row r="19381" spans="1:7" x14ac:dyDescent="0.25">
      <c r="A19381">
        <v>61</v>
      </c>
      <c r="B19381" t="s">
        <v>19385</v>
      </c>
      <c r="C19381">
        <v>3843</v>
      </c>
      <c r="D19381" t="str">
        <f>"0044-5991"</f>
        <v>0044-5991</v>
      </c>
      <c r="E19381" t="s">
        <v>8</v>
      </c>
      <c r="F19381" t="s">
        <v>19396</v>
      </c>
      <c r="G19381">
        <v>1</v>
      </c>
    </row>
    <row r="19382" spans="1:7" x14ac:dyDescent="0.25">
      <c r="A19382">
        <v>61</v>
      </c>
      <c r="B19382" t="s">
        <v>19385</v>
      </c>
      <c r="C19382">
        <v>11704</v>
      </c>
      <c r="D19382" t="str">
        <f>"0001-6322"</f>
        <v>0001-6322</v>
      </c>
      <c r="E19382" t="s">
        <v>8</v>
      </c>
      <c r="F19382" t="s">
        <v>19397</v>
      </c>
      <c r="G19382">
        <v>1</v>
      </c>
    </row>
    <row r="19383" spans="1:7" x14ac:dyDescent="0.25">
      <c r="A19383">
        <v>61</v>
      </c>
      <c r="B19383" t="s">
        <v>19385</v>
      </c>
      <c r="C19383">
        <v>12193</v>
      </c>
      <c r="D19383" t="str">
        <f>"1072-4109"</f>
        <v>1072-4109</v>
      </c>
      <c r="E19383" t="s">
        <v>8</v>
      </c>
      <c r="F19383" t="s">
        <v>19398</v>
      </c>
      <c r="G19383">
        <v>1</v>
      </c>
    </row>
    <row r="19384" spans="1:7" x14ac:dyDescent="0.25">
      <c r="A19384">
        <v>61</v>
      </c>
      <c r="B19384" t="s">
        <v>19385</v>
      </c>
      <c r="C19384">
        <v>8459</v>
      </c>
      <c r="D19384" t="str">
        <f>"0002-9173"</f>
        <v>0002-9173</v>
      </c>
      <c r="E19384" t="s">
        <v>8</v>
      </c>
      <c r="F19384" t="s">
        <v>19399</v>
      </c>
      <c r="G19384">
        <v>1</v>
      </c>
    </row>
    <row r="19385" spans="1:7" x14ac:dyDescent="0.25">
      <c r="A19385">
        <v>61</v>
      </c>
      <c r="B19385" t="s">
        <v>19385</v>
      </c>
      <c r="C19385">
        <v>5555</v>
      </c>
      <c r="D19385" t="str">
        <f>"0002-9483"</f>
        <v>0002-9483</v>
      </c>
      <c r="E19385" t="s">
        <v>8</v>
      </c>
      <c r="F19385" t="s">
        <v>19400</v>
      </c>
      <c r="G19385">
        <v>1</v>
      </c>
    </row>
    <row r="19386" spans="1:7" x14ac:dyDescent="0.25">
      <c r="A19386">
        <v>61</v>
      </c>
      <c r="B19386" t="s">
        <v>19385</v>
      </c>
      <c r="C19386">
        <v>6825</v>
      </c>
      <c r="D19386" t="str">
        <f>"0147-5185"</f>
        <v>0147-5185</v>
      </c>
      <c r="E19386" t="s">
        <v>8</v>
      </c>
      <c r="F19386" t="s">
        <v>19401</v>
      </c>
      <c r="G19386">
        <v>1</v>
      </c>
    </row>
    <row r="19387" spans="1:7" x14ac:dyDescent="0.25">
      <c r="A19387">
        <v>61</v>
      </c>
      <c r="B19387" t="s">
        <v>19385</v>
      </c>
      <c r="C19387">
        <v>9922</v>
      </c>
      <c r="D19387" t="str">
        <f>"2210-7177"</f>
        <v>2210-7177</v>
      </c>
      <c r="E19387" t="s">
        <v>8</v>
      </c>
      <c r="F19387" t="s">
        <v>19402</v>
      </c>
      <c r="G19387">
        <v>1</v>
      </c>
    </row>
    <row r="19388" spans="1:7" x14ac:dyDescent="0.25">
      <c r="A19388">
        <v>61</v>
      </c>
      <c r="B19388" t="s">
        <v>19385</v>
      </c>
      <c r="C19388">
        <v>15532</v>
      </c>
      <c r="D19388" t="str">
        <f>"0242-6498"</f>
        <v>0242-6498</v>
      </c>
      <c r="E19388" t="s">
        <v>8</v>
      </c>
      <c r="F19388" t="s">
        <v>19403</v>
      </c>
      <c r="G19388">
        <v>1</v>
      </c>
    </row>
    <row r="19389" spans="1:7" x14ac:dyDescent="0.25">
      <c r="A19389">
        <v>61</v>
      </c>
      <c r="B19389" t="s">
        <v>19385</v>
      </c>
      <c r="C19389">
        <v>14634</v>
      </c>
      <c r="D19389" t="str">
        <f>"1092-9134"</f>
        <v>1092-9134</v>
      </c>
      <c r="E19389" t="s">
        <v>8</v>
      </c>
      <c r="F19389" t="s">
        <v>19404</v>
      </c>
      <c r="G19389">
        <v>1</v>
      </c>
    </row>
    <row r="19390" spans="1:7" x14ac:dyDescent="0.25">
      <c r="A19390">
        <v>61</v>
      </c>
      <c r="B19390" t="s">
        <v>19385</v>
      </c>
      <c r="C19390">
        <v>6389</v>
      </c>
      <c r="D19390" t="str">
        <f>"0903-465X"</f>
        <v>0903-465X</v>
      </c>
      <c r="E19390" t="s">
        <v>15</v>
      </c>
      <c r="F19390" t="s">
        <v>19405</v>
      </c>
      <c r="G19390">
        <v>1</v>
      </c>
    </row>
    <row r="19391" spans="1:7" x14ac:dyDescent="0.25">
      <c r="A19391">
        <v>61</v>
      </c>
      <c r="B19391" t="s">
        <v>19385</v>
      </c>
      <c r="C19391">
        <v>4531</v>
      </c>
      <c r="D19391" t="str">
        <f>"1541-2016"</f>
        <v>1541-2016</v>
      </c>
      <c r="E19391" t="s">
        <v>8</v>
      </c>
      <c r="F19391" t="s">
        <v>19406</v>
      </c>
      <c r="G19391">
        <v>1</v>
      </c>
    </row>
    <row r="19392" spans="1:7" x14ac:dyDescent="0.25">
      <c r="A19392">
        <v>61</v>
      </c>
      <c r="B19392" t="s">
        <v>19385</v>
      </c>
      <c r="C19392">
        <v>3091</v>
      </c>
      <c r="D19392" t="str">
        <f>"0003-9985"</f>
        <v>0003-9985</v>
      </c>
      <c r="E19392" t="s">
        <v>8</v>
      </c>
      <c r="F19392" t="s">
        <v>19407</v>
      </c>
      <c r="G19392">
        <v>1</v>
      </c>
    </row>
    <row r="19393" spans="1:7" x14ac:dyDescent="0.25">
      <c r="A19393">
        <v>61</v>
      </c>
      <c r="B19393" t="s">
        <v>19385</v>
      </c>
      <c r="C19393">
        <v>19592</v>
      </c>
      <c r="D19393" t="str">
        <f>"0045-0618"</f>
        <v>0045-0618</v>
      </c>
      <c r="E19393" t="s">
        <v>8</v>
      </c>
      <c r="F19393" t="s">
        <v>19408</v>
      </c>
      <c r="G19393">
        <v>1</v>
      </c>
    </row>
    <row r="19394" spans="1:7" x14ac:dyDescent="0.25">
      <c r="A19394">
        <v>61</v>
      </c>
      <c r="B19394" t="s">
        <v>19385</v>
      </c>
      <c r="C19394">
        <v>10478</v>
      </c>
      <c r="E19394" t="s">
        <v>8</v>
      </c>
      <c r="F19394" t="s">
        <v>19409</v>
      </c>
      <c r="G19394">
        <v>1</v>
      </c>
    </row>
    <row r="19395" spans="1:7" x14ac:dyDescent="0.25">
      <c r="A19395">
        <v>61</v>
      </c>
      <c r="B19395" t="s">
        <v>19385</v>
      </c>
      <c r="C19395">
        <v>10574</v>
      </c>
      <c r="D19395" t="str">
        <f>"0722-5091"</f>
        <v>0722-5091</v>
      </c>
      <c r="E19395" t="s">
        <v>8</v>
      </c>
      <c r="F19395" t="s">
        <v>19410</v>
      </c>
      <c r="G19395">
        <v>1</v>
      </c>
    </row>
    <row r="19396" spans="1:7" x14ac:dyDescent="0.25">
      <c r="A19396">
        <v>61</v>
      </c>
      <c r="B19396" t="s">
        <v>19385</v>
      </c>
      <c r="C19396">
        <v>4428</v>
      </c>
      <c r="D19396" t="str">
        <f>"1618-5641"</f>
        <v>1618-5641</v>
      </c>
      <c r="E19396" t="s">
        <v>8</v>
      </c>
      <c r="F19396" t="s">
        <v>19411</v>
      </c>
      <c r="G19396">
        <v>1</v>
      </c>
    </row>
    <row r="19397" spans="1:7" x14ac:dyDescent="0.25">
      <c r="A19397">
        <v>61</v>
      </c>
      <c r="B19397" t="s">
        <v>19385</v>
      </c>
      <c r="C19397">
        <v>10352</v>
      </c>
      <c r="D19397" t="str">
        <f>"0956-5507"</f>
        <v>0956-5507</v>
      </c>
      <c r="E19397" t="s">
        <v>8</v>
      </c>
      <c r="F19397" t="s">
        <v>19412</v>
      </c>
      <c r="G19397">
        <v>1</v>
      </c>
    </row>
    <row r="19398" spans="1:7" x14ac:dyDescent="0.25">
      <c r="A19398">
        <v>61</v>
      </c>
      <c r="B19398" t="s">
        <v>19385</v>
      </c>
      <c r="C19398">
        <v>4239</v>
      </c>
      <c r="D19398" t="str">
        <f>"0172-8113"</f>
        <v>0172-8113</v>
      </c>
      <c r="E19398" t="s">
        <v>8</v>
      </c>
      <c r="F19398" t="s">
        <v>19413</v>
      </c>
      <c r="G19398">
        <v>1</v>
      </c>
    </row>
    <row r="19399" spans="1:7" x14ac:dyDescent="0.25">
      <c r="A19399">
        <v>61</v>
      </c>
      <c r="B19399" t="s">
        <v>19385</v>
      </c>
      <c r="C19399">
        <v>8162</v>
      </c>
      <c r="D19399" t="str">
        <f>"8755-1039"</f>
        <v>8755-1039</v>
      </c>
      <c r="E19399" t="s">
        <v>8</v>
      </c>
      <c r="F19399" t="s">
        <v>19414</v>
      </c>
      <c r="G19399">
        <v>1</v>
      </c>
    </row>
    <row r="19400" spans="1:7" x14ac:dyDescent="0.25">
      <c r="A19400">
        <v>61</v>
      </c>
      <c r="B19400" t="s">
        <v>19385</v>
      </c>
      <c r="C19400">
        <v>13439</v>
      </c>
      <c r="D19400" t="str">
        <f>"1756-2317"</f>
        <v>1756-2317</v>
      </c>
      <c r="E19400" t="s">
        <v>8</v>
      </c>
      <c r="F19400" t="s">
        <v>19415</v>
      </c>
      <c r="G19400">
        <v>1</v>
      </c>
    </row>
    <row r="19401" spans="1:7" x14ac:dyDescent="0.25">
      <c r="A19401">
        <v>61</v>
      </c>
      <c r="B19401" t="s">
        <v>19385</v>
      </c>
      <c r="C19401">
        <v>16048</v>
      </c>
      <c r="D19401" t="str">
        <f>"1052-9551"</f>
        <v>1052-9551</v>
      </c>
      <c r="E19401" t="s">
        <v>8</v>
      </c>
      <c r="F19401" t="s">
        <v>19416</v>
      </c>
      <c r="G19401">
        <v>1</v>
      </c>
    </row>
    <row r="19402" spans="1:7" x14ac:dyDescent="0.25">
      <c r="A19402">
        <v>61</v>
      </c>
      <c r="B19402" t="s">
        <v>19385</v>
      </c>
      <c r="C19402">
        <v>10834</v>
      </c>
      <c r="E19402" t="s">
        <v>8</v>
      </c>
      <c r="F19402" t="s">
        <v>19417</v>
      </c>
      <c r="G19402">
        <v>1</v>
      </c>
    </row>
    <row r="19403" spans="1:7" x14ac:dyDescent="0.25">
      <c r="A19403">
        <v>61</v>
      </c>
      <c r="B19403" t="s">
        <v>19385</v>
      </c>
      <c r="C19403">
        <v>8782453</v>
      </c>
      <c r="D19403" t="str">
        <f>"2363-8907"</f>
        <v>2363-8907</v>
      </c>
      <c r="E19403" t="s">
        <v>8</v>
      </c>
      <c r="F19403" t="s">
        <v>19418</v>
      </c>
      <c r="G19403">
        <v>1</v>
      </c>
    </row>
    <row r="19404" spans="1:7" x14ac:dyDescent="0.25">
      <c r="A19404">
        <v>61</v>
      </c>
      <c r="B19404" t="s">
        <v>19385</v>
      </c>
      <c r="C19404">
        <v>10640</v>
      </c>
      <c r="D19404" t="str">
        <f>"1046-3976"</f>
        <v>1046-3976</v>
      </c>
      <c r="E19404" t="s">
        <v>8</v>
      </c>
      <c r="F19404" t="s">
        <v>19419</v>
      </c>
      <c r="G19404">
        <v>1</v>
      </c>
    </row>
    <row r="19405" spans="1:7" x14ac:dyDescent="0.25">
      <c r="A19405">
        <v>61</v>
      </c>
      <c r="B19405" t="s">
        <v>19385</v>
      </c>
      <c r="C19405">
        <v>2254</v>
      </c>
      <c r="D19405" t="str">
        <f>"1121-760X"</f>
        <v>1121-760X</v>
      </c>
      <c r="E19405" t="s">
        <v>8</v>
      </c>
      <c r="F19405" t="s">
        <v>19420</v>
      </c>
      <c r="G19405">
        <v>1</v>
      </c>
    </row>
    <row r="19406" spans="1:7" x14ac:dyDescent="0.25">
      <c r="A19406">
        <v>61</v>
      </c>
      <c r="B19406" t="s">
        <v>19385</v>
      </c>
      <c r="C19406">
        <v>10371</v>
      </c>
      <c r="D19406" t="str">
        <f>"0014-4800"</f>
        <v>0014-4800</v>
      </c>
      <c r="E19406" t="s">
        <v>8</v>
      </c>
      <c r="F19406" t="s">
        <v>19421</v>
      </c>
      <c r="G19406">
        <v>1</v>
      </c>
    </row>
    <row r="19407" spans="1:7" x14ac:dyDescent="0.25">
      <c r="A19407">
        <v>61</v>
      </c>
      <c r="B19407" t="s">
        <v>19385</v>
      </c>
      <c r="C19407">
        <v>26487</v>
      </c>
      <c r="D19407" t="str">
        <f>"1547-769X"</f>
        <v>1547-769X</v>
      </c>
      <c r="E19407" t="s">
        <v>8</v>
      </c>
      <c r="F19407" t="s">
        <v>19422</v>
      </c>
      <c r="G19407">
        <v>1</v>
      </c>
    </row>
    <row r="19408" spans="1:7" x14ac:dyDescent="0.25">
      <c r="A19408">
        <v>61</v>
      </c>
      <c r="B19408" t="s">
        <v>19385</v>
      </c>
      <c r="C19408">
        <v>25997</v>
      </c>
      <c r="D19408" t="str">
        <f>"1860-8965"</f>
        <v>1860-8965</v>
      </c>
      <c r="E19408" t="s">
        <v>8</v>
      </c>
      <c r="F19408" t="s">
        <v>19423</v>
      </c>
      <c r="G19408">
        <v>1</v>
      </c>
    </row>
    <row r="19409" spans="1:7" x14ac:dyDescent="0.25">
      <c r="A19409">
        <v>61</v>
      </c>
      <c r="B19409" t="s">
        <v>19385</v>
      </c>
      <c r="C19409">
        <v>15153</v>
      </c>
      <c r="D19409" t="str">
        <f>"0948-6143"</f>
        <v>0948-6143</v>
      </c>
      <c r="E19409" t="s">
        <v>8</v>
      </c>
      <c r="F19409" t="s">
        <v>19424</v>
      </c>
      <c r="G19409">
        <v>1</v>
      </c>
    </row>
    <row r="19410" spans="1:7" x14ac:dyDescent="0.25">
      <c r="A19410">
        <v>61</v>
      </c>
      <c r="B19410" t="s">
        <v>19385</v>
      </c>
      <c r="C19410">
        <v>14499</v>
      </c>
      <c r="D19410" t="str">
        <f>"0213-3911"</f>
        <v>0213-3911</v>
      </c>
      <c r="E19410" t="s">
        <v>8</v>
      </c>
      <c r="F19410" t="s">
        <v>19425</v>
      </c>
      <c r="G19410">
        <v>1</v>
      </c>
    </row>
    <row r="19411" spans="1:7" x14ac:dyDescent="0.25">
      <c r="A19411">
        <v>61</v>
      </c>
      <c r="B19411" t="s">
        <v>19385</v>
      </c>
      <c r="C19411">
        <v>16870</v>
      </c>
      <c r="D19411" t="str">
        <f>"0309-0167"</f>
        <v>0309-0167</v>
      </c>
      <c r="E19411" t="s">
        <v>8</v>
      </c>
      <c r="F19411" t="s">
        <v>19426</v>
      </c>
      <c r="G19411">
        <v>1</v>
      </c>
    </row>
    <row r="19412" spans="1:7" x14ac:dyDescent="0.25">
      <c r="A19412">
        <v>61</v>
      </c>
      <c r="B19412" t="s">
        <v>19385</v>
      </c>
      <c r="C19412">
        <v>9042</v>
      </c>
      <c r="D19412" t="str">
        <f>"0018-442X"</f>
        <v>0018-442X</v>
      </c>
      <c r="E19412" t="s">
        <v>8</v>
      </c>
      <c r="F19412" t="s">
        <v>19427</v>
      </c>
      <c r="G19412">
        <v>1</v>
      </c>
    </row>
    <row r="19413" spans="1:7" x14ac:dyDescent="0.25">
      <c r="A19413">
        <v>61</v>
      </c>
      <c r="B19413" t="s">
        <v>19385</v>
      </c>
      <c r="C19413">
        <v>9095</v>
      </c>
      <c r="D19413" t="str">
        <f>"0046-8177"</f>
        <v>0046-8177</v>
      </c>
      <c r="E19413" t="s">
        <v>8</v>
      </c>
      <c r="F19413" t="s">
        <v>19428</v>
      </c>
      <c r="G19413">
        <v>1</v>
      </c>
    </row>
    <row r="19414" spans="1:7" x14ac:dyDescent="0.25">
      <c r="A19414">
        <v>61</v>
      </c>
      <c r="B19414" t="s">
        <v>19385</v>
      </c>
      <c r="C19414">
        <v>2204</v>
      </c>
      <c r="D19414" t="str">
        <f>"0959-9673"</f>
        <v>0959-9673</v>
      </c>
      <c r="E19414" t="s">
        <v>8</v>
      </c>
      <c r="F19414" t="s">
        <v>19429</v>
      </c>
      <c r="G19414">
        <v>1</v>
      </c>
    </row>
    <row r="19415" spans="1:7" x14ac:dyDescent="0.25">
      <c r="A19415">
        <v>61</v>
      </c>
      <c r="B19415" t="s">
        <v>19385</v>
      </c>
      <c r="C19415">
        <v>9036</v>
      </c>
      <c r="D19415" t="str">
        <f>"0277-1691"</f>
        <v>0277-1691</v>
      </c>
      <c r="E19415" t="s">
        <v>8</v>
      </c>
      <c r="F19415" t="s">
        <v>19430</v>
      </c>
      <c r="G19415">
        <v>1</v>
      </c>
    </row>
    <row r="19416" spans="1:7" x14ac:dyDescent="0.25">
      <c r="A19416">
        <v>61</v>
      </c>
      <c r="B19416" t="s">
        <v>19385</v>
      </c>
      <c r="C19416">
        <v>11661</v>
      </c>
      <c r="D19416" t="str">
        <f>"1047-482X"</f>
        <v>1047-482X</v>
      </c>
      <c r="E19416" t="s">
        <v>8</v>
      </c>
      <c r="F19416" t="s">
        <v>19431</v>
      </c>
      <c r="G19416">
        <v>1</v>
      </c>
    </row>
    <row r="19417" spans="1:7" x14ac:dyDescent="0.25">
      <c r="A19417">
        <v>61</v>
      </c>
      <c r="B19417" t="s">
        <v>19385</v>
      </c>
      <c r="C19417">
        <v>2227</v>
      </c>
      <c r="D19417" t="str">
        <f>"1066-8969"</f>
        <v>1066-8969</v>
      </c>
      <c r="E19417" t="s">
        <v>8</v>
      </c>
      <c r="F19417" t="s">
        <v>19432</v>
      </c>
      <c r="G19417">
        <v>1</v>
      </c>
    </row>
    <row r="19418" spans="1:7" x14ac:dyDescent="0.25">
      <c r="A19418">
        <v>61</v>
      </c>
      <c r="B19418" t="s">
        <v>19385</v>
      </c>
      <c r="C19418">
        <v>13985</v>
      </c>
      <c r="D19418" t="str">
        <f>"0021-9746"</f>
        <v>0021-9746</v>
      </c>
      <c r="E19418" t="s">
        <v>8</v>
      </c>
      <c r="F19418" t="s">
        <v>19433</v>
      </c>
      <c r="G19418">
        <v>1</v>
      </c>
    </row>
    <row r="19419" spans="1:7" x14ac:dyDescent="0.25">
      <c r="A19419">
        <v>61</v>
      </c>
      <c r="B19419" t="s">
        <v>19385</v>
      </c>
      <c r="C19419">
        <v>27786</v>
      </c>
      <c r="D19419" t="str">
        <f>"1752-928X"</f>
        <v>1752-928X</v>
      </c>
      <c r="E19419" t="s">
        <v>8</v>
      </c>
      <c r="F19419" t="s">
        <v>19434</v>
      </c>
      <c r="G19419">
        <v>1</v>
      </c>
    </row>
    <row r="19420" spans="1:7" x14ac:dyDescent="0.25">
      <c r="A19420">
        <v>61</v>
      </c>
      <c r="B19420" t="s">
        <v>19385</v>
      </c>
      <c r="C19420">
        <v>7738606</v>
      </c>
      <c r="D19420" t="str">
        <f>"2212-4780"</f>
        <v>2212-4780</v>
      </c>
      <c r="E19420" t="s">
        <v>8</v>
      </c>
      <c r="F19420" t="s">
        <v>19435</v>
      </c>
      <c r="G19420">
        <v>1</v>
      </c>
    </row>
    <row r="19421" spans="1:7" x14ac:dyDescent="0.25">
      <c r="A19421">
        <v>61</v>
      </c>
      <c r="B19421" t="s">
        <v>19385</v>
      </c>
      <c r="C19421">
        <v>16855</v>
      </c>
      <c r="D19421" t="str">
        <f>"0886-2605"</f>
        <v>0886-2605</v>
      </c>
      <c r="E19421" t="s">
        <v>8</v>
      </c>
      <c r="F19421" t="s">
        <v>19436</v>
      </c>
      <c r="G19421">
        <v>1</v>
      </c>
    </row>
    <row r="19422" spans="1:7" x14ac:dyDescent="0.25">
      <c r="A19422">
        <v>61</v>
      </c>
      <c r="B19422" t="s">
        <v>19385</v>
      </c>
      <c r="C19422">
        <v>3982</v>
      </c>
      <c r="D19422" t="str">
        <f>"0022-2828"</f>
        <v>0022-2828</v>
      </c>
      <c r="E19422" t="s">
        <v>8</v>
      </c>
      <c r="F19422" t="s">
        <v>19437</v>
      </c>
      <c r="G19422">
        <v>1</v>
      </c>
    </row>
    <row r="19423" spans="1:7" x14ac:dyDescent="0.25">
      <c r="A19423">
        <v>61</v>
      </c>
      <c r="B19423" t="s">
        <v>19385</v>
      </c>
      <c r="C19423">
        <v>170294</v>
      </c>
      <c r="E19423" t="s">
        <v>15</v>
      </c>
      <c r="F19423" t="s">
        <v>19438</v>
      </c>
      <c r="G19423">
        <v>1</v>
      </c>
    </row>
    <row r="19424" spans="1:7" x14ac:dyDescent="0.25">
      <c r="A19424">
        <v>61</v>
      </c>
      <c r="B19424" t="s">
        <v>19385</v>
      </c>
      <c r="C19424">
        <v>15291</v>
      </c>
      <c r="D19424" t="str">
        <f>"1344-6223"</f>
        <v>1344-6223</v>
      </c>
      <c r="E19424" t="s">
        <v>8</v>
      </c>
      <c r="F19424" t="s">
        <v>19439</v>
      </c>
      <c r="G19424">
        <v>1</v>
      </c>
    </row>
    <row r="19425" spans="1:7" x14ac:dyDescent="0.25">
      <c r="A19425">
        <v>61</v>
      </c>
      <c r="B19425" t="s">
        <v>19385</v>
      </c>
      <c r="C19425">
        <v>2344</v>
      </c>
      <c r="D19425" t="str">
        <f>"0025-8024"</f>
        <v>0025-8024</v>
      </c>
      <c r="E19425" t="s">
        <v>8</v>
      </c>
      <c r="F19425" t="s">
        <v>19440</v>
      </c>
      <c r="G19425">
        <v>1</v>
      </c>
    </row>
    <row r="19426" spans="1:7" x14ac:dyDescent="0.25">
      <c r="A19426">
        <v>61</v>
      </c>
      <c r="B19426" t="s">
        <v>19385</v>
      </c>
      <c r="C19426">
        <v>10484</v>
      </c>
      <c r="D19426" t="str">
        <f>"0919-6544"</f>
        <v>0919-6544</v>
      </c>
      <c r="E19426" t="s">
        <v>8</v>
      </c>
      <c r="F19426" t="s">
        <v>19441</v>
      </c>
      <c r="G19426">
        <v>1</v>
      </c>
    </row>
    <row r="19427" spans="1:7" x14ac:dyDescent="0.25">
      <c r="A19427">
        <v>61</v>
      </c>
      <c r="B19427" t="s">
        <v>19385</v>
      </c>
      <c r="C19427">
        <v>15048</v>
      </c>
      <c r="D19427" t="str">
        <f>"0305-1846"</f>
        <v>0305-1846</v>
      </c>
      <c r="E19427" t="s">
        <v>8</v>
      </c>
      <c r="F19427" t="s">
        <v>19442</v>
      </c>
      <c r="G19427">
        <v>1</v>
      </c>
    </row>
    <row r="19428" spans="1:7" x14ac:dyDescent="0.25">
      <c r="A19428">
        <v>61</v>
      </c>
      <c r="B19428" t="s">
        <v>19385</v>
      </c>
      <c r="C19428">
        <v>1002</v>
      </c>
      <c r="D19428" t="str">
        <f>"0031-2983"</f>
        <v>0031-2983</v>
      </c>
      <c r="E19428" t="s">
        <v>8</v>
      </c>
      <c r="F19428" t="s">
        <v>19443</v>
      </c>
      <c r="G19428">
        <v>1</v>
      </c>
    </row>
    <row r="19429" spans="1:7" x14ac:dyDescent="0.25">
      <c r="A19429">
        <v>61</v>
      </c>
      <c r="B19429" t="s">
        <v>19385</v>
      </c>
      <c r="C19429">
        <v>10848</v>
      </c>
      <c r="D19429" t="str">
        <f>"0031-3025"</f>
        <v>0031-3025</v>
      </c>
      <c r="E19429" t="s">
        <v>8</v>
      </c>
      <c r="F19429" t="s">
        <v>19444</v>
      </c>
      <c r="G19429">
        <v>1</v>
      </c>
    </row>
    <row r="19430" spans="1:7" x14ac:dyDescent="0.25">
      <c r="A19430">
        <v>61</v>
      </c>
      <c r="B19430" t="s">
        <v>19385</v>
      </c>
      <c r="C19430">
        <v>7332</v>
      </c>
      <c r="D19430" t="str">
        <f>"1219-4956"</f>
        <v>1219-4956</v>
      </c>
      <c r="E19430" t="s">
        <v>8</v>
      </c>
      <c r="F19430" t="s">
        <v>19445</v>
      </c>
      <c r="G19430">
        <v>1</v>
      </c>
    </row>
    <row r="19431" spans="1:7" x14ac:dyDescent="0.25">
      <c r="A19431">
        <v>61</v>
      </c>
      <c r="B19431" t="s">
        <v>19385</v>
      </c>
      <c r="C19431">
        <v>10349</v>
      </c>
      <c r="D19431" t="str">
        <f>"0344-0338"</f>
        <v>0344-0338</v>
      </c>
      <c r="E19431" t="s">
        <v>8</v>
      </c>
      <c r="F19431" t="s">
        <v>19446</v>
      </c>
      <c r="G19431">
        <v>1</v>
      </c>
    </row>
    <row r="19432" spans="1:7" x14ac:dyDescent="0.25">
      <c r="A19432">
        <v>61</v>
      </c>
      <c r="B19432" t="s">
        <v>19385</v>
      </c>
      <c r="C19432">
        <v>13479</v>
      </c>
      <c r="D19432" t="str">
        <f>"1093-5266"</f>
        <v>1093-5266</v>
      </c>
      <c r="E19432" t="s">
        <v>8</v>
      </c>
      <c r="F19432" t="s">
        <v>19447</v>
      </c>
      <c r="G19432">
        <v>1</v>
      </c>
    </row>
    <row r="19433" spans="1:7" x14ac:dyDescent="0.25">
      <c r="A19433">
        <v>61</v>
      </c>
      <c r="B19433" t="s">
        <v>19385</v>
      </c>
      <c r="C19433">
        <v>10665</v>
      </c>
      <c r="D19433" t="str">
        <f>"0079-6336"</f>
        <v>0079-6336</v>
      </c>
      <c r="E19433" t="s">
        <v>8</v>
      </c>
      <c r="F19433" t="s">
        <v>19448</v>
      </c>
      <c r="G19433">
        <v>1</v>
      </c>
    </row>
    <row r="19434" spans="1:7" x14ac:dyDescent="0.25">
      <c r="A19434">
        <v>61</v>
      </c>
      <c r="B19434" t="s">
        <v>19385</v>
      </c>
      <c r="C19434">
        <v>27351</v>
      </c>
      <c r="D19434" t="str">
        <f>"1503-9552"</f>
        <v>1503-9552</v>
      </c>
      <c r="E19434" t="s">
        <v>8</v>
      </c>
      <c r="F19434" t="s">
        <v>19449</v>
      </c>
      <c r="G19434">
        <v>1</v>
      </c>
    </row>
    <row r="19435" spans="1:7" x14ac:dyDescent="0.25">
      <c r="A19435">
        <v>61</v>
      </c>
      <c r="B19435" t="s">
        <v>19385</v>
      </c>
      <c r="C19435">
        <v>10939</v>
      </c>
      <c r="D19435" t="str">
        <f>"1355-0306"</f>
        <v>1355-0306</v>
      </c>
      <c r="E19435" t="s">
        <v>8</v>
      </c>
      <c r="F19435" t="s">
        <v>19450</v>
      </c>
      <c r="G19435">
        <v>1</v>
      </c>
    </row>
    <row r="19436" spans="1:7" x14ac:dyDescent="0.25">
      <c r="A19436">
        <v>61</v>
      </c>
      <c r="B19436" t="s">
        <v>19385</v>
      </c>
      <c r="C19436">
        <v>12175</v>
      </c>
      <c r="D19436" t="str">
        <f>"0195-7910"</f>
        <v>0195-7910</v>
      </c>
      <c r="E19436" t="s">
        <v>8</v>
      </c>
      <c r="F19436" t="s">
        <v>19451</v>
      </c>
      <c r="G19436">
        <v>1</v>
      </c>
    </row>
    <row r="19437" spans="1:7" x14ac:dyDescent="0.25">
      <c r="A19437">
        <v>61</v>
      </c>
      <c r="B19437" t="s">
        <v>19385</v>
      </c>
      <c r="C19437">
        <v>14436</v>
      </c>
      <c r="D19437" t="str">
        <f>"0002-9440"</f>
        <v>0002-9440</v>
      </c>
      <c r="E19437" t="s">
        <v>8</v>
      </c>
      <c r="F19437" t="s">
        <v>19452</v>
      </c>
      <c r="G19437">
        <v>1</v>
      </c>
    </row>
    <row r="19438" spans="1:7" x14ac:dyDescent="0.25">
      <c r="A19438">
        <v>61</v>
      </c>
      <c r="B19438" t="s">
        <v>19385</v>
      </c>
      <c r="C19438">
        <v>8520</v>
      </c>
      <c r="D19438" t="str">
        <f>"0191-3123"</f>
        <v>0191-3123</v>
      </c>
      <c r="E19438" t="s">
        <v>8</v>
      </c>
      <c r="F19438" t="s">
        <v>19453</v>
      </c>
      <c r="G19438">
        <v>1</v>
      </c>
    </row>
    <row r="19439" spans="1:7" x14ac:dyDescent="0.25">
      <c r="A19439">
        <v>61</v>
      </c>
      <c r="B19439" t="s">
        <v>19385</v>
      </c>
      <c r="C19439">
        <v>2654</v>
      </c>
      <c r="D19439" t="str">
        <f>"0886-6708"</f>
        <v>0886-6708</v>
      </c>
      <c r="E19439" t="s">
        <v>8</v>
      </c>
      <c r="F19439" t="s">
        <v>19454</v>
      </c>
      <c r="G19439">
        <v>1</v>
      </c>
    </row>
    <row r="19440" spans="1:7" x14ac:dyDescent="0.25">
      <c r="A19440">
        <v>61</v>
      </c>
      <c r="B19440" t="s">
        <v>19385</v>
      </c>
      <c r="C19440">
        <v>7736</v>
      </c>
      <c r="D19440" t="str">
        <f>"0945-6317"</f>
        <v>0945-6317</v>
      </c>
      <c r="E19440" t="s">
        <v>8</v>
      </c>
      <c r="F19440" t="s">
        <v>19455</v>
      </c>
      <c r="G19440">
        <v>1</v>
      </c>
    </row>
    <row r="19441" spans="1:7" x14ac:dyDescent="0.25">
      <c r="A19441">
        <v>62</v>
      </c>
      <c r="B19441" t="s">
        <v>19456</v>
      </c>
      <c r="C19441">
        <v>6298</v>
      </c>
      <c r="D19441" t="str">
        <f>"0065-308X"</f>
        <v>0065-308X</v>
      </c>
      <c r="E19441" t="s">
        <v>15</v>
      </c>
      <c r="F19441" t="s">
        <v>19457</v>
      </c>
      <c r="G19441">
        <v>2</v>
      </c>
    </row>
    <row r="19442" spans="1:7" x14ac:dyDescent="0.25">
      <c r="A19442">
        <v>62</v>
      </c>
      <c r="B19442" t="s">
        <v>19456</v>
      </c>
      <c r="C19442">
        <v>6460</v>
      </c>
      <c r="D19442" t="str">
        <f>"0193-1849"</f>
        <v>0193-1849</v>
      </c>
      <c r="E19442" t="s">
        <v>8</v>
      </c>
      <c r="F19442" t="s">
        <v>19458</v>
      </c>
      <c r="G19442">
        <v>2</v>
      </c>
    </row>
    <row r="19443" spans="1:7" x14ac:dyDescent="0.25">
      <c r="A19443">
        <v>62</v>
      </c>
      <c r="B19443" t="s">
        <v>19456</v>
      </c>
      <c r="C19443">
        <v>6856</v>
      </c>
      <c r="D19443" t="str">
        <f>"0066-4278"</f>
        <v>0066-4278</v>
      </c>
      <c r="E19443" t="s">
        <v>8</v>
      </c>
      <c r="F19443" t="s">
        <v>19459</v>
      </c>
      <c r="G19443">
        <v>2</v>
      </c>
    </row>
    <row r="19444" spans="1:7" x14ac:dyDescent="0.25">
      <c r="A19444">
        <v>62</v>
      </c>
      <c r="B19444" t="s">
        <v>19456</v>
      </c>
      <c r="C19444">
        <v>4539</v>
      </c>
      <c r="D19444" t="str">
        <f>"0925-4439"</f>
        <v>0925-4439</v>
      </c>
      <c r="E19444" t="s">
        <v>8</v>
      </c>
      <c r="F19444" t="s">
        <v>19460</v>
      </c>
      <c r="G19444">
        <v>2</v>
      </c>
    </row>
    <row r="19445" spans="1:7" x14ac:dyDescent="0.25">
      <c r="A19445">
        <v>62</v>
      </c>
      <c r="B19445" t="s">
        <v>19456</v>
      </c>
      <c r="C19445">
        <v>7872</v>
      </c>
      <c r="D19445" t="str">
        <f>"0304-419X"</f>
        <v>0304-419X</v>
      </c>
      <c r="E19445" t="s">
        <v>8</v>
      </c>
      <c r="F19445" t="s">
        <v>19461</v>
      </c>
      <c r="G19445">
        <v>2</v>
      </c>
    </row>
    <row r="19446" spans="1:7" x14ac:dyDescent="0.25">
      <c r="A19446">
        <v>62</v>
      </c>
      <c r="B19446" t="s">
        <v>19456</v>
      </c>
      <c r="C19446">
        <v>9782</v>
      </c>
      <c r="D19446" t="str">
        <f>"1040-8363"</f>
        <v>1040-8363</v>
      </c>
      <c r="E19446" t="s">
        <v>8</v>
      </c>
      <c r="F19446" t="s">
        <v>19462</v>
      </c>
      <c r="G19446">
        <v>2</v>
      </c>
    </row>
    <row r="19447" spans="1:7" x14ac:dyDescent="0.25">
      <c r="A19447">
        <v>62</v>
      </c>
      <c r="B19447" t="s">
        <v>19456</v>
      </c>
      <c r="C19447">
        <v>16179</v>
      </c>
      <c r="D19447" t="str">
        <f>"0950-1991"</f>
        <v>0950-1991</v>
      </c>
      <c r="E19447" t="s">
        <v>8</v>
      </c>
      <c r="F19447" t="s">
        <v>5699</v>
      </c>
      <c r="G19447">
        <v>2</v>
      </c>
    </row>
    <row r="19448" spans="1:7" x14ac:dyDescent="0.25">
      <c r="A19448">
        <v>62</v>
      </c>
      <c r="B19448" t="s">
        <v>19456</v>
      </c>
      <c r="C19448">
        <v>16107</v>
      </c>
      <c r="D19448" t="str">
        <f>"1619-7070"</f>
        <v>1619-7070</v>
      </c>
      <c r="E19448" t="s">
        <v>8</v>
      </c>
      <c r="F19448" t="s">
        <v>19463</v>
      </c>
      <c r="G19448">
        <v>2</v>
      </c>
    </row>
    <row r="19449" spans="1:7" x14ac:dyDescent="0.25">
      <c r="A19449">
        <v>62</v>
      </c>
      <c r="B19449" t="s">
        <v>19456</v>
      </c>
      <c r="C19449">
        <v>10766</v>
      </c>
      <c r="D19449" t="str">
        <f>"0168-6445"</f>
        <v>0168-6445</v>
      </c>
      <c r="E19449" t="s">
        <v>8</v>
      </c>
      <c r="F19449" t="s">
        <v>19464</v>
      </c>
      <c r="G19449">
        <v>2</v>
      </c>
    </row>
    <row r="19450" spans="1:7" x14ac:dyDescent="0.25">
      <c r="A19450">
        <v>62</v>
      </c>
      <c r="B19450" t="s">
        <v>19456</v>
      </c>
      <c r="C19450">
        <v>3821</v>
      </c>
      <c r="D19450" t="str">
        <f>"1059-7794"</f>
        <v>1059-7794</v>
      </c>
      <c r="E19450" t="s">
        <v>8</v>
      </c>
      <c r="F19450" t="s">
        <v>19465</v>
      </c>
      <c r="G19450">
        <v>2</v>
      </c>
    </row>
    <row r="19451" spans="1:7" x14ac:dyDescent="0.25">
      <c r="A19451">
        <v>62</v>
      </c>
      <c r="B19451" t="s">
        <v>19456</v>
      </c>
      <c r="C19451">
        <v>10124</v>
      </c>
      <c r="D19451" t="str">
        <f>"0020-9996"</f>
        <v>0020-9996</v>
      </c>
      <c r="E19451" t="s">
        <v>8</v>
      </c>
      <c r="F19451" t="s">
        <v>19466</v>
      </c>
      <c r="G19451">
        <v>2</v>
      </c>
    </row>
    <row r="19452" spans="1:7" x14ac:dyDescent="0.25">
      <c r="A19452">
        <v>62</v>
      </c>
      <c r="B19452" t="s">
        <v>19456</v>
      </c>
      <c r="C19452">
        <v>1724</v>
      </c>
      <c r="D19452" t="str">
        <f>"0091-6749"</f>
        <v>0091-6749</v>
      </c>
      <c r="E19452" t="s">
        <v>8</v>
      </c>
      <c r="F19452" t="s">
        <v>19467</v>
      </c>
      <c r="G19452">
        <v>2</v>
      </c>
    </row>
    <row r="19453" spans="1:7" x14ac:dyDescent="0.25">
      <c r="A19453">
        <v>62</v>
      </c>
      <c r="B19453" t="s">
        <v>19456</v>
      </c>
      <c r="C19453">
        <v>14801</v>
      </c>
      <c r="D19453" t="str">
        <f>"0022-1295"</f>
        <v>0022-1295</v>
      </c>
      <c r="E19453" t="s">
        <v>8</v>
      </c>
      <c r="F19453" t="s">
        <v>19468</v>
      </c>
      <c r="G19453">
        <v>2</v>
      </c>
    </row>
    <row r="19454" spans="1:7" x14ac:dyDescent="0.25">
      <c r="A19454">
        <v>62</v>
      </c>
      <c r="B19454" t="s">
        <v>19456</v>
      </c>
      <c r="C19454">
        <v>3942</v>
      </c>
      <c r="D19454" t="str">
        <f>"0022-1767"</f>
        <v>0022-1767</v>
      </c>
      <c r="E19454" t="s">
        <v>8</v>
      </c>
      <c r="F19454" t="s">
        <v>19469</v>
      </c>
      <c r="G19454">
        <v>2</v>
      </c>
    </row>
    <row r="19455" spans="1:7" x14ac:dyDescent="0.25">
      <c r="A19455">
        <v>62</v>
      </c>
      <c r="B19455" t="s">
        <v>19456</v>
      </c>
      <c r="C19455">
        <v>15941</v>
      </c>
      <c r="D19455" t="str">
        <f>"0022-2593"</f>
        <v>0022-2593</v>
      </c>
      <c r="E19455" t="s">
        <v>8</v>
      </c>
      <c r="F19455" t="s">
        <v>19470</v>
      </c>
      <c r="G19455">
        <v>2</v>
      </c>
    </row>
    <row r="19456" spans="1:7" x14ac:dyDescent="0.25">
      <c r="A19456">
        <v>62</v>
      </c>
      <c r="B19456" t="s">
        <v>19456</v>
      </c>
      <c r="C19456">
        <v>15011</v>
      </c>
      <c r="D19456" t="str">
        <f>"0022-538X"</f>
        <v>0022-538X</v>
      </c>
      <c r="E19456" t="s">
        <v>8</v>
      </c>
      <c r="F19456" t="s">
        <v>19471</v>
      </c>
      <c r="G19456">
        <v>2</v>
      </c>
    </row>
    <row r="19457" spans="1:7" x14ac:dyDescent="0.25">
      <c r="A19457">
        <v>62</v>
      </c>
      <c r="B19457" t="s">
        <v>19456</v>
      </c>
      <c r="C19457">
        <v>13195</v>
      </c>
      <c r="D19457" t="str">
        <f>"0098-2997"</f>
        <v>0098-2997</v>
      </c>
      <c r="E19457" t="s">
        <v>8</v>
      </c>
      <c r="F19457" t="s">
        <v>19472</v>
      </c>
      <c r="G19457">
        <v>2</v>
      </c>
    </row>
    <row r="19458" spans="1:7" x14ac:dyDescent="0.25">
      <c r="A19458">
        <v>62</v>
      </c>
      <c r="B19458" t="s">
        <v>19456</v>
      </c>
      <c r="C19458">
        <v>2575</v>
      </c>
      <c r="D19458" t="str">
        <f>"1383-5742"</f>
        <v>1383-5742</v>
      </c>
      <c r="E19458" t="s">
        <v>8</v>
      </c>
      <c r="F19458" t="s">
        <v>19473</v>
      </c>
      <c r="G19458">
        <v>2</v>
      </c>
    </row>
    <row r="19459" spans="1:7" x14ac:dyDescent="0.25">
      <c r="A19459">
        <v>62</v>
      </c>
      <c r="B19459" t="s">
        <v>19456</v>
      </c>
      <c r="C19459">
        <v>5301</v>
      </c>
      <c r="D19459" t="str">
        <f>"1529-2908"</f>
        <v>1529-2908</v>
      </c>
      <c r="E19459" t="s">
        <v>8</v>
      </c>
      <c r="F19459" t="s">
        <v>19474</v>
      </c>
      <c r="G19459">
        <v>2</v>
      </c>
    </row>
    <row r="19460" spans="1:7" x14ac:dyDescent="0.25">
      <c r="A19460">
        <v>62</v>
      </c>
      <c r="B19460" t="s">
        <v>19456</v>
      </c>
      <c r="C19460">
        <v>4451</v>
      </c>
      <c r="D19460" t="str">
        <f>"1740-1526"</f>
        <v>1740-1526</v>
      </c>
      <c r="E19460" t="s">
        <v>8</v>
      </c>
      <c r="F19460" t="s">
        <v>19475</v>
      </c>
      <c r="G19460">
        <v>2</v>
      </c>
    </row>
    <row r="19461" spans="1:7" x14ac:dyDescent="0.25">
      <c r="A19461">
        <v>62</v>
      </c>
      <c r="B19461" t="s">
        <v>19456</v>
      </c>
      <c r="C19461">
        <v>9325</v>
      </c>
      <c r="D19461" t="str">
        <f>"0031-9333"</f>
        <v>0031-9333</v>
      </c>
      <c r="E19461" t="s">
        <v>8</v>
      </c>
      <c r="F19461" t="s">
        <v>19476</v>
      </c>
      <c r="G19461">
        <v>2</v>
      </c>
    </row>
    <row r="19462" spans="1:7" x14ac:dyDescent="0.25">
      <c r="A19462">
        <v>62</v>
      </c>
      <c r="B19462" t="s">
        <v>19456</v>
      </c>
      <c r="C19462">
        <v>17039</v>
      </c>
      <c r="D19462" t="str">
        <f>"1548-9213"</f>
        <v>1548-9213</v>
      </c>
      <c r="E19462" t="s">
        <v>8</v>
      </c>
      <c r="F19462" t="s">
        <v>19477</v>
      </c>
      <c r="G19462">
        <v>2</v>
      </c>
    </row>
    <row r="19463" spans="1:7" x14ac:dyDescent="0.25">
      <c r="A19463">
        <v>62</v>
      </c>
      <c r="B19463" t="s">
        <v>19456</v>
      </c>
      <c r="C19463">
        <v>2974</v>
      </c>
      <c r="D19463" t="str">
        <f>"1553-7390"</f>
        <v>1553-7390</v>
      </c>
      <c r="E19463" t="s">
        <v>8</v>
      </c>
      <c r="F19463" t="s">
        <v>19478</v>
      </c>
      <c r="G19463">
        <v>2</v>
      </c>
    </row>
    <row r="19464" spans="1:7" x14ac:dyDescent="0.25">
      <c r="A19464">
        <v>62</v>
      </c>
      <c r="B19464" t="s">
        <v>19456</v>
      </c>
      <c r="C19464">
        <v>9443</v>
      </c>
      <c r="D19464" t="str">
        <f>"1553-7366"</f>
        <v>1553-7366</v>
      </c>
      <c r="E19464" t="s">
        <v>8</v>
      </c>
      <c r="F19464" t="s">
        <v>19479</v>
      </c>
      <c r="G19464">
        <v>2</v>
      </c>
    </row>
    <row r="19465" spans="1:7" x14ac:dyDescent="0.25">
      <c r="A19465">
        <v>62</v>
      </c>
      <c r="B19465" t="s">
        <v>19456</v>
      </c>
      <c r="C19465">
        <v>16858</v>
      </c>
      <c r="D19465" t="str">
        <f>"0033-8419"</f>
        <v>0033-8419</v>
      </c>
      <c r="E19465" t="s">
        <v>8</v>
      </c>
      <c r="F19465" t="s">
        <v>19480</v>
      </c>
      <c r="G19465">
        <v>2</v>
      </c>
    </row>
    <row r="19466" spans="1:7" x14ac:dyDescent="0.25">
      <c r="A19466">
        <v>62</v>
      </c>
      <c r="B19466" t="s">
        <v>19456</v>
      </c>
      <c r="C19466">
        <v>877</v>
      </c>
      <c r="D19466" t="str">
        <f>"1044-579X"</f>
        <v>1044-579X</v>
      </c>
      <c r="E19466" t="s">
        <v>8</v>
      </c>
      <c r="F19466" t="s">
        <v>19481</v>
      </c>
      <c r="G19466">
        <v>2</v>
      </c>
    </row>
    <row r="19467" spans="1:7" x14ac:dyDescent="0.25">
      <c r="A19467">
        <v>62</v>
      </c>
      <c r="B19467" t="s">
        <v>19456</v>
      </c>
      <c r="C19467">
        <v>17717</v>
      </c>
      <c r="D19467" t="str">
        <f>"1863-2297"</f>
        <v>1863-2297</v>
      </c>
      <c r="E19467" t="s">
        <v>8</v>
      </c>
      <c r="F19467" t="s">
        <v>19482</v>
      </c>
      <c r="G19467">
        <v>2</v>
      </c>
    </row>
    <row r="19468" spans="1:7" x14ac:dyDescent="0.25">
      <c r="A19468">
        <v>62</v>
      </c>
      <c r="B19468" t="s">
        <v>19456</v>
      </c>
      <c r="C19468">
        <v>2262</v>
      </c>
      <c r="D19468" t="str">
        <f>"0022-1007"</f>
        <v>0022-1007</v>
      </c>
      <c r="E19468" t="s">
        <v>8</v>
      </c>
      <c r="F19468" t="s">
        <v>19483</v>
      </c>
      <c r="G19468">
        <v>2</v>
      </c>
    </row>
    <row r="19469" spans="1:7" x14ac:dyDescent="0.25">
      <c r="A19469">
        <v>62</v>
      </c>
      <c r="B19469" t="s">
        <v>19456</v>
      </c>
      <c r="C19469">
        <v>14610</v>
      </c>
      <c r="D19469" t="str">
        <f>"1525-1578"</f>
        <v>1525-1578</v>
      </c>
      <c r="E19469" t="s">
        <v>8</v>
      </c>
      <c r="F19469" t="s">
        <v>19484</v>
      </c>
      <c r="G19469">
        <v>2</v>
      </c>
    </row>
    <row r="19470" spans="1:7" x14ac:dyDescent="0.25">
      <c r="A19470">
        <v>62</v>
      </c>
      <c r="B19470" t="s">
        <v>19456</v>
      </c>
      <c r="C19470">
        <v>5610</v>
      </c>
      <c r="D19470" t="str">
        <f>"0161-5505"</f>
        <v>0161-5505</v>
      </c>
      <c r="E19470" t="s">
        <v>8</v>
      </c>
      <c r="F19470" t="s">
        <v>19485</v>
      </c>
      <c r="G19470">
        <v>2</v>
      </c>
    </row>
    <row r="19471" spans="1:7" x14ac:dyDescent="0.25">
      <c r="A19471">
        <v>62</v>
      </c>
      <c r="B19471" t="s">
        <v>19456</v>
      </c>
      <c r="C19471">
        <v>10283</v>
      </c>
      <c r="D19471" t="str">
        <f>"0022-3751"</f>
        <v>0022-3751</v>
      </c>
      <c r="E19471" t="s">
        <v>8</v>
      </c>
      <c r="F19471" t="s">
        <v>19486</v>
      </c>
      <c r="G19471">
        <v>2</v>
      </c>
    </row>
    <row r="19472" spans="1:7" x14ac:dyDescent="0.25">
      <c r="A19472">
        <v>62</v>
      </c>
      <c r="B19472" t="s">
        <v>19456</v>
      </c>
      <c r="C19472">
        <v>14501</v>
      </c>
      <c r="D19472" t="str">
        <f>"0168-9525"</f>
        <v>0168-9525</v>
      </c>
      <c r="E19472" t="s">
        <v>8</v>
      </c>
      <c r="F19472" t="s">
        <v>19487</v>
      </c>
      <c r="G19472">
        <v>2</v>
      </c>
    </row>
    <row r="19473" spans="1:7" x14ac:dyDescent="0.25">
      <c r="A19473">
        <v>62</v>
      </c>
      <c r="B19473" t="s">
        <v>19456</v>
      </c>
      <c r="C19473">
        <v>3805</v>
      </c>
      <c r="D19473" t="str">
        <f>"1471-4914"</f>
        <v>1471-4914</v>
      </c>
      <c r="E19473" t="s">
        <v>8</v>
      </c>
      <c r="F19473" t="s">
        <v>19488</v>
      </c>
      <c r="G19473">
        <v>2</v>
      </c>
    </row>
    <row r="19474" spans="1:7" x14ac:dyDescent="0.25">
      <c r="A19474">
        <v>62</v>
      </c>
      <c r="B19474" t="s">
        <v>19456</v>
      </c>
      <c r="C19474">
        <v>1348</v>
      </c>
      <c r="D19474" t="str">
        <f>"1471-4922"</f>
        <v>1471-4922</v>
      </c>
      <c r="E19474" t="s">
        <v>8</v>
      </c>
      <c r="F19474" t="s">
        <v>19489</v>
      </c>
      <c r="G19474">
        <v>2</v>
      </c>
    </row>
    <row r="19475" spans="1:7" x14ac:dyDescent="0.25">
      <c r="A19475">
        <v>62</v>
      </c>
      <c r="B19475" t="s">
        <v>19456</v>
      </c>
      <c r="C19475">
        <v>14335</v>
      </c>
      <c r="D19475" t="str">
        <f>"1076-6332"</f>
        <v>1076-6332</v>
      </c>
      <c r="E19475" t="s">
        <v>8</v>
      </c>
      <c r="F19475" t="s">
        <v>19490</v>
      </c>
      <c r="G19475">
        <v>1</v>
      </c>
    </row>
    <row r="19476" spans="1:7" x14ac:dyDescent="0.25">
      <c r="A19476">
        <v>62</v>
      </c>
      <c r="B19476" t="s">
        <v>19456</v>
      </c>
      <c r="C19476">
        <v>16051</v>
      </c>
      <c r="D19476" t="str">
        <f>"0325-2957"</f>
        <v>0325-2957</v>
      </c>
      <c r="E19476" t="s">
        <v>8</v>
      </c>
      <c r="F19476" t="s">
        <v>19491</v>
      </c>
      <c r="G19476">
        <v>1</v>
      </c>
    </row>
    <row r="19477" spans="1:7" x14ac:dyDescent="0.25">
      <c r="A19477">
        <v>62</v>
      </c>
      <c r="B19477" t="s">
        <v>19456</v>
      </c>
      <c r="C19477">
        <v>14278</v>
      </c>
      <c r="D19477" t="str">
        <f>"0284-1851"</f>
        <v>0284-1851</v>
      </c>
      <c r="E19477" t="s">
        <v>8</v>
      </c>
      <c r="F19477" t="s">
        <v>19492</v>
      </c>
      <c r="G19477">
        <v>1</v>
      </c>
    </row>
    <row r="19478" spans="1:7" x14ac:dyDescent="0.25">
      <c r="A19478">
        <v>62</v>
      </c>
      <c r="B19478" t="s">
        <v>19456</v>
      </c>
      <c r="C19478">
        <v>7737139</v>
      </c>
      <c r="E19478" t="s">
        <v>8</v>
      </c>
      <c r="F19478" t="s">
        <v>19493</v>
      </c>
      <c r="G19478">
        <v>1</v>
      </c>
    </row>
    <row r="19479" spans="1:7" x14ac:dyDescent="0.25">
      <c r="A19479">
        <v>62</v>
      </c>
      <c r="B19479" t="s">
        <v>19456</v>
      </c>
      <c r="C19479">
        <v>1687</v>
      </c>
      <c r="D19479" t="str">
        <f>"0001-723X"</f>
        <v>0001-723X</v>
      </c>
      <c r="E19479" t="s">
        <v>8</v>
      </c>
      <c r="F19479" t="s">
        <v>19494</v>
      </c>
      <c r="G19479">
        <v>1</v>
      </c>
    </row>
    <row r="19480" spans="1:7" x14ac:dyDescent="0.25">
      <c r="A19480">
        <v>62</v>
      </c>
      <c r="B19480" t="s">
        <v>19456</v>
      </c>
      <c r="C19480">
        <v>2280</v>
      </c>
      <c r="D19480" t="str">
        <f>"0065-2423"</f>
        <v>0065-2423</v>
      </c>
      <c r="E19480" t="s">
        <v>15</v>
      </c>
      <c r="F19480" t="s">
        <v>19495</v>
      </c>
      <c r="G19480">
        <v>1</v>
      </c>
    </row>
    <row r="19481" spans="1:7" x14ac:dyDescent="0.25">
      <c r="A19481">
        <v>62</v>
      </c>
      <c r="B19481" t="s">
        <v>19456</v>
      </c>
      <c r="C19481">
        <v>13307</v>
      </c>
      <c r="D19481" t="str">
        <f>"0065-2598"</f>
        <v>0065-2598</v>
      </c>
      <c r="E19481" t="s">
        <v>15</v>
      </c>
      <c r="F19481" t="s">
        <v>19496</v>
      </c>
      <c r="G19481">
        <v>1</v>
      </c>
    </row>
    <row r="19482" spans="1:7" x14ac:dyDescent="0.25">
      <c r="A19482">
        <v>62</v>
      </c>
      <c r="B19482" t="s">
        <v>19456</v>
      </c>
      <c r="C19482">
        <v>10304</v>
      </c>
      <c r="D19482" t="str">
        <f>"0065-3527"</f>
        <v>0065-3527</v>
      </c>
      <c r="E19482" t="s">
        <v>15</v>
      </c>
      <c r="F19482" t="s">
        <v>19497</v>
      </c>
      <c r="G19482">
        <v>1</v>
      </c>
    </row>
    <row r="19483" spans="1:7" x14ac:dyDescent="0.25">
      <c r="A19483">
        <v>62</v>
      </c>
      <c r="B19483" t="s">
        <v>19456</v>
      </c>
      <c r="C19483">
        <v>10955</v>
      </c>
      <c r="D19483" t="str">
        <f>"0889-2229"</f>
        <v>0889-2229</v>
      </c>
      <c r="E19483" t="s">
        <v>8</v>
      </c>
      <c r="F19483" t="s">
        <v>19498</v>
      </c>
      <c r="G19483">
        <v>1</v>
      </c>
    </row>
    <row r="19484" spans="1:7" x14ac:dyDescent="0.25">
      <c r="A19484">
        <v>62</v>
      </c>
      <c r="B19484" t="s">
        <v>19456</v>
      </c>
      <c r="C19484">
        <v>5497</v>
      </c>
      <c r="D19484" t="str">
        <f>"0108-1675"</f>
        <v>0108-1675</v>
      </c>
      <c r="E19484" t="s">
        <v>15</v>
      </c>
      <c r="F19484" t="s">
        <v>19499</v>
      </c>
      <c r="G19484">
        <v>1</v>
      </c>
    </row>
    <row r="19485" spans="1:7" x14ac:dyDescent="0.25">
      <c r="A19485">
        <v>62</v>
      </c>
      <c r="B19485" t="s">
        <v>19456</v>
      </c>
      <c r="C19485">
        <v>154413</v>
      </c>
      <c r="E19485" t="s">
        <v>8</v>
      </c>
      <c r="F19485" t="s">
        <v>19500</v>
      </c>
      <c r="G19485">
        <v>1</v>
      </c>
    </row>
    <row r="19486" spans="1:7" x14ac:dyDescent="0.25">
      <c r="A19486">
        <v>62</v>
      </c>
      <c r="B19486" t="s">
        <v>19456</v>
      </c>
      <c r="C19486">
        <v>17173</v>
      </c>
      <c r="D19486" t="str">
        <f>"1552-4868"</f>
        <v>1552-4868</v>
      </c>
      <c r="E19486" t="s">
        <v>8</v>
      </c>
      <c r="F19486" t="s">
        <v>19501</v>
      </c>
      <c r="G19486">
        <v>1</v>
      </c>
    </row>
    <row r="19487" spans="1:7" x14ac:dyDescent="0.25">
      <c r="A19487">
        <v>62</v>
      </c>
      <c r="B19487" t="s">
        <v>19456</v>
      </c>
      <c r="C19487">
        <v>13497</v>
      </c>
      <c r="D19487" t="str">
        <f>"0195-6108"</f>
        <v>0195-6108</v>
      </c>
      <c r="E19487" t="s">
        <v>8</v>
      </c>
      <c r="F19487" t="s">
        <v>19502</v>
      </c>
      <c r="G19487">
        <v>1</v>
      </c>
    </row>
    <row r="19488" spans="1:7" x14ac:dyDescent="0.25">
      <c r="A19488">
        <v>62</v>
      </c>
      <c r="B19488" t="s">
        <v>19456</v>
      </c>
      <c r="C19488">
        <v>17254</v>
      </c>
      <c r="D19488" t="str">
        <f>"0002-9513"</f>
        <v>0002-9513</v>
      </c>
      <c r="E19488" t="s">
        <v>8</v>
      </c>
      <c r="F19488" t="s">
        <v>19503</v>
      </c>
      <c r="G19488">
        <v>1</v>
      </c>
    </row>
    <row r="19489" spans="1:7" x14ac:dyDescent="0.25">
      <c r="A19489">
        <v>62</v>
      </c>
      <c r="B19489" t="s">
        <v>19456</v>
      </c>
      <c r="C19489">
        <v>231</v>
      </c>
      <c r="D19489" t="str">
        <f>"0363-6143"</f>
        <v>0363-6143</v>
      </c>
      <c r="E19489" t="s">
        <v>8</v>
      </c>
      <c r="F19489" t="s">
        <v>19504</v>
      </c>
      <c r="G19489">
        <v>1</v>
      </c>
    </row>
    <row r="19490" spans="1:7" x14ac:dyDescent="0.25">
      <c r="A19490">
        <v>62</v>
      </c>
      <c r="B19490" t="s">
        <v>19456</v>
      </c>
      <c r="C19490">
        <v>9312</v>
      </c>
      <c r="D19490" t="str">
        <f>"0193-1857"</f>
        <v>0193-1857</v>
      </c>
      <c r="E19490" t="s">
        <v>8</v>
      </c>
      <c r="F19490" t="s">
        <v>19505</v>
      </c>
      <c r="G19490">
        <v>1</v>
      </c>
    </row>
    <row r="19491" spans="1:7" x14ac:dyDescent="0.25">
      <c r="A19491">
        <v>62</v>
      </c>
      <c r="B19491" t="s">
        <v>19456</v>
      </c>
      <c r="C19491">
        <v>3949</v>
      </c>
      <c r="D19491" t="str">
        <f>"0363-6135"</f>
        <v>0363-6135</v>
      </c>
      <c r="E19491" t="s">
        <v>8</v>
      </c>
      <c r="F19491" t="s">
        <v>19506</v>
      </c>
      <c r="G19491">
        <v>1</v>
      </c>
    </row>
    <row r="19492" spans="1:7" x14ac:dyDescent="0.25">
      <c r="A19492">
        <v>62</v>
      </c>
      <c r="B19492" t="s">
        <v>19456</v>
      </c>
      <c r="C19492">
        <v>10336</v>
      </c>
      <c r="D19492" t="str">
        <f>"1040-0605"</f>
        <v>1040-0605</v>
      </c>
      <c r="E19492" t="s">
        <v>8</v>
      </c>
      <c r="F19492" t="s">
        <v>19507</v>
      </c>
      <c r="G19492">
        <v>1</v>
      </c>
    </row>
    <row r="19493" spans="1:7" x14ac:dyDescent="0.25">
      <c r="A19493">
        <v>62</v>
      </c>
      <c r="B19493" t="s">
        <v>19456</v>
      </c>
      <c r="C19493">
        <v>2556</v>
      </c>
      <c r="D19493" t="str">
        <f>"0363-6119"</f>
        <v>0363-6119</v>
      </c>
      <c r="E19493" t="s">
        <v>8</v>
      </c>
      <c r="F19493" t="s">
        <v>19508</v>
      </c>
      <c r="G19493">
        <v>1</v>
      </c>
    </row>
    <row r="19494" spans="1:7" x14ac:dyDescent="0.25">
      <c r="A19494">
        <v>62</v>
      </c>
      <c r="B19494" t="s">
        <v>19456</v>
      </c>
      <c r="C19494">
        <v>537</v>
      </c>
      <c r="D19494" t="str">
        <f>"1931-857X"</f>
        <v>1931-857X</v>
      </c>
      <c r="E19494" t="s">
        <v>8</v>
      </c>
      <c r="F19494" t="s">
        <v>19509</v>
      </c>
      <c r="G19494">
        <v>1</v>
      </c>
    </row>
    <row r="19495" spans="1:7" x14ac:dyDescent="0.25">
      <c r="A19495">
        <v>62</v>
      </c>
      <c r="B19495" t="s">
        <v>19456</v>
      </c>
      <c r="C19495">
        <v>10259</v>
      </c>
      <c r="D19495" t="str">
        <f>"0361-803X"</f>
        <v>0361-803X</v>
      </c>
      <c r="E19495" t="s">
        <v>8</v>
      </c>
      <c r="F19495" t="s">
        <v>19510</v>
      </c>
      <c r="G19495">
        <v>1</v>
      </c>
    </row>
    <row r="19496" spans="1:7" x14ac:dyDescent="0.25">
      <c r="A19496">
        <v>62</v>
      </c>
      <c r="B19496" t="s">
        <v>19456</v>
      </c>
      <c r="C19496">
        <v>1182</v>
      </c>
      <c r="D19496" t="str">
        <f>"1447-6959"</f>
        <v>1447-6959</v>
      </c>
      <c r="E19496" t="s">
        <v>8</v>
      </c>
      <c r="F19496" t="s">
        <v>19511</v>
      </c>
      <c r="G19496">
        <v>1</v>
      </c>
    </row>
    <row r="19497" spans="1:7" x14ac:dyDescent="0.25">
      <c r="A19497">
        <v>62</v>
      </c>
      <c r="B19497" t="s">
        <v>19456</v>
      </c>
      <c r="C19497">
        <v>9154</v>
      </c>
      <c r="D19497" t="str">
        <f>"0003-3898"</f>
        <v>0003-3898</v>
      </c>
      <c r="E19497" t="s">
        <v>8</v>
      </c>
      <c r="F19497" t="s">
        <v>19512</v>
      </c>
      <c r="G19497">
        <v>1</v>
      </c>
    </row>
    <row r="19498" spans="1:7" x14ac:dyDescent="0.25">
      <c r="A19498">
        <v>62</v>
      </c>
      <c r="B19498" t="s">
        <v>19456</v>
      </c>
      <c r="C19498">
        <v>2958</v>
      </c>
      <c r="D19498" t="str">
        <f>"0940-9602"</f>
        <v>0940-9602</v>
      </c>
      <c r="E19498" t="s">
        <v>8</v>
      </c>
      <c r="F19498" t="s">
        <v>19513</v>
      </c>
      <c r="G19498">
        <v>1</v>
      </c>
    </row>
    <row r="19499" spans="1:7" x14ac:dyDescent="0.25">
      <c r="A19499">
        <v>62</v>
      </c>
      <c r="B19499" t="s">
        <v>19456</v>
      </c>
      <c r="C19499">
        <v>4092</v>
      </c>
      <c r="D19499" t="str">
        <f>"0091-7370"</f>
        <v>0091-7370</v>
      </c>
      <c r="E19499" t="s">
        <v>8</v>
      </c>
      <c r="F19499" t="s">
        <v>19514</v>
      </c>
      <c r="G19499">
        <v>1</v>
      </c>
    </row>
    <row r="19500" spans="1:7" x14ac:dyDescent="0.25">
      <c r="A19500">
        <v>62</v>
      </c>
      <c r="B19500" t="s">
        <v>19456</v>
      </c>
      <c r="C19500">
        <v>9045</v>
      </c>
      <c r="D19500" t="str">
        <f>"0301-4460"</f>
        <v>0301-4460</v>
      </c>
      <c r="E19500" t="s">
        <v>8</v>
      </c>
      <c r="F19500" t="s">
        <v>19515</v>
      </c>
      <c r="G19500">
        <v>1</v>
      </c>
    </row>
    <row r="19501" spans="1:7" x14ac:dyDescent="0.25">
      <c r="A19501">
        <v>62</v>
      </c>
      <c r="B19501" t="s">
        <v>19456</v>
      </c>
      <c r="C19501">
        <v>11378</v>
      </c>
      <c r="D19501" t="str">
        <f>"0914-7187"</f>
        <v>0914-7187</v>
      </c>
      <c r="E19501" t="s">
        <v>8</v>
      </c>
      <c r="F19501" t="s">
        <v>19516</v>
      </c>
      <c r="G19501">
        <v>1</v>
      </c>
    </row>
    <row r="19502" spans="1:7" x14ac:dyDescent="0.25">
      <c r="A19502">
        <v>62</v>
      </c>
      <c r="B19502" t="s">
        <v>19456</v>
      </c>
      <c r="C19502">
        <v>15015</v>
      </c>
      <c r="D19502" t="str">
        <f>"0146-6453"</f>
        <v>0146-6453</v>
      </c>
      <c r="E19502" t="s">
        <v>8</v>
      </c>
      <c r="F19502" t="s">
        <v>19517</v>
      </c>
      <c r="G19502">
        <v>1</v>
      </c>
    </row>
    <row r="19503" spans="1:7" x14ac:dyDescent="0.25">
      <c r="A19503">
        <v>62</v>
      </c>
      <c r="B19503" t="s">
        <v>19456</v>
      </c>
      <c r="C19503">
        <v>3593</v>
      </c>
      <c r="D19503" t="str">
        <f>"0160-9963"</f>
        <v>0160-9963</v>
      </c>
      <c r="E19503" t="s">
        <v>8</v>
      </c>
      <c r="F19503" t="s">
        <v>19518</v>
      </c>
      <c r="G19503">
        <v>1</v>
      </c>
    </row>
    <row r="19504" spans="1:7" x14ac:dyDescent="0.25">
      <c r="A19504">
        <v>62</v>
      </c>
      <c r="B19504" t="s">
        <v>19456</v>
      </c>
      <c r="C19504">
        <v>974</v>
      </c>
      <c r="D19504" t="str">
        <f>"0304-8608"</f>
        <v>0304-8608</v>
      </c>
      <c r="E19504" t="s">
        <v>8</v>
      </c>
      <c r="F19504" t="s">
        <v>19519</v>
      </c>
      <c r="G19504">
        <v>1</v>
      </c>
    </row>
    <row r="19505" spans="1:7" x14ac:dyDescent="0.25">
      <c r="A19505">
        <v>62</v>
      </c>
      <c r="B19505" t="s">
        <v>19456</v>
      </c>
      <c r="C19505">
        <v>10248</v>
      </c>
      <c r="D19505" t="str">
        <f>"1083-8791"</f>
        <v>1083-8791</v>
      </c>
      <c r="E19505" t="s">
        <v>8</v>
      </c>
      <c r="F19505" t="s">
        <v>19520</v>
      </c>
      <c r="G19505">
        <v>1</v>
      </c>
    </row>
    <row r="19506" spans="1:7" x14ac:dyDescent="0.25">
      <c r="A19506">
        <v>62</v>
      </c>
      <c r="B19506" t="s">
        <v>19456</v>
      </c>
      <c r="C19506">
        <v>6040137</v>
      </c>
      <c r="D19506" t="str">
        <f>"1947-5535"</f>
        <v>1947-5535</v>
      </c>
      <c r="E19506" t="s">
        <v>8</v>
      </c>
      <c r="F19506" t="s">
        <v>19521</v>
      </c>
      <c r="G19506">
        <v>1</v>
      </c>
    </row>
    <row r="19507" spans="1:7" x14ac:dyDescent="0.25">
      <c r="A19507">
        <v>62</v>
      </c>
      <c r="B19507" t="s">
        <v>19456</v>
      </c>
      <c r="C19507">
        <v>7728737</v>
      </c>
      <c r="E19507" t="s">
        <v>8</v>
      </c>
      <c r="F19507" t="s">
        <v>19522</v>
      </c>
      <c r="G19507">
        <v>1</v>
      </c>
    </row>
    <row r="19508" spans="1:7" x14ac:dyDescent="0.25">
      <c r="A19508">
        <v>62</v>
      </c>
      <c r="B19508" t="s">
        <v>19456</v>
      </c>
      <c r="C19508">
        <v>2117</v>
      </c>
      <c r="E19508" t="s">
        <v>8</v>
      </c>
      <c r="F19508" t="s">
        <v>19523</v>
      </c>
      <c r="G19508">
        <v>1</v>
      </c>
    </row>
    <row r="19509" spans="1:7" x14ac:dyDescent="0.25">
      <c r="A19509">
        <v>62</v>
      </c>
      <c r="B19509" t="s">
        <v>19456</v>
      </c>
      <c r="C19509">
        <v>9409</v>
      </c>
      <c r="E19509" t="s">
        <v>8</v>
      </c>
      <c r="F19509" t="s">
        <v>19524</v>
      </c>
      <c r="G19509">
        <v>1</v>
      </c>
    </row>
    <row r="19510" spans="1:7" x14ac:dyDescent="0.25">
      <c r="A19510">
        <v>62</v>
      </c>
      <c r="B19510" t="s">
        <v>19456</v>
      </c>
      <c r="C19510">
        <v>141236</v>
      </c>
      <c r="E19510" t="s">
        <v>8</v>
      </c>
      <c r="F19510" t="s">
        <v>19525</v>
      </c>
      <c r="G19510">
        <v>1</v>
      </c>
    </row>
    <row r="19511" spans="1:7" x14ac:dyDescent="0.25">
      <c r="A19511">
        <v>62</v>
      </c>
      <c r="B19511" t="s">
        <v>19456</v>
      </c>
      <c r="C19511">
        <v>12059</v>
      </c>
      <c r="D19511" t="str">
        <f>"1538-4721"</f>
        <v>1538-4721</v>
      </c>
      <c r="E19511" t="s">
        <v>8</v>
      </c>
      <c r="F19511" t="s">
        <v>19526</v>
      </c>
      <c r="G19511">
        <v>1</v>
      </c>
    </row>
    <row r="19512" spans="1:7" x14ac:dyDescent="0.25">
      <c r="A19512">
        <v>62</v>
      </c>
      <c r="B19512" t="s">
        <v>19456</v>
      </c>
      <c r="C19512">
        <v>10249</v>
      </c>
      <c r="D19512" t="str">
        <f>"0007-1285"</f>
        <v>0007-1285</v>
      </c>
      <c r="E19512" t="s">
        <v>8</v>
      </c>
      <c r="F19512" t="s">
        <v>19527</v>
      </c>
      <c r="G19512">
        <v>1</v>
      </c>
    </row>
    <row r="19513" spans="1:7" x14ac:dyDescent="0.25">
      <c r="A19513">
        <v>62</v>
      </c>
      <c r="B19513" t="s">
        <v>19456</v>
      </c>
      <c r="C19513">
        <v>2341</v>
      </c>
      <c r="D19513" t="str">
        <f>"0007-4888"</f>
        <v>0007-4888</v>
      </c>
      <c r="E19513" t="s">
        <v>8</v>
      </c>
      <c r="F19513" t="s">
        <v>19528</v>
      </c>
      <c r="G19513">
        <v>1</v>
      </c>
    </row>
    <row r="19514" spans="1:7" x14ac:dyDescent="0.25">
      <c r="A19514">
        <v>62</v>
      </c>
      <c r="B19514" t="s">
        <v>19456</v>
      </c>
      <c r="C19514">
        <v>7996</v>
      </c>
      <c r="D19514" t="str">
        <f>"0846-5371"</f>
        <v>0846-5371</v>
      </c>
      <c r="E19514" t="s">
        <v>8</v>
      </c>
      <c r="F19514" t="s">
        <v>19529</v>
      </c>
      <c r="G19514">
        <v>1</v>
      </c>
    </row>
    <row r="19515" spans="1:7" x14ac:dyDescent="0.25">
      <c r="A19515">
        <v>62</v>
      </c>
      <c r="B19515" t="s">
        <v>19456</v>
      </c>
      <c r="C19515">
        <v>8738</v>
      </c>
      <c r="D19515" t="str">
        <f>"0340-7004"</f>
        <v>0340-7004</v>
      </c>
      <c r="E19515" t="s">
        <v>8</v>
      </c>
      <c r="F19515" t="s">
        <v>19530</v>
      </c>
      <c r="G19515">
        <v>1</v>
      </c>
    </row>
    <row r="19516" spans="1:7" x14ac:dyDescent="0.25">
      <c r="A19516">
        <v>62</v>
      </c>
      <c r="B19516" t="s">
        <v>19456</v>
      </c>
      <c r="C19516">
        <v>8249</v>
      </c>
      <c r="D19516" t="str">
        <f>"0174-1551"</f>
        <v>0174-1551</v>
      </c>
      <c r="E19516" t="s">
        <v>8</v>
      </c>
      <c r="F19516" t="s">
        <v>19531</v>
      </c>
      <c r="G19516">
        <v>1</v>
      </c>
    </row>
    <row r="19517" spans="1:7" x14ac:dyDescent="0.25">
      <c r="A19517">
        <v>62</v>
      </c>
      <c r="B19517" t="s">
        <v>19456</v>
      </c>
      <c r="C19517">
        <v>7541</v>
      </c>
      <c r="D19517" t="str">
        <f>"0960-7722"</f>
        <v>0960-7722</v>
      </c>
      <c r="E19517" t="s">
        <v>8</v>
      </c>
      <c r="F19517" t="s">
        <v>19532</v>
      </c>
      <c r="G19517">
        <v>1</v>
      </c>
    </row>
    <row r="19518" spans="1:7" x14ac:dyDescent="0.25">
      <c r="A19518">
        <v>62</v>
      </c>
      <c r="B19518" t="s">
        <v>19456</v>
      </c>
      <c r="C19518">
        <v>13020</v>
      </c>
      <c r="D19518" t="str">
        <f>"0008-8749"</f>
        <v>0008-8749</v>
      </c>
      <c r="E19518" t="s">
        <v>8</v>
      </c>
      <c r="F19518" t="s">
        <v>19533</v>
      </c>
      <c r="G19518">
        <v>1</v>
      </c>
    </row>
    <row r="19519" spans="1:7" x14ac:dyDescent="0.25">
      <c r="A19519">
        <v>62</v>
      </c>
      <c r="B19519" t="s">
        <v>19456</v>
      </c>
      <c r="C19519">
        <v>16586</v>
      </c>
      <c r="D19519" t="str">
        <f>"0304-4920"</f>
        <v>0304-4920</v>
      </c>
      <c r="E19519" t="s">
        <v>8</v>
      </c>
      <c r="F19519" t="s">
        <v>19534</v>
      </c>
      <c r="G19519">
        <v>1</v>
      </c>
    </row>
    <row r="19520" spans="1:7" x14ac:dyDescent="0.25">
      <c r="A19520">
        <v>62</v>
      </c>
      <c r="B19520" t="s">
        <v>19456</v>
      </c>
      <c r="C19520">
        <v>158</v>
      </c>
      <c r="D19520" t="str">
        <f>"0009-8981"</f>
        <v>0009-8981</v>
      </c>
      <c r="E19520" t="s">
        <v>8</v>
      </c>
      <c r="F19520" t="s">
        <v>19535</v>
      </c>
      <c r="G19520">
        <v>1</v>
      </c>
    </row>
    <row r="19521" spans="1:7" x14ac:dyDescent="0.25">
      <c r="A19521">
        <v>62</v>
      </c>
      <c r="B19521" t="s">
        <v>19456</v>
      </c>
      <c r="C19521">
        <v>6245</v>
      </c>
      <c r="D19521" t="str">
        <f>"0305-1870"</f>
        <v>0305-1870</v>
      </c>
      <c r="E19521" t="s">
        <v>8</v>
      </c>
      <c r="F19521" t="s">
        <v>19536</v>
      </c>
      <c r="G19521">
        <v>1</v>
      </c>
    </row>
    <row r="19522" spans="1:7" x14ac:dyDescent="0.25">
      <c r="A19522">
        <v>62</v>
      </c>
      <c r="B19522" t="s">
        <v>19456</v>
      </c>
      <c r="C19522">
        <v>17968</v>
      </c>
      <c r="D19522" t="str">
        <f>"1556-6811"</f>
        <v>1556-6811</v>
      </c>
      <c r="E19522" t="s">
        <v>8</v>
      </c>
      <c r="F19522" t="s">
        <v>19537</v>
      </c>
      <c r="G19522">
        <v>1</v>
      </c>
    </row>
    <row r="19523" spans="1:7" x14ac:dyDescent="0.25">
      <c r="A19523">
        <v>62</v>
      </c>
      <c r="B19523" t="s">
        <v>19456</v>
      </c>
      <c r="C19523">
        <v>14500</v>
      </c>
      <c r="D19523" t="str">
        <f>"0009-9163"</f>
        <v>0009-9163</v>
      </c>
      <c r="E19523" t="s">
        <v>8</v>
      </c>
      <c r="F19523" t="s">
        <v>19538</v>
      </c>
      <c r="G19523">
        <v>1</v>
      </c>
    </row>
    <row r="19524" spans="1:7" x14ac:dyDescent="0.25">
      <c r="A19524">
        <v>62</v>
      </c>
      <c r="B19524" t="s">
        <v>19456</v>
      </c>
      <c r="C19524">
        <v>5316</v>
      </c>
      <c r="D19524" t="str">
        <f>"0899-7071"</f>
        <v>0899-7071</v>
      </c>
      <c r="E19524" t="s">
        <v>8</v>
      </c>
      <c r="F19524" t="s">
        <v>19539</v>
      </c>
      <c r="G19524">
        <v>1</v>
      </c>
    </row>
    <row r="19525" spans="1:7" x14ac:dyDescent="0.25">
      <c r="A19525">
        <v>62</v>
      </c>
      <c r="B19525" t="s">
        <v>19456</v>
      </c>
      <c r="C19525">
        <v>7085</v>
      </c>
      <c r="D19525" t="str">
        <f>"1869-1439"</f>
        <v>1869-1439</v>
      </c>
      <c r="E19525" t="s">
        <v>8</v>
      </c>
      <c r="F19525" t="s">
        <v>19540</v>
      </c>
      <c r="G19525">
        <v>1</v>
      </c>
    </row>
    <row r="19526" spans="1:7" x14ac:dyDescent="0.25">
      <c r="A19526">
        <v>62</v>
      </c>
      <c r="B19526" t="s">
        <v>19456</v>
      </c>
      <c r="C19526">
        <v>9544</v>
      </c>
      <c r="D19526" t="str">
        <f>"0363-9762"</f>
        <v>0363-9762</v>
      </c>
      <c r="E19526" t="s">
        <v>8</v>
      </c>
      <c r="F19526" t="s">
        <v>19541</v>
      </c>
      <c r="G19526">
        <v>1</v>
      </c>
    </row>
    <row r="19527" spans="1:7" x14ac:dyDescent="0.25">
      <c r="A19527">
        <v>62</v>
      </c>
      <c r="B19527" t="s">
        <v>19456</v>
      </c>
      <c r="C19527">
        <v>416</v>
      </c>
      <c r="D19527" t="str">
        <f>"0009-9260"</f>
        <v>0009-9260</v>
      </c>
      <c r="E19527" t="s">
        <v>8</v>
      </c>
      <c r="F19527" t="s">
        <v>19542</v>
      </c>
      <c r="G19527">
        <v>1</v>
      </c>
    </row>
    <row r="19528" spans="1:7" x14ac:dyDescent="0.25">
      <c r="A19528">
        <v>62</v>
      </c>
      <c r="B19528" t="s">
        <v>19456</v>
      </c>
      <c r="C19528">
        <v>10556</v>
      </c>
      <c r="D19528" t="str">
        <f>"0272-2712"</f>
        <v>0272-2712</v>
      </c>
      <c r="E19528" t="s">
        <v>8</v>
      </c>
      <c r="F19528" t="s">
        <v>19543</v>
      </c>
      <c r="G19528">
        <v>1</v>
      </c>
    </row>
    <row r="19529" spans="1:7" x14ac:dyDescent="0.25">
      <c r="A19529">
        <v>62</v>
      </c>
      <c r="B19529" t="s">
        <v>19456</v>
      </c>
      <c r="C19529">
        <v>8406</v>
      </c>
      <c r="D19529" t="str">
        <f>"1748-670X"</f>
        <v>1748-670X</v>
      </c>
      <c r="E19529" t="s">
        <v>8</v>
      </c>
      <c r="F19529" t="s">
        <v>19544</v>
      </c>
      <c r="G19529">
        <v>1</v>
      </c>
    </row>
    <row r="19530" spans="1:7" x14ac:dyDescent="0.25">
      <c r="A19530">
        <v>62</v>
      </c>
      <c r="B19530" t="s">
        <v>19456</v>
      </c>
      <c r="C19530">
        <v>3229</v>
      </c>
      <c r="D19530" t="str">
        <f>"0143-2044"</f>
        <v>0143-2044</v>
      </c>
      <c r="E19530" t="s">
        <v>8</v>
      </c>
      <c r="F19530" t="s">
        <v>19545</v>
      </c>
      <c r="G19530">
        <v>1</v>
      </c>
    </row>
    <row r="19531" spans="1:7" x14ac:dyDescent="0.25">
      <c r="A19531">
        <v>62</v>
      </c>
      <c r="B19531" t="s">
        <v>19456</v>
      </c>
      <c r="C19531">
        <v>4751</v>
      </c>
      <c r="D19531" t="str">
        <f>"1566-5232"</f>
        <v>1566-5232</v>
      </c>
      <c r="E19531" t="s">
        <v>8</v>
      </c>
      <c r="F19531" t="s">
        <v>19546</v>
      </c>
      <c r="G19531">
        <v>1</v>
      </c>
    </row>
    <row r="19532" spans="1:7" x14ac:dyDescent="0.25">
      <c r="A19532">
        <v>62</v>
      </c>
      <c r="B19532" t="s">
        <v>19456</v>
      </c>
      <c r="C19532">
        <v>4252</v>
      </c>
      <c r="D19532" t="str">
        <f>"0300-7995"</f>
        <v>0300-7995</v>
      </c>
      <c r="E19532" t="s">
        <v>8</v>
      </c>
      <c r="F19532" t="s">
        <v>19547</v>
      </c>
      <c r="G19532">
        <v>1</v>
      </c>
    </row>
    <row r="19533" spans="1:7" x14ac:dyDescent="0.25">
      <c r="A19533">
        <v>62</v>
      </c>
      <c r="B19533" t="s">
        <v>19456</v>
      </c>
      <c r="C19533">
        <v>1219</v>
      </c>
      <c r="D19533" t="str">
        <f>"1566-5240"</f>
        <v>1566-5240</v>
      </c>
      <c r="E19533" t="s">
        <v>8</v>
      </c>
      <c r="F19533" t="s">
        <v>19548</v>
      </c>
      <c r="G19533">
        <v>1</v>
      </c>
    </row>
    <row r="19534" spans="1:7" x14ac:dyDescent="0.25">
      <c r="A19534">
        <v>62</v>
      </c>
      <c r="B19534" t="s">
        <v>19456</v>
      </c>
      <c r="C19534">
        <v>15250</v>
      </c>
      <c r="D19534" t="str">
        <f>"1464-8431"</f>
        <v>1464-8431</v>
      </c>
      <c r="E19534" t="s">
        <v>8</v>
      </c>
      <c r="F19534" t="s">
        <v>19549</v>
      </c>
      <c r="G19534">
        <v>1</v>
      </c>
    </row>
    <row r="19535" spans="1:7" x14ac:dyDescent="0.25">
      <c r="A19535">
        <v>62</v>
      </c>
      <c r="B19535" t="s">
        <v>19456</v>
      </c>
      <c r="C19535">
        <v>15156</v>
      </c>
      <c r="D19535" t="str">
        <f>"0363-0188"</f>
        <v>0363-0188</v>
      </c>
      <c r="E19535" t="s">
        <v>8</v>
      </c>
      <c r="F19535" t="s">
        <v>19550</v>
      </c>
      <c r="G19535">
        <v>1</v>
      </c>
    </row>
    <row r="19536" spans="1:7" x14ac:dyDescent="0.25">
      <c r="A19536">
        <v>62</v>
      </c>
      <c r="B19536" t="s">
        <v>19456</v>
      </c>
      <c r="C19536">
        <v>8240</v>
      </c>
      <c r="D19536" t="str">
        <f>"0011-393X"</f>
        <v>0011-393X</v>
      </c>
      <c r="E19536" t="s">
        <v>8</v>
      </c>
      <c r="F19536" t="s">
        <v>19551</v>
      </c>
      <c r="G19536">
        <v>1</v>
      </c>
    </row>
    <row r="19537" spans="1:7" x14ac:dyDescent="0.25">
      <c r="A19537">
        <v>62</v>
      </c>
      <c r="B19537" t="s">
        <v>19456</v>
      </c>
      <c r="C19537">
        <v>18002</v>
      </c>
      <c r="D19537" t="str">
        <f>"1552-4949"</f>
        <v>1552-4949</v>
      </c>
      <c r="E19537" t="s">
        <v>8</v>
      </c>
      <c r="F19537" t="s">
        <v>19552</v>
      </c>
      <c r="G19537">
        <v>1</v>
      </c>
    </row>
    <row r="19538" spans="1:7" x14ac:dyDescent="0.25">
      <c r="A19538">
        <v>62</v>
      </c>
      <c r="B19538" t="s">
        <v>19456</v>
      </c>
      <c r="C19538">
        <v>8706</v>
      </c>
      <c r="D19538" t="str">
        <f>"0033-832X"</f>
        <v>0033-832X</v>
      </c>
      <c r="E19538" t="s">
        <v>8</v>
      </c>
      <c r="F19538" t="s">
        <v>19553</v>
      </c>
      <c r="G19538">
        <v>1</v>
      </c>
    </row>
    <row r="19539" spans="1:7" x14ac:dyDescent="0.25">
      <c r="A19539">
        <v>62</v>
      </c>
      <c r="B19539" t="s">
        <v>19456</v>
      </c>
      <c r="C19539">
        <v>1921</v>
      </c>
      <c r="D19539" t="str">
        <f>"1070-3608"</f>
        <v>1070-3608</v>
      </c>
      <c r="E19539" t="s">
        <v>8</v>
      </c>
      <c r="F19539" t="s">
        <v>19554</v>
      </c>
      <c r="G19539">
        <v>1</v>
      </c>
    </row>
    <row r="19540" spans="1:7" x14ac:dyDescent="0.25">
      <c r="A19540">
        <v>62</v>
      </c>
      <c r="B19540" t="s">
        <v>19456</v>
      </c>
      <c r="C19540">
        <v>15313</v>
      </c>
      <c r="D19540" t="str">
        <f>"0278-0240"</f>
        <v>0278-0240</v>
      </c>
      <c r="E19540" t="s">
        <v>8</v>
      </c>
      <c r="F19540" t="s">
        <v>19555</v>
      </c>
      <c r="G19540">
        <v>1</v>
      </c>
    </row>
    <row r="19541" spans="1:7" x14ac:dyDescent="0.25">
      <c r="A19541">
        <v>62</v>
      </c>
      <c r="B19541" t="s">
        <v>19456</v>
      </c>
      <c r="C19541">
        <v>12533</v>
      </c>
      <c r="E19541" t="s">
        <v>8</v>
      </c>
      <c r="F19541" t="s">
        <v>19556</v>
      </c>
      <c r="G19541">
        <v>1</v>
      </c>
    </row>
    <row r="19542" spans="1:7" x14ac:dyDescent="0.25">
      <c r="A19542">
        <v>62</v>
      </c>
      <c r="B19542" t="s">
        <v>19456</v>
      </c>
      <c r="C19542">
        <v>7706940</v>
      </c>
      <c r="E19542" t="s">
        <v>8</v>
      </c>
      <c r="F19542" t="s">
        <v>19557</v>
      </c>
      <c r="G19542">
        <v>1</v>
      </c>
    </row>
    <row r="19543" spans="1:7" x14ac:dyDescent="0.25">
      <c r="A19543">
        <v>62</v>
      </c>
      <c r="B19543" t="s">
        <v>19456</v>
      </c>
      <c r="C19543">
        <v>15812</v>
      </c>
      <c r="D19543" t="str">
        <f>"1070-3004"</f>
        <v>1070-3004</v>
      </c>
      <c r="E19543" t="s">
        <v>8</v>
      </c>
      <c r="F19543" t="s">
        <v>19558</v>
      </c>
      <c r="G19543">
        <v>1</v>
      </c>
    </row>
    <row r="19544" spans="1:7" x14ac:dyDescent="0.25">
      <c r="A19544">
        <v>62</v>
      </c>
      <c r="B19544" t="s">
        <v>19456</v>
      </c>
      <c r="C19544">
        <v>12462</v>
      </c>
      <c r="D19544" t="str">
        <f>"1351-0088"</f>
        <v>1351-0088</v>
      </c>
      <c r="E19544" t="s">
        <v>8</v>
      </c>
      <c r="F19544" t="s">
        <v>19559</v>
      </c>
      <c r="G19544">
        <v>1</v>
      </c>
    </row>
    <row r="19545" spans="1:7" x14ac:dyDescent="0.25">
      <c r="A19545">
        <v>62</v>
      </c>
      <c r="B19545" t="s">
        <v>19456</v>
      </c>
      <c r="C19545">
        <v>13334</v>
      </c>
      <c r="D19545" t="str">
        <f>"1769-7212"</f>
        <v>1769-7212</v>
      </c>
      <c r="E19545" t="s">
        <v>8</v>
      </c>
      <c r="F19545" t="s">
        <v>19560</v>
      </c>
      <c r="G19545">
        <v>1</v>
      </c>
    </row>
    <row r="19546" spans="1:7" x14ac:dyDescent="0.25">
      <c r="A19546">
        <v>62</v>
      </c>
      <c r="B19546" t="s">
        <v>19456</v>
      </c>
      <c r="C19546">
        <v>1748</v>
      </c>
      <c r="D19546" t="str">
        <f>"0949-2321"</f>
        <v>0949-2321</v>
      </c>
      <c r="E19546" t="s">
        <v>8</v>
      </c>
      <c r="F19546" t="s">
        <v>19561</v>
      </c>
      <c r="G19546">
        <v>1</v>
      </c>
    </row>
    <row r="19547" spans="1:7" x14ac:dyDescent="0.25">
      <c r="A19547">
        <v>62</v>
      </c>
      <c r="B19547" t="s">
        <v>19456</v>
      </c>
      <c r="C19547">
        <v>157</v>
      </c>
      <c r="D19547" t="str">
        <f>"0720-048X"</f>
        <v>0720-048X</v>
      </c>
      <c r="E19547" t="s">
        <v>8</v>
      </c>
      <c r="F19547" t="s">
        <v>19562</v>
      </c>
      <c r="G19547">
        <v>1</v>
      </c>
    </row>
    <row r="19548" spans="1:7" x14ac:dyDescent="0.25">
      <c r="A19548">
        <v>62</v>
      </c>
      <c r="B19548" t="s">
        <v>19456</v>
      </c>
      <c r="C19548">
        <v>2068</v>
      </c>
      <c r="D19548" t="str">
        <f>"2037-7452"</f>
        <v>2037-7452</v>
      </c>
      <c r="E19548" t="s">
        <v>8</v>
      </c>
      <c r="F19548" t="s">
        <v>19563</v>
      </c>
      <c r="G19548">
        <v>1</v>
      </c>
    </row>
    <row r="19549" spans="1:7" x14ac:dyDescent="0.25">
      <c r="A19549">
        <v>62</v>
      </c>
      <c r="B19549" t="s">
        <v>19456</v>
      </c>
      <c r="C19549">
        <v>15894</v>
      </c>
      <c r="D19549" t="str">
        <f>"0938-7994"</f>
        <v>0938-7994</v>
      </c>
      <c r="E19549" t="s">
        <v>8</v>
      </c>
      <c r="F19549" t="s">
        <v>19564</v>
      </c>
      <c r="G19549">
        <v>1</v>
      </c>
    </row>
    <row r="19550" spans="1:7" x14ac:dyDescent="0.25">
      <c r="A19550">
        <v>62</v>
      </c>
      <c r="B19550" t="s">
        <v>19456</v>
      </c>
      <c r="C19550">
        <v>5220</v>
      </c>
      <c r="D19550" t="str">
        <f>"1226-3613"</f>
        <v>1226-3613</v>
      </c>
      <c r="E19550" t="s">
        <v>8</v>
      </c>
      <c r="F19550" t="s">
        <v>19565</v>
      </c>
      <c r="G19550">
        <v>1</v>
      </c>
    </row>
    <row r="19551" spans="1:7" x14ac:dyDescent="0.25">
      <c r="A19551">
        <v>62</v>
      </c>
      <c r="B19551" t="s">
        <v>19456</v>
      </c>
      <c r="C19551">
        <v>13997</v>
      </c>
      <c r="D19551" t="str">
        <f>"1535-3702"</f>
        <v>1535-3702</v>
      </c>
      <c r="E19551" t="s">
        <v>8</v>
      </c>
      <c r="F19551" t="s">
        <v>19566</v>
      </c>
      <c r="G19551">
        <v>1</v>
      </c>
    </row>
    <row r="19552" spans="1:7" x14ac:dyDescent="0.25">
      <c r="A19552">
        <v>62</v>
      </c>
      <c r="B19552" t="s">
        <v>19456</v>
      </c>
      <c r="C19552">
        <v>9721</v>
      </c>
      <c r="D19552" t="str">
        <f>"1471-2598"</f>
        <v>1471-2598</v>
      </c>
      <c r="E19552" t="s">
        <v>8</v>
      </c>
      <c r="F19552" t="s">
        <v>19567</v>
      </c>
      <c r="G19552">
        <v>1</v>
      </c>
    </row>
    <row r="19553" spans="1:7" x14ac:dyDescent="0.25">
      <c r="A19553">
        <v>62</v>
      </c>
      <c r="B19553" t="s">
        <v>19456</v>
      </c>
      <c r="C19553">
        <v>3008</v>
      </c>
      <c r="D19553" t="str">
        <f>"1473-7140"</f>
        <v>1473-7140</v>
      </c>
      <c r="E19553" t="s">
        <v>8</v>
      </c>
      <c r="F19553" t="s">
        <v>19568</v>
      </c>
      <c r="G19553">
        <v>1</v>
      </c>
    </row>
    <row r="19554" spans="1:7" x14ac:dyDescent="0.25">
      <c r="A19554">
        <v>62</v>
      </c>
      <c r="B19554" t="s">
        <v>19456</v>
      </c>
      <c r="C19554">
        <v>6120245</v>
      </c>
      <c r="E19554" t="s">
        <v>8</v>
      </c>
      <c r="F19554" t="s">
        <v>19569</v>
      </c>
      <c r="G19554">
        <v>1</v>
      </c>
    </row>
    <row r="19555" spans="1:7" x14ac:dyDescent="0.25">
      <c r="A19555">
        <v>62</v>
      </c>
      <c r="B19555" t="s">
        <v>19456</v>
      </c>
      <c r="C19555">
        <v>8762874</v>
      </c>
      <c r="E19555" t="s">
        <v>8</v>
      </c>
      <c r="F19555" t="s">
        <v>19570</v>
      </c>
      <c r="G19555">
        <v>1</v>
      </c>
    </row>
    <row r="19556" spans="1:7" x14ac:dyDescent="0.25">
      <c r="A19556">
        <v>62</v>
      </c>
      <c r="B19556" t="s">
        <v>19456</v>
      </c>
      <c r="C19556">
        <v>7712</v>
      </c>
      <c r="D19556" t="str">
        <f>"0071-9676"</f>
        <v>0071-9676</v>
      </c>
      <c r="E19556" t="s">
        <v>15</v>
      </c>
      <c r="F19556" t="s">
        <v>19571</v>
      </c>
      <c r="G19556">
        <v>1</v>
      </c>
    </row>
    <row r="19557" spans="1:7" x14ac:dyDescent="0.25">
      <c r="A19557">
        <v>62</v>
      </c>
      <c r="B19557" t="s">
        <v>19456</v>
      </c>
      <c r="C19557">
        <v>2307</v>
      </c>
      <c r="D19557" t="str">
        <f>"1098-3600"</f>
        <v>1098-3600</v>
      </c>
      <c r="E19557" t="s">
        <v>8</v>
      </c>
      <c r="F19557" t="s">
        <v>19572</v>
      </c>
      <c r="G19557">
        <v>1</v>
      </c>
    </row>
    <row r="19558" spans="1:7" x14ac:dyDescent="0.25">
      <c r="A19558">
        <v>62</v>
      </c>
      <c r="B19558" t="s">
        <v>19456</v>
      </c>
      <c r="C19558">
        <v>13147</v>
      </c>
      <c r="D19558" t="str">
        <f>"0016-6723"</f>
        <v>0016-6723</v>
      </c>
      <c r="E19558" t="s">
        <v>8</v>
      </c>
      <c r="F19558" t="s">
        <v>19573</v>
      </c>
      <c r="G19558">
        <v>1</v>
      </c>
    </row>
    <row r="19559" spans="1:7" x14ac:dyDescent="0.25">
      <c r="A19559">
        <v>62</v>
      </c>
      <c r="B19559" t="s">
        <v>19456</v>
      </c>
      <c r="C19559">
        <v>10411</v>
      </c>
      <c r="D19559" t="str">
        <f>"2059-2302"</f>
        <v>2059-2302</v>
      </c>
      <c r="E19559" t="s">
        <v>8</v>
      </c>
      <c r="F19559" t="s">
        <v>19574</v>
      </c>
      <c r="G19559">
        <v>1</v>
      </c>
    </row>
    <row r="19560" spans="1:7" x14ac:dyDescent="0.25">
      <c r="A19560">
        <v>62</v>
      </c>
      <c r="B19560" t="s">
        <v>19456</v>
      </c>
      <c r="C19560">
        <v>7722</v>
      </c>
      <c r="D19560" t="str">
        <f>"1093-2607"</f>
        <v>1093-2607</v>
      </c>
      <c r="E19560" t="s">
        <v>8</v>
      </c>
      <c r="F19560" t="s">
        <v>19575</v>
      </c>
      <c r="G19560">
        <v>1</v>
      </c>
    </row>
    <row r="19561" spans="1:7" x14ac:dyDescent="0.25">
      <c r="A19561">
        <v>62</v>
      </c>
      <c r="B19561" t="s">
        <v>19456</v>
      </c>
      <c r="C19561">
        <v>3269</v>
      </c>
      <c r="D19561" t="str">
        <f>"0018-7143"</f>
        <v>0018-7143</v>
      </c>
      <c r="E19561" t="s">
        <v>8</v>
      </c>
      <c r="F19561" t="s">
        <v>19576</v>
      </c>
      <c r="G19561">
        <v>1</v>
      </c>
    </row>
    <row r="19562" spans="1:7" x14ac:dyDescent="0.25">
      <c r="A19562">
        <v>62</v>
      </c>
      <c r="B19562" t="s">
        <v>19456</v>
      </c>
      <c r="C19562">
        <v>8530</v>
      </c>
      <c r="D19562" t="str">
        <f>"0340-6717"</f>
        <v>0340-6717</v>
      </c>
      <c r="E19562" t="s">
        <v>8</v>
      </c>
      <c r="F19562" t="s">
        <v>19577</v>
      </c>
      <c r="G19562">
        <v>1</v>
      </c>
    </row>
    <row r="19563" spans="1:7" x14ac:dyDescent="0.25">
      <c r="A19563">
        <v>62</v>
      </c>
      <c r="B19563" t="s">
        <v>19456</v>
      </c>
      <c r="C19563">
        <v>3921</v>
      </c>
      <c r="D19563" t="str">
        <f>"0198-8859"</f>
        <v>0198-8859</v>
      </c>
      <c r="E19563" t="s">
        <v>8</v>
      </c>
      <c r="F19563" t="s">
        <v>19578</v>
      </c>
      <c r="G19563">
        <v>1</v>
      </c>
    </row>
    <row r="19564" spans="1:7" x14ac:dyDescent="0.25">
      <c r="A19564">
        <v>62</v>
      </c>
      <c r="B19564" t="s">
        <v>19456</v>
      </c>
      <c r="C19564">
        <v>16695</v>
      </c>
      <c r="D19564" t="str">
        <f>"0362-1197"</f>
        <v>0362-1197</v>
      </c>
      <c r="E19564" t="s">
        <v>8</v>
      </c>
      <c r="F19564" t="s">
        <v>19579</v>
      </c>
      <c r="G19564">
        <v>1</v>
      </c>
    </row>
    <row r="19565" spans="1:7" x14ac:dyDescent="0.25">
      <c r="A19565">
        <v>62</v>
      </c>
      <c r="B19565" t="s">
        <v>19456</v>
      </c>
      <c r="C19565">
        <v>5697</v>
      </c>
      <c r="D19565" t="str">
        <f>"0019-2805"</f>
        <v>0019-2805</v>
      </c>
      <c r="E19565" t="s">
        <v>8</v>
      </c>
      <c r="F19565" t="s">
        <v>19580</v>
      </c>
      <c r="G19565">
        <v>1</v>
      </c>
    </row>
    <row r="19566" spans="1:7" x14ac:dyDescent="0.25">
      <c r="A19566">
        <v>62</v>
      </c>
      <c r="B19566" t="s">
        <v>19456</v>
      </c>
      <c r="C19566">
        <v>2713</v>
      </c>
      <c r="D19566" t="str">
        <f>"1871-5222"</f>
        <v>1871-5222</v>
      </c>
      <c r="E19566" t="s">
        <v>8</v>
      </c>
      <c r="F19566" t="s">
        <v>19581</v>
      </c>
      <c r="G19566">
        <v>1</v>
      </c>
    </row>
    <row r="19567" spans="1:7" x14ac:dyDescent="0.25">
      <c r="A19567">
        <v>62</v>
      </c>
      <c r="B19567" t="s">
        <v>19456</v>
      </c>
      <c r="C19567">
        <v>10630</v>
      </c>
      <c r="D19567" t="str">
        <f>"0258-851X"</f>
        <v>0258-851X</v>
      </c>
      <c r="E19567" t="s">
        <v>8</v>
      </c>
      <c r="F19567" t="s">
        <v>19582</v>
      </c>
      <c r="G19567">
        <v>1</v>
      </c>
    </row>
    <row r="19568" spans="1:7" x14ac:dyDescent="0.25">
      <c r="A19568">
        <v>62</v>
      </c>
      <c r="B19568" t="s">
        <v>19456</v>
      </c>
      <c r="C19568">
        <v>15917</v>
      </c>
      <c r="D19568" t="str">
        <f>"0255-0857"</f>
        <v>0255-0857</v>
      </c>
      <c r="E19568" t="s">
        <v>8</v>
      </c>
      <c r="F19568" t="s">
        <v>19583</v>
      </c>
      <c r="G19568">
        <v>1</v>
      </c>
    </row>
    <row r="19569" spans="1:7" x14ac:dyDescent="0.25">
      <c r="A19569">
        <v>62</v>
      </c>
      <c r="B19569" t="s">
        <v>19456</v>
      </c>
      <c r="C19569">
        <v>12512</v>
      </c>
      <c r="D19569" t="str">
        <f>"1753-4259"</f>
        <v>1753-4259</v>
      </c>
      <c r="E19569" t="s">
        <v>8</v>
      </c>
      <c r="F19569" t="s">
        <v>19584</v>
      </c>
      <c r="G19569">
        <v>1</v>
      </c>
    </row>
    <row r="19570" spans="1:7" x14ac:dyDescent="0.25">
      <c r="A19570">
        <v>62</v>
      </c>
      <c r="B19570" t="s">
        <v>19456</v>
      </c>
      <c r="C19570">
        <v>7743729</v>
      </c>
      <c r="E19570" t="s">
        <v>8</v>
      </c>
      <c r="F19570" t="s">
        <v>19585</v>
      </c>
      <c r="G19570">
        <v>1</v>
      </c>
    </row>
    <row r="19571" spans="1:7" x14ac:dyDescent="0.25">
      <c r="A19571">
        <v>62</v>
      </c>
      <c r="B19571" t="s">
        <v>19456</v>
      </c>
      <c r="C19571">
        <v>17275</v>
      </c>
      <c r="D19571" t="str">
        <f>"1569-5794"</f>
        <v>1569-5794</v>
      </c>
      <c r="E19571" t="s">
        <v>8</v>
      </c>
      <c r="F19571" t="s">
        <v>19586</v>
      </c>
      <c r="G19571">
        <v>1</v>
      </c>
    </row>
    <row r="19572" spans="1:7" x14ac:dyDescent="0.25">
      <c r="A19572">
        <v>62</v>
      </c>
      <c r="B19572" t="s">
        <v>19456</v>
      </c>
      <c r="C19572">
        <v>3919</v>
      </c>
      <c r="D19572" t="str">
        <f>"0394-6320"</f>
        <v>0394-6320</v>
      </c>
      <c r="E19572" t="s">
        <v>8</v>
      </c>
      <c r="F19572" t="s">
        <v>19587</v>
      </c>
      <c r="G19572">
        <v>1</v>
      </c>
    </row>
    <row r="19573" spans="1:7" x14ac:dyDescent="0.25">
      <c r="A19573">
        <v>62</v>
      </c>
      <c r="B19573" t="s">
        <v>19456</v>
      </c>
      <c r="C19573">
        <v>624</v>
      </c>
      <c r="D19573" t="str">
        <f>"1438-4221"</f>
        <v>1438-4221</v>
      </c>
      <c r="E19573" t="s">
        <v>8</v>
      </c>
      <c r="F19573" t="s">
        <v>19588</v>
      </c>
      <c r="G19573">
        <v>1</v>
      </c>
    </row>
    <row r="19574" spans="1:7" x14ac:dyDescent="0.25">
      <c r="A19574">
        <v>62</v>
      </c>
      <c r="B19574" t="s">
        <v>19456</v>
      </c>
      <c r="C19574">
        <v>15046</v>
      </c>
      <c r="D19574" t="str">
        <f>"1107-3756"</f>
        <v>1107-3756</v>
      </c>
      <c r="E19574" t="s">
        <v>8</v>
      </c>
      <c r="F19574" t="s">
        <v>19589</v>
      </c>
      <c r="G19574">
        <v>1</v>
      </c>
    </row>
    <row r="19575" spans="1:7" x14ac:dyDescent="0.25">
      <c r="A19575">
        <v>62</v>
      </c>
      <c r="B19575" t="s">
        <v>19456</v>
      </c>
      <c r="C19575">
        <v>17099</v>
      </c>
      <c r="D19575" t="str">
        <f>"1573-3149"</f>
        <v>1573-3149</v>
      </c>
      <c r="E19575" t="s">
        <v>8</v>
      </c>
      <c r="F19575" t="s">
        <v>19590</v>
      </c>
      <c r="G19575">
        <v>1</v>
      </c>
    </row>
    <row r="19576" spans="1:7" x14ac:dyDescent="0.25">
      <c r="A19576">
        <v>62</v>
      </c>
      <c r="B19576" t="s">
        <v>19456</v>
      </c>
      <c r="C19576">
        <v>1831</v>
      </c>
      <c r="D19576" t="str">
        <f>"0955-3002"</f>
        <v>0955-3002</v>
      </c>
      <c r="E19576" t="s">
        <v>8</v>
      </c>
      <c r="F19576" t="s">
        <v>19591</v>
      </c>
      <c r="G19576">
        <v>1</v>
      </c>
    </row>
    <row r="19577" spans="1:7" x14ac:dyDescent="0.25">
      <c r="A19577">
        <v>62</v>
      </c>
      <c r="B19577" t="s">
        <v>19456</v>
      </c>
      <c r="C19577">
        <v>10891</v>
      </c>
      <c r="D19577" t="str">
        <f>"1591-0199"</f>
        <v>1591-0199</v>
      </c>
      <c r="E19577" t="s">
        <v>8</v>
      </c>
      <c r="F19577" t="s">
        <v>19592</v>
      </c>
      <c r="G19577">
        <v>1</v>
      </c>
    </row>
    <row r="19578" spans="1:7" x14ac:dyDescent="0.25">
      <c r="A19578">
        <v>62</v>
      </c>
      <c r="B19578" t="s">
        <v>19456</v>
      </c>
      <c r="C19578">
        <v>4226</v>
      </c>
      <c r="D19578" t="str">
        <f>"0300-5526"</f>
        <v>0300-5526</v>
      </c>
      <c r="E19578" t="s">
        <v>8</v>
      </c>
      <c r="F19578" t="s">
        <v>19593</v>
      </c>
      <c r="G19578">
        <v>1</v>
      </c>
    </row>
    <row r="19579" spans="1:7" x14ac:dyDescent="0.25">
      <c r="A19579">
        <v>62</v>
      </c>
      <c r="B19579" t="s">
        <v>19456</v>
      </c>
      <c r="C19579">
        <v>5679</v>
      </c>
      <c r="D19579" t="str">
        <f>"2210-6545"</f>
        <v>2210-6545</v>
      </c>
      <c r="E19579" t="s">
        <v>8</v>
      </c>
      <c r="F19579" t="s">
        <v>19594</v>
      </c>
      <c r="G19579">
        <v>1</v>
      </c>
    </row>
    <row r="19580" spans="1:7" x14ac:dyDescent="0.25">
      <c r="A19580">
        <v>62</v>
      </c>
      <c r="B19580" t="s">
        <v>19456</v>
      </c>
      <c r="C19580">
        <v>739</v>
      </c>
      <c r="D19580" t="str">
        <f>"0021-8782"</f>
        <v>0021-8782</v>
      </c>
      <c r="E19580" t="s">
        <v>8</v>
      </c>
      <c r="F19580" t="s">
        <v>19595</v>
      </c>
      <c r="G19580">
        <v>1</v>
      </c>
    </row>
    <row r="19581" spans="1:7" x14ac:dyDescent="0.25">
      <c r="A19581">
        <v>62</v>
      </c>
      <c r="B19581" t="s">
        <v>19456</v>
      </c>
      <c r="C19581">
        <v>2530</v>
      </c>
      <c r="D19581" t="str">
        <f>"0393-974X"</f>
        <v>0393-974X</v>
      </c>
      <c r="E19581" t="s">
        <v>8</v>
      </c>
      <c r="F19581" t="s">
        <v>19596</v>
      </c>
      <c r="G19581">
        <v>1</v>
      </c>
    </row>
    <row r="19582" spans="1:7" x14ac:dyDescent="0.25">
      <c r="A19582">
        <v>62</v>
      </c>
      <c r="B19582" t="s">
        <v>19456</v>
      </c>
      <c r="C19582">
        <v>78</v>
      </c>
      <c r="D19582" t="str">
        <f>"0925-2738"</f>
        <v>0925-2738</v>
      </c>
      <c r="E19582" t="s">
        <v>8</v>
      </c>
      <c r="F19582" t="s">
        <v>19597</v>
      </c>
      <c r="G19582">
        <v>1</v>
      </c>
    </row>
    <row r="19583" spans="1:7" x14ac:dyDescent="0.25">
      <c r="A19583">
        <v>62</v>
      </c>
      <c r="B19583" t="s">
        <v>19456</v>
      </c>
      <c r="C19583">
        <v>507</v>
      </c>
      <c r="D19583" t="str">
        <f>"0974-6773"</f>
        <v>0974-6773</v>
      </c>
      <c r="E19583" t="s">
        <v>8</v>
      </c>
      <c r="F19583" t="s">
        <v>19598</v>
      </c>
      <c r="G19583">
        <v>1</v>
      </c>
    </row>
    <row r="19584" spans="1:7" x14ac:dyDescent="0.25">
      <c r="A19584">
        <v>62</v>
      </c>
      <c r="B19584" t="s">
        <v>19456</v>
      </c>
      <c r="C19584">
        <v>5516</v>
      </c>
      <c r="D19584" t="str">
        <f>"1582-1838"</f>
        <v>1582-1838</v>
      </c>
      <c r="E19584" t="s">
        <v>8</v>
      </c>
      <c r="F19584" t="s">
        <v>19599</v>
      </c>
      <c r="G19584">
        <v>1</v>
      </c>
    </row>
    <row r="19585" spans="1:7" x14ac:dyDescent="0.25">
      <c r="A19585">
        <v>62</v>
      </c>
      <c r="B19585" t="s">
        <v>19456</v>
      </c>
      <c r="C19585">
        <v>1361</v>
      </c>
      <c r="D19585" t="str">
        <f>"0887-8013"</f>
        <v>0887-8013</v>
      </c>
      <c r="E19585" t="s">
        <v>8</v>
      </c>
      <c r="F19585" t="s">
        <v>19600</v>
      </c>
      <c r="G19585">
        <v>1</v>
      </c>
    </row>
    <row r="19586" spans="1:7" x14ac:dyDescent="0.25">
      <c r="A19586">
        <v>62</v>
      </c>
      <c r="B19586" t="s">
        <v>19456</v>
      </c>
      <c r="C19586">
        <v>3373</v>
      </c>
      <c r="D19586" t="str">
        <f>"0091-2751"</f>
        <v>0091-2751</v>
      </c>
      <c r="E19586" t="s">
        <v>8</v>
      </c>
      <c r="F19586" t="s">
        <v>19601</v>
      </c>
      <c r="G19586">
        <v>1</v>
      </c>
    </row>
    <row r="19587" spans="1:7" x14ac:dyDescent="0.25">
      <c r="A19587">
        <v>62</v>
      </c>
      <c r="B19587" t="s">
        <v>19456</v>
      </c>
      <c r="C19587">
        <v>8775730</v>
      </c>
      <c r="D19587" t="str">
        <f>"2235-042X"</f>
        <v>2235-042X</v>
      </c>
      <c r="E19587" t="s">
        <v>8</v>
      </c>
      <c r="F19587" t="s">
        <v>19602</v>
      </c>
      <c r="G19587">
        <v>1</v>
      </c>
    </row>
    <row r="19588" spans="1:7" x14ac:dyDescent="0.25">
      <c r="A19588">
        <v>62</v>
      </c>
      <c r="B19588" t="s">
        <v>19456</v>
      </c>
      <c r="C19588">
        <v>10599</v>
      </c>
      <c r="D19588" t="str">
        <f>"0340-7594"</f>
        <v>0340-7594</v>
      </c>
      <c r="E19588" t="s">
        <v>8</v>
      </c>
      <c r="F19588" t="s">
        <v>19603</v>
      </c>
      <c r="G19588">
        <v>1</v>
      </c>
    </row>
    <row r="19589" spans="1:7" x14ac:dyDescent="0.25">
      <c r="A19589">
        <v>62</v>
      </c>
      <c r="B19589" t="s">
        <v>19456</v>
      </c>
      <c r="C19589">
        <v>6550</v>
      </c>
      <c r="D19589" t="str">
        <f>"0363-8715"</f>
        <v>0363-8715</v>
      </c>
      <c r="E19589" t="s">
        <v>8</v>
      </c>
      <c r="F19589" t="s">
        <v>19604</v>
      </c>
      <c r="G19589">
        <v>1</v>
      </c>
    </row>
    <row r="19590" spans="1:7" x14ac:dyDescent="0.25">
      <c r="A19590">
        <v>62</v>
      </c>
      <c r="B19590" t="s">
        <v>19456</v>
      </c>
      <c r="C19590">
        <v>27675</v>
      </c>
      <c r="D19590" t="str">
        <f>"1932-2968"</f>
        <v>1932-2968</v>
      </c>
      <c r="E19590" t="s">
        <v>8</v>
      </c>
      <c r="F19590" t="s">
        <v>19605</v>
      </c>
      <c r="G19590">
        <v>1</v>
      </c>
    </row>
    <row r="19591" spans="1:7" x14ac:dyDescent="0.25">
      <c r="A19591">
        <v>62</v>
      </c>
      <c r="B19591" t="s">
        <v>19456</v>
      </c>
      <c r="C19591">
        <v>15288</v>
      </c>
      <c r="D19591" t="str">
        <f>"8756-4793"</f>
        <v>8756-4793</v>
      </c>
      <c r="E19591" t="s">
        <v>8</v>
      </c>
      <c r="F19591" t="s">
        <v>19606</v>
      </c>
      <c r="G19591">
        <v>1</v>
      </c>
    </row>
    <row r="19592" spans="1:7" x14ac:dyDescent="0.25">
      <c r="A19592">
        <v>62</v>
      </c>
      <c r="B19592" t="s">
        <v>19456</v>
      </c>
      <c r="C19592">
        <v>14617</v>
      </c>
      <c r="D19592" t="str">
        <f>"0022-0744"</f>
        <v>0022-0744</v>
      </c>
      <c r="E19592" t="s">
        <v>8</v>
      </c>
      <c r="F19592" t="s">
        <v>19607</v>
      </c>
      <c r="G19592">
        <v>1</v>
      </c>
    </row>
    <row r="19593" spans="1:7" x14ac:dyDescent="0.25">
      <c r="A19593">
        <v>62</v>
      </c>
      <c r="B19593" t="s">
        <v>19456</v>
      </c>
      <c r="C19593">
        <v>10296</v>
      </c>
      <c r="D19593" t="str">
        <f>"1475-6366"</f>
        <v>1475-6366</v>
      </c>
      <c r="E19593" t="s">
        <v>8</v>
      </c>
      <c r="F19593" t="s">
        <v>19608</v>
      </c>
      <c r="G19593">
        <v>1</v>
      </c>
    </row>
    <row r="19594" spans="1:7" x14ac:dyDescent="0.25">
      <c r="A19594">
        <v>62</v>
      </c>
      <c r="B19594" t="s">
        <v>19456</v>
      </c>
      <c r="C19594">
        <v>1850</v>
      </c>
      <c r="E19594" t="s">
        <v>8</v>
      </c>
      <c r="F19594" t="s">
        <v>19609</v>
      </c>
      <c r="G19594">
        <v>1</v>
      </c>
    </row>
    <row r="19595" spans="1:7" x14ac:dyDescent="0.25">
      <c r="A19595">
        <v>62</v>
      </c>
      <c r="B19595" t="s">
        <v>19456</v>
      </c>
      <c r="C19595">
        <v>4972</v>
      </c>
      <c r="D19595" t="str">
        <f>"1053-0509"</f>
        <v>1053-0509</v>
      </c>
      <c r="E19595" t="s">
        <v>8</v>
      </c>
      <c r="F19595" t="s">
        <v>19610</v>
      </c>
      <c r="G19595">
        <v>1</v>
      </c>
    </row>
    <row r="19596" spans="1:7" x14ac:dyDescent="0.25">
      <c r="A19596">
        <v>62</v>
      </c>
      <c r="B19596" t="s">
        <v>19456</v>
      </c>
      <c r="C19596">
        <v>5179</v>
      </c>
      <c r="D19596" t="str">
        <f>"0022-1317"</f>
        <v>0022-1317</v>
      </c>
      <c r="E19596" t="s">
        <v>8</v>
      </c>
      <c r="F19596" t="s">
        <v>19611</v>
      </c>
      <c r="G19596">
        <v>1</v>
      </c>
    </row>
    <row r="19597" spans="1:7" x14ac:dyDescent="0.25">
      <c r="A19597">
        <v>62</v>
      </c>
      <c r="B19597" t="s">
        <v>19456</v>
      </c>
      <c r="C19597">
        <v>10426</v>
      </c>
      <c r="D19597" t="str">
        <f>"1532-1819"</f>
        <v>1532-1819</v>
      </c>
      <c r="E19597" t="s">
        <v>8</v>
      </c>
      <c r="F19597" t="s">
        <v>19612</v>
      </c>
      <c r="G19597">
        <v>1</v>
      </c>
    </row>
    <row r="19598" spans="1:7" x14ac:dyDescent="0.25">
      <c r="A19598">
        <v>62</v>
      </c>
      <c r="B19598" t="s">
        <v>19456</v>
      </c>
      <c r="C19598">
        <v>11977</v>
      </c>
      <c r="D19598" t="str">
        <f>"0022-1759"</f>
        <v>0022-1759</v>
      </c>
      <c r="E19598" t="s">
        <v>8</v>
      </c>
      <c r="F19598" t="s">
        <v>19613</v>
      </c>
      <c r="G19598">
        <v>1</v>
      </c>
    </row>
    <row r="19599" spans="1:7" x14ac:dyDescent="0.25">
      <c r="A19599">
        <v>62</v>
      </c>
      <c r="B19599" t="s">
        <v>19456</v>
      </c>
      <c r="C19599">
        <v>16232</v>
      </c>
      <c r="D19599" t="str">
        <f>"1050-6934"</f>
        <v>1050-6934</v>
      </c>
      <c r="E19599" t="s">
        <v>8</v>
      </c>
      <c r="F19599" t="s">
        <v>19614</v>
      </c>
      <c r="G19599">
        <v>1</v>
      </c>
    </row>
    <row r="19600" spans="1:7" x14ac:dyDescent="0.25">
      <c r="A19600">
        <v>62</v>
      </c>
      <c r="B19600" t="s">
        <v>19456</v>
      </c>
      <c r="C19600">
        <v>6289</v>
      </c>
      <c r="D19600" t="str">
        <f>"1053-1807"</f>
        <v>1053-1807</v>
      </c>
      <c r="E19600" t="s">
        <v>8</v>
      </c>
      <c r="F19600" t="s">
        <v>19615</v>
      </c>
      <c r="G19600">
        <v>1</v>
      </c>
    </row>
    <row r="19601" spans="1:7" x14ac:dyDescent="0.25">
      <c r="A19601">
        <v>62</v>
      </c>
      <c r="B19601" t="s">
        <v>19456</v>
      </c>
      <c r="C19601">
        <v>16076</v>
      </c>
      <c r="D19601" t="str">
        <f>"0219-5194"</f>
        <v>0219-5194</v>
      </c>
      <c r="E19601" t="s">
        <v>8</v>
      </c>
      <c r="F19601" t="s">
        <v>19616</v>
      </c>
      <c r="G19601">
        <v>1</v>
      </c>
    </row>
    <row r="19602" spans="1:7" x14ac:dyDescent="0.25">
      <c r="A19602">
        <v>62</v>
      </c>
      <c r="B19602" t="s">
        <v>19456</v>
      </c>
      <c r="C19602">
        <v>7301</v>
      </c>
      <c r="D19602" t="str">
        <f>"1754-9477"</f>
        <v>1754-9477</v>
      </c>
      <c r="E19602" t="s">
        <v>8</v>
      </c>
      <c r="F19602" t="s">
        <v>19617</v>
      </c>
      <c r="G19602">
        <v>1</v>
      </c>
    </row>
    <row r="19603" spans="1:7" x14ac:dyDescent="0.25">
      <c r="A19603">
        <v>62</v>
      </c>
      <c r="B19603" t="s">
        <v>19456</v>
      </c>
      <c r="C19603">
        <v>239</v>
      </c>
      <c r="D19603" t="str">
        <f>"0022-2615"</f>
        <v>0022-2615</v>
      </c>
      <c r="E19603" t="s">
        <v>8</v>
      </c>
      <c r="F19603" t="s">
        <v>19618</v>
      </c>
      <c r="G19603">
        <v>1</v>
      </c>
    </row>
    <row r="19604" spans="1:7" x14ac:dyDescent="0.25">
      <c r="A19604">
        <v>62</v>
      </c>
      <c r="B19604" t="s">
        <v>19456</v>
      </c>
      <c r="C19604">
        <v>2043</v>
      </c>
      <c r="D19604" t="str">
        <f>"1108-7161"</f>
        <v>1108-7161</v>
      </c>
      <c r="E19604" t="s">
        <v>8</v>
      </c>
      <c r="F19604" t="s">
        <v>19619</v>
      </c>
      <c r="G19604">
        <v>1</v>
      </c>
    </row>
    <row r="19605" spans="1:7" x14ac:dyDescent="0.25">
      <c r="A19605">
        <v>62</v>
      </c>
      <c r="B19605" t="s">
        <v>19456</v>
      </c>
      <c r="C19605">
        <v>6427</v>
      </c>
      <c r="D19605" t="str">
        <f>"0218-9577"</f>
        <v>0218-9577</v>
      </c>
      <c r="E19605" t="s">
        <v>8</v>
      </c>
      <c r="F19605" t="s">
        <v>19620</v>
      </c>
      <c r="G19605">
        <v>1</v>
      </c>
    </row>
    <row r="19606" spans="1:7" x14ac:dyDescent="0.25">
      <c r="A19606">
        <v>62</v>
      </c>
      <c r="B19606" t="s">
        <v>19456</v>
      </c>
      <c r="C19606">
        <v>3810</v>
      </c>
      <c r="E19606" t="s">
        <v>8</v>
      </c>
      <c r="F19606" t="s">
        <v>19621</v>
      </c>
      <c r="G19606">
        <v>1</v>
      </c>
    </row>
    <row r="19607" spans="1:7" x14ac:dyDescent="0.25">
      <c r="A19607">
        <v>62</v>
      </c>
      <c r="B19607" t="s">
        <v>19456</v>
      </c>
      <c r="C19607">
        <v>7745</v>
      </c>
      <c r="D19607" t="str">
        <f>"0022-3077"</f>
        <v>0022-3077</v>
      </c>
      <c r="E19607" t="s">
        <v>8</v>
      </c>
      <c r="F19607" t="s">
        <v>19622</v>
      </c>
      <c r="G19607">
        <v>1</v>
      </c>
    </row>
    <row r="19608" spans="1:7" x14ac:dyDescent="0.25">
      <c r="A19608">
        <v>62</v>
      </c>
      <c r="B19608" t="s">
        <v>19456</v>
      </c>
      <c r="C19608">
        <v>15067</v>
      </c>
      <c r="D19608" t="str">
        <f>"0091-4916"</f>
        <v>0091-4916</v>
      </c>
      <c r="E19608" t="s">
        <v>8</v>
      </c>
      <c r="F19608" t="s">
        <v>19623</v>
      </c>
      <c r="G19608">
        <v>1</v>
      </c>
    </row>
    <row r="19609" spans="1:7" x14ac:dyDescent="0.25">
      <c r="A19609">
        <v>62</v>
      </c>
      <c r="B19609" t="s">
        <v>19456</v>
      </c>
      <c r="C19609">
        <v>17834</v>
      </c>
      <c r="D19609" t="str">
        <f>"1880-6546"</f>
        <v>1880-6546</v>
      </c>
      <c r="E19609" t="s">
        <v>8</v>
      </c>
      <c r="F19609" t="s">
        <v>19624</v>
      </c>
      <c r="G19609">
        <v>1</v>
      </c>
    </row>
    <row r="19610" spans="1:7" x14ac:dyDescent="0.25">
      <c r="A19610">
        <v>62</v>
      </c>
      <c r="B19610" t="s">
        <v>19456</v>
      </c>
      <c r="C19610">
        <v>6156</v>
      </c>
      <c r="D19610" t="str">
        <f>"0867-5910"</f>
        <v>0867-5910</v>
      </c>
      <c r="E19610" t="s">
        <v>8</v>
      </c>
      <c r="F19610" t="s">
        <v>19625</v>
      </c>
      <c r="G19610">
        <v>1</v>
      </c>
    </row>
    <row r="19611" spans="1:7" x14ac:dyDescent="0.25">
      <c r="A19611">
        <v>62</v>
      </c>
      <c r="B19611" t="s">
        <v>19456</v>
      </c>
      <c r="C19611">
        <v>7308</v>
      </c>
      <c r="D19611" t="str">
        <f>"0449-3060"</f>
        <v>0449-3060</v>
      </c>
      <c r="E19611" t="s">
        <v>8</v>
      </c>
      <c r="F19611" t="s">
        <v>19626</v>
      </c>
      <c r="G19611">
        <v>1</v>
      </c>
    </row>
    <row r="19612" spans="1:7" x14ac:dyDescent="0.25">
      <c r="A19612">
        <v>62</v>
      </c>
      <c r="B19612" t="s">
        <v>19456</v>
      </c>
      <c r="C19612">
        <v>13618</v>
      </c>
      <c r="D19612" t="str">
        <f>"0003-2778"</f>
        <v>0003-2778</v>
      </c>
      <c r="E19612" t="s">
        <v>8</v>
      </c>
      <c r="F19612" t="s">
        <v>19627</v>
      </c>
      <c r="G19612">
        <v>1</v>
      </c>
    </row>
    <row r="19613" spans="1:7" x14ac:dyDescent="0.25">
      <c r="A19613">
        <v>62</v>
      </c>
      <c r="B19613" t="s">
        <v>19456</v>
      </c>
      <c r="C19613">
        <v>14229</v>
      </c>
      <c r="D19613" t="str">
        <f>"0883-5993"</f>
        <v>0883-5993</v>
      </c>
      <c r="E19613" t="s">
        <v>8</v>
      </c>
      <c r="F19613" t="s">
        <v>19628</v>
      </c>
      <c r="G19613">
        <v>1</v>
      </c>
    </row>
    <row r="19614" spans="1:7" x14ac:dyDescent="0.25">
      <c r="A19614">
        <v>62</v>
      </c>
      <c r="B19614" t="s">
        <v>19456</v>
      </c>
      <c r="C19614">
        <v>9663</v>
      </c>
      <c r="D19614" t="str">
        <f>"1018-1172"</f>
        <v>1018-1172</v>
      </c>
      <c r="E19614" t="s">
        <v>8</v>
      </c>
      <c r="F19614" t="s">
        <v>19629</v>
      </c>
      <c r="G19614">
        <v>1</v>
      </c>
    </row>
    <row r="19615" spans="1:7" x14ac:dyDescent="0.25">
      <c r="A19615">
        <v>62</v>
      </c>
      <c r="B19615" t="s">
        <v>19456</v>
      </c>
      <c r="C19615">
        <v>7913</v>
      </c>
      <c r="D19615" t="str">
        <f>"0166-0934"</f>
        <v>0166-0934</v>
      </c>
      <c r="E19615" t="s">
        <v>8</v>
      </c>
      <c r="F19615" t="s">
        <v>19630</v>
      </c>
      <c r="G19615">
        <v>1</v>
      </c>
    </row>
    <row r="19616" spans="1:7" x14ac:dyDescent="0.25">
      <c r="A19616">
        <v>62</v>
      </c>
      <c r="B19616" t="s">
        <v>19456</v>
      </c>
      <c r="C19616">
        <v>27535</v>
      </c>
      <c r="D19616" t="str">
        <f>"1745-3054"</f>
        <v>1745-3054</v>
      </c>
      <c r="E19616" t="s">
        <v>8</v>
      </c>
      <c r="F19616" t="s">
        <v>19631</v>
      </c>
      <c r="G19616">
        <v>1</v>
      </c>
    </row>
    <row r="19617" spans="1:7" x14ac:dyDescent="0.25">
      <c r="A19617">
        <v>62</v>
      </c>
      <c r="B19617" t="s">
        <v>19456</v>
      </c>
      <c r="C19617">
        <v>10677</v>
      </c>
      <c r="D19617" t="str">
        <f>"1229-6929"</f>
        <v>1229-6929</v>
      </c>
      <c r="E19617" t="s">
        <v>8</v>
      </c>
      <c r="F19617" t="s">
        <v>19632</v>
      </c>
      <c r="G19617">
        <v>1</v>
      </c>
    </row>
    <row r="19618" spans="1:7" x14ac:dyDescent="0.25">
      <c r="A19618">
        <v>62</v>
      </c>
      <c r="B19618" t="s">
        <v>19456</v>
      </c>
      <c r="C19618">
        <v>1494</v>
      </c>
      <c r="D19618" t="str">
        <f>"0342-3026"</f>
        <v>0342-3026</v>
      </c>
      <c r="E19618" t="s">
        <v>8</v>
      </c>
      <c r="F19618" t="s">
        <v>19633</v>
      </c>
      <c r="G19618">
        <v>1</v>
      </c>
    </row>
    <row r="19619" spans="1:7" x14ac:dyDescent="0.25">
      <c r="A19619">
        <v>62</v>
      </c>
      <c r="B19619" t="s">
        <v>19456</v>
      </c>
      <c r="C19619">
        <v>5451</v>
      </c>
      <c r="D19619" t="str">
        <f>"0007-5027"</f>
        <v>0007-5027</v>
      </c>
      <c r="E19619" t="s">
        <v>8</v>
      </c>
      <c r="F19619" t="s">
        <v>19634</v>
      </c>
      <c r="G19619">
        <v>1</v>
      </c>
    </row>
    <row r="19620" spans="1:7" x14ac:dyDescent="0.25">
      <c r="A19620">
        <v>62</v>
      </c>
      <c r="B19620" t="s">
        <v>19456</v>
      </c>
      <c r="C19620">
        <v>6630</v>
      </c>
      <c r="D19620" t="str">
        <f>"0740-3194"</f>
        <v>0740-3194</v>
      </c>
      <c r="E19620" t="s">
        <v>8</v>
      </c>
      <c r="F19620" t="s">
        <v>19635</v>
      </c>
      <c r="G19620">
        <v>1</v>
      </c>
    </row>
    <row r="19621" spans="1:7" x14ac:dyDescent="0.25">
      <c r="A19621">
        <v>62</v>
      </c>
      <c r="B19621" t="s">
        <v>19456</v>
      </c>
      <c r="C19621">
        <v>4087</v>
      </c>
      <c r="D19621" t="str">
        <f>"0968-5243"</f>
        <v>0968-5243</v>
      </c>
      <c r="E19621" t="s">
        <v>8</v>
      </c>
      <c r="F19621" t="s">
        <v>19636</v>
      </c>
      <c r="G19621">
        <v>1</v>
      </c>
    </row>
    <row r="19622" spans="1:7" x14ac:dyDescent="0.25">
      <c r="A19622">
        <v>62</v>
      </c>
      <c r="B19622" t="s">
        <v>19456</v>
      </c>
      <c r="C19622">
        <v>8095</v>
      </c>
      <c r="D19622" t="str">
        <f>"0962-9351"</f>
        <v>0962-9351</v>
      </c>
      <c r="E19622" t="s">
        <v>8</v>
      </c>
      <c r="F19622" t="s">
        <v>19637</v>
      </c>
      <c r="G19622">
        <v>1</v>
      </c>
    </row>
    <row r="19623" spans="1:7" x14ac:dyDescent="0.25">
      <c r="A19623">
        <v>62</v>
      </c>
      <c r="B19623" t="s">
        <v>19456</v>
      </c>
      <c r="C19623">
        <v>4220</v>
      </c>
      <c r="D19623" t="str">
        <f>"0958-3947"</f>
        <v>0958-3947</v>
      </c>
      <c r="E19623" t="s">
        <v>8</v>
      </c>
      <c r="F19623" t="s">
        <v>19638</v>
      </c>
      <c r="G19623">
        <v>1</v>
      </c>
    </row>
    <row r="19624" spans="1:7" x14ac:dyDescent="0.25">
      <c r="A19624">
        <v>62</v>
      </c>
      <c r="B19624" t="s">
        <v>19456</v>
      </c>
      <c r="C19624">
        <v>12473</v>
      </c>
      <c r="D19624" t="str">
        <f>"0300-8584"</f>
        <v>0300-8584</v>
      </c>
      <c r="E19624" t="s">
        <v>8</v>
      </c>
      <c r="F19624" t="s">
        <v>19639</v>
      </c>
      <c r="G19624">
        <v>1</v>
      </c>
    </row>
    <row r="19625" spans="1:7" x14ac:dyDescent="0.25">
      <c r="A19625">
        <v>62</v>
      </c>
      <c r="B19625" t="s">
        <v>19456</v>
      </c>
      <c r="C19625">
        <v>17007</v>
      </c>
      <c r="D19625" t="str">
        <f>"1860-1480"</f>
        <v>1860-1480</v>
      </c>
      <c r="E19625" t="s">
        <v>8</v>
      </c>
      <c r="F19625" t="s">
        <v>19640</v>
      </c>
      <c r="G19625">
        <v>1</v>
      </c>
    </row>
    <row r="19626" spans="1:7" x14ac:dyDescent="0.25">
      <c r="A19626">
        <v>62</v>
      </c>
      <c r="B19626" t="s">
        <v>19456</v>
      </c>
      <c r="C19626">
        <v>95</v>
      </c>
      <c r="D19626" t="str">
        <f>"1046-2023"</f>
        <v>1046-2023</v>
      </c>
      <c r="E19626" t="s">
        <v>8</v>
      </c>
      <c r="F19626" t="s">
        <v>19641</v>
      </c>
      <c r="G19626">
        <v>1</v>
      </c>
    </row>
    <row r="19627" spans="1:7" x14ac:dyDescent="0.25">
      <c r="A19627">
        <v>62</v>
      </c>
      <c r="B19627" t="s">
        <v>19456</v>
      </c>
      <c r="C19627">
        <v>11373</v>
      </c>
      <c r="D19627" t="str">
        <f>"1286-4579"</f>
        <v>1286-4579</v>
      </c>
      <c r="E19627" t="s">
        <v>8</v>
      </c>
      <c r="F19627" t="s">
        <v>19642</v>
      </c>
      <c r="G19627">
        <v>1</v>
      </c>
    </row>
    <row r="19628" spans="1:7" x14ac:dyDescent="0.25">
      <c r="A19628">
        <v>62</v>
      </c>
      <c r="B19628" t="s">
        <v>19456</v>
      </c>
      <c r="C19628">
        <v>5168</v>
      </c>
      <c r="D19628" t="str">
        <f>"0882-4010"</f>
        <v>0882-4010</v>
      </c>
      <c r="E19628" t="s">
        <v>8</v>
      </c>
      <c r="F19628" t="s">
        <v>19643</v>
      </c>
      <c r="G19628">
        <v>1</v>
      </c>
    </row>
    <row r="19629" spans="1:7" x14ac:dyDescent="0.25">
      <c r="A19629">
        <v>62</v>
      </c>
      <c r="B19629" t="s">
        <v>19456</v>
      </c>
      <c r="C19629">
        <v>7194</v>
      </c>
      <c r="D19629" t="str">
        <f>"0385-5600"</f>
        <v>0385-5600</v>
      </c>
      <c r="E19629" t="s">
        <v>8</v>
      </c>
      <c r="F19629" t="s">
        <v>19644</v>
      </c>
      <c r="G19629">
        <v>1</v>
      </c>
    </row>
    <row r="19630" spans="1:7" x14ac:dyDescent="0.25">
      <c r="A19630">
        <v>62</v>
      </c>
      <c r="B19630" t="s">
        <v>19456</v>
      </c>
      <c r="C19630">
        <v>1512</v>
      </c>
      <c r="D19630" t="str">
        <f>"0968-4328"</f>
        <v>0968-4328</v>
      </c>
      <c r="E19630" t="s">
        <v>8</v>
      </c>
      <c r="F19630" t="s">
        <v>19645</v>
      </c>
      <c r="G19630">
        <v>1</v>
      </c>
    </row>
    <row r="19631" spans="1:7" x14ac:dyDescent="0.25">
      <c r="A19631">
        <v>62</v>
      </c>
      <c r="B19631" t="s">
        <v>19456</v>
      </c>
      <c r="C19631">
        <v>3386</v>
      </c>
      <c r="D19631" t="str">
        <f>"0303-7207"</f>
        <v>0303-7207</v>
      </c>
      <c r="E19631" t="s">
        <v>8</v>
      </c>
      <c r="F19631" t="s">
        <v>19646</v>
      </c>
      <c r="G19631">
        <v>1</v>
      </c>
    </row>
    <row r="19632" spans="1:7" x14ac:dyDescent="0.25">
      <c r="A19632">
        <v>62</v>
      </c>
      <c r="B19632" t="s">
        <v>19456</v>
      </c>
      <c r="C19632">
        <v>10866</v>
      </c>
      <c r="D19632" t="str">
        <f>"0899-1987"</f>
        <v>0899-1987</v>
      </c>
      <c r="E19632" t="s">
        <v>8</v>
      </c>
      <c r="F19632" t="s">
        <v>19647</v>
      </c>
      <c r="G19632">
        <v>1</v>
      </c>
    </row>
    <row r="19633" spans="1:7" x14ac:dyDescent="0.25">
      <c r="A19633">
        <v>62</v>
      </c>
      <c r="B19633" t="s">
        <v>19456</v>
      </c>
      <c r="C19633">
        <v>6874</v>
      </c>
      <c r="D19633" t="str">
        <f>"1076-1551"</f>
        <v>1076-1551</v>
      </c>
      <c r="E19633" t="s">
        <v>8</v>
      </c>
      <c r="F19633" t="s">
        <v>19648</v>
      </c>
      <c r="G19633">
        <v>1</v>
      </c>
    </row>
    <row r="19634" spans="1:7" x14ac:dyDescent="0.25">
      <c r="A19634">
        <v>62</v>
      </c>
      <c r="B19634" t="s">
        <v>19456</v>
      </c>
      <c r="C19634">
        <v>10989</v>
      </c>
      <c r="D19634" t="str">
        <f>"0250-541X"</f>
        <v>0250-541X</v>
      </c>
      <c r="E19634" t="s">
        <v>8</v>
      </c>
      <c r="F19634" t="s">
        <v>19649</v>
      </c>
      <c r="G19634">
        <v>1</v>
      </c>
    </row>
    <row r="19635" spans="1:7" x14ac:dyDescent="0.25">
      <c r="A19635">
        <v>62</v>
      </c>
      <c r="B19635" t="s">
        <v>19456</v>
      </c>
      <c r="C19635">
        <v>15823</v>
      </c>
      <c r="D19635" t="str">
        <f>"0028-2162"</f>
        <v>0028-2162</v>
      </c>
      <c r="E19635" t="s">
        <v>8</v>
      </c>
      <c r="F19635" t="s">
        <v>19650</v>
      </c>
      <c r="G19635">
        <v>1</v>
      </c>
    </row>
    <row r="19636" spans="1:7" x14ac:dyDescent="0.25">
      <c r="A19636">
        <v>62</v>
      </c>
      <c r="B19636" t="s">
        <v>19456</v>
      </c>
      <c r="C19636">
        <v>16848</v>
      </c>
      <c r="D19636" t="str">
        <f>"1021-7401"</f>
        <v>1021-7401</v>
      </c>
      <c r="E19636" t="s">
        <v>8</v>
      </c>
      <c r="F19636" t="s">
        <v>19651</v>
      </c>
      <c r="G19636">
        <v>1</v>
      </c>
    </row>
    <row r="19637" spans="1:7" x14ac:dyDescent="0.25">
      <c r="A19637">
        <v>62</v>
      </c>
      <c r="B19637" t="s">
        <v>19456</v>
      </c>
      <c r="C19637">
        <v>16011</v>
      </c>
      <c r="D19637" t="str">
        <f>"0952-3480"</f>
        <v>0952-3480</v>
      </c>
      <c r="E19637" t="s">
        <v>8</v>
      </c>
      <c r="F19637" t="s">
        <v>19652</v>
      </c>
      <c r="G19637">
        <v>1</v>
      </c>
    </row>
    <row r="19638" spans="1:7" x14ac:dyDescent="0.25">
      <c r="A19638">
        <v>62</v>
      </c>
      <c r="B19638" t="s">
        <v>19456</v>
      </c>
      <c r="C19638">
        <v>2394</v>
      </c>
      <c r="D19638" t="str">
        <f>"0969-8051"</f>
        <v>0969-8051</v>
      </c>
      <c r="E19638" t="s">
        <v>8</v>
      </c>
      <c r="F19638" t="s">
        <v>19653</v>
      </c>
      <c r="G19638">
        <v>1</v>
      </c>
    </row>
    <row r="19639" spans="1:7" x14ac:dyDescent="0.25">
      <c r="A19639">
        <v>62</v>
      </c>
      <c r="B19639" t="s">
        <v>19456</v>
      </c>
      <c r="C19639">
        <v>13551</v>
      </c>
      <c r="D19639" t="str">
        <f>"0143-3636"</f>
        <v>0143-3636</v>
      </c>
      <c r="E19639" t="s">
        <v>8</v>
      </c>
      <c r="F19639" t="s">
        <v>19654</v>
      </c>
      <c r="G19639">
        <v>1</v>
      </c>
    </row>
    <row r="19640" spans="1:7" x14ac:dyDescent="0.25">
      <c r="A19640">
        <v>62</v>
      </c>
      <c r="B19640" t="s">
        <v>19456</v>
      </c>
      <c r="C19640">
        <v>10576</v>
      </c>
      <c r="D19640" t="str">
        <f>"0029-5566"</f>
        <v>0029-5566</v>
      </c>
      <c r="E19640" t="s">
        <v>8</v>
      </c>
      <c r="F19640" t="s">
        <v>19655</v>
      </c>
      <c r="G19640">
        <v>1</v>
      </c>
    </row>
    <row r="19641" spans="1:7" x14ac:dyDescent="0.25">
      <c r="A19641">
        <v>62</v>
      </c>
      <c r="B19641" t="s">
        <v>19456</v>
      </c>
      <c r="C19641">
        <v>14253</v>
      </c>
      <c r="D19641" t="str">
        <f>"0950-9232"</f>
        <v>0950-9232</v>
      </c>
      <c r="E19641" t="s">
        <v>8</v>
      </c>
      <c r="F19641" t="s">
        <v>19656</v>
      </c>
      <c r="G19641">
        <v>1</v>
      </c>
    </row>
    <row r="19642" spans="1:7" x14ac:dyDescent="0.25">
      <c r="A19642">
        <v>62</v>
      </c>
      <c r="B19642" t="s">
        <v>19456</v>
      </c>
      <c r="C19642">
        <v>67051</v>
      </c>
      <c r="D19642" t="str">
        <f>"1533-3159"</f>
        <v>1533-3159</v>
      </c>
      <c r="E19642" t="s">
        <v>8</v>
      </c>
      <c r="F19642" t="s">
        <v>19657</v>
      </c>
      <c r="G19642">
        <v>1</v>
      </c>
    </row>
    <row r="19643" spans="1:7" x14ac:dyDescent="0.25">
      <c r="A19643">
        <v>62</v>
      </c>
      <c r="B19643" t="s">
        <v>19456</v>
      </c>
      <c r="C19643">
        <v>24334</v>
      </c>
      <c r="D19643" t="str">
        <f>"0928-4680"</f>
        <v>0928-4680</v>
      </c>
      <c r="E19643" t="s">
        <v>8</v>
      </c>
      <c r="F19643" t="s">
        <v>19658</v>
      </c>
      <c r="G19643">
        <v>1</v>
      </c>
    </row>
    <row r="19644" spans="1:7" x14ac:dyDescent="0.25">
      <c r="A19644">
        <v>62</v>
      </c>
      <c r="B19644" t="s">
        <v>19456</v>
      </c>
      <c r="C19644">
        <v>14198</v>
      </c>
      <c r="D19644" t="str">
        <f>"0301-0449"</f>
        <v>0301-0449</v>
      </c>
      <c r="E19644" t="s">
        <v>8</v>
      </c>
      <c r="F19644" t="s">
        <v>19659</v>
      </c>
      <c r="G19644">
        <v>1</v>
      </c>
    </row>
    <row r="19645" spans="1:7" x14ac:dyDescent="0.25">
      <c r="A19645">
        <v>62</v>
      </c>
      <c r="B19645" t="s">
        <v>19456</v>
      </c>
      <c r="C19645">
        <v>7103</v>
      </c>
      <c r="D19645" t="str">
        <f>"0091-3057"</f>
        <v>0091-3057</v>
      </c>
      <c r="E19645" t="s">
        <v>8</v>
      </c>
      <c r="F19645" t="s">
        <v>19660</v>
      </c>
      <c r="G19645">
        <v>1</v>
      </c>
    </row>
    <row r="19646" spans="1:7" x14ac:dyDescent="0.25">
      <c r="A19646">
        <v>62</v>
      </c>
      <c r="B19646" t="s">
        <v>19456</v>
      </c>
      <c r="C19646">
        <v>828</v>
      </c>
      <c r="D19646" t="str">
        <f>"1094-8341"</f>
        <v>1094-8341</v>
      </c>
      <c r="E19646" t="s">
        <v>8</v>
      </c>
      <c r="F19646" t="s">
        <v>19661</v>
      </c>
      <c r="G19646">
        <v>1</v>
      </c>
    </row>
    <row r="19647" spans="1:7" x14ac:dyDescent="0.25">
      <c r="A19647">
        <v>62</v>
      </c>
      <c r="B19647" t="s">
        <v>19456</v>
      </c>
      <c r="C19647">
        <v>562</v>
      </c>
      <c r="D19647" t="str">
        <f>"0967-3334"</f>
        <v>0967-3334</v>
      </c>
      <c r="E19647" t="s">
        <v>8</v>
      </c>
      <c r="F19647" t="s">
        <v>19662</v>
      </c>
      <c r="G19647">
        <v>1</v>
      </c>
    </row>
    <row r="19648" spans="1:7" x14ac:dyDescent="0.25">
      <c r="A19648">
        <v>62</v>
      </c>
      <c r="B19648" t="s">
        <v>19456</v>
      </c>
      <c r="C19648">
        <v>12410</v>
      </c>
      <c r="D19648" t="str">
        <f>"0862-8408"</f>
        <v>0862-8408</v>
      </c>
      <c r="E19648" t="s">
        <v>8</v>
      </c>
      <c r="F19648" t="s">
        <v>19663</v>
      </c>
      <c r="G19648">
        <v>1</v>
      </c>
    </row>
    <row r="19649" spans="1:7" x14ac:dyDescent="0.25">
      <c r="A19649">
        <v>62</v>
      </c>
      <c r="B19649" t="s">
        <v>19456</v>
      </c>
      <c r="C19649">
        <v>8023</v>
      </c>
      <c r="D19649" t="str">
        <f>"0147-619X"</f>
        <v>0147-619X</v>
      </c>
      <c r="E19649" t="s">
        <v>8</v>
      </c>
      <c r="F19649" t="s">
        <v>19664</v>
      </c>
      <c r="G19649">
        <v>1</v>
      </c>
    </row>
    <row r="19650" spans="1:7" x14ac:dyDescent="0.25">
      <c r="A19650">
        <v>62</v>
      </c>
      <c r="B19650" t="s">
        <v>19456</v>
      </c>
      <c r="C19650">
        <v>217</v>
      </c>
      <c r="D19650" t="str">
        <f>"0953-7104"</f>
        <v>0953-7104</v>
      </c>
      <c r="E19650" t="s">
        <v>8</v>
      </c>
      <c r="F19650" t="s">
        <v>19665</v>
      </c>
      <c r="G19650">
        <v>1</v>
      </c>
    </row>
    <row r="19651" spans="1:7" x14ac:dyDescent="0.25">
      <c r="A19651">
        <v>62</v>
      </c>
      <c r="B19651" t="s">
        <v>19456</v>
      </c>
      <c r="C19651">
        <v>12806</v>
      </c>
      <c r="D19651" t="str">
        <f>"1002-0071"</f>
        <v>1002-0071</v>
      </c>
      <c r="E19651" t="s">
        <v>8</v>
      </c>
      <c r="F19651" t="s">
        <v>19666</v>
      </c>
      <c r="G19651">
        <v>1</v>
      </c>
    </row>
    <row r="19652" spans="1:7" x14ac:dyDescent="0.25">
      <c r="A19652">
        <v>62</v>
      </c>
      <c r="B19652" t="s">
        <v>19456</v>
      </c>
      <c r="C19652">
        <v>13802</v>
      </c>
      <c r="D19652" t="str">
        <f>"1862-8346"</f>
        <v>1862-8346</v>
      </c>
      <c r="E19652" t="s">
        <v>8</v>
      </c>
      <c r="F19652" t="s">
        <v>19667</v>
      </c>
      <c r="G19652">
        <v>1</v>
      </c>
    </row>
    <row r="19653" spans="1:7" x14ac:dyDescent="0.25">
      <c r="A19653">
        <v>62</v>
      </c>
      <c r="B19653" t="s">
        <v>19456</v>
      </c>
      <c r="C19653">
        <v>13939</v>
      </c>
      <c r="E19653" t="s">
        <v>8</v>
      </c>
      <c r="F19653" t="s">
        <v>19668</v>
      </c>
      <c r="G19653">
        <v>1</v>
      </c>
    </row>
    <row r="19654" spans="1:7" x14ac:dyDescent="0.25">
      <c r="A19654">
        <v>62</v>
      </c>
      <c r="B19654" t="s">
        <v>19456</v>
      </c>
      <c r="C19654">
        <v>5747</v>
      </c>
      <c r="D19654" t="str">
        <f>"0033-7587"</f>
        <v>0033-7587</v>
      </c>
      <c r="E19654" t="s">
        <v>8</v>
      </c>
      <c r="F19654" t="s">
        <v>19669</v>
      </c>
      <c r="G19654">
        <v>1</v>
      </c>
    </row>
    <row r="19655" spans="1:7" x14ac:dyDescent="0.25">
      <c r="A19655">
        <v>62</v>
      </c>
      <c r="B19655" t="s">
        <v>19456</v>
      </c>
      <c r="C19655">
        <v>11691</v>
      </c>
      <c r="D19655" t="str">
        <f>"0271-5333"</f>
        <v>0271-5333</v>
      </c>
      <c r="E19655" t="s">
        <v>8</v>
      </c>
      <c r="F19655" t="s">
        <v>19670</v>
      </c>
      <c r="G19655">
        <v>1</v>
      </c>
    </row>
    <row r="19656" spans="1:7" x14ac:dyDescent="0.25">
      <c r="A19656">
        <v>62</v>
      </c>
      <c r="B19656" t="s">
        <v>19456</v>
      </c>
      <c r="C19656">
        <v>3286</v>
      </c>
      <c r="D19656" t="str">
        <f>"1078-8174"</f>
        <v>1078-8174</v>
      </c>
      <c r="E19656" t="s">
        <v>8</v>
      </c>
      <c r="F19656" t="s">
        <v>19671</v>
      </c>
      <c r="G19656">
        <v>1</v>
      </c>
    </row>
    <row r="19657" spans="1:7" x14ac:dyDescent="0.25">
      <c r="A19657">
        <v>62</v>
      </c>
      <c r="B19657" t="s">
        <v>19456</v>
      </c>
      <c r="C19657">
        <v>1147</v>
      </c>
      <c r="D19657" t="str">
        <f>"0033-8389"</f>
        <v>0033-8389</v>
      </c>
      <c r="E19657" t="s">
        <v>8</v>
      </c>
      <c r="F19657" t="s">
        <v>19672</v>
      </c>
      <c r="G19657">
        <v>1</v>
      </c>
    </row>
    <row r="19658" spans="1:7" x14ac:dyDescent="0.25">
      <c r="A19658">
        <v>62</v>
      </c>
      <c r="B19658" t="s">
        <v>19456</v>
      </c>
      <c r="C19658">
        <v>14008</v>
      </c>
      <c r="D19658" t="str">
        <f>"0167-0115"</f>
        <v>0167-0115</v>
      </c>
      <c r="E19658" t="s">
        <v>8</v>
      </c>
      <c r="F19658" t="s">
        <v>19673</v>
      </c>
      <c r="G19658">
        <v>1</v>
      </c>
    </row>
    <row r="19659" spans="1:7" x14ac:dyDescent="0.25">
      <c r="A19659">
        <v>62</v>
      </c>
      <c r="B19659" t="s">
        <v>19456</v>
      </c>
      <c r="C19659">
        <v>6041</v>
      </c>
      <c r="D19659" t="str">
        <f>"1472-6483"</f>
        <v>1472-6483</v>
      </c>
      <c r="E19659" t="s">
        <v>8</v>
      </c>
      <c r="F19659" t="s">
        <v>19674</v>
      </c>
      <c r="G19659">
        <v>1</v>
      </c>
    </row>
    <row r="19660" spans="1:7" x14ac:dyDescent="0.25">
      <c r="A19660">
        <v>62</v>
      </c>
      <c r="B19660" t="s">
        <v>19456</v>
      </c>
      <c r="C19660">
        <v>14717</v>
      </c>
      <c r="D19660" t="str">
        <f>"1569-9048"</f>
        <v>1569-9048</v>
      </c>
      <c r="E19660" t="s">
        <v>8</v>
      </c>
      <c r="F19660" t="s">
        <v>19675</v>
      </c>
      <c r="G19660">
        <v>1</v>
      </c>
    </row>
    <row r="19661" spans="1:7" x14ac:dyDescent="0.25">
      <c r="A19661">
        <v>62</v>
      </c>
      <c r="B19661" t="s">
        <v>19456</v>
      </c>
      <c r="C19661">
        <v>1511</v>
      </c>
      <c r="E19661" t="s">
        <v>8</v>
      </c>
      <c r="F19661" t="s">
        <v>19676</v>
      </c>
      <c r="G19661">
        <v>1</v>
      </c>
    </row>
    <row r="19662" spans="1:7" x14ac:dyDescent="0.25">
      <c r="A19662">
        <v>62</v>
      </c>
      <c r="B19662" t="s">
        <v>19456</v>
      </c>
      <c r="C19662">
        <v>8260</v>
      </c>
      <c r="D19662" t="str">
        <f>"0954-139X"</f>
        <v>0954-139X</v>
      </c>
      <c r="E19662" t="s">
        <v>8</v>
      </c>
      <c r="F19662" t="s">
        <v>19677</v>
      </c>
      <c r="G19662">
        <v>1</v>
      </c>
    </row>
    <row r="19663" spans="1:7" x14ac:dyDescent="0.25">
      <c r="A19663">
        <v>62</v>
      </c>
      <c r="B19663" t="s">
        <v>19456</v>
      </c>
      <c r="C19663">
        <v>312</v>
      </c>
      <c r="D19663" t="str">
        <f>"0335-7457"</f>
        <v>0335-7457</v>
      </c>
      <c r="E19663" t="s">
        <v>8</v>
      </c>
      <c r="F19663" t="s">
        <v>19678</v>
      </c>
      <c r="G19663">
        <v>1</v>
      </c>
    </row>
    <row r="19664" spans="1:7" x14ac:dyDescent="0.25">
      <c r="A19664">
        <v>62</v>
      </c>
      <c r="B19664" t="s">
        <v>19456</v>
      </c>
      <c r="C19664">
        <v>8159</v>
      </c>
      <c r="D19664" t="str">
        <f>"1438-9029"</f>
        <v>1438-9029</v>
      </c>
      <c r="E19664" t="s">
        <v>8</v>
      </c>
      <c r="F19664" t="s">
        <v>19679</v>
      </c>
      <c r="G19664">
        <v>1</v>
      </c>
    </row>
    <row r="19665" spans="1:7" x14ac:dyDescent="0.25">
      <c r="A19665">
        <v>62</v>
      </c>
      <c r="B19665" t="s">
        <v>19456</v>
      </c>
      <c r="C19665">
        <v>11444</v>
      </c>
      <c r="D19665" t="str">
        <f>"0036-5513"</f>
        <v>0036-5513</v>
      </c>
      <c r="E19665" t="s">
        <v>8</v>
      </c>
      <c r="F19665" t="s">
        <v>19680</v>
      </c>
      <c r="G19665">
        <v>1</v>
      </c>
    </row>
    <row r="19666" spans="1:7" x14ac:dyDescent="0.25">
      <c r="A19666">
        <v>62</v>
      </c>
      <c r="B19666" t="s">
        <v>19456</v>
      </c>
      <c r="C19666">
        <v>5940</v>
      </c>
      <c r="D19666" t="str">
        <f>"0739-9529"</f>
        <v>0739-9529</v>
      </c>
      <c r="E19666" t="s">
        <v>8</v>
      </c>
      <c r="F19666" t="s">
        <v>19681</v>
      </c>
      <c r="G19666">
        <v>1</v>
      </c>
    </row>
    <row r="19667" spans="1:7" x14ac:dyDescent="0.25">
      <c r="A19667">
        <v>62</v>
      </c>
      <c r="B19667" t="s">
        <v>19456</v>
      </c>
      <c r="C19667">
        <v>3277</v>
      </c>
      <c r="D19667" t="str">
        <f>"1089-7860"</f>
        <v>1089-7860</v>
      </c>
      <c r="E19667" t="s">
        <v>8</v>
      </c>
      <c r="F19667" t="s">
        <v>19682</v>
      </c>
      <c r="G19667">
        <v>1</v>
      </c>
    </row>
    <row r="19668" spans="1:7" x14ac:dyDescent="0.25">
      <c r="A19668">
        <v>62</v>
      </c>
      <c r="B19668" t="s">
        <v>19456</v>
      </c>
      <c r="C19668">
        <v>1654</v>
      </c>
      <c r="D19668" t="str">
        <f>"0001-2998"</f>
        <v>0001-2998</v>
      </c>
      <c r="E19668" t="s">
        <v>8</v>
      </c>
      <c r="F19668" t="s">
        <v>19683</v>
      </c>
      <c r="G19668">
        <v>1</v>
      </c>
    </row>
    <row r="19669" spans="1:7" x14ac:dyDescent="0.25">
      <c r="A19669">
        <v>62</v>
      </c>
      <c r="B19669" t="s">
        <v>19456</v>
      </c>
      <c r="C19669">
        <v>8362</v>
      </c>
      <c r="D19669" t="str">
        <f>"0037-198X"</f>
        <v>0037-198X</v>
      </c>
      <c r="E19669" t="s">
        <v>8</v>
      </c>
      <c r="F19669" t="s">
        <v>19684</v>
      </c>
      <c r="G19669">
        <v>1</v>
      </c>
    </row>
    <row r="19670" spans="1:7" x14ac:dyDescent="0.25">
      <c r="A19670">
        <v>62</v>
      </c>
      <c r="B19670" t="s">
        <v>19456</v>
      </c>
      <c r="C19670">
        <v>6129</v>
      </c>
      <c r="D19670" t="str">
        <f>"0887-2171"</f>
        <v>0887-2171</v>
      </c>
      <c r="E19670" t="s">
        <v>8</v>
      </c>
      <c r="F19670" t="s">
        <v>19685</v>
      </c>
      <c r="G19670">
        <v>1</v>
      </c>
    </row>
    <row r="19671" spans="1:7" x14ac:dyDescent="0.25">
      <c r="A19671">
        <v>62</v>
      </c>
      <c r="B19671" t="s">
        <v>19456</v>
      </c>
      <c r="C19671">
        <v>182</v>
      </c>
      <c r="D19671" t="str">
        <f>"0364-2348"</f>
        <v>0364-2348</v>
      </c>
      <c r="E19671" t="s">
        <v>8</v>
      </c>
      <c r="F19671" t="s">
        <v>19686</v>
      </c>
      <c r="G19671">
        <v>1</v>
      </c>
    </row>
    <row r="19672" spans="1:7" x14ac:dyDescent="0.25">
      <c r="A19672">
        <v>62</v>
      </c>
      <c r="B19672" t="s">
        <v>19456</v>
      </c>
      <c r="C19672">
        <v>2089</v>
      </c>
      <c r="D19672" t="str">
        <f>"0930-1038"</f>
        <v>0930-1038</v>
      </c>
      <c r="E19672" t="s">
        <v>8</v>
      </c>
      <c r="F19672" t="s">
        <v>19687</v>
      </c>
      <c r="G19672">
        <v>1</v>
      </c>
    </row>
    <row r="19673" spans="1:7" x14ac:dyDescent="0.25">
      <c r="A19673">
        <v>62</v>
      </c>
      <c r="B19673" t="s">
        <v>19456</v>
      </c>
      <c r="C19673">
        <v>3987</v>
      </c>
      <c r="D19673" t="str">
        <f>"1533-0346"</f>
        <v>1533-0346</v>
      </c>
      <c r="E19673" t="s">
        <v>8</v>
      </c>
      <c r="F19673" t="s">
        <v>19688</v>
      </c>
      <c r="G19673">
        <v>1</v>
      </c>
    </row>
    <row r="19674" spans="1:7" x14ac:dyDescent="0.25">
      <c r="A19674">
        <v>62</v>
      </c>
      <c r="B19674" t="s">
        <v>19456</v>
      </c>
      <c r="C19674">
        <v>9642</v>
      </c>
      <c r="D19674" t="str">
        <f>"1971-4009"</f>
        <v>1971-4009</v>
      </c>
      <c r="E19674" t="s">
        <v>8</v>
      </c>
      <c r="F19674" t="s">
        <v>19689</v>
      </c>
      <c r="G19674">
        <v>1</v>
      </c>
    </row>
    <row r="19675" spans="1:7" x14ac:dyDescent="0.25">
      <c r="A19675">
        <v>62</v>
      </c>
      <c r="B19675" t="s">
        <v>19456</v>
      </c>
      <c r="C19675">
        <v>151940</v>
      </c>
      <c r="D19675" t="str">
        <f>"1824-4785"</f>
        <v>1824-4785</v>
      </c>
      <c r="E19675" t="s">
        <v>8</v>
      </c>
      <c r="F19675" t="s">
        <v>19690</v>
      </c>
      <c r="G19675">
        <v>1</v>
      </c>
    </row>
    <row r="19676" spans="1:7" x14ac:dyDescent="0.25">
      <c r="A19676">
        <v>62</v>
      </c>
      <c r="B19676" t="s">
        <v>19456</v>
      </c>
      <c r="C19676">
        <v>12340</v>
      </c>
      <c r="E19676" t="s">
        <v>8</v>
      </c>
      <c r="F19676" t="s">
        <v>19691</v>
      </c>
      <c r="G19676">
        <v>1</v>
      </c>
    </row>
    <row r="19677" spans="1:7" x14ac:dyDescent="0.25">
      <c r="A19677">
        <v>62</v>
      </c>
      <c r="B19677" t="s">
        <v>19456</v>
      </c>
      <c r="C19677">
        <v>5874</v>
      </c>
      <c r="D19677" t="str">
        <f>"1560-604X"</f>
        <v>1560-604X</v>
      </c>
      <c r="E19677" t="s">
        <v>8</v>
      </c>
      <c r="F19677" t="s">
        <v>19692</v>
      </c>
      <c r="G19677">
        <v>1</v>
      </c>
    </row>
    <row r="19678" spans="1:7" x14ac:dyDescent="0.25">
      <c r="A19678">
        <v>62</v>
      </c>
      <c r="B19678" t="s">
        <v>19456</v>
      </c>
      <c r="C19678">
        <v>8673</v>
      </c>
      <c r="D19678" t="str">
        <f>"0899-3459"</f>
        <v>0899-3459</v>
      </c>
      <c r="E19678" t="s">
        <v>8</v>
      </c>
      <c r="F19678" t="s">
        <v>19693</v>
      </c>
      <c r="G19678">
        <v>1</v>
      </c>
    </row>
    <row r="19679" spans="1:7" x14ac:dyDescent="0.25">
      <c r="A19679">
        <v>62</v>
      </c>
      <c r="B19679" t="s">
        <v>19456</v>
      </c>
      <c r="C19679">
        <v>17162</v>
      </c>
      <c r="D19679" t="str">
        <f>"1931-5244"</f>
        <v>1931-5244</v>
      </c>
      <c r="E19679" t="s">
        <v>8</v>
      </c>
      <c r="F19679" t="s">
        <v>19694</v>
      </c>
      <c r="G19679">
        <v>1</v>
      </c>
    </row>
    <row r="19680" spans="1:7" x14ac:dyDescent="0.25">
      <c r="A19680">
        <v>62</v>
      </c>
      <c r="B19680" t="s">
        <v>19456</v>
      </c>
      <c r="C19680">
        <v>13274</v>
      </c>
      <c r="D19680" t="str">
        <f>"0966-3274"</f>
        <v>0966-3274</v>
      </c>
      <c r="E19680" t="s">
        <v>8</v>
      </c>
      <c r="F19680" t="s">
        <v>19695</v>
      </c>
      <c r="G19680">
        <v>1</v>
      </c>
    </row>
    <row r="19681" spans="1:7" x14ac:dyDescent="0.25">
      <c r="A19681">
        <v>62</v>
      </c>
      <c r="B19681" t="s">
        <v>19456</v>
      </c>
      <c r="C19681">
        <v>10871</v>
      </c>
      <c r="D19681" t="str">
        <f>"0172-4614"</f>
        <v>0172-4614</v>
      </c>
      <c r="E19681" t="s">
        <v>8</v>
      </c>
      <c r="F19681" t="s">
        <v>19696</v>
      </c>
      <c r="G19681">
        <v>1</v>
      </c>
    </row>
    <row r="19682" spans="1:7" x14ac:dyDescent="0.25">
      <c r="A19682">
        <v>62</v>
      </c>
      <c r="B19682" t="s">
        <v>19456</v>
      </c>
      <c r="C19682">
        <v>14295</v>
      </c>
      <c r="D19682" t="str">
        <f>"0301-5629"</f>
        <v>0301-5629</v>
      </c>
      <c r="E19682" t="s">
        <v>8</v>
      </c>
      <c r="F19682" t="s">
        <v>19697</v>
      </c>
      <c r="G19682">
        <v>1</v>
      </c>
    </row>
    <row r="19683" spans="1:7" x14ac:dyDescent="0.25">
      <c r="A19683">
        <v>62</v>
      </c>
      <c r="B19683" t="s">
        <v>19456</v>
      </c>
      <c r="C19683">
        <v>8780703</v>
      </c>
      <c r="D19683" t="str">
        <f>"2199-7152"</f>
        <v>2199-7152</v>
      </c>
      <c r="E19683" t="s">
        <v>8</v>
      </c>
      <c r="F19683" t="s">
        <v>19698</v>
      </c>
      <c r="G19683">
        <v>1</v>
      </c>
    </row>
    <row r="19684" spans="1:7" x14ac:dyDescent="0.25">
      <c r="A19684">
        <v>62</v>
      </c>
      <c r="B19684" t="s">
        <v>19456</v>
      </c>
      <c r="C19684">
        <v>13188</v>
      </c>
      <c r="D19684" t="str">
        <f>"0894-8771"</f>
        <v>0894-8771</v>
      </c>
      <c r="E19684" t="s">
        <v>8</v>
      </c>
      <c r="F19684" t="s">
        <v>19699</v>
      </c>
      <c r="G19684">
        <v>1</v>
      </c>
    </row>
    <row r="19685" spans="1:7" x14ac:dyDescent="0.25">
      <c r="A19685">
        <v>62</v>
      </c>
      <c r="B19685" t="s">
        <v>19456</v>
      </c>
      <c r="C19685">
        <v>7131</v>
      </c>
      <c r="D19685" t="str">
        <f>"1267-8694"</f>
        <v>1267-8694</v>
      </c>
      <c r="E19685" t="s">
        <v>8</v>
      </c>
      <c r="F19685" t="s">
        <v>19700</v>
      </c>
      <c r="G19685">
        <v>1</v>
      </c>
    </row>
    <row r="19686" spans="1:7" x14ac:dyDescent="0.25">
      <c r="A19686">
        <v>62</v>
      </c>
      <c r="B19686" t="s">
        <v>19456</v>
      </c>
      <c r="C19686">
        <v>5469</v>
      </c>
      <c r="D19686" t="str">
        <f>"0042-6822"</f>
        <v>0042-6822</v>
      </c>
      <c r="E19686" t="s">
        <v>8</v>
      </c>
      <c r="F19686" t="s">
        <v>19701</v>
      </c>
      <c r="G19686">
        <v>1</v>
      </c>
    </row>
    <row r="19687" spans="1:7" x14ac:dyDescent="0.25">
      <c r="A19687">
        <v>62</v>
      </c>
      <c r="B19687" t="s">
        <v>19456</v>
      </c>
      <c r="C19687">
        <v>3127</v>
      </c>
      <c r="D19687" t="str">
        <f>"0920-8569"</f>
        <v>0920-8569</v>
      </c>
      <c r="E19687" t="s">
        <v>8</v>
      </c>
      <c r="F19687" t="s">
        <v>19702</v>
      </c>
      <c r="G19687">
        <v>1</v>
      </c>
    </row>
    <row r="19688" spans="1:7" x14ac:dyDescent="0.25">
      <c r="A19688">
        <v>62</v>
      </c>
      <c r="B19688" t="s">
        <v>19456</v>
      </c>
      <c r="C19688">
        <v>5389</v>
      </c>
      <c r="D19688" t="str">
        <f>"0168-1702"</f>
        <v>0168-1702</v>
      </c>
      <c r="E19688" t="s">
        <v>8</v>
      </c>
      <c r="F19688" t="s">
        <v>19703</v>
      </c>
      <c r="G19688">
        <v>1</v>
      </c>
    </row>
    <row r="19689" spans="1:7" x14ac:dyDescent="0.25">
      <c r="A19689">
        <v>62</v>
      </c>
      <c r="B19689" t="s">
        <v>19456</v>
      </c>
      <c r="C19689">
        <v>15386</v>
      </c>
      <c r="D19689" t="str">
        <f>"0083-6729"</f>
        <v>0083-6729</v>
      </c>
      <c r="E19689" t="s">
        <v>15</v>
      </c>
      <c r="F19689" t="s">
        <v>19704</v>
      </c>
      <c r="G19689">
        <v>1</v>
      </c>
    </row>
    <row r="19690" spans="1:7" x14ac:dyDescent="0.25">
      <c r="A19690">
        <v>62</v>
      </c>
      <c r="B19690" t="s">
        <v>19456</v>
      </c>
      <c r="C19690">
        <v>1029</v>
      </c>
      <c r="D19690" t="str">
        <f>"0908-665X"</f>
        <v>0908-665X</v>
      </c>
      <c r="E19690" t="s">
        <v>8</v>
      </c>
      <c r="F19690" t="s">
        <v>19705</v>
      </c>
      <c r="G19690">
        <v>1</v>
      </c>
    </row>
    <row r="19691" spans="1:7" x14ac:dyDescent="0.25">
      <c r="A19691">
        <v>63</v>
      </c>
      <c r="B19691" t="s">
        <v>19706</v>
      </c>
      <c r="C19691">
        <v>170442</v>
      </c>
      <c r="E19691" t="s">
        <v>15</v>
      </c>
      <c r="F19691" t="s">
        <v>19707</v>
      </c>
      <c r="G19691">
        <v>2</v>
      </c>
    </row>
    <row r="19692" spans="1:7" x14ac:dyDescent="0.25">
      <c r="A19692">
        <v>63</v>
      </c>
      <c r="B19692" t="s">
        <v>19706</v>
      </c>
      <c r="C19692">
        <v>3204</v>
      </c>
      <c r="D19692" t="str">
        <f>"1040-7391"</f>
        <v>1040-7391</v>
      </c>
      <c r="E19692" t="s">
        <v>8</v>
      </c>
      <c r="F19692" t="s">
        <v>19708</v>
      </c>
      <c r="G19692">
        <v>2</v>
      </c>
    </row>
    <row r="19693" spans="1:7" x14ac:dyDescent="0.25">
      <c r="A19693">
        <v>63</v>
      </c>
      <c r="B19693" t="s">
        <v>19706</v>
      </c>
      <c r="C19693">
        <v>5351</v>
      </c>
      <c r="D19693" t="str">
        <f>"1350-5068"</f>
        <v>1350-5068</v>
      </c>
      <c r="E19693" t="s">
        <v>8</v>
      </c>
      <c r="F19693" t="s">
        <v>19709</v>
      </c>
      <c r="G19693">
        <v>2</v>
      </c>
    </row>
    <row r="19694" spans="1:7" x14ac:dyDescent="0.25">
      <c r="A19694">
        <v>63</v>
      </c>
      <c r="B19694" t="s">
        <v>19706</v>
      </c>
      <c r="C19694">
        <v>16585</v>
      </c>
      <c r="D19694" t="str">
        <f>"1354-5701"</f>
        <v>1354-5701</v>
      </c>
      <c r="E19694" t="s">
        <v>8</v>
      </c>
      <c r="F19694" t="s">
        <v>19710</v>
      </c>
      <c r="G19694">
        <v>2</v>
      </c>
    </row>
    <row r="19695" spans="1:7" x14ac:dyDescent="0.25">
      <c r="A19695">
        <v>63</v>
      </c>
      <c r="B19695" t="s">
        <v>19706</v>
      </c>
      <c r="C19695">
        <v>16150</v>
      </c>
      <c r="D19695" t="str">
        <f>"0141-7789"</f>
        <v>0141-7789</v>
      </c>
      <c r="E19695" t="s">
        <v>8</v>
      </c>
      <c r="F19695" t="s">
        <v>19711</v>
      </c>
      <c r="G19695">
        <v>2</v>
      </c>
    </row>
    <row r="19696" spans="1:7" x14ac:dyDescent="0.25">
      <c r="A19696">
        <v>63</v>
      </c>
      <c r="B19696" t="s">
        <v>19706</v>
      </c>
      <c r="C19696">
        <v>14574</v>
      </c>
      <c r="D19696" t="str">
        <f>"0046-3663"</f>
        <v>0046-3663</v>
      </c>
      <c r="E19696" t="s">
        <v>8</v>
      </c>
      <c r="F19696" t="s">
        <v>19712</v>
      </c>
      <c r="G19696">
        <v>2</v>
      </c>
    </row>
    <row r="19697" spans="1:7" x14ac:dyDescent="0.25">
      <c r="A19697">
        <v>63</v>
      </c>
      <c r="B19697" t="s">
        <v>19706</v>
      </c>
      <c r="C19697">
        <v>9559</v>
      </c>
      <c r="D19697" t="str">
        <f>"1464-7001"</f>
        <v>1464-7001</v>
      </c>
      <c r="E19697" t="s">
        <v>8</v>
      </c>
      <c r="F19697" t="s">
        <v>19713</v>
      </c>
      <c r="G19697">
        <v>2</v>
      </c>
    </row>
    <row r="19698" spans="1:7" x14ac:dyDescent="0.25">
      <c r="A19698">
        <v>63</v>
      </c>
      <c r="B19698" t="s">
        <v>19706</v>
      </c>
      <c r="C19698">
        <v>14258</v>
      </c>
      <c r="D19698" t="str">
        <f>"0891-2432"</f>
        <v>0891-2432</v>
      </c>
      <c r="E19698" t="s">
        <v>8</v>
      </c>
      <c r="F19698" t="s">
        <v>19714</v>
      </c>
      <c r="G19698">
        <v>2</v>
      </c>
    </row>
    <row r="19699" spans="1:7" x14ac:dyDescent="0.25">
      <c r="A19699">
        <v>63</v>
      </c>
      <c r="B19699" t="s">
        <v>19706</v>
      </c>
      <c r="C19699">
        <v>170441</v>
      </c>
      <c r="E19699" t="s">
        <v>15</v>
      </c>
      <c r="F19699" t="s">
        <v>19715</v>
      </c>
      <c r="G19699">
        <v>2</v>
      </c>
    </row>
    <row r="19700" spans="1:7" x14ac:dyDescent="0.25">
      <c r="A19700">
        <v>63</v>
      </c>
      <c r="B19700" t="s">
        <v>19706</v>
      </c>
      <c r="C19700">
        <v>1033</v>
      </c>
      <c r="D19700" t="str">
        <f>"0968-6673"</f>
        <v>0968-6673</v>
      </c>
      <c r="E19700" t="s">
        <v>8</v>
      </c>
      <c r="F19700" t="s">
        <v>19716</v>
      </c>
      <c r="G19700">
        <v>2</v>
      </c>
    </row>
    <row r="19701" spans="1:7" x14ac:dyDescent="0.25">
      <c r="A19701">
        <v>63</v>
      </c>
      <c r="B19701" t="s">
        <v>19706</v>
      </c>
      <c r="C19701">
        <v>8038</v>
      </c>
      <c r="D19701" t="str">
        <f>"1064-2684"</f>
        <v>1064-2684</v>
      </c>
      <c r="E19701" t="s">
        <v>8</v>
      </c>
      <c r="F19701" t="s">
        <v>19717</v>
      </c>
      <c r="G19701">
        <v>2</v>
      </c>
    </row>
    <row r="19702" spans="1:7" x14ac:dyDescent="0.25">
      <c r="A19702">
        <v>63</v>
      </c>
      <c r="B19702" t="s">
        <v>19706</v>
      </c>
      <c r="C19702">
        <v>13600</v>
      </c>
      <c r="D19702" t="str">
        <f>"0887-5367"</f>
        <v>0887-5367</v>
      </c>
      <c r="E19702" t="s">
        <v>8</v>
      </c>
      <c r="F19702" t="s">
        <v>19718</v>
      </c>
      <c r="G19702">
        <v>2</v>
      </c>
    </row>
    <row r="19703" spans="1:7" x14ac:dyDescent="0.25">
      <c r="A19703">
        <v>63</v>
      </c>
      <c r="B19703" t="s">
        <v>19706</v>
      </c>
      <c r="C19703">
        <v>12327</v>
      </c>
      <c r="D19703" t="str">
        <f>"1461-6742"</f>
        <v>1461-6742</v>
      </c>
      <c r="E19703" t="s">
        <v>8</v>
      </c>
      <c r="F19703" t="s">
        <v>19719</v>
      </c>
      <c r="G19703">
        <v>2</v>
      </c>
    </row>
    <row r="19704" spans="1:7" x14ac:dyDescent="0.25">
      <c r="A19704">
        <v>63</v>
      </c>
      <c r="B19704" t="s">
        <v>19706</v>
      </c>
      <c r="C19704">
        <v>156492</v>
      </c>
      <c r="D19704" t="str">
        <f>"1756-6266"</f>
        <v>1756-6266</v>
      </c>
      <c r="E19704" t="s">
        <v>8</v>
      </c>
      <c r="F19704" t="s">
        <v>19720</v>
      </c>
      <c r="G19704">
        <v>2</v>
      </c>
    </row>
    <row r="19705" spans="1:7" x14ac:dyDescent="0.25">
      <c r="A19705">
        <v>63</v>
      </c>
      <c r="B19705" t="s">
        <v>19706</v>
      </c>
      <c r="C19705">
        <v>3765</v>
      </c>
      <c r="D19705" t="str">
        <f>"1097-184X"</f>
        <v>1097-184X</v>
      </c>
      <c r="E19705" t="s">
        <v>8</v>
      </c>
      <c r="F19705" t="s">
        <v>19721</v>
      </c>
      <c r="G19705">
        <v>2</v>
      </c>
    </row>
    <row r="19706" spans="1:7" x14ac:dyDescent="0.25">
      <c r="A19706">
        <v>63</v>
      </c>
      <c r="B19706" t="s">
        <v>19706</v>
      </c>
      <c r="C19706">
        <v>4943</v>
      </c>
      <c r="D19706" t="str">
        <f>"0803-8740"</f>
        <v>0803-8740</v>
      </c>
      <c r="E19706" t="s">
        <v>8</v>
      </c>
      <c r="F19706" t="s">
        <v>19722</v>
      </c>
      <c r="G19706">
        <v>2</v>
      </c>
    </row>
    <row r="19707" spans="1:7" x14ac:dyDescent="0.25">
      <c r="A19707">
        <v>63</v>
      </c>
      <c r="B19707" t="s">
        <v>19706</v>
      </c>
      <c r="C19707">
        <v>7528</v>
      </c>
      <c r="D19707" t="str">
        <f>"1890-2138"</f>
        <v>1890-2138</v>
      </c>
      <c r="E19707" t="s">
        <v>8</v>
      </c>
      <c r="F19707" t="s">
        <v>19723</v>
      </c>
      <c r="G19707">
        <v>2</v>
      </c>
    </row>
    <row r="19708" spans="1:7" x14ac:dyDescent="0.25">
      <c r="A19708">
        <v>63</v>
      </c>
      <c r="B19708" t="s">
        <v>19706</v>
      </c>
      <c r="C19708">
        <v>16132</v>
      </c>
      <c r="D19708" t="str">
        <f>"1743-923X"</f>
        <v>1743-923X</v>
      </c>
      <c r="E19708" t="s">
        <v>8</v>
      </c>
      <c r="F19708" t="s">
        <v>19724</v>
      </c>
      <c r="G19708">
        <v>2</v>
      </c>
    </row>
    <row r="19709" spans="1:7" x14ac:dyDescent="0.25">
      <c r="A19709">
        <v>63</v>
      </c>
      <c r="B19709" t="s">
        <v>19706</v>
      </c>
      <c r="C19709">
        <v>6199</v>
      </c>
      <c r="D19709" t="str">
        <f>"1363-4607"</f>
        <v>1363-4607</v>
      </c>
      <c r="E19709" t="s">
        <v>8</v>
      </c>
      <c r="F19709" t="s">
        <v>19725</v>
      </c>
      <c r="G19709">
        <v>2</v>
      </c>
    </row>
    <row r="19710" spans="1:7" x14ac:dyDescent="0.25">
      <c r="A19710">
        <v>63</v>
      </c>
      <c r="B19710" t="s">
        <v>19706</v>
      </c>
      <c r="C19710">
        <v>11675</v>
      </c>
      <c r="D19710" t="str">
        <f>"0097-9740"</f>
        <v>0097-9740</v>
      </c>
      <c r="E19710" t="s">
        <v>8</v>
      </c>
      <c r="F19710" t="s">
        <v>17316</v>
      </c>
      <c r="G19710">
        <v>2</v>
      </c>
    </row>
    <row r="19711" spans="1:7" x14ac:dyDescent="0.25">
      <c r="A19711">
        <v>63</v>
      </c>
      <c r="B19711" t="s">
        <v>19706</v>
      </c>
      <c r="C19711">
        <v>7140</v>
      </c>
      <c r="D19711" t="str">
        <f>"1072-4745"</f>
        <v>1072-4745</v>
      </c>
      <c r="E19711" t="s">
        <v>8</v>
      </c>
      <c r="F19711" t="s">
        <v>19726</v>
      </c>
      <c r="G19711">
        <v>2</v>
      </c>
    </row>
    <row r="19712" spans="1:7" x14ac:dyDescent="0.25">
      <c r="A19712">
        <v>63</v>
      </c>
      <c r="B19712" t="s">
        <v>19706</v>
      </c>
      <c r="C19712">
        <v>3320</v>
      </c>
      <c r="D19712" t="str">
        <f>"0886-1099"</f>
        <v>0886-1099</v>
      </c>
      <c r="E19712" t="s">
        <v>8</v>
      </c>
      <c r="F19712" t="s">
        <v>19727</v>
      </c>
      <c r="G19712">
        <v>1</v>
      </c>
    </row>
    <row r="19713" spans="1:7" x14ac:dyDescent="0.25">
      <c r="A19713">
        <v>63</v>
      </c>
      <c r="B19713" t="s">
        <v>19706</v>
      </c>
      <c r="C19713">
        <v>153054</v>
      </c>
      <c r="D19713" t="str">
        <f>"1013-0950"</f>
        <v>1013-0950</v>
      </c>
      <c r="E19713" t="s">
        <v>8</v>
      </c>
      <c r="F19713" t="s">
        <v>19728</v>
      </c>
      <c r="G19713">
        <v>1</v>
      </c>
    </row>
    <row r="19714" spans="1:7" x14ac:dyDescent="0.25">
      <c r="A19714">
        <v>63</v>
      </c>
      <c r="B19714" t="s">
        <v>19706</v>
      </c>
      <c r="C19714">
        <v>226</v>
      </c>
      <c r="D19714" t="str">
        <f>"1225-9276"</f>
        <v>1225-9276</v>
      </c>
      <c r="E19714" t="s">
        <v>8</v>
      </c>
      <c r="F19714" t="s">
        <v>19729</v>
      </c>
      <c r="G19714">
        <v>1</v>
      </c>
    </row>
    <row r="19715" spans="1:7" x14ac:dyDescent="0.25">
      <c r="A19715">
        <v>63</v>
      </c>
      <c r="B19715" t="s">
        <v>19706</v>
      </c>
      <c r="C19715">
        <v>15197</v>
      </c>
      <c r="D19715" t="str">
        <f>"0816-4649"</f>
        <v>0816-4649</v>
      </c>
      <c r="E19715" t="s">
        <v>8</v>
      </c>
      <c r="F19715" t="s">
        <v>19730</v>
      </c>
      <c r="G19715">
        <v>1</v>
      </c>
    </row>
    <row r="19716" spans="1:7" x14ac:dyDescent="0.25">
      <c r="A19716">
        <v>63</v>
      </c>
      <c r="B19716" t="s">
        <v>19706</v>
      </c>
      <c r="C19716">
        <v>136829</v>
      </c>
      <c r="D19716" t="str">
        <f>"0104-8333"</f>
        <v>0104-8333</v>
      </c>
      <c r="E19716" t="s">
        <v>8</v>
      </c>
      <c r="F19716" t="s">
        <v>19731</v>
      </c>
      <c r="G19716">
        <v>1</v>
      </c>
    </row>
    <row r="19717" spans="1:7" x14ac:dyDescent="0.25">
      <c r="A19717">
        <v>63</v>
      </c>
      <c r="B19717" t="s">
        <v>19706</v>
      </c>
      <c r="C19717">
        <v>67239</v>
      </c>
      <c r="D19717" t="str">
        <f>"1298-6046"</f>
        <v>1298-6046</v>
      </c>
      <c r="E19717" t="s">
        <v>8</v>
      </c>
      <c r="F19717" t="s">
        <v>19732</v>
      </c>
      <c r="G19717">
        <v>1</v>
      </c>
    </row>
    <row r="19718" spans="1:7" x14ac:dyDescent="0.25">
      <c r="A19718">
        <v>63</v>
      </c>
      <c r="B19718" t="s">
        <v>19706</v>
      </c>
      <c r="C19718">
        <v>19333</v>
      </c>
      <c r="D19718" t="str">
        <f>"0832-8781"</f>
        <v>0832-8781</v>
      </c>
      <c r="E19718" t="s">
        <v>8</v>
      </c>
      <c r="F19718" t="s">
        <v>19733</v>
      </c>
      <c r="G19718">
        <v>1</v>
      </c>
    </row>
    <row r="19719" spans="1:7" x14ac:dyDescent="0.25">
      <c r="A19719">
        <v>63</v>
      </c>
      <c r="B19719" t="s">
        <v>19706</v>
      </c>
      <c r="C19719">
        <v>27331</v>
      </c>
      <c r="D19719" t="str">
        <f>"0713-3235"</f>
        <v>0713-3235</v>
      </c>
      <c r="E19719" t="s">
        <v>8</v>
      </c>
      <c r="F19719" t="s">
        <v>19734</v>
      </c>
      <c r="G19719">
        <v>1</v>
      </c>
    </row>
    <row r="19720" spans="1:7" x14ac:dyDescent="0.25">
      <c r="A19720">
        <v>63</v>
      </c>
      <c r="B19720" t="s">
        <v>19706</v>
      </c>
      <c r="C19720">
        <v>27575</v>
      </c>
      <c r="D19720" t="str">
        <f>"1754-1476"</f>
        <v>1754-1476</v>
      </c>
      <c r="E19720" t="s">
        <v>8</v>
      </c>
      <c r="F19720" t="s">
        <v>19735</v>
      </c>
      <c r="G19720">
        <v>1</v>
      </c>
    </row>
    <row r="19721" spans="1:7" x14ac:dyDescent="0.25">
      <c r="A19721">
        <v>63</v>
      </c>
      <c r="B19721" t="s">
        <v>19706</v>
      </c>
      <c r="C19721">
        <v>24148</v>
      </c>
      <c r="D19721" t="str">
        <f>"0261-0159"</f>
        <v>0261-0159</v>
      </c>
      <c r="E19721" t="s">
        <v>8</v>
      </c>
      <c r="F19721" t="s">
        <v>19736</v>
      </c>
      <c r="G19721">
        <v>1</v>
      </c>
    </row>
    <row r="19722" spans="1:7" x14ac:dyDescent="0.25">
      <c r="A19722">
        <v>63</v>
      </c>
      <c r="B19722" t="s">
        <v>19706</v>
      </c>
      <c r="C19722">
        <v>6102788</v>
      </c>
      <c r="D19722" t="str">
        <f>"2040-7149"</f>
        <v>2040-7149</v>
      </c>
      <c r="E19722" t="s">
        <v>8</v>
      </c>
      <c r="F19722" t="s">
        <v>19737</v>
      </c>
      <c r="G19722">
        <v>1</v>
      </c>
    </row>
    <row r="19723" spans="1:7" x14ac:dyDescent="0.25">
      <c r="A19723">
        <v>63</v>
      </c>
      <c r="B19723" t="s">
        <v>19706</v>
      </c>
      <c r="C19723">
        <v>12796</v>
      </c>
      <c r="D19723" t="str">
        <f>"1433-6359"</f>
        <v>1433-6359</v>
      </c>
      <c r="E19723" t="s">
        <v>8</v>
      </c>
      <c r="F19723" t="s">
        <v>19738</v>
      </c>
      <c r="G19723">
        <v>1</v>
      </c>
    </row>
    <row r="19724" spans="1:7" x14ac:dyDescent="0.25">
      <c r="A19724">
        <v>63</v>
      </c>
      <c r="B19724" t="s">
        <v>19706</v>
      </c>
      <c r="C19724">
        <v>4596</v>
      </c>
      <c r="D19724" t="str">
        <f>"0959-3535"</f>
        <v>0959-3535</v>
      </c>
      <c r="E19724" t="s">
        <v>8</v>
      </c>
      <c r="F19724" t="s">
        <v>19739</v>
      </c>
      <c r="G19724">
        <v>1</v>
      </c>
    </row>
    <row r="19725" spans="1:7" x14ac:dyDescent="0.25">
      <c r="A19725">
        <v>63</v>
      </c>
      <c r="B19725" t="s">
        <v>19706</v>
      </c>
      <c r="C19725">
        <v>8333</v>
      </c>
      <c r="D19725" t="str">
        <f>"2151-7363"</f>
        <v>2151-7363</v>
      </c>
      <c r="E19725" t="s">
        <v>8</v>
      </c>
      <c r="F19725" t="s">
        <v>19740</v>
      </c>
      <c r="G19725">
        <v>1</v>
      </c>
    </row>
    <row r="19726" spans="1:7" x14ac:dyDescent="0.25">
      <c r="A19726">
        <v>63</v>
      </c>
      <c r="B19726" t="s">
        <v>19706</v>
      </c>
      <c r="C19726">
        <v>22207</v>
      </c>
      <c r="D19726" t="str">
        <f>"0966-7350"</f>
        <v>0966-7350</v>
      </c>
      <c r="E19726" t="s">
        <v>8</v>
      </c>
      <c r="F19726" t="s">
        <v>19741</v>
      </c>
      <c r="G19726">
        <v>1</v>
      </c>
    </row>
    <row r="19727" spans="1:7" x14ac:dyDescent="0.25">
      <c r="A19727">
        <v>63</v>
      </c>
      <c r="B19727" t="s">
        <v>19706</v>
      </c>
      <c r="C19727">
        <v>27577</v>
      </c>
      <c r="D19727" t="str">
        <f>"0723-5186"</f>
        <v>0723-5186</v>
      </c>
      <c r="E19727" t="s">
        <v>8</v>
      </c>
      <c r="F19727" t="s">
        <v>19742</v>
      </c>
      <c r="G19727">
        <v>1</v>
      </c>
    </row>
    <row r="19728" spans="1:7" x14ac:dyDescent="0.25">
      <c r="A19728">
        <v>63</v>
      </c>
      <c r="B19728" t="s">
        <v>19706</v>
      </c>
      <c r="C19728">
        <v>10021</v>
      </c>
      <c r="D19728" t="str">
        <f>"0160-9009"</f>
        <v>0160-9009</v>
      </c>
      <c r="E19728" t="s">
        <v>8</v>
      </c>
      <c r="F19728" t="s">
        <v>19743</v>
      </c>
      <c r="G19728">
        <v>1</v>
      </c>
    </row>
    <row r="19729" spans="1:7" x14ac:dyDescent="0.25">
      <c r="A19729">
        <v>63</v>
      </c>
      <c r="B19729" t="s">
        <v>19706</v>
      </c>
      <c r="C19729">
        <v>27305</v>
      </c>
      <c r="D19729" t="str">
        <f>"1868-7245"</f>
        <v>1868-7245</v>
      </c>
      <c r="E19729" t="s">
        <v>8</v>
      </c>
      <c r="F19729" t="s">
        <v>19744</v>
      </c>
      <c r="G19729">
        <v>1</v>
      </c>
    </row>
    <row r="19730" spans="1:7" x14ac:dyDescent="0.25">
      <c r="A19730">
        <v>63</v>
      </c>
      <c r="B19730" t="s">
        <v>19706</v>
      </c>
      <c r="C19730">
        <v>170376</v>
      </c>
      <c r="D19730" t="str">
        <f>"0953-5233"</f>
        <v>0953-5233</v>
      </c>
      <c r="E19730" t="s">
        <v>15</v>
      </c>
      <c r="F19730" t="s">
        <v>19745</v>
      </c>
      <c r="G19730">
        <v>1</v>
      </c>
    </row>
    <row r="19731" spans="1:7" x14ac:dyDescent="0.25">
      <c r="A19731">
        <v>63</v>
      </c>
      <c r="B19731" t="s">
        <v>19706</v>
      </c>
      <c r="C19731">
        <v>243</v>
      </c>
      <c r="D19731" t="str">
        <f>"1754-2413"</f>
        <v>1754-2413</v>
      </c>
      <c r="E19731" t="s">
        <v>8</v>
      </c>
      <c r="F19731" t="s">
        <v>19746</v>
      </c>
      <c r="G19731">
        <v>1</v>
      </c>
    </row>
    <row r="19732" spans="1:7" x14ac:dyDescent="0.25">
      <c r="A19732">
        <v>63</v>
      </c>
      <c r="B19732" t="s">
        <v>19706</v>
      </c>
      <c r="C19732">
        <v>6579</v>
      </c>
      <c r="D19732" t="str">
        <f>"1098-092X"</f>
        <v>1098-092X</v>
      </c>
      <c r="E19732" t="s">
        <v>8</v>
      </c>
      <c r="F19732" t="s">
        <v>19747</v>
      </c>
      <c r="G19732">
        <v>1</v>
      </c>
    </row>
    <row r="19733" spans="1:7" x14ac:dyDescent="0.25">
      <c r="A19733">
        <v>63</v>
      </c>
      <c r="B19733" t="s">
        <v>19706</v>
      </c>
      <c r="C19733">
        <v>27374</v>
      </c>
      <c r="D19733" t="str">
        <f>"1936-3249"</f>
        <v>1936-3249</v>
      </c>
      <c r="E19733" t="s">
        <v>8</v>
      </c>
      <c r="F19733" t="s">
        <v>19748</v>
      </c>
      <c r="G19733">
        <v>1</v>
      </c>
    </row>
    <row r="19734" spans="1:7" x14ac:dyDescent="0.25">
      <c r="A19734">
        <v>63</v>
      </c>
      <c r="B19734" t="s">
        <v>19706</v>
      </c>
      <c r="C19734">
        <v>8783443</v>
      </c>
      <c r="E19734" t="s">
        <v>15</v>
      </c>
      <c r="F19734" t="s">
        <v>19749</v>
      </c>
      <c r="G19734">
        <v>1</v>
      </c>
    </row>
    <row r="19735" spans="1:7" x14ac:dyDescent="0.25">
      <c r="A19735">
        <v>63</v>
      </c>
      <c r="B19735" t="s">
        <v>19706</v>
      </c>
      <c r="C19735">
        <v>8783444</v>
      </c>
      <c r="E19735" t="s">
        <v>15</v>
      </c>
      <c r="F19735" t="s">
        <v>19750</v>
      </c>
      <c r="G19735">
        <v>1</v>
      </c>
    </row>
    <row r="19736" spans="1:7" x14ac:dyDescent="0.25">
      <c r="A19736">
        <v>63</v>
      </c>
      <c r="B19736" t="s">
        <v>19706</v>
      </c>
      <c r="C19736">
        <v>27094</v>
      </c>
      <c r="D19736" t="str">
        <f>"1938-8209"</f>
        <v>1938-8209</v>
      </c>
      <c r="E19736" t="s">
        <v>8</v>
      </c>
      <c r="F19736" t="s">
        <v>19751</v>
      </c>
      <c r="G19736">
        <v>1</v>
      </c>
    </row>
    <row r="19737" spans="1:7" x14ac:dyDescent="0.25">
      <c r="A19737">
        <v>63</v>
      </c>
      <c r="B19737" t="s">
        <v>19706</v>
      </c>
      <c r="C19737">
        <v>155022</v>
      </c>
      <c r="D19737" t="str">
        <f>"1558-4356"</f>
        <v>1558-4356</v>
      </c>
      <c r="E19737" t="s">
        <v>8</v>
      </c>
      <c r="F19737" t="s">
        <v>19752</v>
      </c>
      <c r="G19737">
        <v>1</v>
      </c>
    </row>
    <row r="19738" spans="1:7" x14ac:dyDescent="0.25">
      <c r="A19738">
        <v>63</v>
      </c>
      <c r="B19738" t="s">
        <v>19706</v>
      </c>
      <c r="C19738">
        <v>3985</v>
      </c>
      <c r="D19738" t="str">
        <f>"1569-2078"</f>
        <v>1569-2078</v>
      </c>
      <c r="E19738" t="s">
        <v>8</v>
      </c>
      <c r="F19738" t="s">
        <v>19753</v>
      </c>
      <c r="G19738">
        <v>1</v>
      </c>
    </row>
    <row r="19739" spans="1:7" x14ac:dyDescent="0.25">
      <c r="A19739">
        <v>63</v>
      </c>
      <c r="B19739" t="s">
        <v>19706</v>
      </c>
      <c r="C19739">
        <v>27274</v>
      </c>
      <c r="D19739" t="str">
        <f>"0311-4198"</f>
        <v>0311-4198</v>
      </c>
      <c r="E19739" t="s">
        <v>8</v>
      </c>
      <c r="F19739" t="s">
        <v>19754</v>
      </c>
      <c r="G19739">
        <v>1</v>
      </c>
    </row>
    <row r="19740" spans="1:7" x14ac:dyDescent="0.25">
      <c r="A19740">
        <v>63</v>
      </c>
      <c r="B19740" t="s">
        <v>19706</v>
      </c>
      <c r="C19740">
        <v>153391</v>
      </c>
      <c r="D19740" t="str">
        <f>"1446-7038"</f>
        <v>1446-7038</v>
      </c>
      <c r="E19740" t="s">
        <v>8</v>
      </c>
      <c r="F19740" t="s">
        <v>19755</v>
      </c>
      <c r="G19740">
        <v>1</v>
      </c>
    </row>
    <row r="19741" spans="1:7" x14ac:dyDescent="0.25">
      <c r="A19741">
        <v>63</v>
      </c>
      <c r="B19741" t="s">
        <v>19706</v>
      </c>
      <c r="C19741">
        <v>17910</v>
      </c>
      <c r="D19741" t="str">
        <f>"0971-5215"</f>
        <v>0971-5215</v>
      </c>
      <c r="E19741" t="s">
        <v>8</v>
      </c>
      <c r="F19741" t="s">
        <v>19756</v>
      </c>
      <c r="G19741">
        <v>1</v>
      </c>
    </row>
    <row r="19742" spans="1:7" x14ac:dyDescent="0.25">
      <c r="A19742">
        <v>63</v>
      </c>
      <c r="B19742" t="s">
        <v>19706</v>
      </c>
      <c r="C19742">
        <v>8783445</v>
      </c>
      <c r="E19742" t="s">
        <v>15</v>
      </c>
      <c r="F19742" t="s">
        <v>19757</v>
      </c>
      <c r="G19742">
        <v>1</v>
      </c>
    </row>
    <row r="19743" spans="1:7" x14ac:dyDescent="0.25">
      <c r="A19743">
        <v>63</v>
      </c>
      <c r="B19743" t="s">
        <v>19706</v>
      </c>
      <c r="C19743">
        <v>3323</v>
      </c>
      <c r="D19743" t="str">
        <f>"1440-9151"</f>
        <v>1440-9151</v>
      </c>
      <c r="E19743" t="s">
        <v>8</v>
      </c>
      <c r="F19743" t="s">
        <v>19758</v>
      </c>
      <c r="G19743">
        <v>1</v>
      </c>
    </row>
    <row r="19744" spans="1:7" x14ac:dyDescent="0.25">
      <c r="A19744">
        <v>63</v>
      </c>
      <c r="B19744" t="s">
        <v>19706</v>
      </c>
      <c r="C19744">
        <v>16471</v>
      </c>
      <c r="D19744" t="str">
        <f>"1568-1181"</f>
        <v>1568-1181</v>
      </c>
      <c r="E19744" t="s">
        <v>15</v>
      </c>
      <c r="F19744" t="s">
        <v>19758</v>
      </c>
      <c r="G19744">
        <v>1</v>
      </c>
    </row>
    <row r="19745" spans="1:7" x14ac:dyDescent="0.25">
      <c r="A19745">
        <v>63</v>
      </c>
      <c r="B19745" t="s">
        <v>19706</v>
      </c>
      <c r="C19745">
        <v>12312</v>
      </c>
      <c r="E19745" t="s">
        <v>8</v>
      </c>
      <c r="F19745" t="s">
        <v>19759</v>
      </c>
      <c r="G19745">
        <v>1</v>
      </c>
    </row>
    <row r="19746" spans="1:7" x14ac:dyDescent="0.25">
      <c r="A19746">
        <v>63</v>
      </c>
      <c r="B19746" t="s">
        <v>19706</v>
      </c>
      <c r="C19746">
        <v>11478</v>
      </c>
      <c r="D19746" t="str">
        <f>"0958-9236"</f>
        <v>0958-9236</v>
      </c>
      <c r="E19746" t="s">
        <v>8</v>
      </c>
      <c r="F19746" t="s">
        <v>19760</v>
      </c>
      <c r="G19746">
        <v>1</v>
      </c>
    </row>
    <row r="19747" spans="1:7" x14ac:dyDescent="0.25">
      <c r="A19747">
        <v>63</v>
      </c>
      <c r="B19747" t="s">
        <v>19706</v>
      </c>
      <c r="C19747">
        <v>8783356</v>
      </c>
      <c r="D19747" t="str">
        <f>"2398-6808"</f>
        <v>2398-6808</v>
      </c>
      <c r="E19747" t="s">
        <v>8</v>
      </c>
      <c r="F19747" t="s">
        <v>19761</v>
      </c>
      <c r="G19747">
        <v>1</v>
      </c>
    </row>
    <row r="19748" spans="1:7" x14ac:dyDescent="0.25">
      <c r="A19748">
        <v>63</v>
      </c>
      <c r="B19748" t="s">
        <v>19706</v>
      </c>
      <c r="C19748">
        <v>3403</v>
      </c>
      <c r="D19748" t="str">
        <f>"0091-8369"</f>
        <v>0091-8369</v>
      </c>
      <c r="E19748" t="s">
        <v>8</v>
      </c>
      <c r="F19748" t="s">
        <v>19762</v>
      </c>
      <c r="G19748">
        <v>1</v>
      </c>
    </row>
    <row r="19749" spans="1:7" x14ac:dyDescent="0.25">
      <c r="A19749">
        <v>63</v>
      </c>
      <c r="B19749" t="s">
        <v>19706</v>
      </c>
      <c r="C19749">
        <v>10218</v>
      </c>
      <c r="E19749" t="s">
        <v>8</v>
      </c>
      <c r="F19749" t="s">
        <v>19763</v>
      </c>
      <c r="G19749">
        <v>1</v>
      </c>
    </row>
    <row r="19750" spans="1:7" x14ac:dyDescent="0.25">
      <c r="A19750">
        <v>63</v>
      </c>
      <c r="B19750" t="s">
        <v>19706</v>
      </c>
      <c r="C19750">
        <v>10175</v>
      </c>
      <c r="D19750" t="str">
        <f>"1936-1653"</f>
        <v>1936-1653</v>
      </c>
      <c r="E19750" t="s">
        <v>8</v>
      </c>
      <c r="F19750" t="s">
        <v>19764</v>
      </c>
      <c r="G19750">
        <v>1</v>
      </c>
    </row>
    <row r="19751" spans="1:7" x14ac:dyDescent="0.25">
      <c r="A19751">
        <v>63</v>
      </c>
      <c r="B19751" t="s">
        <v>19706</v>
      </c>
      <c r="C19751">
        <v>16908</v>
      </c>
      <c r="D19751" t="str">
        <f>"1089-4160"</f>
        <v>1089-4160</v>
      </c>
      <c r="E19751" t="s">
        <v>8</v>
      </c>
      <c r="F19751" t="s">
        <v>19765</v>
      </c>
      <c r="G19751">
        <v>1</v>
      </c>
    </row>
    <row r="19752" spans="1:7" x14ac:dyDescent="0.25">
      <c r="A19752">
        <v>63</v>
      </c>
      <c r="B19752" t="s">
        <v>19706</v>
      </c>
      <c r="C19752">
        <v>15195</v>
      </c>
      <c r="D19752" t="str">
        <f>"1552-5864"</f>
        <v>1552-5864</v>
      </c>
      <c r="E19752" t="s">
        <v>8</v>
      </c>
      <c r="F19752" t="s">
        <v>19766</v>
      </c>
      <c r="G19752">
        <v>1</v>
      </c>
    </row>
    <row r="19753" spans="1:7" x14ac:dyDescent="0.25">
      <c r="A19753">
        <v>63</v>
      </c>
      <c r="B19753" t="s">
        <v>19706</v>
      </c>
      <c r="C19753">
        <v>26282</v>
      </c>
      <c r="D19753" t="str">
        <f>"1783-2454"</f>
        <v>1783-2454</v>
      </c>
      <c r="E19753" t="s">
        <v>8</v>
      </c>
      <c r="F19753" t="s">
        <v>19767</v>
      </c>
      <c r="G19753">
        <v>1</v>
      </c>
    </row>
    <row r="19754" spans="1:7" x14ac:dyDescent="0.25">
      <c r="A19754">
        <v>63</v>
      </c>
      <c r="B19754" t="s">
        <v>19706</v>
      </c>
      <c r="C19754">
        <v>14735</v>
      </c>
      <c r="D19754" t="str">
        <f>"1043-4070"</f>
        <v>1043-4070</v>
      </c>
      <c r="E19754" t="s">
        <v>8</v>
      </c>
      <c r="F19754" t="s">
        <v>19768</v>
      </c>
      <c r="G19754">
        <v>1</v>
      </c>
    </row>
    <row r="19755" spans="1:7" x14ac:dyDescent="0.25">
      <c r="A19755">
        <v>63</v>
      </c>
      <c r="B19755" t="s">
        <v>19706</v>
      </c>
      <c r="C19755">
        <v>27698</v>
      </c>
      <c r="D19755" t="str">
        <f>"1072-8325"</f>
        <v>1072-8325</v>
      </c>
      <c r="E19755" t="s">
        <v>8</v>
      </c>
      <c r="F19755" t="s">
        <v>19769</v>
      </c>
      <c r="G19755">
        <v>1</v>
      </c>
    </row>
    <row r="19756" spans="1:7" x14ac:dyDescent="0.25">
      <c r="A19756">
        <v>63</v>
      </c>
      <c r="B19756" t="s">
        <v>19706</v>
      </c>
      <c r="C19756">
        <v>152178</v>
      </c>
      <c r="D19756" t="str">
        <f>"1554-477X"</f>
        <v>1554-477X</v>
      </c>
      <c r="E19756" t="s">
        <v>8</v>
      </c>
      <c r="F19756" t="s">
        <v>19770</v>
      </c>
      <c r="G19756">
        <v>1</v>
      </c>
    </row>
    <row r="19757" spans="1:7" x14ac:dyDescent="0.25">
      <c r="A19757">
        <v>63</v>
      </c>
      <c r="B19757" t="s">
        <v>19706</v>
      </c>
      <c r="C19757">
        <v>2493</v>
      </c>
      <c r="D19757" t="str">
        <f>"0907-6182"</f>
        <v>0907-6182</v>
      </c>
      <c r="E19757" t="s">
        <v>8</v>
      </c>
      <c r="F19757" t="s">
        <v>19771</v>
      </c>
      <c r="G19757">
        <v>1</v>
      </c>
    </row>
    <row r="19758" spans="1:7" x14ac:dyDescent="0.25">
      <c r="A19758">
        <v>63</v>
      </c>
      <c r="B19758" t="s">
        <v>19706</v>
      </c>
      <c r="C19758">
        <v>180155</v>
      </c>
      <c r="D19758" t="str">
        <f>"2246-3585"</f>
        <v>2246-3585</v>
      </c>
      <c r="E19758" t="s">
        <v>15</v>
      </c>
      <c r="F19758" t="s">
        <v>19772</v>
      </c>
      <c r="G19758">
        <v>1</v>
      </c>
    </row>
    <row r="19759" spans="1:7" x14ac:dyDescent="0.25">
      <c r="A19759">
        <v>63</v>
      </c>
      <c r="B19759" t="s">
        <v>19706</v>
      </c>
      <c r="C19759">
        <v>15481</v>
      </c>
      <c r="D19759" t="str">
        <f>"1100-2573"</f>
        <v>1100-2573</v>
      </c>
      <c r="E19759" t="s">
        <v>8</v>
      </c>
      <c r="F19759" t="s">
        <v>19773</v>
      </c>
      <c r="G19759">
        <v>1</v>
      </c>
    </row>
    <row r="19760" spans="1:7" x14ac:dyDescent="0.25">
      <c r="A19760">
        <v>63</v>
      </c>
      <c r="B19760" t="s">
        <v>19706</v>
      </c>
      <c r="C19760">
        <v>13161</v>
      </c>
      <c r="D19760" t="str">
        <f>"1016-362X"</f>
        <v>1016-362X</v>
      </c>
      <c r="E19760" t="s">
        <v>8</v>
      </c>
      <c r="F19760" t="s">
        <v>3620</v>
      </c>
      <c r="G19760">
        <v>1</v>
      </c>
    </row>
    <row r="19761" spans="1:7" x14ac:dyDescent="0.25">
      <c r="A19761">
        <v>63</v>
      </c>
      <c r="B19761" t="s">
        <v>19706</v>
      </c>
      <c r="C19761">
        <v>7735840</v>
      </c>
      <c r="D19761" t="str">
        <f>"1822-6310"</f>
        <v>1822-6310</v>
      </c>
      <c r="E19761" t="s">
        <v>8</v>
      </c>
      <c r="F19761" t="s">
        <v>19774</v>
      </c>
      <c r="G19761">
        <v>1</v>
      </c>
    </row>
    <row r="19762" spans="1:7" x14ac:dyDescent="0.25">
      <c r="A19762">
        <v>63</v>
      </c>
      <c r="B19762" t="s">
        <v>19706</v>
      </c>
      <c r="C19762">
        <v>25101</v>
      </c>
      <c r="D19762" t="str">
        <f>"1536-8742"</f>
        <v>1536-8742</v>
      </c>
      <c r="E19762" t="s">
        <v>8</v>
      </c>
      <c r="F19762" t="s">
        <v>19775</v>
      </c>
      <c r="G19762">
        <v>1</v>
      </c>
    </row>
    <row r="19763" spans="1:7" x14ac:dyDescent="0.25">
      <c r="A19763">
        <v>63</v>
      </c>
      <c r="B19763" t="s">
        <v>19706</v>
      </c>
      <c r="C19763">
        <v>23591</v>
      </c>
      <c r="D19763" t="str">
        <f>"1536-6936"</f>
        <v>1536-6936</v>
      </c>
      <c r="E19763" t="s">
        <v>8</v>
      </c>
      <c r="F19763" t="s">
        <v>19776</v>
      </c>
      <c r="G19763">
        <v>1</v>
      </c>
    </row>
    <row r="19764" spans="1:7" x14ac:dyDescent="0.25">
      <c r="A19764">
        <v>63</v>
      </c>
      <c r="B19764" t="s">
        <v>19706</v>
      </c>
      <c r="C19764">
        <v>26383</v>
      </c>
      <c r="D19764" t="str">
        <f>"1461-0434"</f>
        <v>1461-0434</v>
      </c>
      <c r="E19764" t="s">
        <v>8</v>
      </c>
      <c r="F19764" t="s">
        <v>19777</v>
      </c>
      <c r="G19764">
        <v>1</v>
      </c>
    </row>
    <row r="19765" spans="1:7" x14ac:dyDescent="0.25">
      <c r="A19765">
        <v>63</v>
      </c>
      <c r="B19765" t="s">
        <v>19706</v>
      </c>
      <c r="C19765">
        <v>8243</v>
      </c>
      <c r="D19765" t="str">
        <f>"1387-6805"</f>
        <v>1387-6805</v>
      </c>
      <c r="E19765" t="s">
        <v>8</v>
      </c>
      <c r="F19765" t="s">
        <v>19778</v>
      </c>
      <c r="G19765">
        <v>1</v>
      </c>
    </row>
    <row r="19766" spans="1:7" x14ac:dyDescent="0.25">
      <c r="A19766">
        <v>63</v>
      </c>
      <c r="B19766" t="s">
        <v>19706</v>
      </c>
      <c r="C19766">
        <v>24941</v>
      </c>
      <c r="D19766" t="str">
        <f>"0793-8934"</f>
        <v>0793-8934</v>
      </c>
      <c r="E19766" t="s">
        <v>8</v>
      </c>
      <c r="F19766" t="s">
        <v>19779</v>
      </c>
      <c r="G19766">
        <v>1</v>
      </c>
    </row>
    <row r="19767" spans="1:7" x14ac:dyDescent="0.25">
      <c r="A19767">
        <v>63</v>
      </c>
      <c r="B19767" t="s">
        <v>19706</v>
      </c>
      <c r="C19767">
        <v>27417</v>
      </c>
      <c r="E19767" t="s">
        <v>8</v>
      </c>
      <c r="F19767" t="s">
        <v>19780</v>
      </c>
      <c r="G19767">
        <v>1</v>
      </c>
    </row>
    <row r="19768" spans="1:7" x14ac:dyDescent="0.25">
      <c r="A19768">
        <v>63</v>
      </c>
      <c r="B19768" t="s">
        <v>19706</v>
      </c>
      <c r="C19768">
        <v>6533</v>
      </c>
      <c r="D19768" t="str">
        <f>"0248-4951"</f>
        <v>0248-4951</v>
      </c>
      <c r="E19768" t="s">
        <v>8</v>
      </c>
      <c r="F19768" t="s">
        <v>19781</v>
      </c>
      <c r="G19768">
        <v>1</v>
      </c>
    </row>
    <row r="19769" spans="1:7" x14ac:dyDescent="0.25">
      <c r="A19769">
        <v>63</v>
      </c>
      <c r="B19769" t="s">
        <v>19706</v>
      </c>
      <c r="C19769">
        <v>3832</v>
      </c>
      <c r="D19769" t="str">
        <f>"1445-0445"</f>
        <v>1445-0445</v>
      </c>
      <c r="E19769" t="s">
        <v>8</v>
      </c>
      <c r="F19769" t="s">
        <v>19782</v>
      </c>
      <c r="G19769">
        <v>1</v>
      </c>
    </row>
    <row r="19770" spans="1:7" x14ac:dyDescent="0.25">
      <c r="A19770">
        <v>63</v>
      </c>
      <c r="B19770" t="s">
        <v>19706</v>
      </c>
      <c r="C19770">
        <v>170373</v>
      </c>
      <c r="E19770" t="s">
        <v>15</v>
      </c>
      <c r="F19770" t="s">
        <v>19783</v>
      </c>
      <c r="G19770">
        <v>1</v>
      </c>
    </row>
    <row r="19771" spans="1:7" x14ac:dyDescent="0.25">
      <c r="A19771">
        <v>63</v>
      </c>
      <c r="B19771" t="s">
        <v>19706</v>
      </c>
      <c r="C19771">
        <v>8783446</v>
      </c>
      <c r="E19771" t="s">
        <v>15</v>
      </c>
      <c r="F19771" t="s">
        <v>19784</v>
      </c>
      <c r="G19771">
        <v>1</v>
      </c>
    </row>
    <row r="19772" spans="1:7" x14ac:dyDescent="0.25">
      <c r="A19772">
        <v>63</v>
      </c>
      <c r="B19772" t="s">
        <v>19706</v>
      </c>
      <c r="C19772">
        <v>8783447</v>
      </c>
      <c r="E19772" t="s">
        <v>15</v>
      </c>
      <c r="F19772" t="s">
        <v>19785</v>
      </c>
      <c r="G19772">
        <v>1</v>
      </c>
    </row>
    <row r="19773" spans="1:7" x14ac:dyDescent="0.25">
      <c r="A19773">
        <v>63</v>
      </c>
      <c r="B19773" t="s">
        <v>19706</v>
      </c>
      <c r="C19773">
        <v>8783448</v>
      </c>
      <c r="E19773" t="s">
        <v>15</v>
      </c>
      <c r="F19773" t="s">
        <v>19786</v>
      </c>
      <c r="G19773">
        <v>1</v>
      </c>
    </row>
    <row r="19774" spans="1:7" x14ac:dyDescent="0.25">
      <c r="A19774">
        <v>63</v>
      </c>
      <c r="B19774" t="s">
        <v>19706</v>
      </c>
      <c r="C19774">
        <v>3918</v>
      </c>
      <c r="D19774" t="str">
        <f>"1095-5143"</f>
        <v>1095-5143</v>
      </c>
      <c r="E19774" t="s">
        <v>8</v>
      </c>
      <c r="F19774" t="s">
        <v>19787</v>
      </c>
      <c r="G19774">
        <v>1</v>
      </c>
    </row>
    <row r="19775" spans="1:7" x14ac:dyDescent="0.25">
      <c r="A19775">
        <v>63</v>
      </c>
      <c r="B19775" t="s">
        <v>19706</v>
      </c>
      <c r="C19775">
        <v>27026</v>
      </c>
      <c r="D19775" t="str">
        <f>"1796-5551"</f>
        <v>1796-5551</v>
      </c>
      <c r="E19775" t="s">
        <v>8</v>
      </c>
      <c r="F19775" t="s">
        <v>19788</v>
      </c>
      <c r="G19775">
        <v>1</v>
      </c>
    </row>
    <row r="19776" spans="1:7" x14ac:dyDescent="0.25">
      <c r="A19776">
        <v>63</v>
      </c>
      <c r="B19776" t="s">
        <v>19706</v>
      </c>
      <c r="C19776">
        <v>945</v>
      </c>
      <c r="D19776" t="str">
        <f>"1524-0657"</f>
        <v>1524-0657</v>
      </c>
      <c r="E19776" t="s">
        <v>8</v>
      </c>
      <c r="F19776" t="s">
        <v>19789</v>
      </c>
      <c r="G19776">
        <v>1</v>
      </c>
    </row>
    <row r="19777" spans="1:7" x14ac:dyDescent="0.25">
      <c r="A19777">
        <v>63</v>
      </c>
      <c r="B19777" t="s">
        <v>19706</v>
      </c>
      <c r="C19777">
        <v>2377</v>
      </c>
      <c r="D19777" t="str">
        <f>"1570-7253"</f>
        <v>1570-7253</v>
      </c>
      <c r="E19777" t="s">
        <v>15</v>
      </c>
      <c r="F19777" t="s">
        <v>19790</v>
      </c>
      <c r="G19777">
        <v>1</v>
      </c>
    </row>
    <row r="19778" spans="1:7" x14ac:dyDescent="0.25">
      <c r="A19778">
        <v>63</v>
      </c>
      <c r="B19778" t="s">
        <v>19706</v>
      </c>
      <c r="C19778">
        <v>8019</v>
      </c>
      <c r="D19778" t="str">
        <f>"1434-4599"</f>
        <v>1434-4599</v>
      </c>
      <c r="E19778" t="s">
        <v>8</v>
      </c>
      <c r="F19778" t="s">
        <v>19791</v>
      </c>
      <c r="G19778">
        <v>1</v>
      </c>
    </row>
    <row r="19779" spans="1:7" x14ac:dyDescent="0.25">
      <c r="A19779">
        <v>63</v>
      </c>
      <c r="B19779" t="s">
        <v>19706</v>
      </c>
      <c r="C19779">
        <v>15161</v>
      </c>
      <c r="D19779" t="str">
        <f>"1060-8265"</f>
        <v>1060-8265</v>
      </c>
      <c r="E19779" t="s">
        <v>8</v>
      </c>
      <c r="F19779" t="s">
        <v>19792</v>
      </c>
      <c r="G19779">
        <v>1</v>
      </c>
    </row>
    <row r="19780" spans="1:7" x14ac:dyDescent="0.25">
      <c r="A19780">
        <v>63</v>
      </c>
      <c r="B19780" t="s">
        <v>19706</v>
      </c>
      <c r="C19780">
        <v>180154</v>
      </c>
      <c r="E19780" t="s">
        <v>15</v>
      </c>
      <c r="F19780" t="s">
        <v>19793</v>
      </c>
      <c r="G19780">
        <v>1</v>
      </c>
    </row>
    <row r="19781" spans="1:7" x14ac:dyDescent="0.25">
      <c r="A19781">
        <v>63</v>
      </c>
      <c r="B19781" t="s">
        <v>19706</v>
      </c>
      <c r="C19781">
        <v>27321</v>
      </c>
      <c r="D19781" t="str">
        <f>"1931-9045"</f>
        <v>1931-9045</v>
      </c>
      <c r="E19781" t="s">
        <v>8</v>
      </c>
      <c r="F19781" t="s">
        <v>19794</v>
      </c>
      <c r="G19781">
        <v>1</v>
      </c>
    </row>
    <row r="19782" spans="1:7" x14ac:dyDescent="0.25">
      <c r="A19782">
        <v>63</v>
      </c>
      <c r="B19782" t="s">
        <v>19706</v>
      </c>
      <c r="C19782">
        <v>27088</v>
      </c>
      <c r="D19782" t="str">
        <f>"1654-5443"</f>
        <v>1654-5443</v>
      </c>
      <c r="E19782" t="s">
        <v>8</v>
      </c>
      <c r="F19782" t="s">
        <v>19795</v>
      </c>
      <c r="G19782">
        <v>1</v>
      </c>
    </row>
    <row r="19783" spans="1:7" x14ac:dyDescent="0.25">
      <c r="A19783">
        <v>63</v>
      </c>
      <c r="B19783" t="s">
        <v>19706</v>
      </c>
      <c r="C19783">
        <v>14600</v>
      </c>
      <c r="D19783" t="str">
        <f>"0809-6341"</f>
        <v>0809-6341</v>
      </c>
      <c r="E19783" t="s">
        <v>8</v>
      </c>
      <c r="F19783" t="s">
        <v>19796</v>
      </c>
      <c r="G19783">
        <v>1</v>
      </c>
    </row>
    <row r="19784" spans="1:7" x14ac:dyDescent="0.25">
      <c r="A19784">
        <v>63</v>
      </c>
      <c r="B19784" t="s">
        <v>19706</v>
      </c>
      <c r="C19784">
        <v>12959</v>
      </c>
      <c r="D19784" t="str">
        <f>"1077-8012"</f>
        <v>1077-8012</v>
      </c>
      <c r="E19784" t="s">
        <v>8</v>
      </c>
      <c r="F19784" t="s">
        <v>19797</v>
      </c>
      <c r="G19784">
        <v>1</v>
      </c>
    </row>
    <row r="19785" spans="1:7" x14ac:dyDescent="0.25">
      <c r="A19785">
        <v>63</v>
      </c>
      <c r="B19785" t="s">
        <v>19706</v>
      </c>
      <c r="C19785">
        <v>115153</v>
      </c>
      <c r="D19785" t="str">
        <f>"2150-2226"</f>
        <v>2150-2226</v>
      </c>
      <c r="E19785" t="s">
        <v>8</v>
      </c>
      <c r="F19785" t="s">
        <v>19798</v>
      </c>
      <c r="G19785">
        <v>1</v>
      </c>
    </row>
    <row r="19786" spans="1:7" x14ac:dyDescent="0.25">
      <c r="A19786">
        <v>63</v>
      </c>
      <c r="B19786" t="s">
        <v>19706</v>
      </c>
      <c r="C19786">
        <v>2466</v>
      </c>
      <c r="D19786" t="str">
        <f>"0897-4454"</f>
        <v>0897-4454</v>
      </c>
      <c r="E19786" t="s">
        <v>8</v>
      </c>
      <c r="F19786" t="s">
        <v>19799</v>
      </c>
      <c r="G19786">
        <v>1</v>
      </c>
    </row>
    <row r="19787" spans="1:7" x14ac:dyDescent="0.25">
      <c r="A19787">
        <v>63</v>
      </c>
      <c r="B19787" t="s">
        <v>19706</v>
      </c>
      <c r="C19787">
        <v>1127</v>
      </c>
      <c r="D19787" t="str">
        <f>"8755-4550"</f>
        <v>8755-4550</v>
      </c>
      <c r="E19787" t="s">
        <v>8</v>
      </c>
      <c r="F19787" t="s">
        <v>19800</v>
      </c>
      <c r="G19787">
        <v>1</v>
      </c>
    </row>
    <row r="19788" spans="1:7" x14ac:dyDescent="0.25">
      <c r="A19788">
        <v>63</v>
      </c>
      <c r="B19788" t="s">
        <v>19706</v>
      </c>
      <c r="C19788">
        <v>15304</v>
      </c>
      <c r="D19788" t="str">
        <f>"0740-770X"</f>
        <v>0740-770X</v>
      </c>
      <c r="E19788" t="s">
        <v>8</v>
      </c>
      <c r="F19788" t="s">
        <v>19801</v>
      </c>
      <c r="G19788">
        <v>1</v>
      </c>
    </row>
    <row r="19789" spans="1:7" x14ac:dyDescent="0.25">
      <c r="A19789">
        <v>63</v>
      </c>
      <c r="B19789" t="s">
        <v>19706</v>
      </c>
      <c r="C19789">
        <v>150956</v>
      </c>
      <c r="D19789" t="str">
        <f>"1077-825X"</f>
        <v>1077-825X</v>
      </c>
      <c r="E19789" t="s">
        <v>8</v>
      </c>
      <c r="F19789" t="s">
        <v>19802</v>
      </c>
      <c r="G19789">
        <v>1</v>
      </c>
    </row>
    <row r="19790" spans="1:7" x14ac:dyDescent="0.25">
      <c r="A19790">
        <v>63</v>
      </c>
      <c r="B19790" t="s">
        <v>19706</v>
      </c>
      <c r="C19790">
        <v>1126</v>
      </c>
      <c r="E19790" t="s">
        <v>8</v>
      </c>
      <c r="F19790" t="s">
        <v>19803</v>
      </c>
      <c r="G19790">
        <v>1</v>
      </c>
    </row>
    <row r="19791" spans="1:7" x14ac:dyDescent="0.25">
      <c r="A19791">
        <v>63</v>
      </c>
      <c r="B19791" t="s">
        <v>19706</v>
      </c>
      <c r="C19791">
        <v>16332</v>
      </c>
      <c r="D19791" t="str">
        <f>"0957-4042"</f>
        <v>0957-4042</v>
      </c>
      <c r="E19791" t="s">
        <v>8</v>
      </c>
      <c r="F19791" t="s">
        <v>19804</v>
      </c>
      <c r="G19791">
        <v>1</v>
      </c>
    </row>
    <row r="19792" spans="1:7" x14ac:dyDescent="0.25">
      <c r="A19792">
        <v>63</v>
      </c>
      <c r="B19792" t="s">
        <v>19706</v>
      </c>
      <c r="C19792">
        <v>5754</v>
      </c>
      <c r="D19792" t="str">
        <f>"0049-7878"</f>
        <v>0049-7878</v>
      </c>
      <c r="E19792" t="s">
        <v>8</v>
      </c>
      <c r="F19792" t="s">
        <v>19805</v>
      </c>
      <c r="G19792">
        <v>1</v>
      </c>
    </row>
    <row r="19793" spans="1:7" x14ac:dyDescent="0.25">
      <c r="A19793">
        <v>63</v>
      </c>
      <c r="B19793" t="s">
        <v>19706</v>
      </c>
      <c r="C19793">
        <v>18696</v>
      </c>
      <c r="D19793" t="str">
        <f>"0749-1409"</f>
        <v>0749-1409</v>
      </c>
      <c r="E19793" t="s">
        <v>8</v>
      </c>
      <c r="F19793" t="s">
        <v>19806</v>
      </c>
      <c r="G19793">
        <v>1</v>
      </c>
    </row>
    <row r="19794" spans="1:7" x14ac:dyDescent="0.25">
      <c r="A19794">
        <v>63</v>
      </c>
      <c r="B19794" t="s">
        <v>19706</v>
      </c>
      <c r="C19794">
        <v>14689</v>
      </c>
      <c r="D19794" t="str">
        <f>"0277-5395"</f>
        <v>0277-5395</v>
      </c>
      <c r="E19794" t="s">
        <v>8</v>
      </c>
      <c r="F19794" t="s">
        <v>19807</v>
      </c>
      <c r="G19794">
        <v>1</v>
      </c>
    </row>
    <row r="19795" spans="1:7" x14ac:dyDescent="0.25">
      <c r="A19795">
        <v>63</v>
      </c>
      <c r="B19795" t="s">
        <v>19706</v>
      </c>
      <c r="C19795">
        <v>9795</v>
      </c>
      <c r="D19795" t="str">
        <f>"0732-1562"</f>
        <v>0732-1562</v>
      </c>
      <c r="E19795" t="s">
        <v>8</v>
      </c>
      <c r="F19795" t="s">
        <v>19808</v>
      </c>
      <c r="G19795">
        <v>1</v>
      </c>
    </row>
    <row r="19796" spans="1:7" x14ac:dyDescent="0.25">
      <c r="A19796">
        <v>63</v>
      </c>
      <c r="B19796" t="s">
        <v>19706</v>
      </c>
      <c r="C19796">
        <v>16659</v>
      </c>
      <c r="D19796" t="str">
        <f>"0969-9082"</f>
        <v>0969-9082</v>
      </c>
      <c r="E19796" t="s">
        <v>8</v>
      </c>
      <c r="F19796" t="s">
        <v>19809</v>
      </c>
      <c r="G19796">
        <v>1</v>
      </c>
    </row>
    <row r="19797" spans="1:7" x14ac:dyDescent="0.25">
      <c r="A19797">
        <v>63</v>
      </c>
      <c r="B19797" t="s">
        <v>19706</v>
      </c>
      <c r="C19797">
        <v>26509</v>
      </c>
      <c r="D19797" t="str">
        <f>"1043-9366"</f>
        <v>1043-9366</v>
      </c>
      <c r="E19797" t="s">
        <v>8</v>
      </c>
      <c r="F19797" t="s">
        <v>19810</v>
      </c>
      <c r="G19797">
        <v>1</v>
      </c>
    </row>
    <row r="19798" spans="1:7" x14ac:dyDescent="0.25">
      <c r="A19798">
        <v>63</v>
      </c>
      <c r="B19798" t="s">
        <v>19706</v>
      </c>
      <c r="C19798">
        <v>18290</v>
      </c>
      <c r="D19798" t="str">
        <f>"0932-8114"</f>
        <v>0932-8114</v>
      </c>
      <c r="E19798" t="s">
        <v>8</v>
      </c>
      <c r="F19798" t="s">
        <v>19811</v>
      </c>
      <c r="G19798">
        <v>1</v>
      </c>
    </row>
    <row r="19799" spans="1:7" x14ac:dyDescent="0.25">
      <c r="A19799">
        <v>64</v>
      </c>
      <c r="B19799" t="s">
        <v>19812</v>
      </c>
      <c r="C19799">
        <v>5000376</v>
      </c>
      <c r="E19799" t="s">
        <v>2100</v>
      </c>
      <c r="F19799" t="s">
        <v>19813</v>
      </c>
      <c r="G19799">
        <v>2</v>
      </c>
    </row>
    <row r="19800" spans="1:7" x14ac:dyDescent="0.25">
      <c r="A19800">
        <v>64</v>
      </c>
      <c r="B19800" t="s">
        <v>19812</v>
      </c>
      <c r="C19800">
        <v>10034</v>
      </c>
      <c r="D19800" t="str">
        <f>"0003-8628"</f>
        <v>0003-8628</v>
      </c>
      <c r="E19800" t="s">
        <v>8</v>
      </c>
      <c r="F19800" t="s">
        <v>19814</v>
      </c>
      <c r="G19800">
        <v>2</v>
      </c>
    </row>
    <row r="19801" spans="1:7" x14ac:dyDescent="0.25">
      <c r="A19801">
        <v>64</v>
      </c>
      <c r="B19801" t="s">
        <v>19812</v>
      </c>
      <c r="C19801">
        <v>8290</v>
      </c>
      <c r="D19801" t="str">
        <f>"1359-1355"</f>
        <v>1359-1355</v>
      </c>
      <c r="E19801" t="s">
        <v>8</v>
      </c>
      <c r="F19801" t="s">
        <v>19815</v>
      </c>
      <c r="G19801">
        <v>2</v>
      </c>
    </row>
    <row r="19802" spans="1:7" x14ac:dyDescent="0.25">
      <c r="A19802">
        <v>64</v>
      </c>
      <c r="B19802" t="s">
        <v>19812</v>
      </c>
      <c r="C19802">
        <v>22147</v>
      </c>
      <c r="D19802" t="str">
        <f>"1936-0886"</f>
        <v>1936-0886</v>
      </c>
      <c r="E19802" t="s">
        <v>8</v>
      </c>
      <c r="F19802" t="s">
        <v>19816</v>
      </c>
      <c r="G19802">
        <v>2</v>
      </c>
    </row>
    <row r="19803" spans="1:7" x14ac:dyDescent="0.25">
      <c r="A19803">
        <v>64</v>
      </c>
      <c r="B19803" t="s">
        <v>19812</v>
      </c>
      <c r="C19803">
        <v>2085</v>
      </c>
      <c r="D19803" t="str">
        <f>"0264-2751"</f>
        <v>0264-2751</v>
      </c>
      <c r="E19803" t="s">
        <v>8</v>
      </c>
      <c r="F19803" t="s">
        <v>19817</v>
      </c>
      <c r="G19803">
        <v>2</v>
      </c>
    </row>
    <row r="19804" spans="1:7" x14ac:dyDescent="0.25">
      <c r="A19804">
        <v>64</v>
      </c>
      <c r="B19804" t="s">
        <v>19812</v>
      </c>
      <c r="C19804">
        <v>5455</v>
      </c>
      <c r="D19804" t="str">
        <f>"1360-4813"</f>
        <v>1360-4813</v>
      </c>
      <c r="E19804" t="s">
        <v>8</v>
      </c>
      <c r="F19804" t="s">
        <v>19818</v>
      </c>
      <c r="G19804">
        <v>2</v>
      </c>
    </row>
    <row r="19805" spans="1:7" x14ac:dyDescent="0.25">
      <c r="A19805">
        <v>64</v>
      </c>
      <c r="B19805" t="s">
        <v>19812</v>
      </c>
      <c r="C19805">
        <v>14656</v>
      </c>
      <c r="D19805" t="str">
        <f>"1571-0882"</f>
        <v>1571-0882</v>
      </c>
      <c r="E19805" t="s">
        <v>8</v>
      </c>
      <c r="F19805" t="s">
        <v>19819</v>
      </c>
      <c r="G19805">
        <v>2</v>
      </c>
    </row>
    <row r="19806" spans="1:7" x14ac:dyDescent="0.25">
      <c r="A19806">
        <v>64</v>
      </c>
      <c r="B19806" t="s">
        <v>19812</v>
      </c>
      <c r="C19806">
        <v>27036</v>
      </c>
      <c r="D19806" t="str">
        <f>"1754-7075"</f>
        <v>1754-7075</v>
      </c>
      <c r="E19806" t="s">
        <v>8</v>
      </c>
      <c r="F19806" t="s">
        <v>19820</v>
      </c>
      <c r="G19806">
        <v>2</v>
      </c>
    </row>
    <row r="19807" spans="1:7" x14ac:dyDescent="0.25">
      <c r="A19807">
        <v>64</v>
      </c>
      <c r="B19807" t="s">
        <v>19812</v>
      </c>
      <c r="C19807">
        <v>11594</v>
      </c>
      <c r="D19807" t="str">
        <f>"1360-1431"</f>
        <v>1360-1431</v>
      </c>
      <c r="E19807" t="s">
        <v>8</v>
      </c>
      <c r="F19807" t="s">
        <v>19821</v>
      </c>
      <c r="G19807">
        <v>2</v>
      </c>
    </row>
    <row r="19808" spans="1:7" x14ac:dyDescent="0.25">
      <c r="A19808">
        <v>64</v>
      </c>
      <c r="B19808" t="s">
        <v>19812</v>
      </c>
      <c r="C19808">
        <v>9872</v>
      </c>
      <c r="D19808" t="str">
        <f>"0747-9360"</f>
        <v>0747-9360</v>
      </c>
      <c r="E19808" t="s">
        <v>8</v>
      </c>
      <c r="F19808" t="s">
        <v>19822</v>
      </c>
      <c r="G19808">
        <v>2</v>
      </c>
    </row>
    <row r="19809" spans="1:7" x14ac:dyDescent="0.25">
      <c r="A19809">
        <v>64</v>
      </c>
      <c r="B19809" t="s">
        <v>19812</v>
      </c>
      <c r="C19809">
        <v>5010958</v>
      </c>
      <c r="E19809" t="s">
        <v>2100</v>
      </c>
      <c r="F19809" t="s">
        <v>19823</v>
      </c>
      <c r="G19809">
        <v>2</v>
      </c>
    </row>
    <row r="19810" spans="1:7" x14ac:dyDescent="0.25">
      <c r="A19810">
        <v>64</v>
      </c>
      <c r="B19810" t="s">
        <v>19812</v>
      </c>
      <c r="C19810">
        <v>11511</v>
      </c>
      <c r="D19810" t="str">
        <f>"0142-694X"</f>
        <v>0142-694X</v>
      </c>
      <c r="E19810" t="s">
        <v>8</v>
      </c>
      <c r="F19810" t="s">
        <v>19824</v>
      </c>
      <c r="G19810">
        <v>2</v>
      </c>
    </row>
    <row r="19811" spans="1:7" x14ac:dyDescent="0.25">
      <c r="A19811">
        <v>64</v>
      </c>
      <c r="B19811" t="s">
        <v>19812</v>
      </c>
      <c r="C19811">
        <v>4021</v>
      </c>
      <c r="D19811" t="str">
        <f>"2399-8083"</f>
        <v>2399-8083</v>
      </c>
      <c r="E19811" t="s">
        <v>8</v>
      </c>
      <c r="F19811" t="s">
        <v>19825</v>
      </c>
      <c r="G19811">
        <v>2</v>
      </c>
    </row>
    <row r="19812" spans="1:7" x14ac:dyDescent="0.25">
      <c r="A19812">
        <v>64</v>
      </c>
      <c r="B19812" t="s">
        <v>19812</v>
      </c>
      <c r="C19812">
        <v>15934</v>
      </c>
      <c r="D19812" t="str">
        <f>"1478-0771"</f>
        <v>1478-0771</v>
      </c>
      <c r="E19812" t="s">
        <v>8</v>
      </c>
      <c r="F19812" t="s">
        <v>19826</v>
      </c>
      <c r="G19812">
        <v>2</v>
      </c>
    </row>
    <row r="19813" spans="1:7" x14ac:dyDescent="0.25">
      <c r="A19813">
        <v>64</v>
      </c>
      <c r="B19813" t="s">
        <v>19812</v>
      </c>
      <c r="C19813">
        <v>2186</v>
      </c>
      <c r="D19813" t="str">
        <f>"1991-3761"</f>
        <v>1991-3761</v>
      </c>
      <c r="E19813" t="s">
        <v>8</v>
      </c>
      <c r="F19813" t="s">
        <v>19827</v>
      </c>
      <c r="G19813">
        <v>2</v>
      </c>
    </row>
    <row r="19814" spans="1:7" x14ac:dyDescent="0.25">
      <c r="A19814">
        <v>64</v>
      </c>
      <c r="B19814" t="s">
        <v>19812</v>
      </c>
      <c r="C19814">
        <v>10430</v>
      </c>
      <c r="D19814" t="str">
        <f>"1356-3475"</f>
        <v>1356-3475</v>
      </c>
      <c r="E19814" t="s">
        <v>8</v>
      </c>
      <c r="F19814" t="s">
        <v>19828</v>
      </c>
      <c r="G19814">
        <v>2</v>
      </c>
    </row>
    <row r="19815" spans="1:7" x14ac:dyDescent="0.25">
      <c r="A19815">
        <v>64</v>
      </c>
      <c r="B19815" t="s">
        <v>19812</v>
      </c>
      <c r="C19815">
        <v>13582</v>
      </c>
      <c r="D19815" t="str">
        <f>"0738-0895"</f>
        <v>0738-0895</v>
      </c>
      <c r="E19815" t="s">
        <v>8</v>
      </c>
      <c r="F19815" t="s">
        <v>19829</v>
      </c>
      <c r="G19815">
        <v>2</v>
      </c>
    </row>
    <row r="19816" spans="1:7" x14ac:dyDescent="0.25">
      <c r="A19816">
        <v>64</v>
      </c>
      <c r="B19816" t="s">
        <v>19812</v>
      </c>
      <c r="C19816">
        <v>9403</v>
      </c>
      <c r="D19816" t="str">
        <f>"1046-4883"</f>
        <v>1046-4883</v>
      </c>
      <c r="E19816" t="s">
        <v>8</v>
      </c>
      <c r="F19816" t="s">
        <v>19830</v>
      </c>
      <c r="G19816">
        <v>2</v>
      </c>
    </row>
    <row r="19817" spans="1:7" x14ac:dyDescent="0.25">
      <c r="A19817">
        <v>64</v>
      </c>
      <c r="B19817" t="s">
        <v>19812</v>
      </c>
      <c r="C19817">
        <v>3239</v>
      </c>
      <c r="D19817" t="str">
        <f>"1076-0431"</f>
        <v>1076-0431</v>
      </c>
      <c r="E19817" t="s">
        <v>8</v>
      </c>
      <c r="F19817" t="s">
        <v>19831</v>
      </c>
      <c r="G19817">
        <v>2</v>
      </c>
    </row>
    <row r="19818" spans="1:7" x14ac:dyDescent="0.25">
      <c r="A19818">
        <v>64</v>
      </c>
      <c r="B19818" t="s">
        <v>19812</v>
      </c>
      <c r="C19818">
        <v>11809</v>
      </c>
      <c r="D19818" t="str">
        <f>"0952-4649"</f>
        <v>0952-4649</v>
      </c>
      <c r="E19818" t="s">
        <v>8</v>
      </c>
      <c r="F19818" t="s">
        <v>19832</v>
      </c>
      <c r="G19818">
        <v>2</v>
      </c>
    </row>
    <row r="19819" spans="1:7" x14ac:dyDescent="0.25">
      <c r="A19819">
        <v>64</v>
      </c>
      <c r="B19819" t="s">
        <v>19812</v>
      </c>
      <c r="C19819">
        <v>15840</v>
      </c>
      <c r="D19819" t="str">
        <f>"1748-3050"</f>
        <v>1748-3050</v>
      </c>
      <c r="E19819" t="s">
        <v>8</v>
      </c>
      <c r="F19819" t="s">
        <v>19833</v>
      </c>
      <c r="G19819">
        <v>2</v>
      </c>
    </row>
    <row r="19820" spans="1:7" x14ac:dyDescent="0.25">
      <c r="A19820">
        <v>64</v>
      </c>
      <c r="B19820" t="s">
        <v>19812</v>
      </c>
      <c r="C19820">
        <v>5394</v>
      </c>
      <c r="D19820" t="str">
        <f>"1566-4910"</f>
        <v>1566-4910</v>
      </c>
      <c r="E19820" t="s">
        <v>8</v>
      </c>
      <c r="F19820" t="s">
        <v>19834</v>
      </c>
      <c r="G19820">
        <v>2</v>
      </c>
    </row>
    <row r="19821" spans="1:7" x14ac:dyDescent="0.25">
      <c r="A19821">
        <v>64</v>
      </c>
      <c r="B19821" t="s">
        <v>19812</v>
      </c>
      <c r="C19821">
        <v>14832</v>
      </c>
      <c r="D19821" t="str">
        <f>"1862-6033"</f>
        <v>1862-6033</v>
      </c>
      <c r="E19821" t="s">
        <v>8</v>
      </c>
      <c r="F19821" t="s">
        <v>19835</v>
      </c>
      <c r="G19821">
        <v>2</v>
      </c>
    </row>
    <row r="19822" spans="1:7" x14ac:dyDescent="0.25">
      <c r="A19822">
        <v>64</v>
      </c>
      <c r="B19822" t="s">
        <v>19812</v>
      </c>
      <c r="C19822">
        <v>8190</v>
      </c>
      <c r="D19822" t="str">
        <f>"0739-456X"</f>
        <v>0739-456X</v>
      </c>
      <c r="E19822" t="s">
        <v>8</v>
      </c>
      <c r="F19822" t="s">
        <v>19836</v>
      </c>
      <c r="G19822">
        <v>2</v>
      </c>
    </row>
    <row r="19823" spans="1:7" x14ac:dyDescent="0.25">
      <c r="A19823">
        <v>64</v>
      </c>
      <c r="B19823" t="s">
        <v>19812</v>
      </c>
      <c r="C19823">
        <v>7739</v>
      </c>
      <c r="D19823" t="str">
        <f>"0037-9808"</f>
        <v>0037-9808</v>
      </c>
      <c r="E19823" t="s">
        <v>8</v>
      </c>
      <c r="F19823" t="s">
        <v>19837</v>
      </c>
      <c r="G19823">
        <v>2</v>
      </c>
    </row>
    <row r="19824" spans="1:7" x14ac:dyDescent="0.25">
      <c r="A19824">
        <v>64</v>
      </c>
      <c r="B19824" t="s">
        <v>19812</v>
      </c>
      <c r="C19824">
        <v>16215</v>
      </c>
      <c r="D19824" t="str">
        <f>"1357-4809"</f>
        <v>1357-4809</v>
      </c>
      <c r="E19824" t="s">
        <v>8</v>
      </c>
      <c r="F19824" t="s">
        <v>19838</v>
      </c>
      <c r="G19824">
        <v>2</v>
      </c>
    </row>
    <row r="19825" spans="1:7" x14ac:dyDescent="0.25">
      <c r="A19825">
        <v>64</v>
      </c>
      <c r="B19825" t="s">
        <v>19812</v>
      </c>
      <c r="C19825">
        <v>4939</v>
      </c>
      <c r="D19825" t="str">
        <f>"1063-0732"</f>
        <v>1063-0732</v>
      </c>
      <c r="E19825" t="s">
        <v>8</v>
      </c>
      <c r="F19825" t="s">
        <v>19839</v>
      </c>
      <c r="G19825">
        <v>2</v>
      </c>
    </row>
    <row r="19826" spans="1:7" x14ac:dyDescent="0.25">
      <c r="A19826">
        <v>64</v>
      </c>
      <c r="B19826" t="s">
        <v>19812</v>
      </c>
      <c r="C19826">
        <v>24328</v>
      </c>
      <c r="D19826" t="str">
        <f>"1754-9175"</f>
        <v>1754-9175</v>
      </c>
      <c r="E19826" t="s">
        <v>8</v>
      </c>
      <c r="F19826" t="s">
        <v>19840</v>
      </c>
      <c r="G19826">
        <v>2</v>
      </c>
    </row>
    <row r="19827" spans="1:7" x14ac:dyDescent="0.25">
      <c r="A19827">
        <v>64</v>
      </c>
      <c r="B19827" t="s">
        <v>19812</v>
      </c>
      <c r="C19827">
        <v>10239</v>
      </c>
      <c r="D19827" t="str">
        <f>"0169-2046"</f>
        <v>0169-2046</v>
      </c>
      <c r="E19827" t="s">
        <v>8</v>
      </c>
      <c r="F19827" t="s">
        <v>19841</v>
      </c>
      <c r="G19827">
        <v>2</v>
      </c>
    </row>
    <row r="19828" spans="1:7" x14ac:dyDescent="0.25">
      <c r="A19828">
        <v>64</v>
      </c>
      <c r="B19828" t="s">
        <v>19812</v>
      </c>
      <c r="C19828">
        <v>1984</v>
      </c>
      <c r="D19828" t="str">
        <f>"0142-6397"</f>
        <v>0142-6397</v>
      </c>
      <c r="E19828" t="s">
        <v>8</v>
      </c>
      <c r="F19828" t="s">
        <v>19842</v>
      </c>
      <c r="G19828">
        <v>2</v>
      </c>
    </row>
    <row r="19829" spans="1:7" x14ac:dyDescent="0.25">
      <c r="A19829">
        <v>64</v>
      </c>
      <c r="B19829" t="s">
        <v>19812</v>
      </c>
      <c r="C19829">
        <v>5000079</v>
      </c>
      <c r="E19829" t="s">
        <v>2100</v>
      </c>
      <c r="F19829" t="s">
        <v>19843</v>
      </c>
      <c r="G19829">
        <v>2</v>
      </c>
    </row>
    <row r="19830" spans="1:7" x14ac:dyDescent="0.25">
      <c r="A19830">
        <v>64</v>
      </c>
      <c r="B19830" t="s">
        <v>19812</v>
      </c>
      <c r="C19830">
        <v>8354</v>
      </c>
      <c r="D19830" t="str">
        <f>"1893-5281"</f>
        <v>1893-5281</v>
      </c>
      <c r="E19830" t="s">
        <v>8</v>
      </c>
      <c r="F19830" t="s">
        <v>19844</v>
      </c>
      <c r="G19830">
        <v>2</v>
      </c>
    </row>
    <row r="19831" spans="1:7" x14ac:dyDescent="0.25">
      <c r="A19831">
        <v>64</v>
      </c>
      <c r="B19831" t="s">
        <v>19812</v>
      </c>
      <c r="C19831">
        <v>20288</v>
      </c>
      <c r="D19831" t="str">
        <f>"0169-6238"</f>
        <v>0169-6238</v>
      </c>
      <c r="E19831" t="s">
        <v>8</v>
      </c>
      <c r="F19831" t="s">
        <v>19845</v>
      </c>
      <c r="G19831">
        <v>2</v>
      </c>
    </row>
    <row r="19832" spans="1:7" x14ac:dyDescent="0.25">
      <c r="A19832">
        <v>64</v>
      </c>
      <c r="B19832" t="s">
        <v>19812</v>
      </c>
      <c r="C19832">
        <v>2731</v>
      </c>
      <c r="D19832" t="str">
        <f>"0269-7459"</f>
        <v>0269-7459</v>
      </c>
      <c r="E19832" t="s">
        <v>8</v>
      </c>
      <c r="F19832" t="s">
        <v>19846</v>
      </c>
      <c r="G19832">
        <v>2</v>
      </c>
    </row>
    <row r="19833" spans="1:7" x14ac:dyDescent="0.25">
      <c r="A19833">
        <v>64</v>
      </c>
      <c r="B19833" t="s">
        <v>19812</v>
      </c>
      <c r="C19833">
        <v>14446</v>
      </c>
      <c r="D19833" t="str">
        <f>"1473-0952"</f>
        <v>1473-0952</v>
      </c>
      <c r="E19833" t="s">
        <v>8</v>
      </c>
      <c r="F19833" t="s">
        <v>19847</v>
      </c>
      <c r="G19833">
        <v>2</v>
      </c>
    </row>
    <row r="19834" spans="1:7" x14ac:dyDescent="0.25">
      <c r="A19834">
        <v>64</v>
      </c>
      <c r="B19834" t="s">
        <v>19812</v>
      </c>
      <c r="C19834">
        <v>13564</v>
      </c>
      <c r="D19834" t="str">
        <f>"1464-9357"</f>
        <v>1464-9357</v>
      </c>
      <c r="E19834" t="s">
        <v>8</v>
      </c>
      <c r="F19834" t="s">
        <v>19848</v>
      </c>
      <c r="G19834">
        <v>2</v>
      </c>
    </row>
    <row r="19835" spans="1:7" x14ac:dyDescent="0.25">
      <c r="A19835">
        <v>64</v>
      </c>
      <c r="B19835" t="s">
        <v>19812</v>
      </c>
      <c r="C19835">
        <v>170381</v>
      </c>
      <c r="E19835" t="s">
        <v>15</v>
      </c>
      <c r="F19835" t="s">
        <v>19849</v>
      </c>
      <c r="G19835">
        <v>2</v>
      </c>
    </row>
    <row r="19836" spans="1:7" x14ac:dyDescent="0.25">
      <c r="A19836">
        <v>64</v>
      </c>
      <c r="B19836" t="s">
        <v>19812</v>
      </c>
      <c r="C19836">
        <v>7237</v>
      </c>
      <c r="D19836" t="str">
        <f>"1206-3312"</f>
        <v>1206-3312</v>
      </c>
      <c r="E19836" t="s">
        <v>8</v>
      </c>
      <c r="F19836" t="s">
        <v>19850</v>
      </c>
      <c r="G19836">
        <v>2</v>
      </c>
    </row>
    <row r="19837" spans="1:7" x14ac:dyDescent="0.25">
      <c r="A19837">
        <v>64</v>
      </c>
      <c r="B19837" t="s">
        <v>19812</v>
      </c>
      <c r="C19837">
        <v>16116</v>
      </c>
      <c r="D19837" t="str">
        <f>"1460-6925"</f>
        <v>1460-6925</v>
      </c>
      <c r="E19837" t="s">
        <v>8</v>
      </c>
      <c r="F19837" t="s">
        <v>19851</v>
      </c>
      <c r="G19837">
        <v>2</v>
      </c>
    </row>
    <row r="19838" spans="1:7" x14ac:dyDescent="0.25">
      <c r="A19838">
        <v>64</v>
      </c>
      <c r="B19838" t="s">
        <v>19812</v>
      </c>
      <c r="C19838">
        <v>8124</v>
      </c>
      <c r="D19838" t="str">
        <f>"1360-2365"</f>
        <v>1360-2365</v>
      </c>
      <c r="E19838" t="s">
        <v>8</v>
      </c>
      <c r="F19838" t="s">
        <v>19852</v>
      </c>
      <c r="G19838">
        <v>2</v>
      </c>
    </row>
    <row r="19839" spans="1:7" x14ac:dyDescent="0.25">
      <c r="A19839">
        <v>64</v>
      </c>
      <c r="B19839" t="s">
        <v>19812</v>
      </c>
      <c r="C19839">
        <v>2596</v>
      </c>
      <c r="D19839" t="str">
        <f>"0041-0020"</f>
        <v>0041-0020</v>
      </c>
      <c r="E19839" t="s">
        <v>8</v>
      </c>
      <c r="F19839" t="s">
        <v>19853</v>
      </c>
      <c r="G19839">
        <v>2</v>
      </c>
    </row>
    <row r="19840" spans="1:7" x14ac:dyDescent="0.25">
      <c r="A19840">
        <v>64</v>
      </c>
      <c r="B19840" t="s">
        <v>19812</v>
      </c>
      <c r="C19840">
        <v>449</v>
      </c>
      <c r="D19840" t="str">
        <f>"1078-0874"</f>
        <v>1078-0874</v>
      </c>
      <c r="E19840" t="s">
        <v>8</v>
      </c>
      <c r="F19840" t="s">
        <v>19854</v>
      </c>
      <c r="G19840">
        <v>2</v>
      </c>
    </row>
    <row r="19841" spans="1:7" x14ac:dyDescent="0.25">
      <c r="A19841">
        <v>64</v>
      </c>
      <c r="B19841" t="s">
        <v>19812</v>
      </c>
      <c r="C19841">
        <v>6744</v>
      </c>
      <c r="D19841" t="str">
        <f>"1357-5317"</f>
        <v>1357-5317</v>
      </c>
      <c r="E19841" t="s">
        <v>8</v>
      </c>
      <c r="F19841" t="s">
        <v>19855</v>
      </c>
      <c r="G19841">
        <v>2</v>
      </c>
    </row>
    <row r="19842" spans="1:7" x14ac:dyDescent="0.25">
      <c r="A19842">
        <v>64</v>
      </c>
      <c r="B19842" t="s">
        <v>19812</v>
      </c>
      <c r="C19842">
        <v>4532</v>
      </c>
      <c r="D19842" t="str">
        <f>"1618-8667"</f>
        <v>1618-8667</v>
      </c>
      <c r="E19842" t="s">
        <v>8</v>
      </c>
      <c r="F19842" t="s">
        <v>19856</v>
      </c>
      <c r="G19842">
        <v>2</v>
      </c>
    </row>
    <row r="19843" spans="1:7" x14ac:dyDescent="0.25">
      <c r="A19843">
        <v>64</v>
      </c>
      <c r="B19843" t="s">
        <v>19812</v>
      </c>
      <c r="C19843">
        <v>8782728</v>
      </c>
      <c r="E19843" t="s">
        <v>2100</v>
      </c>
      <c r="F19843" t="s">
        <v>19857</v>
      </c>
      <c r="G19843">
        <v>1</v>
      </c>
    </row>
    <row r="19844" spans="1:7" x14ac:dyDescent="0.25">
      <c r="A19844">
        <v>64</v>
      </c>
      <c r="B19844" t="s">
        <v>19812</v>
      </c>
      <c r="C19844">
        <v>8783050</v>
      </c>
      <c r="E19844" t="s">
        <v>2100</v>
      </c>
      <c r="F19844" t="s">
        <v>19858</v>
      </c>
      <c r="G19844">
        <v>1</v>
      </c>
    </row>
    <row r="19845" spans="1:7" x14ac:dyDescent="0.25">
      <c r="A19845">
        <v>64</v>
      </c>
      <c r="B19845" t="s">
        <v>19812</v>
      </c>
      <c r="C19845">
        <v>48379</v>
      </c>
      <c r="D19845" t="str">
        <f>"0901-0556"</f>
        <v>0901-0556</v>
      </c>
      <c r="E19845" t="s">
        <v>15</v>
      </c>
      <c r="F19845" t="s">
        <v>19859</v>
      </c>
      <c r="G19845">
        <v>1</v>
      </c>
    </row>
    <row r="19846" spans="1:7" x14ac:dyDescent="0.25">
      <c r="A19846">
        <v>64</v>
      </c>
      <c r="B19846" t="s">
        <v>19812</v>
      </c>
      <c r="C19846">
        <v>8783073</v>
      </c>
      <c r="E19846" t="s">
        <v>2100</v>
      </c>
      <c r="F19846" t="s">
        <v>9001</v>
      </c>
      <c r="G19846">
        <v>1</v>
      </c>
    </row>
    <row r="19847" spans="1:7" x14ac:dyDescent="0.25">
      <c r="A19847">
        <v>64</v>
      </c>
      <c r="B19847" t="s">
        <v>19812</v>
      </c>
      <c r="C19847">
        <v>8783393</v>
      </c>
      <c r="E19847" t="s">
        <v>8</v>
      </c>
      <c r="F19847" t="s">
        <v>19860</v>
      </c>
      <c r="G19847">
        <v>1</v>
      </c>
    </row>
    <row r="19848" spans="1:7" x14ac:dyDescent="0.25">
      <c r="A19848">
        <v>64</v>
      </c>
      <c r="B19848" t="s">
        <v>19812</v>
      </c>
      <c r="C19848">
        <v>180157</v>
      </c>
      <c r="E19848" t="s">
        <v>8</v>
      </c>
      <c r="F19848" t="s">
        <v>19861</v>
      </c>
      <c r="G19848">
        <v>1</v>
      </c>
    </row>
    <row r="19849" spans="1:7" x14ac:dyDescent="0.25">
      <c r="A19849">
        <v>64</v>
      </c>
      <c r="B19849" t="s">
        <v>19812</v>
      </c>
      <c r="C19849">
        <v>8782845</v>
      </c>
      <c r="E19849" t="s">
        <v>2100</v>
      </c>
      <c r="F19849" t="s">
        <v>19862</v>
      </c>
      <c r="G19849">
        <v>1</v>
      </c>
    </row>
    <row r="19850" spans="1:7" x14ac:dyDescent="0.25">
      <c r="A19850">
        <v>64</v>
      </c>
      <c r="B19850" t="s">
        <v>19812</v>
      </c>
      <c r="C19850">
        <v>154173</v>
      </c>
      <c r="D19850" t="str">
        <f>"1657-9763"</f>
        <v>1657-9763</v>
      </c>
      <c r="E19850" t="s">
        <v>8</v>
      </c>
      <c r="F19850" t="s">
        <v>19863</v>
      </c>
      <c r="G19850">
        <v>1</v>
      </c>
    </row>
    <row r="19851" spans="1:7" x14ac:dyDescent="0.25">
      <c r="A19851">
        <v>64</v>
      </c>
      <c r="B19851" t="s">
        <v>19812</v>
      </c>
      <c r="C19851">
        <v>8782846</v>
      </c>
      <c r="E19851" t="s">
        <v>2100</v>
      </c>
      <c r="F19851" t="s">
        <v>19864</v>
      </c>
      <c r="G19851">
        <v>1</v>
      </c>
    </row>
    <row r="19852" spans="1:7" x14ac:dyDescent="0.25">
      <c r="A19852">
        <v>64</v>
      </c>
      <c r="B19852" t="s">
        <v>19812</v>
      </c>
      <c r="C19852">
        <v>11654</v>
      </c>
      <c r="D19852" t="str">
        <f>"0066-622X"</f>
        <v>0066-622X</v>
      </c>
      <c r="E19852" t="s">
        <v>8</v>
      </c>
      <c r="F19852" t="s">
        <v>19865</v>
      </c>
      <c r="G19852">
        <v>1</v>
      </c>
    </row>
    <row r="19853" spans="1:7" x14ac:dyDescent="0.25">
      <c r="A19853">
        <v>64</v>
      </c>
      <c r="B19853" t="s">
        <v>19812</v>
      </c>
      <c r="C19853">
        <v>8782851</v>
      </c>
      <c r="D19853" t="str">
        <f>"2452-2481"</f>
        <v>2452-2481</v>
      </c>
      <c r="E19853" t="s">
        <v>15</v>
      </c>
      <c r="F19853" t="s">
        <v>19866</v>
      </c>
      <c r="G19853">
        <v>1</v>
      </c>
    </row>
    <row r="19854" spans="1:7" x14ac:dyDescent="0.25">
      <c r="A19854">
        <v>64</v>
      </c>
      <c r="B19854" t="s">
        <v>19812</v>
      </c>
      <c r="C19854">
        <v>8783511</v>
      </c>
      <c r="E19854" t="s">
        <v>8</v>
      </c>
      <c r="F19854" t="s">
        <v>19867</v>
      </c>
      <c r="G19854">
        <v>1</v>
      </c>
    </row>
    <row r="19855" spans="1:7" x14ac:dyDescent="0.25">
      <c r="A19855">
        <v>64</v>
      </c>
      <c r="B19855" t="s">
        <v>19812</v>
      </c>
      <c r="C19855">
        <v>20354</v>
      </c>
      <c r="D19855" t="str">
        <f>"1326-4826"</f>
        <v>1326-4826</v>
      </c>
      <c r="E19855" t="s">
        <v>8</v>
      </c>
      <c r="F19855" t="s">
        <v>19868</v>
      </c>
      <c r="G19855">
        <v>1</v>
      </c>
    </row>
    <row r="19856" spans="1:7" x14ac:dyDescent="0.25">
      <c r="A19856">
        <v>64</v>
      </c>
      <c r="B19856" t="s">
        <v>19812</v>
      </c>
      <c r="C19856">
        <v>7739081</v>
      </c>
      <c r="D19856" t="str">
        <f>"2050-7828"</f>
        <v>2050-7828</v>
      </c>
      <c r="E19856" t="s">
        <v>8</v>
      </c>
      <c r="F19856" t="s">
        <v>19869</v>
      </c>
      <c r="G19856">
        <v>1</v>
      </c>
    </row>
    <row r="19857" spans="1:7" x14ac:dyDescent="0.25">
      <c r="A19857">
        <v>64</v>
      </c>
      <c r="B19857" t="s">
        <v>19812</v>
      </c>
      <c r="C19857">
        <v>93593</v>
      </c>
      <c r="D19857" t="str">
        <f>"1887-7052"</f>
        <v>1887-7052</v>
      </c>
      <c r="E19857" t="s">
        <v>8</v>
      </c>
      <c r="F19857" t="s">
        <v>19870</v>
      </c>
      <c r="G19857">
        <v>1</v>
      </c>
    </row>
    <row r="19858" spans="1:7" x14ac:dyDescent="0.25">
      <c r="A19858">
        <v>64</v>
      </c>
      <c r="B19858" t="s">
        <v>19812</v>
      </c>
      <c r="C19858">
        <v>7742185</v>
      </c>
      <c r="D19858" t="str">
        <f>"2050-9006"</f>
        <v>2050-9006</v>
      </c>
      <c r="E19858" t="s">
        <v>8</v>
      </c>
      <c r="F19858" t="s">
        <v>19871</v>
      </c>
      <c r="G19858">
        <v>1</v>
      </c>
    </row>
    <row r="19859" spans="1:7" x14ac:dyDescent="0.25">
      <c r="A19859">
        <v>64</v>
      </c>
      <c r="B19859" t="s">
        <v>19812</v>
      </c>
      <c r="C19859">
        <v>108814</v>
      </c>
      <c r="D19859" t="str">
        <f>"2631-6862"</f>
        <v>2631-6862</v>
      </c>
      <c r="E19859" t="s">
        <v>8</v>
      </c>
      <c r="F19859" t="s">
        <v>19872</v>
      </c>
      <c r="G19859">
        <v>1</v>
      </c>
    </row>
    <row r="19860" spans="1:7" x14ac:dyDescent="0.25">
      <c r="A19860">
        <v>64</v>
      </c>
      <c r="B19860" t="s">
        <v>19812</v>
      </c>
      <c r="C19860">
        <v>8778964</v>
      </c>
      <c r="E19860" t="s">
        <v>8</v>
      </c>
      <c r="F19860" t="s">
        <v>19873</v>
      </c>
      <c r="G19860">
        <v>1</v>
      </c>
    </row>
    <row r="19861" spans="1:7" x14ac:dyDescent="0.25">
      <c r="A19861">
        <v>64</v>
      </c>
      <c r="B19861" t="s">
        <v>19812</v>
      </c>
      <c r="C19861">
        <v>2295</v>
      </c>
      <c r="D19861" t="str">
        <f>"1504-7628"</f>
        <v>1504-7628</v>
      </c>
      <c r="E19861" t="s">
        <v>8</v>
      </c>
      <c r="F19861" t="s">
        <v>19874</v>
      </c>
      <c r="G19861">
        <v>1</v>
      </c>
    </row>
    <row r="19862" spans="1:7" x14ac:dyDescent="0.25">
      <c r="A19862">
        <v>64</v>
      </c>
      <c r="B19862" t="s">
        <v>19812</v>
      </c>
      <c r="C19862">
        <v>170379</v>
      </c>
      <c r="D19862" t="str">
        <f>"1904-3732"</f>
        <v>1904-3732</v>
      </c>
      <c r="E19862" t="s">
        <v>15</v>
      </c>
      <c r="F19862" t="s">
        <v>19875</v>
      </c>
      <c r="G19862">
        <v>1</v>
      </c>
    </row>
    <row r="19863" spans="1:7" x14ac:dyDescent="0.25">
      <c r="A19863">
        <v>64</v>
      </c>
      <c r="B19863" t="s">
        <v>19812</v>
      </c>
      <c r="C19863">
        <v>14243</v>
      </c>
      <c r="D19863" t="str">
        <f>"1749-3463"</f>
        <v>1749-3463</v>
      </c>
      <c r="E19863" t="s">
        <v>8</v>
      </c>
      <c r="F19863" t="s">
        <v>19876</v>
      </c>
      <c r="G19863">
        <v>1</v>
      </c>
    </row>
    <row r="19864" spans="1:7" x14ac:dyDescent="0.25">
      <c r="A19864">
        <v>64</v>
      </c>
      <c r="B19864" t="s">
        <v>19812</v>
      </c>
      <c r="C19864">
        <v>15813</v>
      </c>
      <c r="D19864" t="str">
        <f>"0263-7960"</f>
        <v>0263-7960</v>
      </c>
      <c r="E19864" t="s">
        <v>8</v>
      </c>
      <c r="F19864" t="s">
        <v>19877</v>
      </c>
      <c r="G19864">
        <v>1</v>
      </c>
    </row>
    <row r="19865" spans="1:7" x14ac:dyDescent="0.25">
      <c r="A19865">
        <v>64</v>
      </c>
      <c r="B19865" t="s">
        <v>19812</v>
      </c>
      <c r="C19865">
        <v>160034</v>
      </c>
      <c r="D19865" t="str">
        <f>"1869-6465"</f>
        <v>1869-6465</v>
      </c>
      <c r="E19865" t="s">
        <v>8</v>
      </c>
      <c r="F19865" t="s">
        <v>19878</v>
      </c>
      <c r="G19865">
        <v>1</v>
      </c>
    </row>
    <row r="19866" spans="1:7" x14ac:dyDescent="0.25">
      <c r="A19866">
        <v>64</v>
      </c>
      <c r="B19866" t="s">
        <v>19812</v>
      </c>
      <c r="C19866">
        <v>8783680</v>
      </c>
      <c r="E19866" t="s">
        <v>15</v>
      </c>
      <c r="F19866" t="s">
        <v>19879</v>
      </c>
      <c r="G19866">
        <v>1</v>
      </c>
    </row>
    <row r="19867" spans="1:7" x14ac:dyDescent="0.25">
      <c r="A19867">
        <v>64</v>
      </c>
      <c r="B19867" t="s">
        <v>19812</v>
      </c>
      <c r="C19867">
        <v>13847</v>
      </c>
      <c r="D19867" t="str">
        <f>"1198-449X"</f>
        <v>1198-449X</v>
      </c>
      <c r="E19867" t="s">
        <v>8</v>
      </c>
      <c r="F19867" t="s">
        <v>19880</v>
      </c>
      <c r="G19867">
        <v>1</v>
      </c>
    </row>
    <row r="19868" spans="1:7" x14ac:dyDescent="0.25">
      <c r="A19868">
        <v>64</v>
      </c>
      <c r="B19868" t="s">
        <v>19812</v>
      </c>
      <c r="C19868">
        <v>8783072</v>
      </c>
      <c r="D19868" t="str">
        <f>"2374-8834"</f>
        <v>2374-8834</v>
      </c>
      <c r="E19868" t="s">
        <v>8</v>
      </c>
      <c r="F19868" t="s">
        <v>19881</v>
      </c>
      <c r="G19868">
        <v>1</v>
      </c>
    </row>
    <row r="19869" spans="1:7" x14ac:dyDescent="0.25">
      <c r="A19869">
        <v>64</v>
      </c>
      <c r="B19869" t="s">
        <v>19812</v>
      </c>
      <c r="C19869">
        <v>170380</v>
      </c>
      <c r="E19869" t="s">
        <v>8</v>
      </c>
      <c r="F19869" t="s">
        <v>19882</v>
      </c>
      <c r="G19869">
        <v>1</v>
      </c>
    </row>
    <row r="19870" spans="1:7" x14ac:dyDescent="0.25">
      <c r="A19870">
        <v>64</v>
      </c>
      <c r="B19870" t="s">
        <v>19812</v>
      </c>
      <c r="C19870">
        <v>8783512</v>
      </c>
      <c r="E19870" t="s">
        <v>2100</v>
      </c>
      <c r="F19870" t="s">
        <v>19883</v>
      </c>
      <c r="G19870">
        <v>1</v>
      </c>
    </row>
    <row r="19871" spans="1:7" x14ac:dyDescent="0.25">
      <c r="A19871">
        <v>64</v>
      </c>
      <c r="B19871" t="s">
        <v>19812</v>
      </c>
      <c r="C19871">
        <v>7537</v>
      </c>
      <c r="D19871" t="str">
        <f>"0010-4485"</f>
        <v>0010-4485</v>
      </c>
      <c r="E19871" t="s">
        <v>8</v>
      </c>
      <c r="F19871" t="s">
        <v>19884</v>
      </c>
      <c r="G19871">
        <v>1</v>
      </c>
    </row>
    <row r="19872" spans="1:7" x14ac:dyDescent="0.25">
      <c r="A19872">
        <v>64</v>
      </c>
      <c r="B19872" t="s">
        <v>19812</v>
      </c>
      <c r="C19872">
        <v>6072578</v>
      </c>
      <c r="D19872" t="str">
        <f>"1974-4951"</f>
        <v>1974-4951</v>
      </c>
      <c r="E19872" t="s">
        <v>8</v>
      </c>
      <c r="F19872" t="s">
        <v>19885</v>
      </c>
      <c r="G19872">
        <v>1</v>
      </c>
    </row>
    <row r="19873" spans="1:7" x14ac:dyDescent="0.25">
      <c r="A19873">
        <v>64</v>
      </c>
      <c r="B19873" t="s">
        <v>19812</v>
      </c>
      <c r="C19873">
        <v>8761040</v>
      </c>
      <c r="D19873" t="str">
        <f>"2279-8986"</f>
        <v>2279-8986</v>
      </c>
      <c r="E19873" t="s">
        <v>8</v>
      </c>
      <c r="F19873" t="s">
        <v>19886</v>
      </c>
      <c r="G19873">
        <v>1</v>
      </c>
    </row>
    <row r="19874" spans="1:7" x14ac:dyDescent="0.25">
      <c r="A19874">
        <v>64</v>
      </c>
      <c r="B19874" t="s">
        <v>19812</v>
      </c>
      <c r="C19874">
        <v>170383</v>
      </c>
      <c r="E19874" t="s">
        <v>15</v>
      </c>
      <c r="F19874" t="s">
        <v>19887</v>
      </c>
      <c r="G19874">
        <v>1</v>
      </c>
    </row>
    <row r="19875" spans="1:7" x14ac:dyDescent="0.25">
      <c r="A19875">
        <v>64</v>
      </c>
      <c r="B19875" t="s">
        <v>19812</v>
      </c>
      <c r="C19875">
        <v>7722039</v>
      </c>
      <c r="D19875" t="str">
        <f>"2171-956X"</f>
        <v>2171-956X</v>
      </c>
      <c r="E19875" t="s">
        <v>8</v>
      </c>
      <c r="F19875" t="s">
        <v>19888</v>
      </c>
      <c r="G19875">
        <v>1</v>
      </c>
    </row>
    <row r="19876" spans="1:7" x14ac:dyDescent="0.25">
      <c r="A19876">
        <v>64</v>
      </c>
      <c r="B19876" t="s">
        <v>19812</v>
      </c>
      <c r="C19876">
        <v>99758</v>
      </c>
      <c r="D19876" t="str">
        <f>"1465-4121"</f>
        <v>1465-4121</v>
      </c>
      <c r="E19876" t="s">
        <v>8</v>
      </c>
      <c r="F19876" t="s">
        <v>19889</v>
      </c>
      <c r="G19876">
        <v>1</v>
      </c>
    </row>
    <row r="19877" spans="1:7" x14ac:dyDescent="0.25">
      <c r="A19877">
        <v>64</v>
      </c>
      <c r="B19877" t="s">
        <v>19812</v>
      </c>
      <c r="C19877">
        <v>8782729</v>
      </c>
      <c r="E19877" t="s">
        <v>2100</v>
      </c>
      <c r="F19877" t="s">
        <v>19890</v>
      </c>
      <c r="G19877">
        <v>1</v>
      </c>
    </row>
    <row r="19878" spans="1:7" x14ac:dyDescent="0.25">
      <c r="A19878">
        <v>64</v>
      </c>
      <c r="B19878" t="s">
        <v>19812</v>
      </c>
      <c r="C19878">
        <v>11083</v>
      </c>
      <c r="D19878" t="str">
        <f>"1456-307X"</f>
        <v>1456-307X</v>
      </c>
      <c r="E19878" t="s">
        <v>8</v>
      </c>
      <c r="F19878" t="s">
        <v>19891</v>
      </c>
      <c r="G19878">
        <v>1</v>
      </c>
    </row>
    <row r="19879" spans="1:7" x14ac:dyDescent="0.25">
      <c r="A19879">
        <v>64</v>
      </c>
      <c r="B19879" t="s">
        <v>19812</v>
      </c>
      <c r="C19879">
        <v>71708</v>
      </c>
      <c r="D19879" t="str">
        <f>"2011-3188"</f>
        <v>2011-3188</v>
      </c>
      <c r="E19879" t="s">
        <v>8</v>
      </c>
      <c r="F19879" t="s">
        <v>19892</v>
      </c>
      <c r="G19879">
        <v>1</v>
      </c>
    </row>
    <row r="19880" spans="1:7" x14ac:dyDescent="0.25">
      <c r="A19880">
        <v>64</v>
      </c>
      <c r="B19880" t="s">
        <v>19812</v>
      </c>
      <c r="C19880">
        <v>8783681</v>
      </c>
      <c r="E19880" t="s">
        <v>15</v>
      </c>
      <c r="F19880" t="s">
        <v>19893</v>
      </c>
      <c r="G19880">
        <v>1</v>
      </c>
    </row>
    <row r="19881" spans="1:7" x14ac:dyDescent="0.25">
      <c r="A19881">
        <v>64</v>
      </c>
      <c r="B19881" t="s">
        <v>19812</v>
      </c>
      <c r="C19881">
        <v>160035</v>
      </c>
      <c r="D19881" t="str">
        <f>"2043-068X"</f>
        <v>2043-068X</v>
      </c>
      <c r="E19881" t="s">
        <v>8</v>
      </c>
      <c r="F19881" t="s">
        <v>19894</v>
      </c>
      <c r="G19881">
        <v>1</v>
      </c>
    </row>
    <row r="19882" spans="1:7" x14ac:dyDescent="0.25">
      <c r="A19882">
        <v>64</v>
      </c>
      <c r="B19882" t="s">
        <v>19812</v>
      </c>
      <c r="C19882">
        <v>154333</v>
      </c>
      <c r="D19882" t="str">
        <f>"1942-5074"</f>
        <v>1942-5074</v>
      </c>
      <c r="E19882" t="s">
        <v>8</v>
      </c>
      <c r="F19882" t="s">
        <v>19895</v>
      </c>
      <c r="G19882">
        <v>1</v>
      </c>
    </row>
    <row r="19883" spans="1:7" x14ac:dyDescent="0.25">
      <c r="A19883">
        <v>64</v>
      </c>
      <c r="B19883" t="s">
        <v>19812</v>
      </c>
      <c r="C19883">
        <v>12343</v>
      </c>
      <c r="D19883" t="str">
        <f>"1833-1874"</f>
        <v>1833-1874</v>
      </c>
      <c r="E19883" t="s">
        <v>8</v>
      </c>
      <c r="F19883" t="s">
        <v>19896</v>
      </c>
      <c r="G19883">
        <v>1</v>
      </c>
    </row>
    <row r="19884" spans="1:7" x14ac:dyDescent="0.25">
      <c r="A19884">
        <v>64</v>
      </c>
      <c r="B19884" t="s">
        <v>19812</v>
      </c>
      <c r="C19884">
        <v>8783115</v>
      </c>
      <c r="E19884" t="s">
        <v>2100</v>
      </c>
      <c r="F19884" t="s">
        <v>19897</v>
      </c>
      <c r="G19884">
        <v>1</v>
      </c>
    </row>
    <row r="19885" spans="1:7" x14ac:dyDescent="0.25">
      <c r="A19885">
        <v>64</v>
      </c>
      <c r="B19885" t="s">
        <v>19812</v>
      </c>
      <c r="C19885">
        <v>8783682</v>
      </c>
      <c r="E19885" t="s">
        <v>15</v>
      </c>
      <c r="F19885" t="s">
        <v>19898</v>
      </c>
      <c r="G19885">
        <v>1</v>
      </c>
    </row>
    <row r="19886" spans="1:7" x14ac:dyDescent="0.25">
      <c r="A19886">
        <v>64</v>
      </c>
      <c r="B19886" t="s">
        <v>19812</v>
      </c>
      <c r="C19886">
        <v>7701493</v>
      </c>
      <c r="D19886" t="str">
        <f>"1828-5961"</f>
        <v>1828-5961</v>
      </c>
      <c r="E19886" t="s">
        <v>8</v>
      </c>
      <c r="F19886" t="s">
        <v>19899</v>
      </c>
      <c r="G19886">
        <v>1</v>
      </c>
    </row>
    <row r="19887" spans="1:7" x14ac:dyDescent="0.25">
      <c r="A19887">
        <v>64</v>
      </c>
      <c r="B19887" t="s">
        <v>19812</v>
      </c>
      <c r="C19887">
        <v>54528</v>
      </c>
      <c r="D19887" t="str">
        <f>"0251-3625"</f>
        <v>0251-3625</v>
      </c>
      <c r="E19887" t="s">
        <v>8</v>
      </c>
      <c r="F19887" t="s">
        <v>19900</v>
      </c>
      <c r="G19887">
        <v>1</v>
      </c>
    </row>
    <row r="19888" spans="1:7" x14ac:dyDescent="0.25">
      <c r="A19888">
        <v>64</v>
      </c>
      <c r="B19888" t="s">
        <v>19812</v>
      </c>
      <c r="C19888">
        <v>5020010</v>
      </c>
      <c r="E19888" t="s">
        <v>2100</v>
      </c>
      <c r="F19888" t="s">
        <v>19901</v>
      </c>
      <c r="G19888">
        <v>1</v>
      </c>
    </row>
    <row r="19889" spans="1:7" x14ac:dyDescent="0.25">
      <c r="A19889">
        <v>64</v>
      </c>
      <c r="B19889" t="s">
        <v>19812</v>
      </c>
      <c r="C19889">
        <v>14971</v>
      </c>
      <c r="D19889" t="str">
        <f>"0013-1245"</f>
        <v>0013-1245</v>
      </c>
      <c r="E19889" t="s">
        <v>8</v>
      </c>
      <c r="F19889" t="s">
        <v>19902</v>
      </c>
      <c r="G19889">
        <v>1</v>
      </c>
    </row>
    <row r="19890" spans="1:7" x14ac:dyDescent="0.25">
      <c r="A19890">
        <v>64</v>
      </c>
      <c r="B19890" t="s">
        <v>19812</v>
      </c>
      <c r="C19890">
        <v>6891</v>
      </c>
      <c r="D19890" t="str">
        <f>"1064-8046"</f>
        <v>1064-8046</v>
      </c>
      <c r="E19890" t="s">
        <v>8</v>
      </c>
      <c r="F19890" t="s">
        <v>19903</v>
      </c>
      <c r="G19890">
        <v>1</v>
      </c>
    </row>
    <row r="19891" spans="1:7" x14ac:dyDescent="0.25">
      <c r="A19891">
        <v>64</v>
      </c>
      <c r="B19891" t="s">
        <v>19812</v>
      </c>
      <c r="C19891">
        <v>5010950</v>
      </c>
      <c r="E19891" t="s">
        <v>2100</v>
      </c>
      <c r="F19891" t="s">
        <v>19904</v>
      </c>
      <c r="G19891">
        <v>1</v>
      </c>
    </row>
    <row r="19892" spans="1:7" x14ac:dyDescent="0.25">
      <c r="A19892">
        <v>64</v>
      </c>
      <c r="B19892" t="s">
        <v>19812</v>
      </c>
      <c r="C19892">
        <v>11577</v>
      </c>
      <c r="D19892" t="str">
        <f>"0263-2772"</f>
        <v>0263-2772</v>
      </c>
      <c r="E19892" t="s">
        <v>8</v>
      </c>
      <c r="F19892" t="s">
        <v>19905</v>
      </c>
      <c r="G19892">
        <v>1</v>
      </c>
    </row>
    <row r="19893" spans="1:7" x14ac:dyDescent="0.25">
      <c r="A19893">
        <v>64</v>
      </c>
      <c r="B19893" t="s">
        <v>19812</v>
      </c>
      <c r="C19893">
        <v>6110572</v>
      </c>
      <c r="D19893" t="str">
        <f>"1756-9370"</f>
        <v>1756-9370</v>
      </c>
      <c r="E19893" t="s">
        <v>8</v>
      </c>
      <c r="F19893" t="s">
        <v>19906</v>
      </c>
      <c r="G19893">
        <v>1</v>
      </c>
    </row>
    <row r="19894" spans="1:7" x14ac:dyDescent="0.25">
      <c r="A19894">
        <v>64</v>
      </c>
      <c r="B19894" t="s">
        <v>19812</v>
      </c>
      <c r="C19894">
        <v>14715</v>
      </c>
      <c r="D19894" t="str">
        <f>"1362-704X"</f>
        <v>1362-704X</v>
      </c>
      <c r="E19894" t="s">
        <v>8</v>
      </c>
      <c r="F19894" t="s">
        <v>19907</v>
      </c>
      <c r="G19894">
        <v>1</v>
      </c>
    </row>
    <row r="19895" spans="1:7" x14ac:dyDescent="0.25">
      <c r="A19895">
        <v>64</v>
      </c>
      <c r="B19895" t="s">
        <v>19812</v>
      </c>
      <c r="C19895">
        <v>6116950</v>
      </c>
      <c r="D19895" t="str">
        <f>"1875-1504"</f>
        <v>1875-1504</v>
      </c>
      <c r="E19895" t="s">
        <v>8</v>
      </c>
      <c r="F19895" t="s">
        <v>19908</v>
      </c>
      <c r="G19895">
        <v>1</v>
      </c>
    </row>
    <row r="19896" spans="1:7" x14ac:dyDescent="0.25">
      <c r="A19896">
        <v>64</v>
      </c>
      <c r="B19896" t="s">
        <v>19812</v>
      </c>
      <c r="C19896">
        <v>8762552</v>
      </c>
      <c r="D19896" t="str">
        <f>"2095-2635"</f>
        <v>2095-2635</v>
      </c>
      <c r="E19896" t="s">
        <v>8</v>
      </c>
      <c r="F19896" t="s">
        <v>19909</v>
      </c>
      <c r="G19896">
        <v>1</v>
      </c>
    </row>
    <row r="19897" spans="1:7" x14ac:dyDescent="0.25">
      <c r="A19897">
        <v>64</v>
      </c>
      <c r="B19897" t="s">
        <v>19812</v>
      </c>
      <c r="C19897">
        <v>2955</v>
      </c>
      <c r="D19897" t="str">
        <f>"0016-3058"</f>
        <v>0016-3058</v>
      </c>
      <c r="E19897" t="s">
        <v>8</v>
      </c>
      <c r="F19897" t="s">
        <v>19910</v>
      </c>
      <c r="G19897">
        <v>1</v>
      </c>
    </row>
    <row r="19898" spans="1:7" x14ac:dyDescent="0.25">
      <c r="A19898">
        <v>64</v>
      </c>
      <c r="B19898" t="s">
        <v>19812</v>
      </c>
      <c r="C19898">
        <v>24434</v>
      </c>
      <c r="D19898" t="str">
        <f>"0307-1243"</f>
        <v>0307-1243</v>
      </c>
      <c r="E19898" t="s">
        <v>8</v>
      </c>
      <c r="F19898" t="s">
        <v>19911</v>
      </c>
      <c r="G19898">
        <v>1</v>
      </c>
    </row>
    <row r="19899" spans="1:7" x14ac:dyDescent="0.25">
      <c r="A19899">
        <v>64</v>
      </c>
      <c r="B19899" t="s">
        <v>19812</v>
      </c>
      <c r="C19899">
        <v>13736</v>
      </c>
      <c r="D19899" t="str">
        <f>"1474-6832"</f>
        <v>1474-6832</v>
      </c>
      <c r="E19899" t="s">
        <v>8</v>
      </c>
      <c r="F19899" t="s">
        <v>19912</v>
      </c>
      <c r="G19899">
        <v>1</v>
      </c>
    </row>
    <row r="19900" spans="1:7" x14ac:dyDescent="0.25">
      <c r="A19900">
        <v>64</v>
      </c>
      <c r="B19900" t="s">
        <v>19812</v>
      </c>
      <c r="C19900">
        <v>4120</v>
      </c>
      <c r="D19900" t="str">
        <f>"1051-1482"</f>
        <v>1051-1482</v>
      </c>
      <c r="E19900" t="s">
        <v>8</v>
      </c>
      <c r="F19900" t="s">
        <v>19913</v>
      </c>
      <c r="G19900">
        <v>1</v>
      </c>
    </row>
    <row r="19901" spans="1:7" x14ac:dyDescent="0.25">
      <c r="A19901">
        <v>64</v>
      </c>
      <c r="B19901" t="s">
        <v>19812</v>
      </c>
      <c r="C19901">
        <v>2290</v>
      </c>
      <c r="D19901" t="str">
        <f>"1403-6096"</f>
        <v>1403-6096</v>
      </c>
      <c r="E19901" t="s">
        <v>8</v>
      </c>
      <c r="F19901" t="s">
        <v>19914</v>
      </c>
      <c r="G19901">
        <v>1</v>
      </c>
    </row>
    <row r="19902" spans="1:7" x14ac:dyDescent="0.25">
      <c r="A19902">
        <v>64</v>
      </c>
      <c r="B19902" t="s">
        <v>19812</v>
      </c>
      <c r="C19902">
        <v>170377</v>
      </c>
      <c r="E19902" t="s">
        <v>15</v>
      </c>
      <c r="F19902" t="s">
        <v>19915</v>
      </c>
      <c r="G19902">
        <v>1</v>
      </c>
    </row>
    <row r="19903" spans="1:7" x14ac:dyDescent="0.25">
      <c r="A19903">
        <v>64</v>
      </c>
      <c r="B19903" t="s">
        <v>19812</v>
      </c>
      <c r="C19903">
        <v>6155168</v>
      </c>
      <c r="D19903" t="str">
        <f>"2041-9112"</f>
        <v>2041-9112</v>
      </c>
      <c r="E19903" t="s">
        <v>8</v>
      </c>
      <c r="F19903" t="s">
        <v>19916</v>
      </c>
      <c r="G19903">
        <v>1</v>
      </c>
    </row>
    <row r="19904" spans="1:7" x14ac:dyDescent="0.25">
      <c r="A19904">
        <v>64</v>
      </c>
      <c r="B19904" t="s">
        <v>19812</v>
      </c>
      <c r="C19904">
        <v>7483</v>
      </c>
      <c r="D19904" t="str">
        <f>"1568-4474"</f>
        <v>1568-4474</v>
      </c>
      <c r="E19904" t="s">
        <v>15</v>
      </c>
      <c r="F19904" t="s">
        <v>19917</v>
      </c>
      <c r="G19904">
        <v>1</v>
      </c>
    </row>
    <row r="19905" spans="1:7" x14ac:dyDescent="0.25">
      <c r="A19905">
        <v>64</v>
      </c>
      <c r="B19905" t="s">
        <v>19812</v>
      </c>
      <c r="C19905">
        <v>8782837</v>
      </c>
      <c r="D19905" t="str">
        <f>"2329-9339"</f>
        <v>2329-9339</v>
      </c>
      <c r="E19905" t="s">
        <v>2100</v>
      </c>
      <c r="F19905" t="s">
        <v>19918</v>
      </c>
      <c r="G19905">
        <v>1</v>
      </c>
    </row>
    <row r="19906" spans="1:7" x14ac:dyDescent="0.25">
      <c r="A19906">
        <v>64</v>
      </c>
      <c r="B19906" t="s">
        <v>19812</v>
      </c>
      <c r="C19906">
        <v>8782727</v>
      </c>
      <c r="E19906" t="s">
        <v>2100</v>
      </c>
      <c r="F19906" t="s">
        <v>19919</v>
      </c>
      <c r="G19906">
        <v>1</v>
      </c>
    </row>
    <row r="19907" spans="1:7" x14ac:dyDescent="0.25">
      <c r="A19907">
        <v>64</v>
      </c>
      <c r="B19907" t="s">
        <v>19812</v>
      </c>
      <c r="C19907">
        <v>8782844</v>
      </c>
      <c r="E19907" t="s">
        <v>2100</v>
      </c>
      <c r="F19907" t="s">
        <v>19920</v>
      </c>
      <c r="G19907">
        <v>1</v>
      </c>
    </row>
    <row r="19908" spans="1:7" x14ac:dyDescent="0.25">
      <c r="A19908">
        <v>64</v>
      </c>
      <c r="B19908" t="s">
        <v>19812</v>
      </c>
      <c r="C19908">
        <v>5000457</v>
      </c>
      <c r="E19908" t="s">
        <v>2100</v>
      </c>
      <c r="F19908" t="s">
        <v>19921</v>
      </c>
      <c r="G19908">
        <v>1</v>
      </c>
    </row>
    <row r="19909" spans="1:7" x14ac:dyDescent="0.25">
      <c r="A19909">
        <v>64</v>
      </c>
      <c r="B19909" t="s">
        <v>19812</v>
      </c>
      <c r="C19909">
        <v>8782746</v>
      </c>
      <c r="E19909" t="s">
        <v>2100</v>
      </c>
      <c r="F19909" t="s">
        <v>19922</v>
      </c>
      <c r="G19909">
        <v>1</v>
      </c>
    </row>
    <row r="19910" spans="1:7" x14ac:dyDescent="0.25">
      <c r="A19910">
        <v>64</v>
      </c>
      <c r="B19910" t="s">
        <v>19812</v>
      </c>
      <c r="C19910">
        <v>8782834</v>
      </c>
      <c r="E19910" t="s">
        <v>2100</v>
      </c>
      <c r="F19910" t="s">
        <v>19923</v>
      </c>
      <c r="G19910">
        <v>1</v>
      </c>
    </row>
    <row r="19911" spans="1:7" x14ac:dyDescent="0.25">
      <c r="A19911">
        <v>64</v>
      </c>
      <c r="B19911" t="s">
        <v>19812</v>
      </c>
      <c r="C19911">
        <v>1371</v>
      </c>
      <c r="D19911" t="str">
        <f>"1750-6182"</f>
        <v>1750-6182</v>
      </c>
      <c r="E19911" t="s">
        <v>8</v>
      </c>
      <c r="F19911" t="s">
        <v>19924</v>
      </c>
      <c r="G19911">
        <v>1</v>
      </c>
    </row>
    <row r="19912" spans="1:7" x14ac:dyDescent="0.25">
      <c r="A19912">
        <v>64</v>
      </c>
      <c r="B19912" t="s">
        <v>19812</v>
      </c>
      <c r="C19912">
        <v>7753417</v>
      </c>
      <c r="D19912" t="str">
        <f>"2051-7106"</f>
        <v>2051-7106</v>
      </c>
      <c r="E19912" t="s">
        <v>8</v>
      </c>
      <c r="F19912" t="s">
        <v>19925</v>
      </c>
      <c r="G19912">
        <v>1</v>
      </c>
    </row>
    <row r="19913" spans="1:7" x14ac:dyDescent="0.25">
      <c r="A19913">
        <v>64</v>
      </c>
      <c r="B19913" t="s">
        <v>19812</v>
      </c>
      <c r="C19913">
        <v>1150</v>
      </c>
      <c r="D19913" t="str">
        <f>"1949-1247"</f>
        <v>1949-1247</v>
      </c>
      <c r="E19913" t="s">
        <v>8</v>
      </c>
      <c r="F19913" t="s">
        <v>19926</v>
      </c>
      <c r="G19913">
        <v>1</v>
      </c>
    </row>
    <row r="19914" spans="1:7" x14ac:dyDescent="0.25">
      <c r="A19914">
        <v>64</v>
      </c>
      <c r="B19914" t="s">
        <v>19812</v>
      </c>
      <c r="C19914">
        <v>7720035</v>
      </c>
      <c r="D19914" t="str">
        <f>"2045-5895"</f>
        <v>2045-5895</v>
      </c>
      <c r="E19914" t="s">
        <v>8</v>
      </c>
      <c r="F19914" t="s">
        <v>19927</v>
      </c>
      <c r="G19914">
        <v>1</v>
      </c>
    </row>
    <row r="19915" spans="1:7" x14ac:dyDescent="0.25">
      <c r="A19915">
        <v>64</v>
      </c>
      <c r="B19915" t="s">
        <v>19812</v>
      </c>
      <c r="C19915">
        <v>11730</v>
      </c>
      <c r="D19915" t="str">
        <f>"0956-0599"</f>
        <v>0956-0599</v>
      </c>
      <c r="E19915" t="s">
        <v>8</v>
      </c>
      <c r="F19915" t="s">
        <v>19928</v>
      </c>
      <c r="G19915">
        <v>1</v>
      </c>
    </row>
    <row r="19916" spans="1:7" x14ac:dyDescent="0.25">
      <c r="A19916">
        <v>64</v>
      </c>
      <c r="B19916" t="s">
        <v>19812</v>
      </c>
      <c r="C19916">
        <v>23365</v>
      </c>
      <c r="D19916" t="str">
        <f>"1743-7601"</f>
        <v>1743-7601</v>
      </c>
      <c r="E19916" t="s">
        <v>8</v>
      </c>
      <c r="F19916" t="s">
        <v>19929</v>
      </c>
      <c r="G19916">
        <v>1</v>
      </c>
    </row>
    <row r="19917" spans="1:7" x14ac:dyDescent="0.25">
      <c r="A19917">
        <v>64</v>
      </c>
      <c r="B19917" t="s">
        <v>19812</v>
      </c>
      <c r="C19917">
        <v>170378</v>
      </c>
      <c r="D19917" t="str">
        <f>"2239-267X"</f>
        <v>2239-267X</v>
      </c>
      <c r="E19917" t="s">
        <v>8</v>
      </c>
      <c r="F19917" t="s">
        <v>19930</v>
      </c>
      <c r="G19917">
        <v>1</v>
      </c>
    </row>
    <row r="19918" spans="1:7" x14ac:dyDescent="0.25">
      <c r="A19918">
        <v>64</v>
      </c>
      <c r="B19918" t="s">
        <v>19812</v>
      </c>
      <c r="C19918">
        <v>10577</v>
      </c>
      <c r="E19918" t="s">
        <v>8</v>
      </c>
      <c r="F19918" t="s">
        <v>19931</v>
      </c>
      <c r="G19918">
        <v>1</v>
      </c>
    </row>
    <row r="19919" spans="1:7" x14ac:dyDescent="0.25">
      <c r="A19919">
        <v>64</v>
      </c>
      <c r="B19919" t="s">
        <v>19812</v>
      </c>
      <c r="C19919">
        <v>6168385</v>
      </c>
      <c r="D19919" t="str">
        <f>"1934-7359"</f>
        <v>1934-7359</v>
      </c>
      <c r="E19919" t="s">
        <v>8</v>
      </c>
      <c r="F19919" t="s">
        <v>19932</v>
      </c>
      <c r="G19919">
        <v>1</v>
      </c>
    </row>
    <row r="19920" spans="1:7" x14ac:dyDescent="0.25">
      <c r="A19920">
        <v>64</v>
      </c>
      <c r="B19920" t="s">
        <v>19812</v>
      </c>
      <c r="C19920">
        <v>8783510</v>
      </c>
      <c r="D19920" t="str">
        <f>"2367-4253 "</f>
        <v xml:space="preserve">2367-4253 </v>
      </c>
      <c r="E19920" t="s">
        <v>8</v>
      </c>
      <c r="F19920" t="s">
        <v>19933</v>
      </c>
      <c r="G19920">
        <v>1</v>
      </c>
    </row>
    <row r="19921" spans="1:7" x14ac:dyDescent="0.25">
      <c r="A19921">
        <v>64</v>
      </c>
      <c r="B19921" t="s">
        <v>19812</v>
      </c>
      <c r="C19921">
        <v>7738135</v>
      </c>
      <c r="D19921" t="str">
        <f>"2213-302X"</f>
        <v>2213-302X</v>
      </c>
      <c r="E19921" t="s">
        <v>8</v>
      </c>
      <c r="F19921" t="s">
        <v>19934</v>
      </c>
      <c r="G19921">
        <v>1</v>
      </c>
    </row>
    <row r="19922" spans="1:7" x14ac:dyDescent="0.25">
      <c r="A19922">
        <v>64</v>
      </c>
      <c r="B19922" t="s">
        <v>19812</v>
      </c>
      <c r="C19922">
        <v>83799</v>
      </c>
      <c r="D19922" t="str">
        <f>"1552-6100"</f>
        <v>1552-6100</v>
      </c>
      <c r="E19922" t="s">
        <v>8</v>
      </c>
      <c r="F19922" t="s">
        <v>19935</v>
      </c>
      <c r="G19922">
        <v>1</v>
      </c>
    </row>
    <row r="19923" spans="1:7" x14ac:dyDescent="0.25">
      <c r="A19923">
        <v>64</v>
      </c>
      <c r="B19923" t="s">
        <v>19812</v>
      </c>
      <c r="C19923">
        <v>1340</v>
      </c>
      <c r="D19923" t="str">
        <f>"1092-0617"</f>
        <v>1092-0617</v>
      </c>
      <c r="E19923" t="s">
        <v>8</v>
      </c>
      <c r="F19923" t="s">
        <v>19936</v>
      </c>
      <c r="G19923">
        <v>1</v>
      </c>
    </row>
    <row r="19924" spans="1:7" x14ac:dyDescent="0.25">
      <c r="A19924">
        <v>64</v>
      </c>
      <c r="B19924" t="s">
        <v>19812</v>
      </c>
      <c r="C19924">
        <v>23168</v>
      </c>
      <c r="D19924" t="str">
        <f>"1071-7641"</f>
        <v>1071-7641</v>
      </c>
      <c r="E19924" t="s">
        <v>8</v>
      </c>
      <c r="F19924" t="s">
        <v>19937</v>
      </c>
      <c r="G19924">
        <v>1</v>
      </c>
    </row>
    <row r="19925" spans="1:7" x14ac:dyDescent="0.25">
      <c r="A19925">
        <v>64</v>
      </c>
      <c r="B19925" t="s">
        <v>19812</v>
      </c>
      <c r="C19925">
        <v>16042</v>
      </c>
      <c r="D19925" t="str">
        <f>"1442-7591"</f>
        <v>1442-7591</v>
      </c>
      <c r="E19925" t="s">
        <v>8</v>
      </c>
      <c r="F19925" t="s">
        <v>19938</v>
      </c>
      <c r="G19925">
        <v>1</v>
      </c>
    </row>
    <row r="19926" spans="1:7" x14ac:dyDescent="0.25">
      <c r="A19926">
        <v>64</v>
      </c>
      <c r="B19926" t="s">
        <v>19812</v>
      </c>
      <c r="C19926">
        <v>98700</v>
      </c>
      <c r="D19926" t="str">
        <f>"1753-8335"</f>
        <v>1753-8335</v>
      </c>
      <c r="E19926" t="s">
        <v>8</v>
      </c>
      <c r="F19926" t="s">
        <v>19939</v>
      </c>
      <c r="G19926">
        <v>1</v>
      </c>
    </row>
    <row r="19927" spans="1:7" x14ac:dyDescent="0.25">
      <c r="A19927">
        <v>64</v>
      </c>
      <c r="B19927" t="s">
        <v>19812</v>
      </c>
      <c r="C19927">
        <v>2852</v>
      </c>
      <c r="E19927" t="s">
        <v>8</v>
      </c>
      <c r="F19927" t="s">
        <v>19940</v>
      </c>
      <c r="G19927">
        <v>1</v>
      </c>
    </row>
    <row r="19928" spans="1:7" x14ac:dyDescent="0.25">
      <c r="A19928">
        <v>64</v>
      </c>
      <c r="B19928" t="s">
        <v>19812</v>
      </c>
      <c r="C19928">
        <v>7737971</v>
      </c>
      <c r="D19928" t="str">
        <f>"2069-3419"</f>
        <v>2069-3419</v>
      </c>
      <c r="E19928" t="s">
        <v>8</v>
      </c>
      <c r="F19928" t="s">
        <v>19941</v>
      </c>
      <c r="G19928">
        <v>1</v>
      </c>
    </row>
    <row r="19929" spans="1:7" x14ac:dyDescent="0.25">
      <c r="A19929">
        <v>64</v>
      </c>
      <c r="B19929" t="s">
        <v>19812</v>
      </c>
      <c r="C19929">
        <v>4176</v>
      </c>
      <c r="D19929" t="str">
        <f>"1567-715x"</f>
        <v>1567-715x</v>
      </c>
      <c r="E19929" t="s">
        <v>8</v>
      </c>
      <c r="F19929" t="s">
        <v>19942</v>
      </c>
      <c r="G19929">
        <v>1</v>
      </c>
    </row>
    <row r="19930" spans="1:7" x14ac:dyDescent="0.25">
      <c r="A19930">
        <v>64</v>
      </c>
      <c r="B19930" t="s">
        <v>19812</v>
      </c>
      <c r="C19930">
        <v>731</v>
      </c>
      <c r="D19930" t="str">
        <f>"0277-2426"</f>
        <v>0277-2426</v>
      </c>
      <c r="E19930" t="s">
        <v>8</v>
      </c>
      <c r="F19930" t="s">
        <v>19943</v>
      </c>
      <c r="G19930">
        <v>1</v>
      </c>
    </row>
    <row r="19931" spans="1:7" x14ac:dyDescent="0.25">
      <c r="A19931">
        <v>64</v>
      </c>
      <c r="B19931" t="s">
        <v>19812</v>
      </c>
      <c r="C19931">
        <v>136024</v>
      </c>
      <c r="D19931" t="str">
        <f>"1492-9600"</f>
        <v>1492-9600</v>
      </c>
      <c r="E19931" t="s">
        <v>8</v>
      </c>
      <c r="F19931" t="s">
        <v>19944</v>
      </c>
      <c r="G19931">
        <v>1</v>
      </c>
    </row>
    <row r="19932" spans="1:7" x14ac:dyDescent="0.25">
      <c r="A19932">
        <v>64</v>
      </c>
      <c r="B19932" t="s">
        <v>19812</v>
      </c>
      <c r="C19932">
        <v>3864</v>
      </c>
      <c r="D19932" t="str">
        <f>"1477-1535"</f>
        <v>1477-1535</v>
      </c>
      <c r="E19932" t="s">
        <v>8</v>
      </c>
      <c r="F19932" t="s">
        <v>19945</v>
      </c>
      <c r="G19932">
        <v>1</v>
      </c>
    </row>
    <row r="19933" spans="1:7" x14ac:dyDescent="0.25">
      <c r="A19933">
        <v>64</v>
      </c>
      <c r="B19933" t="s">
        <v>19812</v>
      </c>
      <c r="C19933">
        <v>7754228</v>
      </c>
      <c r="D19933" t="str">
        <f>"2051-1817"</f>
        <v>2051-1817</v>
      </c>
      <c r="E19933" t="s">
        <v>8</v>
      </c>
      <c r="F19933" t="s">
        <v>19946</v>
      </c>
      <c r="G19933">
        <v>1</v>
      </c>
    </row>
    <row r="19934" spans="1:7" x14ac:dyDescent="0.25">
      <c r="A19934">
        <v>64</v>
      </c>
      <c r="B19934" t="s">
        <v>19812</v>
      </c>
      <c r="C19934">
        <v>131446</v>
      </c>
      <c r="D19934" t="str">
        <f>"0258-5316"</f>
        <v>0258-5316</v>
      </c>
      <c r="E19934" t="s">
        <v>8</v>
      </c>
      <c r="F19934" t="s">
        <v>19947</v>
      </c>
      <c r="G19934">
        <v>1</v>
      </c>
    </row>
    <row r="19935" spans="1:7" x14ac:dyDescent="0.25">
      <c r="A19935">
        <v>64</v>
      </c>
      <c r="B19935" t="s">
        <v>19812</v>
      </c>
      <c r="C19935">
        <v>16117</v>
      </c>
      <c r="D19935" t="str">
        <f>"1074-9039"</f>
        <v>1074-9039</v>
      </c>
      <c r="E19935" t="s">
        <v>8</v>
      </c>
      <c r="F19935" t="s">
        <v>19948</v>
      </c>
      <c r="G19935">
        <v>1</v>
      </c>
    </row>
    <row r="19936" spans="1:7" x14ac:dyDescent="0.25">
      <c r="A19936">
        <v>64</v>
      </c>
      <c r="B19936" t="s">
        <v>19812</v>
      </c>
      <c r="C19936">
        <v>8782664</v>
      </c>
      <c r="D19936" t="str">
        <f>"2535-4523"</f>
        <v>2535-4523</v>
      </c>
      <c r="E19936" t="s">
        <v>15</v>
      </c>
      <c r="F19936" t="s">
        <v>19949</v>
      </c>
      <c r="G19936">
        <v>1</v>
      </c>
    </row>
    <row r="19937" spans="1:7" x14ac:dyDescent="0.25">
      <c r="A19937">
        <v>64</v>
      </c>
      <c r="B19937" t="s">
        <v>19812</v>
      </c>
      <c r="C19937">
        <v>8783683</v>
      </c>
      <c r="E19937" t="s">
        <v>15</v>
      </c>
      <c r="F19937" t="s">
        <v>19950</v>
      </c>
      <c r="G19937">
        <v>1</v>
      </c>
    </row>
    <row r="19938" spans="1:7" x14ac:dyDescent="0.25">
      <c r="A19938">
        <v>64</v>
      </c>
      <c r="B19938" t="s">
        <v>19812</v>
      </c>
      <c r="C19938">
        <v>8782832</v>
      </c>
      <c r="D19938" t="str">
        <f>"1748-3050"</f>
        <v>1748-3050</v>
      </c>
      <c r="E19938" t="s">
        <v>2100</v>
      </c>
      <c r="F19938" t="s">
        <v>19951</v>
      </c>
      <c r="G19938">
        <v>1</v>
      </c>
    </row>
    <row r="19939" spans="1:7" x14ac:dyDescent="0.25">
      <c r="A19939">
        <v>64</v>
      </c>
      <c r="B19939" t="s">
        <v>19812</v>
      </c>
      <c r="C19939">
        <v>5010951</v>
      </c>
      <c r="E19939" t="s">
        <v>2100</v>
      </c>
      <c r="F19939" t="s">
        <v>19952</v>
      </c>
      <c r="G19939">
        <v>1</v>
      </c>
    </row>
    <row r="19940" spans="1:7" x14ac:dyDescent="0.25">
      <c r="A19940">
        <v>64</v>
      </c>
      <c r="B19940" t="s">
        <v>19812</v>
      </c>
      <c r="C19940">
        <v>5010955</v>
      </c>
      <c r="E19940" t="s">
        <v>2100</v>
      </c>
      <c r="F19940" t="s">
        <v>19953</v>
      </c>
      <c r="G19940">
        <v>1</v>
      </c>
    </row>
    <row r="19941" spans="1:7" x14ac:dyDescent="0.25">
      <c r="A19941">
        <v>64</v>
      </c>
      <c r="B19941" t="s">
        <v>19812</v>
      </c>
      <c r="C19941">
        <v>21198</v>
      </c>
      <c r="D19941" t="str">
        <f>"1751-8040"</f>
        <v>1751-8040</v>
      </c>
      <c r="E19941" t="s">
        <v>8</v>
      </c>
      <c r="F19941" t="s">
        <v>19954</v>
      </c>
      <c r="G19941">
        <v>1</v>
      </c>
    </row>
    <row r="19942" spans="1:7" x14ac:dyDescent="0.25">
      <c r="A19942">
        <v>64</v>
      </c>
      <c r="B19942" t="s">
        <v>19812</v>
      </c>
      <c r="C19942">
        <v>64032</v>
      </c>
      <c r="D19942" t="str">
        <f>"0032-0560"</f>
        <v>0032-0560</v>
      </c>
      <c r="E19942" t="s">
        <v>8</v>
      </c>
      <c r="F19942" t="s">
        <v>19955</v>
      </c>
      <c r="G19942">
        <v>1</v>
      </c>
    </row>
    <row r="19943" spans="1:7" x14ac:dyDescent="0.25">
      <c r="A19943">
        <v>64</v>
      </c>
      <c r="B19943" t="s">
        <v>19812</v>
      </c>
      <c r="C19943">
        <v>2659</v>
      </c>
      <c r="D19943" t="str">
        <f>"0266-5433"</f>
        <v>0266-5433</v>
      </c>
      <c r="E19943" t="s">
        <v>8</v>
      </c>
      <c r="F19943" t="s">
        <v>19956</v>
      </c>
      <c r="G19943">
        <v>1</v>
      </c>
    </row>
    <row r="19944" spans="1:7" x14ac:dyDescent="0.25">
      <c r="A19944">
        <v>64</v>
      </c>
      <c r="B19944" t="s">
        <v>19812</v>
      </c>
      <c r="C19944">
        <v>170382</v>
      </c>
      <c r="E19944" t="s">
        <v>15</v>
      </c>
      <c r="F19944" t="s">
        <v>19957</v>
      </c>
      <c r="G19944">
        <v>1</v>
      </c>
    </row>
    <row r="19945" spans="1:7" x14ac:dyDescent="0.25">
      <c r="A19945">
        <v>64</v>
      </c>
      <c r="B19945" t="s">
        <v>19812</v>
      </c>
      <c r="C19945">
        <v>8783358</v>
      </c>
      <c r="D19945" t="str">
        <f>"2039-6422"</f>
        <v>2039-6422</v>
      </c>
      <c r="E19945" t="s">
        <v>8</v>
      </c>
      <c r="F19945" t="s">
        <v>19958</v>
      </c>
      <c r="G19945">
        <v>1</v>
      </c>
    </row>
    <row r="19946" spans="1:7" x14ac:dyDescent="0.25">
      <c r="A19946">
        <v>64</v>
      </c>
      <c r="B19946" t="s">
        <v>19812</v>
      </c>
      <c r="C19946">
        <v>8783684</v>
      </c>
      <c r="E19946" t="s">
        <v>15</v>
      </c>
      <c r="F19946" t="s">
        <v>19959</v>
      </c>
      <c r="G19946">
        <v>1</v>
      </c>
    </row>
    <row r="19947" spans="1:7" x14ac:dyDescent="0.25">
      <c r="A19947">
        <v>64</v>
      </c>
      <c r="B19947" t="s">
        <v>19812</v>
      </c>
      <c r="C19947">
        <v>7715452</v>
      </c>
      <c r="D19947" t="str">
        <f>"2171-6897"</f>
        <v>2171-6897</v>
      </c>
      <c r="E19947" t="s">
        <v>8</v>
      </c>
      <c r="F19947" t="s">
        <v>19960</v>
      </c>
      <c r="G19947">
        <v>1</v>
      </c>
    </row>
    <row r="19948" spans="1:7" x14ac:dyDescent="0.25">
      <c r="A19948">
        <v>64</v>
      </c>
      <c r="B19948" t="s">
        <v>19812</v>
      </c>
      <c r="C19948">
        <v>6251711</v>
      </c>
      <c r="D19948" t="str">
        <f>"0845-4450"</f>
        <v>0845-4450</v>
      </c>
      <c r="E19948" t="s">
        <v>8</v>
      </c>
      <c r="F19948" t="s">
        <v>19961</v>
      </c>
      <c r="G19948">
        <v>1</v>
      </c>
    </row>
    <row r="19949" spans="1:7" x14ac:dyDescent="0.25">
      <c r="A19949">
        <v>64</v>
      </c>
      <c r="B19949" t="s">
        <v>19812</v>
      </c>
      <c r="C19949">
        <v>65111</v>
      </c>
      <c r="D19949" t="str">
        <f>"0718-1299"</f>
        <v>0718-1299</v>
      </c>
      <c r="E19949" t="s">
        <v>8</v>
      </c>
      <c r="F19949" t="s">
        <v>19962</v>
      </c>
      <c r="G19949">
        <v>1</v>
      </c>
    </row>
    <row r="19950" spans="1:7" x14ac:dyDescent="0.25">
      <c r="A19950">
        <v>64</v>
      </c>
      <c r="B19950" t="s">
        <v>19812</v>
      </c>
      <c r="C19950">
        <v>8783328</v>
      </c>
      <c r="E19950" t="s">
        <v>2100</v>
      </c>
      <c r="F19950" t="s">
        <v>19963</v>
      </c>
      <c r="G19950">
        <v>1</v>
      </c>
    </row>
    <row r="19951" spans="1:7" x14ac:dyDescent="0.25">
      <c r="A19951">
        <v>64</v>
      </c>
      <c r="B19951" t="s">
        <v>19812</v>
      </c>
      <c r="C19951">
        <v>5020062</v>
      </c>
      <c r="E19951" t="s">
        <v>2100</v>
      </c>
      <c r="F19951" t="s">
        <v>19964</v>
      </c>
      <c r="G19951">
        <v>1</v>
      </c>
    </row>
    <row r="19952" spans="1:7" x14ac:dyDescent="0.25">
      <c r="A19952">
        <v>64</v>
      </c>
      <c r="B19952" t="s">
        <v>19812</v>
      </c>
      <c r="C19952">
        <v>8782555</v>
      </c>
      <c r="D19952" t="str">
        <f>"2405-8726"</f>
        <v>2405-8726</v>
      </c>
      <c r="E19952" t="s">
        <v>8</v>
      </c>
      <c r="F19952" t="s">
        <v>19965</v>
      </c>
      <c r="G19952">
        <v>1</v>
      </c>
    </row>
    <row r="19953" spans="1:7" x14ac:dyDescent="0.25">
      <c r="A19953">
        <v>64</v>
      </c>
      <c r="B19953" t="s">
        <v>19812</v>
      </c>
      <c r="C19953">
        <v>8783685</v>
      </c>
      <c r="E19953" t="s">
        <v>15</v>
      </c>
      <c r="F19953" t="s">
        <v>19966</v>
      </c>
      <c r="G19953">
        <v>1</v>
      </c>
    </row>
    <row r="19954" spans="1:7" x14ac:dyDescent="0.25">
      <c r="A19954">
        <v>64</v>
      </c>
      <c r="B19954" t="s">
        <v>19812</v>
      </c>
      <c r="C19954">
        <v>8783686</v>
      </c>
      <c r="E19954" t="s">
        <v>15</v>
      </c>
      <c r="F19954" t="s">
        <v>19967</v>
      </c>
      <c r="G19954">
        <v>1</v>
      </c>
    </row>
    <row r="19955" spans="1:7" x14ac:dyDescent="0.25">
      <c r="A19955">
        <v>64</v>
      </c>
      <c r="B19955" t="s">
        <v>19812</v>
      </c>
      <c r="C19955">
        <v>8761151</v>
      </c>
      <c r="D19955" t="str">
        <f>"2215-0897"</f>
        <v>2215-0897</v>
      </c>
      <c r="E19955" t="s">
        <v>8</v>
      </c>
      <c r="F19955" t="s">
        <v>19968</v>
      </c>
      <c r="G19955">
        <v>1</v>
      </c>
    </row>
    <row r="19956" spans="1:7" x14ac:dyDescent="0.25">
      <c r="A19956">
        <v>64</v>
      </c>
      <c r="B19956" t="s">
        <v>19812</v>
      </c>
      <c r="C19956">
        <v>8782730</v>
      </c>
      <c r="E19956" t="s">
        <v>8</v>
      </c>
      <c r="F19956" t="s">
        <v>19969</v>
      </c>
      <c r="G19956">
        <v>1</v>
      </c>
    </row>
    <row r="19957" spans="1:7" x14ac:dyDescent="0.25">
      <c r="A19957">
        <v>64</v>
      </c>
      <c r="B19957" t="s">
        <v>19812</v>
      </c>
      <c r="C19957">
        <v>7708997</v>
      </c>
      <c r="D19957" t="str">
        <f>"2159-2926"</f>
        <v>2159-2926</v>
      </c>
      <c r="E19957" t="s">
        <v>8</v>
      </c>
      <c r="F19957" t="s">
        <v>19970</v>
      </c>
      <c r="G19957">
        <v>1</v>
      </c>
    </row>
    <row r="19958" spans="1:7" x14ac:dyDescent="0.25">
      <c r="A19958">
        <v>64</v>
      </c>
      <c r="B19958" t="s">
        <v>19812</v>
      </c>
      <c r="C19958">
        <v>8771</v>
      </c>
      <c r="D19958" t="str">
        <f>"1875-2470"</f>
        <v>1875-2470</v>
      </c>
      <c r="E19958" t="s">
        <v>15</v>
      </c>
      <c r="F19958" t="s">
        <v>19971</v>
      </c>
      <c r="G19958">
        <v>1</v>
      </c>
    </row>
    <row r="19959" spans="1:7" x14ac:dyDescent="0.25">
      <c r="A19959">
        <v>64</v>
      </c>
      <c r="B19959" t="s">
        <v>19812</v>
      </c>
      <c r="C19959">
        <v>13645</v>
      </c>
      <c r="D19959" t="str">
        <f>"1460-1176"</f>
        <v>1460-1176</v>
      </c>
      <c r="E19959" t="s">
        <v>8</v>
      </c>
      <c r="F19959" t="s">
        <v>19972</v>
      </c>
      <c r="G19959">
        <v>1</v>
      </c>
    </row>
    <row r="19960" spans="1:7" x14ac:dyDescent="0.25">
      <c r="A19960">
        <v>64</v>
      </c>
      <c r="B19960" t="s">
        <v>19812</v>
      </c>
      <c r="C19960">
        <v>7715537</v>
      </c>
      <c r="E19960" t="s">
        <v>8</v>
      </c>
      <c r="F19960" t="s">
        <v>19973</v>
      </c>
      <c r="G19960">
        <v>1</v>
      </c>
    </row>
    <row r="19961" spans="1:7" x14ac:dyDescent="0.25">
      <c r="A19961">
        <v>64</v>
      </c>
      <c r="B19961" t="s">
        <v>19812</v>
      </c>
      <c r="C19961">
        <v>8782744</v>
      </c>
      <c r="D19961" t="str">
        <f>"2475-1448"</f>
        <v>2475-1448</v>
      </c>
      <c r="E19961" t="s">
        <v>8</v>
      </c>
      <c r="F19961" t="s">
        <v>19974</v>
      </c>
      <c r="G19961">
        <v>1</v>
      </c>
    </row>
    <row r="19962" spans="1:7" x14ac:dyDescent="0.25">
      <c r="A19962">
        <v>64</v>
      </c>
      <c r="B19962" t="s">
        <v>19812</v>
      </c>
      <c r="C19962">
        <v>6154055</v>
      </c>
      <c r="D19962" t="str">
        <f>"1224-3884"</f>
        <v>1224-3884</v>
      </c>
      <c r="E19962" t="s">
        <v>8</v>
      </c>
      <c r="F19962" t="s">
        <v>19975</v>
      </c>
      <c r="G19962">
        <v>1</v>
      </c>
    </row>
    <row r="19963" spans="1:7" x14ac:dyDescent="0.25">
      <c r="A19963">
        <v>64</v>
      </c>
      <c r="B19963" t="s">
        <v>19812</v>
      </c>
      <c r="C19963">
        <v>4860</v>
      </c>
      <c r="D19963" t="str">
        <f>"1449-1443"</f>
        <v>1449-1443</v>
      </c>
      <c r="E19963" t="s">
        <v>8</v>
      </c>
      <c r="F19963" t="s">
        <v>19976</v>
      </c>
      <c r="G19963">
        <v>1</v>
      </c>
    </row>
    <row r="19964" spans="1:7" x14ac:dyDescent="0.25">
      <c r="A19964">
        <v>64</v>
      </c>
      <c r="B19964" t="s">
        <v>19812</v>
      </c>
      <c r="C19964">
        <v>27059</v>
      </c>
      <c r="D19964" t="str">
        <f>"1749-6772"</f>
        <v>1749-6772</v>
      </c>
      <c r="E19964" t="s">
        <v>8</v>
      </c>
      <c r="F19964" t="s">
        <v>19977</v>
      </c>
      <c r="G19964">
        <v>1</v>
      </c>
    </row>
    <row r="19965" spans="1:7" x14ac:dyDescent="0.25">
      <c r="A19965">
        <v>64</v>
      </c>
      <c r="B19965" t="s">
        <v>19812</v>
      </c>
      <c r="C19965">
        <v>8783507</v>
      </c>
      <c r="E19965" t="s">
        <v>8</v>
      </c>
      <c r="F19965" t="s">
        <v>19978</v>
      </c>
      <c r="G19965">
        <v>1</v>
      </c>
    </row>
    <row r="19966" spans="1:7" x14ac:dyDescent="0.25">
      <c r="A19966">
        <v>64</v>
      </c>
      <c r="B19966" t="s">
        <v>19812</v>
      </c>
      <c r="C19966">
        <v>7235</v>
      </c>
      <c r="D19966" t="str">
        <f>"0042-0972"</f>
        <v>0042-0972</v>
      </c>
      <c r="E19966" t="s">
        <v>8</v>
      </c>
      <c r="F19966" t="s">
        <v>19979</v>
      </c>
      <c r="G19966">
        <v>1</v>
      </c>
    </row>
    <row r="19967" spans="1:7" x14ac:dyDescent="0.25">
      <c r="A19967">
        <v>64</v>
      </c>
      <c r="B19967" t="s">
        <v>19812</v>
      </c>
      <c r="C19967">
        <v>15619</v>
      </c>
      <c r="D19967" t="str">
        <f>"1050-2092"</f>
        <v>1050-2092</v>
      </c>
      <c r="E19967" t="s">
        <v>8</v>
      </c>
      <c r="F19967" t="s">
        <v>19980</v>
      </c>
      <c r="G19967">
        <v>1</v>
      </c>
    </row>
    <row r="19968" spans="1:7" x14ac:dyDescent="0.25">
      <c r="A19968">
        <v>64</v>
      </c>
      <c r="B19968" t="s">
        <v>19812</v>
      </c>
      <c r="C19968">
        <v>8782747</v>
      </c>
      <c r="D19968" t="str">
        <f>"2566-2147"</f>
        <v>2566-2147</v>
      </c>
      <c r="E19968" t="s">
        <v>8</v>
      </c>
      <c r="F19968" t="s">
        <v>19981</v>
      </c>
      <c r="G19968">
        <v>1</v>
      </c>
    </row>
    <row r="19969" spans="1:7" x14ac:dyDescent="0.25">
      <c r="A19969">
        <v>64</v>
      </c>
      <c r="B19969" t="s">
        <v>19812</v>
      </c>
      <c r="C19969">
        <v>7710217</v>
      </c>
      <c r="D19969" t="str">
        <f>"2045-4813"</f>
        <v>2045-4813</v>
      </c>
      <c r="E19969" t="s">
        <v>8</v>
      </c>
      <c r="F19969" t="s">
        <v>19982</v>
      </c>
      <c r="G19969">
        <v>1</v>
      </c>
    </row>
    <row r="19970" spans="1:7" x14ac:dyDescent="0.25">
      <c r="A19970">
        <v>64</v>
      </c>
      <c r="B19970" t="s">
        <v>19812</v>
      </c>
      <c r="C19970">
        <v>14037</v>
      </c>
      <c r="D19970" t="str">
        <f>"1083-8155"</f>
        <v>1083-8155</v>
      </c>
      <c r="E19970" t="s">
        <v>8</v>
      </c>
      <c r="F19970" t="s">
        <v>19983</v>
      </c>
      <c r="G19970">
        <v>1</v>
      </c>
    </row>
    <row r="19971" spans="1:7" x14ac:dyDescent="0.25">
      <c r="A19971">
        <v>64</v>
      </c>
      <c r="B19971" t="s">
        <v>19812</v>
      </c>
      <c r="C19971">
        <v>2044</v>
      </c>
      <c r="D19971" t="str">
        <f>"0042-0859"</f>
        <v>0042-0859</v>
      </c>
      <c r="E19971" t="s">
        <v>8</v>
      </c>
      <c r="F19971" t="s">
        <v>19984</v>
      </c>
      <c r="G19971">
        <v>1</v>
      </c>
    </row>
    <row r="19972" spans="1:7" x14ac:dyDescent="0.25">
      <c r="A19972">
        <v>64</v>
      </c>
      <c r="B19972" t="s">
        <v>19812</v>
      </c>
      <c r="C19972">
        <v>10539</v>
      </c>
      <c r="D19972" t="str">
        <f>"1015-3802"</f>
        <v>1015-3802</v>
      </c>
      <c r="E19972" t="s">
        <v>8</v>
      </c>
      <c r="F19972" t="s">
        <v>19985</v>
      </c>
      <c r="G19972">
        <v>1</v>
      </c>
    </row>
    <row r="19973" spans="1:7" x14ac:dyDescent="0.25">
      <c r="A19973">
        <v>64</v>
      </c>
      <c r="B19973" t="s">
        <v>19812</v>
      </c>
      <c r="C19973">
        <v>10759</v>
      </c>
      <c r="D19973" t="str">
        <f>"0963-9268"</f>
        <v>0963-9268</v>
      </c>
      <c r="E19973" t="s">
        <v>8</v>
      </c>
      <c r="F19973" t="s">
        <v>19986</v>
      </c>
      <c r="G19973">
        <v>1</v>
      </c>
    </row>
    <row r="19974" spans="1:7" x14ac:dyDescent="0.25">
      <c r="A19974">
        <v>64</v>
      </c>
      <c r="B19974" t="s">
        <v>19812</v>
      </c>
      <c r="C19974">
        <v>7595</v>
      </c>
      <c r="D19974" t="str">
        <f>"1027-4278"</f>
        <v>1027-4278</v>
      </c>
      <c r="E19974" t="s">
        <v>8</v>
      </c>
      <c r="F19974" t="s">
        <v>19987</v>
      </c>
      <c r="G19974">
        <v>1</v>
      </c>
    </row>
    <row r="19975" spans="1:7" x14ac:dyDescent="0.25">
      <c r="A19975">
        <v>64</v>
      </c>
      <c r="B19975" t="s">
        <v>19812</v>
      </c>
      <c r="C19975">
        <v>8781699</v>
      </c>
      <c r="D19975" t="str">
        <f>"2183-7635"</f>
        <v>2183-7635</v>
      </c>
      <c r="E19975" t="s">
        <v>8</v>
      </c>
      <c r="F19975" t="s">
        <v>19988</v>
      </c>
      <c r="G19975">
        <v>1</v>
      </c>
    </row>
    <row r="19976" spans="1:7" x14ac:dyDescent="0.25">
      <c r="A19976">
        <v>64</v>
      </c>
      <c r="B19976" t="s">
        <v>19812</v>
      </c>
      <c r="C19976">
        <v>8783687</v>
      </c>
      <c r="E19976" t="s">
        <v>15</v>
      </c>
      <c r="F19976" t="s">
        <v>19989</v>
      </c>
      <c r="G19976">
        <v>1</v>
      </c>
    </row>
    <row r="19977" spans="1:7" x14ac:dyDescent="0.25">
      <c r="A19977">
        <v>64</v>
      </c>
      <c r="B19977" t="s">
        <v>19812</v>
      </c>
      <c r="C19977">
        <v>13415</v>
      </c>
      <c r="D19977" t="str">
        <f>"0811-1146"</f>
        <v>0811-1146</v>
      </c>
      <c r="E19977" t="s">
        <v>8</v>
      </c>
      <c r="F19977" t="s">
        <v>19990</v>
      </c>
      <c r="G19977">
        <v>1</v>
      </c>
    </row>
    <row r="19978" spans="1:7" x14ac:dyDescent="0.25">
      <c r="A19978">
        <v>64</v>
      </c>
      <c r="B19978" t="s">
        <v>19812</v>
      </c>
      <c r="C19978">
        <v>20444</v>
      </c>
      <c r="D19978" t="str">
        <f>"1753-5069"</f>
        <v>1753-5069</v>
      </c>
      <c r="E19978" t="s">
        <v>8</v>
      </c>
      <c r="F19978" t="s">
        <v>19991</v>
      </c>
      <c r="G19978">
        <v>1</v>
      </c>
    </row>
    <row r="19979" spans="1:7" x14ac:dyDescent="0.25">
      <c r="A19979">
        <v>64</v>
      </c>
      <c r="B19979" t="s">
        <v>19812</v>
      </c>
      <c r="C19979">
        <v>7698020</v>
      </c>
      <c r="D19979" t="str">
        <f>"0353-6483"</f>
        <v>0353-6483</v>
      </c>
      <c r="E19979" t="s">
        <v>8</v>
      </c>
      <c r="F19979" t="s">
        <v>19992</v>
      </c>
      <c r="G19979">
        <v>1</v>
      </c>
    </row>
    <row r="19980" spans="1:7" x14ac:dyDescent="0.25">
      <c r="A19980">
        <v>64</v>
      </c>
      <c r="B19980" t="s">
        <v>19812</v>
      </c>
      <c r="C19980">
        <v>23214</v>
      </c>
      <c r="D19980" t="str">
        <f>"0305-5477"</f>
        <v>0305-5477</v>
      </c>
      <c r="E19980" t="s">
        <v>8</v>
      </c>
      <c r="F19980" t="s">
        <v>19993</v>
      </c>
      <c r="G19980">
        <v>1</v>
      </c>
    </row>
    <row r="19981" spans="1:7" x14ac:dyDescent="0.25">
      <c r="A19981">
        <v>64</v>
      </c>
      <c r="B19981" t="s">
        <v>19812</v>
      </c>
      <c r="C19981">
        <v>15955</v>
      </c>
      <c r="D19981" t="str">
        <f>"0260-4027"</f>
        <v>0260-4027</v>
      </c>
      <c r="E19981" t="s">
        <v>8</v>
      </c>
      <c r="F19981" t="s">
        <v>19994</v>
      </c>
      <c r="G19981">
        <v>1</v>
      </c>
    </row>
    <row r="19982" spans="1:7" x14ac:dyDescent="0.25">
      <c r="A19982">
        <v>65</v>
      </c>
      <c r="B19982" t="s">
        <v>19995</v>
      </c>
      <c r="C19982">
        <v>4196</v>
      </c>
      <c r="D19982" t="str">
        <f>"0003-6870"</f>
        <v>0003-6870</v>
      </c>
      <c r="E19982" t="s">
        <v>8</v>
      </c>
      <c r="F19982" t="s">
        <v>19996</v>
      </c>
      <c r="G19982">
        <v>2</v>
      </c>
    </row>
    <row r="19983" spans="1:7" x14ac:dyDescent="0.25">
      <c r="A19983">
        <v>65</v>
      </c>
      <c r="B19983" t="s">
        <v>19995</v>
      </c>
      <c r="C19983">
        <v>7608</v>
      </c>
      <c r="E19983" t="s">
        <v>8</v>
      </c>
      <c r="F19983" t="s">
        <v>19997</v>
      </c>
      <c r="G19983">
        <v>2</v>
      </c>
    </row>
    <row r="19984" spans="1:7" x14ac:dyDescent="0.25">
      <c r="A19984">
        <v>65</v>
      </c>
      <c r="B19984" t="s">
        <v>19995</v>
      </c>
      <c r="C19984">
        <v>7858</v>
      </c>
      <c r="D19984" t="str">
        <f>"1357-034X"</f>
        <v>1357-034X</v>
      </c>
      <c r="E19984" t="s">
        <v>8</v>
      </c>
      <c r="F19984" t="s">
        <v>19998</v>
      </c>
      <c r="G19984">
        <v>2</v>
      </c>
    </row>
    <row r="19985" spans="1:7" x14ac:dyDescent="0.25">
      <c r="A19985">
        <v>65</v>
      </c>
      <c r="B19985" t="s">
        <v>19995</v>
      </c>
      <c r="C19985">
        <v>14679</v>
      </c>
      <c r="D19985" t="str">
        <f>"0306-3674"</f>
        <v>0306-3674</v>
      </c>
      <c r="E19985" t="s">
        <v>8</v>
      </c>
      <c r="F19985" t="s">
        <v>19999</v>
      </c>
      <c r="G19985">
        <v>2</v>
      </c>
    </row>
    <row r="19986" spans="1:7" x14ac:dyDescent="0.25">
      <c r="A19986">
        <v>65</v>
      </c>
      <c r="B19986" t="s">
        <v>19995</v>
      </c>
      <c r="C19986">
        <v>15667</v>
      </c>
      <c r="D19986" t="str">
        <f>"0268-0033"</f>
        <v>0268-0033</v>
      </c>
      <c r="E19986" t="s">
        <v>8</v>
      </c>
      <c r="F19986" t="s">
        <v>20000</v>
      </c>
      <c r="G19986">
        <v>2</v>
      </c>
    </row>
    <row r="19987" spans="1:7" x14ac:dyDescent="0.25">
      <c r="A19987">
        <v>65</v>
      </c>
      <c r="B19987" t="s">
        <v>19995</v>
      </c>
      <c r="C19987">
        <v>14925</v>
      </c>
      <c r="D19987" t="str">
        <f>"1439-6319"</f>
        <v>1439-6319</v>
      </c>
      <c r="E19987" t="s">
        <v>8</v>
      </c>
      <c r="F19987" t="s">
        <v>20001</v>
      </c>
      <c r="G19987">
        <v>2</v>
      </c>
    </row>
    <row r="19988" spans="1:7" x14ac:dyDescent="0.25">
      <c r="A19988">
        <v>65</v>
      </c>
      <c r="B19988" t="s">
        <v>19995</v>
      </c>
      <c r="C19988">
        <v>15095</v>
      </c>
      <c r="D19988" t="str">
        <f>"1356-336X"</f>
        <v>1356-336X</v>
      </c>
      <c r="E19988" t="s">
        <v>8</v>
      </c>
      <c r="F19988" t="s">
        <v>20002</v>
      </c>
      <c r="G19988">
        <v>2</v>
      </c>
    </row>
    <row r="19989" spans="1:7" x14ac:dyDescent="0.25">
      <c r="A19989">
        <v>65</v>
      </c>
      <c r="B19989" t="s">
        <v>19995</v>
      </c>
      <c r="C19989">
        <v>3271</v>
      </c>
      <c r="D19989" t="str">
        <f>"0091-6331"</f>
        <v>0091-6331</v>
      </c>
      <c r="E19989" t="s">
        <v>8</v>
      </c>
      <c r="F19989" t="s">
        <v>20003</v>
      </c>
      <c r="G19989">
        <v>2</v>
      </c>
    </row>
    <row r="19990" spans="1:7" x14ac:dyDescent="0.25">
      <c r="A19990">
        <v>65</v>
      </c>
      <c r="B19990" t="s">
        <v>19995</v>
      </c>
      <c r="C19990">
        <v>9864</v>
      </c>
      <c r="D19990" t="str">
        <f>"0167-9457"</f>
        <v>0167-9457</v>
      </c>
      <c r="E19990" t="s">
        <v>8</v>
      </c>
      <c r="F19990" t="s">
        <v>20004</v>
      </c>
      <c r="G19990">
        <v>2</v>
      </c>
    </row>
    <row r="19991" spans="1:7" x14ac:dyDescent="0.25">
      <c r="A19991">
        <v>65</v>
      </c>
      <c r="B19991" t="s">
        <v>19995</v>
      </c>
      <c r="C19991">
        <v>25277</v>
      </c>
      <c r="D19991" t="str">
        <f>"1750-984X"</f>
        <v>1750-984X</v>
      </c>
      <c r="E19991" t="s">
        <v>8</v>
      </c>
      <c r="F19991" t="s">
        <v>20005</v>
      </c>
      <c r="G19991">
        <v>2</v>
      </c>
    </row>
    <row r="19992" spans="1:7" x14ac:dyDescent="0.25">
      <c r="A19992">
        <v>65</v>
      </c>
      <c r="B19992" t="s">
        <v>19995</v>
      </c>
      <c r="C19992">
        <v>2921</v>
      </c>
      <c r="D19992" t="str">
        <f>"8750-7587"</f>
        <v>8750-7587</v>
      </c>
      <c r="E19992" t="s">
        <v>8</v>
      </c>
      <c r="F19992" t="s">
        <v>20006</v>
      </c>
      <c r="G19992">
        <v>2</v>
      </c>
    </row>
    <row r="19993" spans="1:7" x14ac:dyDescent="0.25">
      <c r="A19993">
        <v>65</v>
      </c>
      <c r="B19993" t="s">
        <v>19995</v>
      </c>
      <c r="C19993">
        <v>12925</v>
      </c>
      <c r="D19993" t="str">
        <f>"0021-9290"</f>
        <v>0021-9290</v>
      </c>
      <c r="E19993" t="s">
        <v>8</v>
      </c>
      <c r="F19993" t="s">
        <v>20007</v>
      </c>
      <c r="G19993">
        <v>2</v>
      </c>
    </row>
    <row r="19994" spans="1:7" x14ac:dyDescent="0.25">
      <c r="A19994">
        <v>65</v>
      </c>
      <c r="B19994" t="s">
        <v>19995</v>
      </c>
      <c r="C19994">
        <v>3941</v>
      </c>
      <c r="D19994" t="str">
        <f>"1050-6411"</f>
        <v>1050-6411</v>
      </c>
      <c r="E19994" t="s">
        <v>8</v>
      </c>
      <c r="F19994" t="s">
        <v>20008</v>
      </c>
      <c r="G19994">
        <v>2</v>
      </c>
    </row>
    <row r="19995" spans="1:7" x14ac:dyDescent="0.25">
      <c r="A19995">
        <v>65</v>
      </c>
      <c r="B19995" t="s">
        <v>19995</v>
      </c>
      <c r="C19995">
        <v>19989</v>
      </c>
      <c r="D19995" t="str">
        <f>"1543-3080"</f>
        <v>1543-3080</v>
      </c>
      <c r="E19995" t="s">
        <v>8</v>
      </c>
      <c r="F19995" t="s">
        <v>20009</v>
      </c>
      <c r="G19995">
        <v>2</v>
      </c>
    </row>
    <row r="19996" spans="1:7" x14ac:dyDescent="0.25">
      <c r="A19996">
        <v>65</v>
      </c>
      <c r="B19996" t="s">
        <v>19995</v>
      </c>
      <c r="C19996">
        <v>14966</v>
      </c>
      <c r="D19996" t="str">
        <f>"1836-9553"</f>
        <v>1836-9553</v>
      </c>
      <c r="E19996" t="s">
        <v>8</v>
      </c>
      <c r="F19996" t="s">
        <v>20010</v>
      </c>
      <c r="G19996">
        <v>2</v>
      </c>
    </row>
    <row r="19997" spans="1:7" x14ac:dyDescent="0.25">
      <c r="A19997">
        <v>65</v>
      </c>
      <c r="B19997" t="s">
        <v>19995</v>
      </c>
      <c r="C19997">
        <v>15534</v>
      </c>
      <c r="D19997" t="str">
        <f>"1440-2440"</f>
        <v>1440-2440</v>
      </c>
      <c r="E19997" t="s">
        <v>8</v>
      </c>
      <c r="F19997" t="s">
        <v>20011</v>
      </c>
      <c r="G19997">
        <v>2</v>
      </c>
    </row>
    <row r="19998" spans="1:7" x14ac:dyDescent="0.25">
      <c r="A19998">
        <v>65</v>
      </c>
      <c r="B19998" t="s">
        <v>19995</v>
      </c>
      <c r="C19998">
        <v>11127</v>
      </c>
      <c r="D19998" t="str">
        <f>"0895-2779"</f>
        <v>0895-2779</v>
      </c>
      <c r="E19998" t="s">
        <v>8</v>
      </c>
      <c r="F19998" t="s">
        <v>20012</v>
      </c>
      <c r="G19998">
        <v>2</v>
      </c>
    </row>
    <row r="19999" spans="1:7" x14ac:dyDescent="0.25">
      <c r="A19999">
        <v>65</v>
      </c>
      <c r="B19999" t="s">
        <v>19995</v>
      </c>
      <c r="C19999">
        <v>15363</v>
      </c>
      <c r="D19999" t="str">
        <f>"0195-9131"</f>
        <v>0195-9131</v>
      </c>
      <c r="E19999" t="s">
        <v>8</v>
      </c>
      <c r="F19999" t="s">
        <v>20013</v>
      </c>
      <c r="G19999">
        <v>2</v>
      </c>
    </row>
    <row r="20000" spans="1:7" x14ac:dyDescent="0.25">
      <c r="A20000">
        <v>65</v>
      </c>
      <c r="B20000" t="s">
        <v>19995</v>
      </c>
      <c r="C20000">
        <v>12679</v>
      </c>
      <c r="D20000" t="str">
        <f>"0148-639X"</f>
        <v>0148-639X</v>
      </c>
      <c r="E20000" t="s">
        <v>8</v>
      </c>
      <c r="F20000" t="s">
        <v>20014</v>
      </c>
      <c r="G20000">
        <v>2</v>
      </c>
    </row>
    <row r="20001" spans="1:7" x14ac:dyDescent="0.25">
      <c r="A20001">
        <v>65</v>
      </c>
      <c r="B20001" t="s">
        <v>19995</v>
      </c>
      <c r="C20001">
        <v>6087</v>
      </c>
      <c r="D20001" t="str">
        <f>"1469-0292"</f>
        <v>1469-0292</v>
      </c>
      <c r="E20001" t="s">
        <v>8</v>
      </c>
      <c r="F20001" t="s">
        <v>20015</v>
      </c>
      <c r="G20001">
        <v>2</v>
      </c>
    </row>
    <row r="20002" spans="1:7" x14ac:dyDescent="0.25">
      <c r="A20002">
        <v>65</v>
      </c>
      <c r="B20002" t="s">
        <v>19995</v>
      </c>
      <c r="C20002">
        <v>13362</v>
      </c>
      <c r="D20002" t="str">
        <f>"0905-7188"</f>
        <v>0905-7188</v>
      </c>
      <c r="E20002" t="s">
        <v>8</v>
      </c>
      <c r="F20002" t="s">
        <v>20016</v>
      </c>
      <c r="G20002">
        <v>2</v>
      </c>
    </row>
    <row r="20003" spans="1:7" x14ac:dyDescent="0.25">
      <c r="A20003">
        <v>65</v>
      </c>
      <c r="B20003" t="s">
        <v>19995</v>
      </c>
      <c r="C20003">
        <v>85</v>
      </c>
      <c r="D20003" t="str">
        <f>"0112-1642"</f>
        <v>0112-1642</v>
      </c>
      <c r="E20003" t="s">
        <v>8</v>
      </c>
      <c r="F20003" t="s">
        <v>20017</v>
      </c>
      <c r="G20003">
        <v>2</v>
      </c>
    </row>
    <row r="20004" spans="1:7" x14ac:dyDescent="0.25">
      <c r="A20004">
        <v>65</v>
      </c>
      <c r="B20004" t="s">
        <v>19995</v>
      </c>
      <c r="C20004">
        <v>7980</v>
      </c>
      <c r="D20004" t="str">
        <f>"0363-5465"</f>
        <v>0363-5465</v>
      </c>
      <c r="E20004" t="s">
        <v>8</v>
      </c>
      <c r="F20004" t="s">
        <v>20018</v>
      </c>
      <c r="G20004">
        <v>2</v>
      </c>
    </row>
    <row r="20005" spans="1:7" x14ac:dyDescent="0.25">
      <c r="A20005">
        <v>65</v>
      </c>
      <c r="B20005" t="s">
        <v>19995</v>
      </c>
      <c r="C20005">
        <v>2887</v>
      </c>
      <c r="D20005" t="str">
        <f>"1091-5397"</f>
        <v>1091-5397</v>
      </c>
      <c r="E20005" t="s">
        <v>8</v>
      </c>
      <c r="F20005" t="s">
        <v>20019</v>
      </c>
      <c r="G20005">
        <v>1</v>
      </c>
    </row>
    <row r="20006" spans="1:7" x14ac:dyDescent="0.25">
      <c r="A20006">
        <v>65</v>
      </c>
      <c r="B20006" t="s">
        <v>19995</v>
      </c>
      <c r="C20006">
        <v>309</v>
      </c>
      <c r="D20006" t="str">
        <f>"0736-5829"</f>
        <v>0736-5829</v>
      </c>
      <c r="E20006" t="s">
        <v>8</v>
      </c>
      <c r="F20006" t="s">
        <v>20020</v>
      </c>
      <c r="G20006">
        <v>1</v>
      </c>
    </row>
    <row r="20007" spans="1:7" x14ac:dyDescent="0.25">
      <c r="A20007">
        <v>65</v>
      </c>
      <c r="B20007" t="s">
        <v>19995</v>
      </c>
      <c r="C20007">
        <v>7717771</v>
      </c>
      <c r="D20007" t="str">
        <f>"2161-8313"</f>
        <v>2161-8313</v>
      </c>
      <c r="E20007" t="s">
        <v>8</v>
      </c>
      <c r="F20007" t="s">
        <v>20021</v>
      </c>
      <c r="G20007">
        <v>1</v>
      </c>
    </row>
    <row r="20008" spans="1:7" x14ac:dyDescent="0.25">
      <c r="A20008">
        <v>65</v>
      </c>
      <c r="B20008" t="s">
        <v>19995</v>
      </c>
      <c r="C20008">
        <v>7723408</v>
      </c>
      <c r="D20008" t="str">
        <f>"2164-0386"</f>
        <v>2164-0386</v>
      </c>
      <c r="E20008" t="s">
        <v>8</v>
      </c>
      <c r="F20008" t="s">
        <v>20022</v>
      </c>
      <c r="G20008">
        <v>1</v>
      </c>
    </row>
    <row r="20009" spans="1:7" x14ac:dyDescent="0.25">
      <c r="A20009">
        <v>65</v>
      </c>
      <c r="B20009" t="s">
        <v>19995</v>
      </c>
      <c r="C20009">
        <v>8976</v>
      </c>
      <c r="D20009" t="str">
        <f>"0894-9115"</f>
        <v>0894-9115</v>
      </c>
      <c r="E20009" t="s">
        <v>8</v>
      </c>
      <c r="F20009" t="s">
        <v>20023</v>
      </c>
      <c r="G20009">
        <v>1</v>
      </c>
    </row>
    <row r="20010" spans="1:7" x14ac:dyDescent="0.25">
      <c r="A20010">
        <v>65</v>
      </c>
      <c r="B20010" t="s">
        <v>19995</v>
      </c>
      <c r="C20010">
        <v>6014602</v>
      </c>
      <c r="D20010" t="str">
        <f>"1943-8141"</f>
        <v>1943-8141</v>
      </c>
      <c r="E20010" t="s">
        <v>8</v>
      </c>
      <c r="F20010" t="s">
        <v>20024</v>
      </c>
      <c r="G20010">
        <v>1</v>
      </c>
    </row>
    <row r="20011" spans="1:7" x14ac:dyDescent="0.25">
      <c r="A20011">
        <v>65</v>
      </c>
      <c r="B20011" t="s">
        <v>19995</v>
      </c>
      <c r="C20011">
        <v>13764</v>
      </c>
      <c r="D20011" t="str">
        <f>"0969-6970"</f>
        <v>0969-6970</v>
      </c>
      <c r="E20011" t="s">
        <v>8</v>
      </c>
      <c r="F20011" t="s">
        <v>20025</v>
      </c>
      <c r="G20011">
        <v>1</v>
      </c>
    </row>
    <row r="20012" spans="1:7" x14ac:dyDescent="0.25">
      <c r="A20012">
        <v>65</v>
      </c>
      <c r="B20012" t="s">
        <v>19995</v>
      </c>
      <c r="C20012">
        <v>7713857</v>
      </c>
      <c r="D20012" t="str">
        <f>"1174-5398"</f>
        <v>1174-5398</v>
      </c>
      <c r="E20012" t="s">
        <v>8</v>
      </c>
      <c r="F20012" t="s">
        <v>20026</v>
      </c>
      <c r="G20012">
        <v>1</v>
      </c>
    </row>
    <row r="20013" spans="1:7" x14ac:dyDescent="0.25">
      <c r="A20013">
        <v>65</v>
      </c>
      <c r="B20013" t="s">
        <v>19995</v>
      </c>
      <c r="C20013">
        <v>13131</v>
      </c>
      <c r="D20013" t="str">
        <f>"1715-5312"</f>
        <v>1715-5312</v>
      </c>
      <c r="E20013" t="s">
        <v>8</v>
      </c>
      <c r="F20013" t="s">
        <v>20027</v>
      </c>
      <c r="G20013">
        <v>1</v>
      </c>
    </row>
    <row r="20014" spans="1:7" x14ac:dyDescent="0.25">
      <c r="A20014">
        <v>65</v>
      </c>
      <c r="B20014" t="s">
        <v>19995</v>
      </c>
      <c r="C20014">
        <v>12894</v>
      </c>
      <c r="D20014" t="str">
        <f>"0860-021X"</f>
        <v>0860-021X</v>
      </c>
      <c r="E20014" t="s">
        <v>8</v>
      </c>
      <c r="F20014" t="s">
        <v>20028</v>
      </c>
      <c r="G20014">
        <v>1</v>
      </c>
    </row>
    <row r="20015" spans="1:7" x14ac:dyDescent="0.25">
      <c r="A20015">
        <v>65</v>
      </c>
      <c r="B20015" t="s">
        <v>19995</v>
      </c>
      <c r="C20015">
        <v>10285</v>
      </c>
      <c r="E20015" t="s">
        <v>8</v>
      </c>
      <c r="F20015" t="s">
        <v>20029</v>
      </c>
      <c r="G20015">
        <v>1</v>
      </c>
    </row>
    <row r="20016" spans="1:7" x14ac:dyDescent="0.25">
      <c r="A20016">
        <v>65</v>
      </c>
      <c r="B20016" t="s">
        <v>19995</v>
      </c>
      <c r="C20016">
        <v>7756629</v>
      </c>
      <c r="E20016" t="s">
        <v>8</v>
      </c>
      <c r="F20016" t="s">
        <v>20030</v>
      </c>
      <c r="G20016">
        <v>1</v>
      </c>
    </row>
    <row r="20017" spans="1:7" x14ac:dyDescent="0.25">
      <c r="A20017">
        <v>65</v>
      </c>
      <c r="B20017" t="s">
        <v>19995</v>
      </c>
      <c r="C20017">
        <v>7713030</v>
      </c>
      <c r="E20017" t="s">
        <v>8</v>
      </c>
      <c r="F20017" t="s">
        <v>20031</v>
      </c>
      <c r="G20017">
        <v>1</v>
      </c>
    </row>
    <row r="20018" spans="1:7" x14ac:dyDescent="0.25">
      <c r="A20018">
        <v>65</v>
      </c>
      <c r="B20018" t="s">
        <v>19995</v>
      </c>
      <c r="C20018">
        <v>8773309</v>
      </c>
      <c r="E20018" t="s">
        <v>8</v>
      </c>
      <c r="F20018" t="s">
        <v>20032</v>
      </c>
      <c r="G20018">
        <v>1</v>
      </c>
    </row>
    <row r="20019" spans="1:7" x14ac:dyDescent="0.25">
      <c r="A20019">
        <v>65</v>
      </c>
      <c r="B20019" t="s">
        <v>19995</v>
      </c>
      <c r="C20019">
        <v>12641</v>
      </c>
      <c r="D20019" t="str">
        <f>"1359-107X"</f>
        <v>1359-107X</v>
      </c>
      <c r="E20019" t="s">
        <v>8</v>
      </c>
      <c r="F20019" t="s">
        <v>20033</v>
      </c>
      <c r="G20019">
        <v>1</v>
      </c>
    </row>
    <row r="20020" spans="1:7" x14ac:dyDescent="0.25">
      <c r="A20020">
        <v>65</v>
      </c>
      <c r="B20020" t="s">
        <v>19995</v>
      </c>
      <c r="C20020">
        <v>37592</v>
      </c>
      <c r="E20020" t="s">
        <v>8</v>
      </c>
      <c r="F20020" t="s">
        <v>20034</v>
      </c>
      <c r="G20020">
        <v>1</v>
      </c>
    </row>
    <row r="20021" spans="1:7" x14ac:dyDescent="0.25">
      <c r="A20021">
        <v>65</v>
      </c>
      <c r="B20021" t="s">
        <v>19995</v>
      </c>
      <c r="C20021">
        <v>1037</v>
      </c>
      <c r="D20021" t="str">
        <f>"1050-642X"</f>
        <v>1050-642X</v>
      </c>
      <c r="E20021" t="s">
        <v>8</v>
      </c>
      <c r="F20021" t="s">
        <v>20035</v>
      </c>
      <c r="G20021">
        <v>1</v>
      </c>
    </row>
    <row r="20022" spans="1:7" x14ac:dyDescent="0.25">
      <c r="A20022">
        <v>65</v>
      </c>
      <c r="B20022" t="s">
        <v>19995</v>
      </c>
      <c r="C20022">
        <v>3065</v>
      </c>
      <c r="D20022" t="str">
        <f>"0896-9620"</f>
        <v>0896-9620</v>
      </c>
      <c r="E20022" t="s">
        <v>8</v>
      </c>
      <c r="F20022" t="s">
        <v>20036</v>
      </c>
      <c r="G20022">
        <v>1</v>
      </c>
    </row>
    <row r="20023" spans="1:7" x14ac:dyDescent="0.25">
      <c r="A20023">
        <v>65</v>
      </c>
      <c r="B20023" t="s">
        <v>19995</v>
      </c>
      <c r="C20023">
        <v>8782455</v>
      </c>
      <c r="D20023" t="str">
        <f>"2405-4577"</f>
        <v>2405-4577</v>
      </c>
      <c r="E20023" t="s">
        <v>8</v>
      </c>
      <c r="F20023" t="s">
        <v>20037</v>
      </c>
      <c r="G20023">
        <v>1</v>
      </c>
    </row>
    <row r="20024" spans="1:7" x14ac:dyDescent="0.25">
      <c r="A20024">
        <v>65</v>
      </c>
      <c r="B20024" t="s">
        <v>19995</v>
      </c>
      <c r="C20024">
        <v>7717682</v>
      </c>
      <c r="D20024" t="str">
        <f>"1758-8103"</f>
        <v>1758-8103</v>
      </c>
      <c r="E20024" t="s">
        <v>8</v>
      </c>
      <c r="F20024" t="s">
        <v>20038</v>
      </c>
      <c r="G20024">
        <v>1</v>
      </c>
    </row>
    <row r="20025" spans="1:7" x14ac:dyDescent="0.25">
      <c r="A20025">
        <v>65</v>
      </c>
      <c r="B20025" t="s">
        <v>19995</v>
      </c>
      <c r="C20025">
        <v>12645</v>
      </c>
      <c r="D20025" t="str">
        <f>"0278-5919"</f>
        <v>0278-5919</v>
      </c>
      <c r="E20025" t="s">
        <v>8</v>
      </c>
      <c r="F20025" t="s">
        <v>20039</v>
      </c>
      <c r="G20025">
        <v>1</v>
      </c>
    </row>
    <row r="20026" spans="1:7" x14ac:dyDescent="0.25">
      <c r="A20026">
        <v>65</v>
      </c>
      <c r="B20026" t="s">
        <v>19995</v>
      </c>
      <c r="C20026">
        <v>7731539</v>
      </c>
      <c r="E20026" t="s">
        <v>8</v>
      </c>
      <c r="F20026" t="s">
        <v>20040</v>
      </c>
      <c r="G20026">
        <v>1</v>
      </c>
    </row>
    <row r="20027" spans="1:7" x14ac:dyDescent="0.25">
      <c r="A20027">
        <v>65</v>
      </c>
      <c r="B20027" t="s">
        <v>19995</v>
      </c>
      <c r="C20027">
        <v>24369</v>
      </c>
      <c r="D20027" t="str">
        <f>"1752-1882"</f>
        <v>1752-1882</v>
      </c>
      <c r="E20027" t="s">
        <v>8</v>
      </c>
      <c r="F20027" t="s">
        <v>20041</v>
      </c>
      <c r="G20027">
        <v>1</v>
      </c>
    </row>
    <row r="20028" spans="1:7" x14ac:dyDescent="0.25">
      <c r="A20028">
        <v>65</v>
      </c>
      <c r="B20028" t="s">
        <v>19995</v>
      </c>
      <c r="C20028">
        <v>7740430</v>
      </c>
      <c r="D20028" t="str">
        <f>"2167-4795"</f>
        <v>2167-4795</v>
      </c>
      <c r="E20028" t="s">
        <v>8</v>
      </c>
      <c r="F20028" t="s">
        <v>20042</v>
      </c>
      <c r="G20028">
        <v>1</v>
      </c>
    </row>
    <row r="20029" spans="1:7" x14ac:dyDescent="0.25">
      <c r="A20029">
        <v>65</v>
      </c>
      <c r="B20029" t="s">
        <v>19995</v>
      </c>
      <c r="C20029">
        <v>8782796</v>
      </c>
      <c r="E20029" t="s">
        <v>8</v>
      </c>
      <c r="F20029" t="s">
        <v>20043</v>
      </c>
      <c r="G20029">
        <v>1</v>
      </c>
    </row>
    <row r="20030" spans="1:7" x14ac:dyDescent="0.25">
      <c r="A20030">
        <v>65</v>
      </c>
      <c r="B20030" t="s">
        <v>19995</v>
      </c>
      <c r="C20030">
        <v>7720061</v>
      </c>
      <c r="D20030" t="str">
        <f>"2161-3311"</f>
        <v>2161-3311</v>
      </c>
      <c r="E20030" t="s">
        <v>8</v>
      </c>
      <c r="F20030" t="s">
        <v>20044</v>
      </c>
      <c r="G20030">
        <v>1</v>
      </c>
    </row>
    <row r="20031" spans="1:7" x14ac:dyDescent="0.25">
      <c r="A20031">
        <v>65</v>
      </c>
      <c r="B20031" t="s">
        <v>19995</v>
      </c>
      <c r="C20031">
        <v>19958</v>
      </c>
      <c r="D20031" t="str">
        <f>"1537-890X"</f>
        <v>1537-890X</v>
      </c>
      <c r="E20031" t="s">
        <v>8</v>
      </c>
      <c r="F20031" t="s">
        <v>20045</v>
      </c>
      <c r="G20031">
        <v>1</v>
      </c>
    </row>
    <row r="20032" spans="1:7" x14ac:dyDescent="0.25">
      <c r="A20032">
        <v>65</v>
      </c>
      <c r="B20032" t="s">
        <v>19995</v>
      </c>
      <c r="C20032">
        <v>160053</v>
      </c>
      <c r="D20032" t="str">
        <f>"1397-4211"</f>
        <v>1397-4211</v>
      </c>
      <c r="E20032" t="s">
        <v>8</v>
      </c>
      <c r="F20032" t="s">
        <v>20046</v>
      </c>
      <c r="G20032">
        <v>1</v>
      </c>
    </row>
    <row r="20033" spans="1:7" x14ac:dyDescent="0.25">
      <c r="A20033">
        <v>65</v>
      </c>
      <c r="B20033" t="s">
        <v>19995</v>
      </c>
      <c r="C20033">
        <v>7180</v>
      </c>
      <c r="D20033" t="str">
        <f>"0344-5925"</f>
        <v>0344-5925</v>
      </c>
      <c r="E20033" t="s">
        <v>8</v>
      </c>
      <c r="F20033" t="s">
        <v>20047</v>
      </c>
      <c r="G20033">
        <v>1</v>
      </c>
    </row>
    <row r="20034" spans="1:7" x14ac:dyDescent="0.25">
      <c r="A20034">
        <v>65</v>
      </c>
      <c r="B20034" t="s">
        <v>19995</v>
      </c>
      <c r="C20034">
        <v>6092768</v>
      </c>
      <c r="D20034" t="str">
        <f>"1942-7603"</f>
        <v>1942-7603</v>
      </c>
      <c r="E20034" t="s">
        <v>8</v>
      </c>
      <c r="F20034" t="s">
        <v>20048</v>
      </c>
      <c r="G20034">
        <v>1</v>
      </c>
    </row>
    <row r="20035" spans="1:7" x14ac:dyDescent="0.25">
      <c r="A20035">
        <v>65</v>
      </c>
      <c r="B20035" t="s">
        <v>19995</v>
      </c>
      <c r="C20035">
        <v>11242</v>
      </c>
      <c r="D20035" t="str">
        <f>"0014-0139"</f>
        <v>0014-0139</v>
      </c>
      <c r="E20035" t="s">
        <v>8</v>
      </c>
      <c r="F20035" t="s">
        <v>20049</v>
      </c>
      <c r="G20035">
        <v>1</v>
      </c>
    </row>
    <row r="20036" spans="1:7" x14ac:dyDescent="0.25">
      <c r="A20036">
        <v>65</v>
      </c>
      <c r="B20036" t="s">
        <v>19995</v>
      </c>
      <c r="C20036">
        <v>160054</v>
      </c>
      <c r="D20036" t="str">
        <f>"1610-3696"</f>
        <v>1610-3696</v>
      </c>
      <c r="E20036" t="s">
        <v>8</v>
      </c>
      <c r="F20036" t="s">
        <v>20050</v>
      </c>
      <c r="G20036">
        <v>1</v>
      </c>
    </row>
    <row r="20037" spans="1:7" x14ac:dyDescent="0.25">
      <c r="A20037">
        <v>65</v>
      </c>
      <c r="B20037" t="s">
        <v>19995</v>
      </c>
      <c r="C20037">
        <v>8783641</v>
      </c>
      <c r="E20037" t="s">
        <v>15</v>
      </c>
      <c r="F20037" t="s">
        <v>20051</v>
      </c>
      <c r="G20037">
        <v>1</v>
      </c>
    </row>
    <row r="20038" spans="1:7" x14ac:dyDescent="0.25">
      <c r="A20038">
        <v>65</v>
      </c>
      <c r="B20038" t="s">
        <v>19995</v>
      </c>
      <c r="C20038">
        <v>27250</v>
      </c>
      <c r="D20038" t="str">
        <f>"1613-8171"</f>
        <v>1613-8171</v>
      </c>
      <c r="E20038" t="s">
        <v>8</v>
      </c>
      <c r="F20038" t="s">
        <v>20052</v>
      </c>
      <c r="G20038">
        <v>1</v>
      </c>
    </row>
    <row r="20039" spans="1:7" x14ac:dyDescent="0.25">
      <c r="A20039">
        <v>65</v>
      </c>
      <c r="B20039" t="s">
        <v>19995</v>
      </c>
      <c r="C20039">
        <v>8196</v>
      </c>
      <c r="D20039" t="str">
        <f>"1746-1391"</f>
        <v>1746-1391</v>
      </c>
      <c r="E20039" t="s">
        <v>8</v>
      </c>
      <c r="F20039" t="s">
        <v>20053</v>
      </c>
      <c r="G20039">
        <v>1</v>
      </c>
    </row>
    <row r="20040" spans="1:7" x14ac:dyDescent="0.25">
      <c r="A20040">
        <v>65</v>
      </c>
      <c r="B20040" t="s">
        <v>19995</v>
      </c>
      <c r="C20040">
        <v>8758817</v>
      </c>
      <c r="D20040" t="str">
        <f>"1813-7253 "</f>
        <v xml:space="preserve">1813-7253 </v>
      </c>
      <c r="E20040" t="s">
        <v>8</v>
      </c>
      <c r="F20040" t="s">
        <v>20054</v>
      </c>
      <c r="G20040">
        <v>1</v>
      </c>
    </row>
    <row r="20041" spans="1:7" x14ac:dyDescent="0.25">
      <c r="A20041">
        <v>65</v>
      </c>
      <c r="B20041" t="s">
        <v>19995</v>
      </c>
      <c r="C20041">
        <v>2389</v>
      </c>
      <c r="D20041" t="str">
        <f>"1618-4742"</f>
        <v>1618-4742</v>
      </c>
      <c r="E20041" t="s">
        <v>8</v>
      </c>
      <c r="F20041" t="s">
        <v>20055</v>
      </c>
      <c r="G20041">
        <v>1</v>
      </c>
    </row>
    <row r="20042" spans="1:7" x14ac:dyDescent="0.25">
      <c r="A20042">
        <v>65</v>
      </c>
      <c r="B20042" t="s">
        <v>19995</v>
      </c>
      <c r="C20042">
        <v>160050</v>
      </c>
      <c r="D20042" t="str">
        <f>"1077-5552"</f>
        <v>1077-5552</v>
      </c>
      <c r="E20042" t="s">
        <v>8</v>
      </c>
      <c r="F20042" t="s">
        <v>20056</v>
      </c>
      <c r="G20042">
        <v>1</v>
      </c>
    </row>
    <row r="20043" spans="1:7" x14ac:dyDescent="0.25">
      <c r="A20043">
        <v>65</v>
      </c>
      <c r="B20043" t="s">
        <v>19995</v>
      </c>
      <c r="C20043">
        <v>6741</v>
      </c>
      <c r="D20043" t="str">
        <f>"0958-0670"</f>
        <v>0958-0670</v>
      </c>
      <c r="E20043" t="s">
        <v>8</v>
      </c>
      <c r="F20043" t="s">
        <v>20057</v>
      </c>
      <c r="G20043">
        <v>1</v>
      </c>
    </row>
    <row r="20044" spans="1:7" x14ac:dyDescent="0.25">
      <c r="A20044">
        <v>65</v>
      </c>
      <c r="B20044" t="s">
        <v>19995</v>
      </c>
      <c r="C20044">
        <v>7749052</v>
      </c>
      <c r="D20044" t="str">
        <f>"2014-9255"</f>
        <v>2014-9255</v>
      </c>
      <c r="E20044" t="s">
        <v>8</v>
      </c>
      <c r="F20044" t="s">
        <v>20058</v>
      </c>
      <c r="G20044">
        <v>1</v>
      </c>
    </row>
    <row r="20045" spans="1:7" x14ac:dyDescent="0.25">
      <c r="A20045">
        <v>65</v>
      </c>
      <c r="B20045" t="s">
        <v>19995</v>
      </c>
      <c r="C20045">
        <v>3116</v>
      </c>
      <c r="D20045" t="str">
        <f>"1071-1007"</f>
        <v>1071-1007</v>
      </c>
      <c r="E20045" t="s">
        <v>8</v>
      </c>
      <c r="F20045" t="s">
        <v>20059</v>
      </c>
      <c r="G20045">
        <v>1</v>
      </c>
    </row>
    <row r="20046" spans="1:7" x14ac:dyDescent="0.25">
      <c r="A20046">
        <v>65</v>
      </c>
      <c r="B20046" t="s">
        <v>19995</v>
      </c>
      <c r="C20046">
        <v>156423</v>
      </c>
      <c r="D20046" t="str">
        <f>"1349-5623"</f>
        <v>1349-5623</v>
      </c>
      <c r="E20046" t="s">
        <v>8</v>
      </c>
      <c r="F20046" t="s">
        <v>20060</v>
      </c>
      <c r="G20046">
        <v>1</v>
      </c>
    </row>
    <row r="20047" spans="1:7" x14ac:dyDescent="0.25">
      <c r="A20047">
        <v>65</v>
      </c>
      <c r="B20047" t="s">
        <v>19995</v>
      </c>
      <c r="C20047">
        <v>6116980</v>
      </c>
      <c r="D20047" t="str">
        <f>"1942-4280"</f>
        <v>1942-4280</v>
      </c>
      <c r="E20047" t="s">
        <v>8</v>
      </c>
      <c r="F20047" t="s">
        <v>20061</v>
      </c>
      <c r="G20047">
        <v>1</v>
      </c>
    </row>
    <row r="20048" spans="1:7" x14ac:dyDescent="0.25">
      <c r="A20048">
        <v>65</v>
      </c>
      <c r="B20048" t="s">
        <v>19995</v>
      </c>
      <c r="C20048">
        <v>160051</v>
      </c>
      <c r="D20048" t="str">
        <f>"1904-2183"</f>
        <v>1904-2183</v>
      </c>
      <c r="E20048" t="s">
        <v>8</v>
      </c>
      <c r="F20048" t="s">
        <v>20062</v>
      </c>
      <c r="G20048">
        <v>1</v>
      </c>
    </row>
    <row r="20049" spans="1:7" x14ac:dyDescent="0.25">
      <c r="A20049">
        <v>65</v>
      </c>
      <c r="B20049" t="s">
        <v>19995</v>
      </c>
      <c r="C20049">
        <v>2591</v>
      </c>
      <c r="D20049" t="str">
        <f>"0891-5849"</f>
        <v>0891-5849</v>
      </c>
      <c r="E20049" t="s">
        <v>8</v>
      </c>
      <c r="F20049" t="s">
        <v>20063</v>
      </c>
      <c r="G20049">
        <v>1</v>
      </c>
    </row>
    <row r="20050" spans="1:7" x14ac:dyDescent="0.25">
      <c r="A20050">
        <v>65</v>
      </c>
      <c r="B20050" t="s">
        <v>19995</v>
      </c>
      <c r="C20050">
        <v>7587</v>
      </c>
      <c r="D20050" t="str">
        <f>"0966-6362"</f>
        <v>0966-6362</v>
      </c>
      <c r="E20050" t="s">
        <v>8</v>
      </c>
      <c r="F20050" t="s">
        <v>20064</v>
      </c>
      <c r="G20050">
        <v>1</v>
      </c>
    </row>
    <row r="20051" spans="1:7" x14ac:dyDescent="0.25">
      <c r="A20051">
        <v>65</v>
      </c>
      <c r="B20051" t="s">
        <v>19995</v>
      </c>
      <c r="C20051">
        <v>7719417</v>
      </c>
      <c r="D20051" t="str">
        <f>"2161-783X"</f>
        <v>2161-783X</v>
      </c>
      <c r="E20051" t="s">
        <v>8</v>
      </c>
      <c r="F20051" t="s">
        <v>20065</v>
      </c>
      <c r="G20051">
        <v>1</v>
      </c>
    </row>
    <row r="20052" spans="1:7" x14ac:dyDescent="0.25">
      <c r="A20052">
        <v>65</v>
      </c>
      <c r="B20052" t="s">
        <v>19995</v>
      </c>
      <c r="C20052">
        <v>8783642</v>
      </c>
      <c r="E20052" t="s">
        <v>15</v>
      </c>
      <c r="F20052" t="s">
        <v>20066</v>
      </c>
      <c r="G20052">
        <v>1</v>
      </c>
    </row>
    <row r="20053" spans="1:7" x14ac:dyDescent="0.25">
      <c r="A20053">
        <v>65</v>
      </c>
      <c r="B20053" t="s">
        <v>19995</v>
      </c>
      <c r="C20053">
        <v>7617954</v>
      </c>
      <c r="D20053" t="str">
        <f>"1557-8682"</f>
        <v>1557-8682</v>
      </c>
      <c r="E20053" t="s">
        <v>8</v>
      </c>
      <c r="F20053" t="s">
        <v>20067</v>
      </c>
      <c r="G20053">
        <v>1</v>
      </c>
    </row>
    <row r="20054" spans="1:7" x14ac:dyDescent="0.25">
      <c r="A20054">
        <v>65</v>
      </c>
      <c r="B20054" t="s">
        <v>19995</v>
      </c>
      <c r="C20054">
        <v>160063</v>
      </c>
      <c r="D20054" t="str">
        <f>"1730-2064"</f>
        <v>1730-2064</v>
      </c>
      <c r="E20054" t="s">
        <v>8</v>
      </c>
      <c r="F20054" t="s">
        <v>20068</v>
      </c>
      <c r="G20054">
        <v>1</v>
      </c>
    </row>
    <row r="20055" spans="1:7" x14ac:dyDescent="0.25">
      <c r="A20055">
        <v>65</v>
      </c>
      <c r="B20055" t="s">
        <v>19995</v>
      </c>
      <c r="C20055">
        <v>5805</v>
      </c>
      <c r="D20055" t="str">
        <f>"1652-7224"</f>
        <v>1652-7224</v>
      </c>
      <c r="E20055" t="s">
        <v>8</v>
      </c>
      <c r="F20055" t="s">
        <v>20069</v>
      </c>
      <c r="G20055">
        <v>1</v>
      </c>
    </row>
    <row r="20056" spans="1:7" x14ac:dyDescent="0.25">
      <c r="A20056">
        <v>65</v>
      </c>
      <c r="B20056" t="s">
        <v>19995</v>
      </c>
      <c r="C20056">
        <v>97021</v>
      </c>
      <c r="D20056" t="str">
        <f>"2158-592X"</f>
        <v>2158-592X</v>
      </c>
      <c r="E20056" t="s">
        <v>8</v>
      </c>
      <c r="F20056" t="s">
        <v>20070</v>
      </c>
      <c r="G20056">
        <v>1</v>
      </c>
    </row>
    <row r="20057" spans="1:7" x14ac:dyDescent="0.25">
      <c r="A20057">
        <v>65</v>
      </c>
      <c r="B20057" t="s">
        <v>19995</v>
      </c>
      <c r="C20057">
        <v>8758272</v>
      </c>
      <c r="D20057" t="str">
        <f>"2333-5432"</f>
        <v>2333-5432</v>
      </c>
      <c r="E20057" t="s">
        <v>8</v>
      </c>
      <c r="F20057" t="s">
        <v>20071</v>
      </c>
      <c r="G20057">
        <v>1</v>
      </c>
    </row>
    <row r="20058" spans="1:7" x14ac:dyDescent="0.25">
      <c r="A20058">
        <v>65</v>
      </c>
      <c r="B20058" t="s">
        <v>19995</v>
      </c>
      <c r="C20058">
        <v>151938</v>
      </c>
      <c r="D20058" t="str">
        <f>"1750-2764"</f>
        <v>1750-2764</v>
      </c>
      <c r="E20058" t="s">
        <v>8</v>
      </c>
      <c r="F20058" t="s">
        <v>20072</v>
      </c>
      <c r="G20058">
        <v>1</v>
      </c>
    </row>
    <row r="20059" spans="1:7" x14ac:dyDescent="0.25">
      <c r="A20059">
        <v>65</v>
      </c>
      <c r="B20059" t="s">
        <v>19995</v>
      </c>
      <c r="C20059">
        <v>619</v>
      </c>
      <c r="D20059" t="str">
        <f>"2157-7277"</f>
        <v>2157-7277</v>
      </c>
      <c r="E20059" t="s">
        <v>8</v>
      </c>
      <c r="F20059" t="s">
        <v>20073</v>
      </c>
      <c r="G20059">
        <v>1</v>
      </c>
    </row>
    <row r="20060" spans="1:7" x14ac:dyDescent="0.25">
      <c r="A20060">
        <v>65</v>
      </c>
      <c r="B20060" t="s">
        <v>19995</v>
      </c>
      <c r="C20060">
        <v>466</v>
      </c>
      <c r="E20060" t="s">
        <v>8</v>
      </c>
      <c r="F20060" t="s">
        <v>20074</v>
      </c>
      <c r="G20060">
        <v>1</v>
      </c>
    </row>
    <row r="20061" spans="1:7" x14ac:dyDescent="0.25">
      <c r="A20061">
        <v>65</v>
      </c>
      <c r="B20061" t="s">
        <v>19995</v>
      </c>
      <c r="C20061">
        <v>143338</v>
      </c>
      <c r="E20061" t="s">
        <v>8</v>
      </c>
      <c r="F20061" t="s">
        <v>20075</v>
      </c>
      <c r="G20061">
        <v>1</v>
      </c>
    </row>
    <row r="20062" spans="1:7" x14ac:dyDescent="0.25">
      <c r="A20062">
        <v>65</v>
      </c>
      <c r="B20062" t="s">
        <v>19995</v>
      </c>
      <c r="C20062">
        <v>7703482</v>
      </c>
      <c r="D20062" t="str">
        <f>"2045-7804"</f>
        <v>2045-7804</v>
      </c>
      <c r="E20062" t="s">
        <v>8</v>
      </c>
      <c r="F20062" t="s">
        <v>20076</v>
      </c>
      <c r="G20062">
        <v>1</v>
      </c>
    </row>
    <row r="20063" spans="1:7" x14ac:dyDescent="0.25">
      <c r="A20063">
        <v>65</v>
      </c>
      <c r="B20063" t="s">
        <v>19995</v>
      </c>
      <c r="C20063">
        <v>3187</v>
      </c>
      <c r="D20063" t="str">
        <f>"0169-8141"</f>
        <v>0169-8141</v>
      </c>
      <c r="E20063" t="s">
        <v>8</v>
      </c>
      <c r="F20063" t="s">
        <v>20077</v>
      </c>
      <c r="G20063">
        <v>1</v>
      </c>
    </row>
    <row r="20064" spans="1:7" x14ac:dyDescent="0.25">
      <c r="A20064">
        <v>65</v>
      </c>
      <c r="B20064" t="s">
        <v>19995</v>
      </c>
      <c r="C20064">
        <v>16676</v>
      </c>
      <c r="D20064" t="str">
        <f>"0307-0565"</f>
        <v>0307-0565</v>
      </c>
      <c r="E20064" t="s">
        <v>8</v>
      </c>
      <c r="F20064" t="s">
        <v>20078</v>
      </c>
      <c r="G20064">
        <v>1</v>
      </c>
    </row>
    <row r="20065" spans="1:7" x14ac:dyDescent="0.25">
      <c r="A20065">
        <v>65</v>
      </c>
      <c r="B20065" t="s">
        <v>19995</v>
      </c>
      <c r="C20065">
        <v>1880</v>
      </c>
      <c r="E20065" t="s">
        <v>8</v>
      </c>
      <c r="F20065" t="s">
        <v>20079</v>
      </c>
      <c r="G20065">
        <v>1</v>
      </c>
    </row>
    <row r="20066" spans="1:7" x14ac:dyDescent="0.25">
      <c r="A20066">
        <v>65</v>
      </c>
      <c r="B20066" t="s">
        <v>19995</v>
      </c>
      <c r="C20066">
        <v>7310</v>
      </c>
      <c r="D20066" t="str">
        <f>"0341-8685"</f>
        <v>0341-8685</v>
      </c>
      <c r="E20066" t="s">
        <v>8</v>
      </c>
      <c r="F20066" t="s">
        <v>20080</v>
      </c>
      <c r="G20066">
        <v>1</v>
      </c>
    </row>
    <row r="20067" spans="1:7" x14ac:dyDescent="0.25">
      <c r="A20067">
        <v>65</v>
      </c>
      <c r="B20067" t="s">
        <v>19995</v>
      </c>
      <c r="C20067">
        <v>128280</v>
      </c>
      <c r="D20067" t="str">
        <f>"1555-1431"</f>
        <v>1555-1431</v>
      </c>
      <c r="E20067" t="s">
        <v>8</v>
      </c>
      <c r="F20067" t="s">
        <v>20081</v>
      </c>
      <c r="G20067">
        <v>1</v>
      </c>
    </row>
    <row r="20068" spans="1:7" x14ac:dyDescent="0.25">
      <c r="A20068">
        <v>65</v>
      </c>
      <c r="B20068" t="s">
        <v>19995</v>
      </c>
      <c r="C20068">
        <v>11471</v>
      </c>
      <c r="D20068" t="str">
        <f>"0342-5282"</f>
        <v>0342-5282</v>
      </c>
      <c r="E20068" t="s">
        <v>8</v>
      </c>
      <c r="F20068" t="s">
        <v>20082</v>
      </c>
      <c r="G20068">
        <v>1</v>
      </c>
    </row>
    <row r="20069" spans="1:7" x14ac:dyDescent="0.25">
      <c r="A20069">
        <v>65</v>
      </c>
      <c r="B20069" t="s">
        <v>19995</v>
      </c>
      <c r="C20069">
        <v>7793</v>
      </c>
      <c r="D20069" t="str">
        <f>"1612-197X"</f>
        <v>1612-197X</v>
      </c>
      <c r="E20069" t="s">
        <v>8</v>
      </c>
      <c r="F20069" t="s">
        <v>20083</v>
      </c>
      <c r="G20069">
        <v>1</v>
      </c>
    </row>
    <row r="20070" spans="1:7" x14ac:dyDescent="0.25">
      <c r="A20070">
        <v>65</v>
      </c>
      <c r="B20070" t="s">
        <v>19995</v>
      </c>
      <c r="C20070">
        <v>27327</v>
      </c>
      <c r="D20070" t="str">
        <f>"1936-3915"</f>
        <v>1936-3915</v>
      </c>
      <c r="E20070" t="s">
        <v>8</v>
      </c>
      <c r="F20070" t="s">
        <v>20084</v>
      </c>
      <c r="G20070">
        <v>1</v>
      </c>
    </row>
    <row r="20071" spans="1:7" x14ac:dyDescent="0.25">
      <c r="A20071">
        <v>65</v>
      </c>
      <c r="B20071" t="s">
        <v>19995</v>
      </c>
      <c r="C20071">
        <v>3510</v>
      </c>
      <c r="D20071" t="str">
        <f>"1558-6235"</f>
        <v>1558-6235</v>
      </c>
      <c r="E20071" t="s">
        <v>8</v>
      </c>
      <c r="F20071" t="s">
        <v>20085</v>
      </c>
      <c r="G20071">
        <v>1</v>
      </c>
    </row>
    <row r="20072" spans="1:7" x14ac:dyDescent="0.25">
      <c r="A20072">
        <v>65</v>
      </c>
      <c r="B20072" t="s">
        <v>19995</v>
      </c>
      <c r="C20072">
        <v>11498</v>
      </c>
      <c r="D20072" t="str">
        <f>"1546-234X"</f>
        <v>1546-234X</v>
      </c>
      <c r="E20072" t="s">
        <v>8</v>
      </c>
      <c r="F20072" t="s">
        <v>20086</v>
      </c>
      <c r="G20072">
        <v>1</v>
      </c>
    </row>
    <row r="20073" spans="1:7" x14ac:dyDescent="0.25">
      <c r="A20073">
        <v>65</v>
      </c>
      <c r="B20073" t="s">
        <v>19995</v>
      </c>
      <c r="C20073">
        <v>532</v>
      </c>
      <c r="D20073" t="str">
        <f>"1475-8962"</f>
        <v>1475-8962</v>
      </c>
      <c r="E20073" t="s">
        <v>8</v>
      </c>
      <c r="F20073" t="s">
        <v>20087</v>
      </c>
      <c r="G20073">
        <v>1</v>
      </c>
    </row>
    <row r="20074" spans="1:7" x14ac:dyDescent="0.25">
      <c r="A20074">
        <v>65</v>
      </c>
      <c r="B20074" t="s">
        <v>19995</v>
      </c>
      <c r="C20074">
        <v>7560</v>
      </c>
      <c r="D20074" t="str">
        <f>"1526-484X"</f>
        <v>1526-484X</v>
      </c>
      <c r="E20074" t="s">
        <v>8</v>
      </c>
      <c r="F20074" t="s">
        <v>20088</v>
      </c>
      <c r="G20074">
        <v>1</v>
      </c>
    </row>
    <row r="20075" spans="1:7" x14ac:dyDescent="0.25">
      <c r="A20075">
        <v>65</v>
      </c>
      <c r="B20075" t="s">
        <v>19995</v>
      </c>
      <c r="C20075">
        <v>160060</v>
      </c>
      <c r="D20075" t="str">
        <f>"1940-6940"</f>
        <v>1940-6940</v>
      </c>
      <c r="E20075" t="s">
        <v>8</v>
      </c>
      <c r="F20075" t="s">
        <v>20089</v>
      </c>
      <c r="G20075">
        <v>1</v>
      </c>
    </row>
    <row r="20076" spans="1:7" x14ac:dyDescent="0.25">
      <c r="A20076">
        <v>65</v>
      </c>
      <c r="B20076" t="s">
        <v>19995</v>
      </c>
      <c r="C20076">
        <v>8795</v>
      </c>
      <c r="D20076" t="str">
        <f>"0047-0767"</f>
        <v>0047-0767</v>
      </c>
      <c r="E20076" t="s">
        <v>8</v>
      </c>
      <c r="F20076" t="s">
        <v>20090</v>
      </c>
      <c r="G20076">
        <v>1</v>
      </c>
    </row>
    <row r="20077" spans="1:7" x14ac:dyDescent="0.25">
      <c r="A20077">
        <v>65</v>
      </c>
      <c r="B20077" t="s">
        <v>19995</v>
      </c>
      <c r="C20077">
        <v>9370</v>
      </c>
      <c r="D20077" t="str">
        <f>"1464-6668"</f>
        <v>1464-6668</v>
      </c>
      <c r="E20077" t="s">
        <v>8</v>
      </c>
      <c r="F20077" t="s">
        <v>20091</v>
      </c>
      <c r="G20077">
        <v>1</v>
      </c>
    </row>
    <row r="20078" spans="1:7" x14ac:dyDescent="0.25">
      <c r="A20078">
        <v>65</v>
      </c>
      <c r="B20078" t="s">
        <v>19995</v>
      </c>
      <c r="C20078">
        <v>7826</v>
      </c>
      <c r="D20078" t="str">
        <f>"0172-4622"</f>
        <v>0172-4622</v>
      </c>
      <c r="E20078" t="s">
        <v>8</v>
      </c>
      <c r="F20078" t="s">
        <v>20092</v>
      </c>
      <c r="G20078">
        <v>1</v>
      </c>
    </row>
    <row r="20079" spans="1:7" x14ac:dyDescent="0.25">
      <c r="A20079">
        <v>65</v>
      </c>
      <c r="B20079" t="s">
        <v>19995</v>
      </c>
      <c r="C20079">
        <v>7661792</v>
      </c>
      <c r="D20079" t="str">
        <f>"2159-2896"</f>
        <v>2159-2896</v>
      </c>
      <c r="E20079" t="s">
        <v>8</v>
      </c>
      <c r="F20079" t="s">
        <v>20093</v>
      </c>
      <c r="G20079">
        <v>1</v>
      </c>
    </row>
    <row r="20080" spans="1:7" x14ac:dyDescent="0.25">
      <c r="A20080">
        <v>65</v>
      </c>
      <c r="B20080" t="s">
        <v>19995</v>
      </c>
      <c r="C20080">
        <v>130238</v>
      </c>
      <c r="D20080" t="str">
        <f>"1555-0265"</f>
        <v>1555-0265</v>
      </c>
      <c r="E20080" t="s">
        <v>8</v>
      </c>
      <c r="F20080" t="s">
        <v>20094</v>
      </c>
      <c r="G20080">
        <v>1</v>
      </c>
    </row>
    <row r="20081" spans="1:7" x14ac:dyDescent="0.25">
      <c r="A20081">
        <v>65</v>
      </c>
      <c r="B20081" t="s">
        <v>19995</v>
      </c>
      <c r="C20081">
        <v>25886</v>
      </c>
      <c r="D20081" t="str">
        <f>"1747-9541"</f>
        <v>1747-9541</v>
      </c>
      <c r="E20081" t="s">
        <v>8</v>
      </c>
      <c r="F20081" t="s">
        <v>20095</v>
      </c>
      <c r="G20081">
        <v>1</v>
      </c>
    </row>
    <row r="20082" spans="1:7" x14ac:dyDescent="0.25">
      <c r="A20082">
        <v>65</v>
      </c>
      <c r="B20082" t="s">
        <v>19995</v>
      </c>
      <c r="C20082">
        <v>66635</v>
      </c>
      <c r="D20082" t="str">
        <f>"1321-0122"</f>
        <v>1321-0122</v>
      </c>
      <c r="E20082" t="s">
        <v>8</v>
      </c>
      <c r="F20082" t="s">
        <v>20096</v>
      </c>
      <c r="G20082">
        <v>1</v>
      </c>
    </row>
    <row r="20083" spans="1:7" x14ac:dyDescent="0.25">
      <c r="A20083">
        <v>65</v>
      </c>
      <c r="B20083" t="s">
        <v>19995</v>
      </c>
      <c r="C20083">
        <v>2116</v>
      </c>
      <c r="D20083" t="str">
        <f>"1012-6902"</f>
        <v>1012-6902</v>
      </c>
      <c r="E20083" t="s">
        <v>8</v>
      </c>
      <c r="F20083" t="s">
        <v>20097</v>
      </c>
      <c r="G20083">
        <v>1</v>
      </c>
    </row>
    <row r="20084" spans="1:7" x14ac:dyDescent="0.25">
      <c r="A20084">
        <v>65</v>
      </c>
      <c r="B20084" t="s">
        <v>19995</v>
      </c>
      <c r="C20084">
        <v>180161</v>
      </c>
      <c r="D20084" t="str">
        <f>"2328-918X"</f>
        <v>2328-918X</v>
      </c>
      <c r="E20084" t="s">
        <v>8</v>
      </c>
      <c r="F20084" t="s">
        <v>20098</v>
      </c>
      <c r="G20084">
        <v>1</v>
      </c>
    </row>
    <row r="20085" spans="1:7" x14ac:dyDescent="0.25">
      <c r="A20085">
        <v>65</v>
      </c>
      <c r="B20085" t="s">
        <v>19995</v>
      </c>
      <c r="C20085">
        <v>101417</v>
      </c>
      <c r="D20085" t="str">
        <f>"1443-0770"</f>
        <v>1443-0770</v>
      </c>
      <c r="E20085" t="s">
        <v>8</v>
      </c>
      <c r="F20085" t="s">
        <v>20099</v>
      </c>
      <c r="G20085">
        <v>1</v>
      </c>
    </row>
    <row r="20086" spans="1:7" x14ac:dyDescent="0.25">
      <c r="A20086">
        <v>65</v>
      </c>
      <c r="B20086" t="s">
        <v>19995</v>
      </c>
      <c r="C20086">
        <v>12733</v>
      </c>
      <c r="D20086" t="str">
        <f>"0959-3020"</f>
        <v>0959-3020</v>
      </c>
      <c r="E20086" t="s">
        <v>8</v>
      </c>
      <c r="F20086" t="s">
        <v>20100</v>
      </c>
      <c r="G20086">
        <v>1</v>
      </c>
    </row>
    <row r="20087" spans="1:7" x14ac:dyDescent="0.25">
      <c r="A20087">
        <v>65</v>
      </c>
      <c r="B20087" t="s">
        <v>19995</v>
      </c>
      <c r="C20087">
        <v>10929</v>
      </c>
      <c r="D20087" t="str">
        <f>"0762-915X"</f>
        <v>0762-915X</v>
      </c>
      <c r="E20087" t="s">
        <v>8</v>
      </c>
      <c r="F20087" t="s">
        <v>20101</v>
      </c>
      <c r="G20087">
        <v>1</v>
      </c>
    </row>
    <row r="20088" spans="1:7" x14ac:dyDescent="0.25">
      <c r="A20088">
        <v>65</v>
      </c>
      <c r="B20088" t="s">
        <v>19995</v>
      </c>
      <c r="C20088">
        <v>8782687</v>
      </c>
      <c r="E20088" t="s">
        <v>8</v>
      </c>
      <c r="F20088" t="s">
        <v>20102</v>
      </c>
      <c r="G20088">
        <v>1</v>
      </c>
    </row>
    <row r="20089" spans="1:7" x14ac:dyDescent="0.25">
      <c r="A20089">
        <v>65</v>
      </c>
      <c r="B20089" t="s">
        <v>19995</v>
      </c>
      <c r="C20089">
        <v>8783344</v>
      </c>
      <c r="D20089" t="str">
        <f>" 2575-6605 "</f>
        <v xml:space="preserve"> 2575-6605 </v>
      </c>
      <c r="E20089" t="s">
        <v>8</v>
      </c>
      <c r="F20089" t="s">
        <v>20103</v>
      </c>
      <c r="G20089">
        <v>1</v>
      </c>
    </row>
    <row r="20090" spans="1:7" x14ac:dyDescent="0.25">
      <c r="A20090">
        <v>65</v>
      </c>
      <c r="B20090" t="s">
        <v>19995</v>
      </c>
      <c r="C20090">
        <v>8783345</v>
      </c>
      <c r="D20090" t="str">
        <f>"2575-6605 "</f>
        <v xml:space="preserve">2575-6605 </v>
      </c>
      <c r="E20090" t="s">
        <v>8</v>
      </c>
      <c r="F20090" t="s">
        <v>20104</v>
      </c>
      <c r="G20090">
        <v>1</v>
      </c>
    </row>
    <row r="20091" spans="1:7" x14ac:dyDescent="0.25">
      <c r="A20091">
        <v>65</v>
      </c>
      <c r="B20091" t="s">
        <v>19995</v>
      </c>
      <c r="C20091">
        <v>1137</v>
      </c>
      <c r="D20091" t="str">
        <f>"1063-8652"</f>
        <v>1063-8652</v>
      </c>
      <c r="E20091" t="s">
        <v>8</v>
      </c>
      <c r="F20091" t="s">
        <v>20105</v>
      </c>
      <c r="G20091">
        <v>1</v>
      </c>
    </row>
    <row r="20092" spans="1:7" x14ac:dyDescent="0.25">
      <c r="A20092">
        <v>65</v>
      </c>
      <c r="B20092" t="s">
        <v>19995</v>
      </c>
      <c r="C20092">
        <v>3787</v>
      </c>
      <c r="D20092" t="str">
        <f>"1065-8483"</f>
        <v>1065-8483</v>
      </c>
      <c r="E20092" t="s">
        <v>8</v>
      </c>
      <c r="F20092" t="s">
        <v>20106</v>
      </c>
      <c r="G20092">
        <v>1</v>
      </c>
    </row>
    <row r="20093" spans="1:7" x14ac:dyDescent="0.25">
      <c r="A20093">
        <v>65</v>
      </c>
      <c r="B20093" t="s">
        <v>19995</v>
      </c>
      <c r="C20093">
        <v>16036</v>
      </c>
      <c r="D20093" t="str">
        <f>"1041-3200"</f>
        <v>1041-3200</v>
      </c>
      <c r="E20093" t="s">
        <v>8</v>
      </c>
      <c r="F20093" t="s">
        <v>20107</v>
      </c>
      <c r="G20093">
        <v>1</v>
      </c>
    </row>
    <row r="20094" spans="1:7" x14ac:dyDescent="0.25">
      <c r="A20094">
        <v>65</v>
      </c>
      <c r="B20094" t="s">
        <v>19995</v>
      </c>
      <c r="C20094">
        <v>7850</v>
      </c>
      <c r="D20094" t="str">
        <f>"1062-6050"</f>
        <v>1062-6050</v>
      </c>
      <c r="E20094" t="s">
        <v>8</v>
      </c>
      <c r="F20094" t="s">
        <v>20108</v>
      </c>
      <c r="G20094">
        <v>1</v>
      </c>
    </row>
    <row r="20095" spans="1:7" x14ac:dyDescent="0.25">
      <c r="A20095">
        <v>65</v>
      </c>
      <c r="B20095" t="s">
        <v>19995</v>
      </c>
      <c r="C20095">
        <v>1935</v>
      </c>
      <c r="D20095" t="str">
        <f>"0148-0731"</f>
        <v>0148-0731</v>
      </c>
      <c r="E20095" t="s">
        <v>8</v>
      </c>
      <c r="F20095" t="s">
        <v>20109</v>
      </c>
      <c r="G20095">
        <v>1</v>
      </c>
    </row>
    <row r="20096" spans="1:7" x14ac:dyDescent="0.25">
      <c r="A20096">
        <v>65</v>
      </c>
      <c r="B20096" t="s">
        <v>19995</v>
      </c>
      <c r="C20096">
        <v>8762549</v>
      </c>
      <c r="D20096" t="str">
        <f>"2190-5991"</f>
        <v>2190-5991</v>
      </c>
      <c r="E20096" t="s">
        <v>8</v>
      </c>
      <c r="F20096" t="s">
        <v>20110</v>
      </c>
      <c r="G20096">
        <v>1</v>
      </c>
    </row>
    <row r="20097" spans="1:7" x14ac:dyDescent="0.25">
      <c r="A20097">
        <v>65</v>
      </c>
      <c r="B20097" t="s">
        <v>19995</v>
      </c>
      <c r="C20097">
        <v>147512</v>
      </c>
      <c r="D20097" t="str">
        <f>"1932-9261"</f>
        <v>1932-9261</v>
      </c>
      <c r="E20097" t="s">
        <v>8</v>
      </c>
      <c r="F20097" t="s">
        <v>20111</v>
      </c>
      <c r="G20097">
        <v>1</v>
      </c>
    </row>
    <row r="20098" spans="1:7" x14ac:dyDescent="0.25">
      <c r="A20098">
        <v>65</v>
      </c>
      <c r="B20098" t="s">
        <v>19995</v>
      </c>
      <c r="C20098">
        <v>126070</v>
      </c>
      <c r="D20098" t="str">
        <f>"1728-869X"</f>
        <v>1728-869X</v>
      </c>
      <c r="E20098" t="s">
        <v>8</v>
      </c>
      <c r="F20098" t="s">
        <v>20112</v>
      </c>
      <c r="G20098">
        <v>1</v>
      </c>
    </row>
    <row r="20099" spans="1:7" x14ac:dyDescent="0.25">
      <c r="A20099">
        <v>65</v>
      </c>
      <c r="B20099" t="s">
        <v>19995</v>
      </c>
      <c r="C20099">
        <v>9275</v>
      </c>
      <c r="E20099" t="s">
        <v>8</v>
      </c>
      <c r="F20099" t="s">
        <v>20113</v>
      </c>
      <c r="G20099">
        <v>1</v>
      </c>
    </row>
    <row r="20100" spans="1:7" x14ac:dyDescent="0.25">
      <c r="A20100">
        <v>65</v>
      </c>
      <c r="B20100" t="s">
        <v>19995</v>
      </c>
      <c r="C20100">
        <v>119365</v>
      </c>
      <c r="D20100" t="str">
        <f>"1640-5544"</f>
        <v>1640-5544</v>
      </c>
      <c r="E20100" t="s">
        <v>8</v>
      </c>
      <c r="F20100" t="s">
        <v>20114</v>
      </c>
      <c r="G20100">
        <v>1</v>
      </c>
    </row>
    <row r="20101" spans="1:7" x14ac:dyDescent="0.25">
      <c r="A20101">
        <v>65</v>
      </c>
      <c r="B20101" t="s">
        <v>19995</v>
      </c>
      <c r="C20101">
        <v>9564</v>
      </c>
      <c r="D20101" t="str">
        <f>"0022-1678"</f>
        <v>0022-1678</v>
      </c>
      <c r="E20101" t="s">
        <v>8</v>
      </c>
      <c r="F20101" t="s">
        <v>20115</v>
      </c>
      <c r="G20101">
        <v>1</v>
      </c>
    </row>
    <row r="20102" spans="1:7" x14ac:dyDescent="0.25">
      <c r="A20102">
        <v>65</v>
      </c>
      <c r="B20102" t="s">
        <v>19995</v>
      </c>
      <c r="C20102">
        <v>156</v>
      </c>
      <c r="D20102" t="str">
        <f>"0263-6352"</f>
        <v>0263-6352</v>
      </c>
      <c r="E20102" t="s">
        <v>8</v>
      </c>
      <c r="F20102" t="s">
        <v>20116</v>
      </c>
      <c r="G20102">
        <v>1</v>
      </c>
    </row>
    <row r="20103" spans="1:7" x14ac:dyDescent="0.25">
      <c r="A20103">
        <v>65</v>
      </c>
      <c r="B20103" t="s">
        <v>19995</v>
      </c>
      <c r="C20103">
        <v>143355</v>
      </c>
      <c r="D20103" t="str">
        <f>"1932-0191"</f>
        <v>1932-0191</v>
      </c>
      <c r="E20103" t="s">
        <v>8</v>
      </c>
      <c r="F20103" t="s">
        <v>20117</v>
      </c>
      <c r="G20103">
        <v>1</v>
      </c>
    </row>
    <row r="20104" spans="1:7" x14ac:dyDescent="0.25">
      <c r="A20104">
        <v>65</v>
      </c>
      <c r="B20104" t="s">
        <v>19995</v>
      </c>
      <c r="C20104">
        <v>2304</v>
      </c>
      <c r="D20104" t="str">
        <f>"0022-2216"</f>
        <v>0022-2216</v>
      </c>
      <c r="E20104" t="s">
        <v>8</v>
      </c>
      <c r="F20104" t="s">
        <v>20118</v>
      </c>
      <c r="G20104">
        <v>1</v>
      </c>
    </row>
    <row r="20105" spans="1:7" x14ac:dyDescent="0.25">
      <c r="A20105">
        <v>65</v>
      </c>
      <c r="B20105" t="s">
        <v>19995</v>
      </c>
      <c r="C20105">
        <v>6171226</v>
      </c>
      <c r="D20105" t="str">
        <f>"2090-0724"</f>
        <v>2090-0724</v>
      </c>
      <c r="E20105" t="s">
        <v>8</v>
      </c>
      <c r="F20105" t="s">
        <v>20119</v>
      </c>
      <c r="G20105">
        <v>1</v>
      </c>
    </row>
    <row r="20106" spans="1:7" x14ac:dyDescent="0.25">
      <c r="A20106">
        <v>65</v>
      </c>
      <c r="B20106" t="s">
        <v>19995</v>
      </c>
      <c r="C20106">
        <v>6171235</v>
      </c>
      <c r="D20106" t="str">
        <f>"2090-0708"</f>
        <v>2090-0708</v>
      </c>
      <c r="E20106" t="s">
        <v>8</v>
      </c>
      <c r="F20106" t="s">
        <v>20120</v>
      </c>
      <c r="G20106">
        <v>1</v>
      </c>
    </row>
    <row r="20107" spans="1:7" x14ac:dyDescent="0.25">
      <c r="A20107">
        <v>65</v>
      </c>
      <c r="B20107" t="s">
        <v>19995</v>
      </c>
      <c r="C20107">
        <v>9396</v>
      </c>
      <c r="D20107" t="str">
        <f>"0190-6011"</f>
        <v>0190-6011</v>
      </c>
      <c r="E20107" t="s">
        <v>8</v>
      </c>
      <c r="F20107" t="s">
        <v>20121</v>
      </c>
      <c r="G20107">
        <v>1</v>
      </c>
    </row>
    <row r="20108" spans="1:7" x14ac:dyDescent="0.25">
      <c r="A20108">
        <v>65</v>
      </c>
      <c r="B20108" t="s">
        <v>19995</v>
      </c>
      <c r="C20108">
        <v>26244</v>
      </c>
      <c r="D20108" t="str">
        <f>"0730-3084"</f>
        <v>0730-3084</v>
      </c>
      <c r="E20108" t="s">
        <v>8</v>
      </c>
      <c r="F20108" t="s">
        <v>20122</v>
      </c>
      <c r="G20108">
        <v>1</v>
      </c>
    </row>
    <row r="20109" spans="1:7" x14ac:dyDescent="0.25">
      <c r="A20109">
        <v>65</v>
      </c>
      <c r="B20109" t="s">
        <v>19995</v>
      </c>
      <c r="C20109">
        <v>7734719</v>
      </c>
      <c r="D20109" t="str">
        <f>"2095-2546"</f>
        <v>2095-2546</v>
      </c>
      <c r="E20109" t="s">
        <v>8</v>
      </c>
      <c r="F20109" t="s">
        <v>20123</v>
      </c>
      <c r="G20109">
        <v>1</v>
      </c>
    </row>
    <row r="20110" spans="1:7" x14ac:dyDescent="0.25">
      <c r="A20110">
        <v>65</v>
      </c>
      <c r="B20110" t="s">
        <v>19995</v>
      </c>
      <c r="C20110">
        <v>1742</v>
      </c>
      <c r="D20110" t="str">
        <f>"0193-7235"</f>
        <v>0193-7235</v>
      </c>
      <c r="E20110" t="s">
        <v>8</v>
      </c>
      <c r="F20110" t="s">
        <v>20124</v>
      </c>
      <c r="G20110">
        <v>1</v>
      </c>
    </row>
    <row r="20111" spans="1:7" x14ac:dyDescent="0.25">
      <c r="A20111">
        <v>65</v>
      </c>
      <c r="B20111" t="s">
        <v>19995</v>
      </c>
      <c r="C20111">
        <v>22982</v>
      </c>
      <c r="D20111" t="str">
        <f>"0162-7341"</f>
        <v>0162-7341</v>
      </c>
      <c r="E20111" t="s">
        <v>8</v>
      </c>
      <c r="F20111" t="s">
        <v>20125</v>
      </c>
      <c r="G20111">
        <v>1</v>
      </c>
    </row>
    <row r="20112" spans="1:7" x14ac:dyDescent="0.25">
      <c r="A20112">
        <v>65</v>
      </c>
      <c r="B20112" t="s">
        <v>19995</v>
      </c>
      <c r="C20112">
        <v>11572</v>
      </c>
      <c r="D20112" t="str">
        <f>"0094-1700"</f>
        <v>0094-1700</v>
      </c>
      <c r="E20112" t="s">
        <v>8</v>
      </c>
      <c r="F20112" t="s">
        <v>20126</v>
      </c>
      <c r="G20112">
        <v>1</v>
      </c>
    </row>
    <row r="20113" spans="1:7" x14ac:dyDescent="0.25">
      <c r="A20113">
        <v>65</v>
      </c>
      <c r="B20113" t="s">
        <v>19995</v>
      </c>
      <c r="C20113">
        <v>2080</v>
      </c>
      <c r="D20113" t="str">
        <f>"0888-4773"</f>
        <v>0888-4773</v>
      </c>
      <c r="E20113" t="s">
        <v>8</v>
      </c>
      <c r="F20113" t="s">
        <v>20127</v>
      </c>
      <c r="G20113">
        <v>1</v>
      </c>
    </row>
    <row r="20114" spans="1:7" x14ac:dyDescent="0.25">
      <c r="A20114">
        <v>65</v>
      </c>
      <c r="B20114" t="s">
        <v>19995</v>
      </c>
      <c r="C20114">
        <v>7703761</v>
      </c>
      <c r="D20114" t="str">
        <f>"2152-0704"</f>
        <v>2152-0704</v>
      </c>
      <c r="E20114" t="s">
        <v>8</v>
      </c>
      <c r="F20114" t="s">
        <v>20128</v>
      </c>
      <c r="G20114">
        <v>1</v>
      </c>
    </row>
    <row r="20115" spans="1:7" x14ac:dyDescent="0.25">
      <c r="A20115">
        <v>65</v>
      </c>
      <c r="B20115" t="s">
        <v>19995</v>
      </c>
      <c r="C20115">
        <v>14193</v>
      </c>
      <c r="D20115" t="str">
        <f>"1056-6716"</f>
        <v>1056-6716</v>
      </c>
      <c r="E20115" t="s">
        <v>8</v>
      </c>
      <c r="F20115" t="s">
        <v>20129</v>
      </c>
      <c r="G20115">
        <v>1</v>
      </c>
    </row>
    <row r="20116" spans="1:7" x14ac:dyDescent="0.25">
      <c r="A20116">
        <v>65</v>
      </c>
      <c r="B20116" t="s">
        <v>19995</v>
      </c>
      <c r="C20116">
        <v>3714</v>
      </c>
      <c r="D20116" t="str">
        <f>"1477-5085"</f>
        <v>1477-5085</v>
      </c>
      <c r="E20116" t="s">
        <v>8</v>
      </c>
      <c r="F20116" t="s">
        <v>20130</v>
      </c>
      <c r="G20116">
        <v>1</v>
      </c>
    </row>
    <row r="20117" spans="1:7" x14ac:dyDescent="0.25">
      <c r="A20117">
        <v>65</v>
      </c>
      <c r="B20117" t="s">
        <v>19995</v>
      </c>
      <c r="C20117">
        <v>3070</v>
      </c>
      <c r="D20117" t="str">
        <f>"1527-0025"</f>
        <v>1527-0025</v>
      </c>
      <c r="E20117" t="s">
        <v>8</v>
      </c>
      <c r="F20117" t="s">
        <v>20131</v>
      </c>
      <c r="G20117">
        <v>1</v>
      </c>
    </row>
    <row r="20118" spans="1:7" x14ac:dyDescent="0.25">
      <c r="A20118">
        <v>65</v>
      </c>
      <c r="B20118" t="s">
        <v>19995</v>
      </c>
      <c r="C20118">
        <v>2310</v>
      </c>
      <c r="D20118" t="str">
        <f>"1303-2968"</f>
        <v>1303-2968</v>
      </c>
      <c r="E20118" t="s">
        <v>8</v>
      </c>
      <c r="F20118" t="s">
        <v>20132</v>
      </c>
      <c r="G20118">
        <v>1</v>
      </c>
    </row>
    <row r="20119" spans="1:7" x14ac:dyDescent="0.25">
      <c r="A20119">
        <v>65</v>
      </c>
      <c r="B20119" t="s">
        <v>19995</v>
      </c>
      <c r="C20119">
        <v>6917</v>
      </c>
      <c r="D20119" t="str">
        <f>"0264-0414"</f>
        <v>0264-0414</v>
      </c>
      <c r="E20119" t="s">
        <v>8</v>
      </c>
      <c r="F20119" t="s">
        <v>20133</v>
      </c>
      <c r="G20119">
        <v>1</v>
      </c>
    </row>
    <row r="20120" spans="1:7" x14ac:dyDescent="0.25">
      <c r="A20120">
        <v>65</v>
      </c>
      <c r="B20120" t="s">
        <v>19995</v>
      </c>
      <c r="C20120">
        <v>9582</v>
      </c>
      <c r="D20120" t="str">
        <f>"1064-8011"</f>
        <v>1064-8011</v>
      </c>
      <c r="E20120" t="s">
        <v>8</v>
      </c>
      <c r="F20120" t="s">
        <v>20134</v>
      </c>
      <c r="G20120">
        <v>1</v>
      </c>
    </row>
    <row r="20121" spans="1:7" x14ac:dyDescent="0.25">
      <c r="A20121">
        <v>65</v>
      </c>
      <c r="B20121" t="s">
        <v>19995</v>
      </c>
      <c r="C20121">
        <v>8783343</v>
      </c>
      <c r="E20121" t="s">
        <v>8</v>
      </c>
      <c r="F20121" t="s">
        <v>20135</v>
      </c>
      <c r="G20121">
        <v>1</v>
      </c>
    </row>
    <row r="20122" spans="1:7" x14ac:dyDescent="0.25">
      <c r="A20122">
        <v>65</v>
      </c>
      <c r="B20122" t="s">
        <v>19995</v>
      </c>
      <c r="C20122">
        <v>13340</v>
      </c>
      <c r="D20122" t="str">
        <f>"0094-8705"</f>
        <v>0094-8705</v>
      </c>
      <c r="E20122" t="s">
        <v>8</v>
      </c>
      <c r="F20122" t="s">
        <v>20136</v>
      </c>
      <c r="G20122">
        <v>1</v>
      </c>
    </row>
    <row r="20123" spans="1:7" x14ac:dyDescent="0.25">
      <c r="A20123">
        <v>65</v>
      </c>
      <c r="B20123" t="s">
        <v>19995</v>
      </c>
      <c r="C20123">
        <v>92099</v>
      </c>
      <c r="D20123" t="str">
        <f>"1331-1441"</f>
        <v>1331-1441</v>
      </c>
      <c r="E20123" t="s">
        <v>8</v>
      </c>
      <c r="F20123" t="s">
        <v>20137</v>
      </c>
      <c r="G20123">
        <v>1</v>
      </c>
    </row>
    <row r="20124" spans="1:7" x14ac:dyDescent="0.25">
      <c r="A20124">
        <v>65</v>
      </c>
      <c r="B20124" t="s">
        <v>19995</v>
      </c>
      <c r="C20124">
        <v>160056</v>
      </c>
      <c r="D20124" t="str">
        <f>"1395-8496"</f>
        <v>1395-8496</v>
      </c>
      <c r="E20124" t="s">
        <v>8</v>
      </c>
      <c r="F20124" t="s">
        <v>20138</v>
      </c>
      <c r="G20124">
        <v>1</v>
      </c>
    </row>
    <row r="20125" spans="1:7" x14ac:dyDescent="0.25">
      <c r="A20125">
        <v>65</v>
      </c>
      <c r="B20125" t="s">
        <v>19995</v>
      </c>
      <c r="C20125">
        <v>26283</v>
      </c>
      <c r="D20125" t="str">
        <f>"1492-7713"</f>
        <v>1492-7713</v>
      </c>
      <c r="E20125" t="s">
        <v>8</v>
      </c>
      <c r="F20125" t="s">
        <v>20139</v>
      </c>
      <c r="G20125">
        <v>1</v>
      </c>
    </row>
    <row r="20126" spans="1:7" x14ac:dyDescent="0.25">
      <c r="A20126">
        <v>65</v>
      </c>
      <c r="B20126" t="s">
        <v>19995</v>
      </c>
      <c r="C20126">
        <v>11394</v>
      </c>
      <c r="D20126" t="str">
        <f>"0149-0400"</f>
        <v>0149-0400</v>
      </c>
      <c r="E20126" t="s">
        <v>8</v>
      </c>
      <c r="F20126" t="s">
        <v>20140</v>
      </c>
      <c r="G20126">
        <v>1</v>
      </c>
    </row>
    <row r="20127" spans="1:7" x14ac:dyDescent="0.25">
      <c r="A20127">
        <v>65</v>
      </c>
      <c r="B20127" t="s">
        <v>19995</v>
      </c>
      <c r="C20127">
        <v>2105</v>
      </c>
      <c r="D20127" t="str">
        <f>"1091-367X"</f>
        <v>1091-367X</v>
      </c>
      <c r="E20127" t="s">
        <v>8</v>
      </c>
      <c r="F20127" t="s">
        <v>20141</v>
      </c>
      <c r="G20127">
        <v>1</v>
      </c>
    </row>
    <row r="20128" spans="1:7" x14ac:dyDescent="0.25">
      <c r="A20128">
        <v>65</v>
      </c>
      <c r="B20128" t="s">
        <v>19995</v>
      </c>
      <c r="C20128">
        <v>9065</v>
      </c>
      <c r="D20128" t="str">
        <f>"0025-7826"</f>
        <v>0025-7826</v>
      </c>
      <c r="E20128" t="s">
        <v>8</v>
      </c>
      <c r="F20128" t="s">
        <v>20142</v>
      </c>
      <c r="G20128">
        <v>1</v>
      </c>
    </row>
    <row r="20129" spans="1:7" x14ac:dyDescent="0.25">
      <c r="A20129">
        <v>65</v>
      </c>
      <c r="B20129" t="s">
        <v>19995</v>
      </c>
      <c r="C20129">
        <v>147908</v>
      </c>
      <c r="D20129" t="str">
        <f>"2118-5735"</f>
        <v>2118-5735</v>
      </c>
      <c r="E20129" t="s">
        <v>8</v>
      </c>
      <c r="F20129" t="s">
        <v>20143</v>
      </c>
      <c r="G20129">
        <v>1</v>
      </c>
    </row>
    <row r="20130" spans="1:7" x14ac:dyDescent="0.25">
      <c r="A20130">
        <v>65</v>
      </c>
      <c r="B20130" t="s">
        <v>19995</v>
      </c>
      <c r="C20130">
        <v>151941</v>
      </c>
      <c r="D20130" t="str">
        <f>"0104-754X"</f>
        <v>0104-754X</v>
      </c>
      <c r="E20130" t="s">
        <v>8</v>
      </c>
      <c r="F20130" t="s">
        <v>20144</v>
      </c>
      <c r="G20130">
        <v>1</v>
      </c>
    </row>
    <row r="20131" spans="1:7" x14ac:dyDescent="0.25">
      <c r="A20131">
        <v>65</v>
      </c>
      <c r="B20131" t="s">
        <v>19995</v>
      </c>
      <c r="C20131">
        <v>117582</v>
      </c>
      <c r="D20131" t="str">
        <f>"1664-2147"</f>
        <v>1664-2147</v>
      </c>
      <c r="E20131" t="s">
        <v>15</v>
      </c>
      <c r="F20131" t="s">
        <v>20145</v>
      </c>
      <c r="G20131">
        <v>1</v>
      </c>
    </row>
    <row r="20132" spans="1:7" x14ac:dyDescent="0.25">
      <c r="A20132">
        <v>65</v>
      </c>
      <c r="B20132" t="s">
        <v>19995</v>
      </c>
      <c r="C20132">
        <v>12041</v>
      </c>
      <c r="D20132" t="str">
        <f>"0934-8913"</f>
        <v>0934-8913</v>
      </c>
      <c r="E20132" t="s">
        <v>8</v>
      </c>
      <c r="F20132" t="s">
        <v>20146</v>
      </c>
      <c r="G20132">
        <v>1</v>
      </c>
    </row>
    <row r="20133" spans="1:7" x14ac:dyDescent="0.25">
      <c r="A20133">
        <v>65</v>
      </c>
      <c r="B20133" t="s">
        <v>19995</v>
      </c>
      <c r="C20133">
        <v>6225722</v>
      </c>
      <c r="D20133" t="str">
        <f>"2072-6643"</f>
        <v>2072-6643</v>
      </c>
      <c r="E20133" t="s">
        <v>8</v>
      </c>
      <c r="F20133" t="s">
        <v>20147</v>
      </c>
      <c r="G20133">
        <v>1</v>
      </c>
    </row>
    <row r="20134" spans="1:7" x14ac:dyDescent="0.25">
      <c r="A20134">
        <v>65</v>
      </c>
      <c r="B20134" t="s">
        <v>19995</v>
      </c>
      <c r="C20134">
        <v>7724121</v>
      </c>
      <c r="E20134" t="s">
        <v>8</v>
      </c>
      <c r="F20134" t="s">
        <v>20148</v>
      </c>
      <c r="G20134">
        <v>1</v>
      </c>
    </row>
    <row r="20135" spans="1:7" x14ac:dyDescent="0.25">
      <c r="A20135">
        <v>65</v>
      </c>
      <c r="B20135" t="s">
        <v>19995</v>
      </c>
      <c r="C20135">
        <v>4689</v>
      </c>
      <c r="D20135" t="str">
        <f>"1930-7381"</f>
        <v>1930-7381</v>
      </c>
      <c r="E20135" t="s">
        <v>8</v>
      </c>
      <c r="F20135" t="s">
        <v>20149</v>
      </c>
      <c r="G20135">
        <v>1</v>
      </c>
    </row>
    <row r="20136" spans="1:7" x14ac:dyDescent="0.25">
      <c r="A20136">
        <v>65</v>
      </c>
      <c r="B20136" t="s">
        <v>19995</v>
      </c>
      <c r="C20136">
        <v>25576</v>
      </c>
      <c r="D20136" t="str">
        <f>"1662-4025"</f>
        <v>1662-4025</v>
      </c>
      <c r="E20136" t="s">
        <v>8</v>
      </c>
      <c r="F20136" t="s">
        <v>20150</v>
      </c>
      <c r="G20136">
        <v>1</v>
      </c>
    </row>
    <row r="20137" spans="1:7" x14ac:dyDescent="0.25">
      <c r="A20137">
        <v>65</v>
      </c>
      <c r="B20137" t="s">
        <v>19995</v>
      </c>
      <c r="C20137">
        <v>7706951</v>
      </c>
      <c r="E20137" t="s">
        <v>8</v>
      </c>
      <c r="F20137" t="s">
        <v>20151</v>
      </c>
      <c r="G20137">
        <v>1</v>
      </c>
    </row>
    <row r="20138" spans="1:7" x14ac:dyDescent="0.25">
      <c r="A20138">
        <v>65</v>
      </c>
      <c r="B20138" t="s">
        <v>19995</v>
      </c>
      <c r="C20138">
        <v>9328</v>
      </c>
      <c r="D20138" t="str">
        <f>"1060-1872"</f>
        <v>1060-1872</v>
      </c>
      <c r="E20138" t="s">
        <v>8</v>
      </c>
      <c r="F20138" t="s">
        <v>20152</v>
      </c>
      <c r="G20138">
        <v>1</v>
      </c>
    </row>
    <row r="20139" spans="1:7" x14ac:dyDescent="0.25">
      <c r="A20139">
        <v>65</v>
      </c>
      <c r="B20139" t="s">
        <v>19995</v>
      </c>
      <c r="C20139">
        <v>8783346</v>
      </c>
      <c r="E20139" t="s">
        <v>8</v>
      </c>
      <c r="F20139" t="s">
        <v>20153</v>
      </c>
      <c r="G20139">
        <v>1</v>
      </c>
    </row>
    <row r="20140" spans="1:7" x14ac:dyDescent="0.25">
      <c r="A20140">
        <v>65</v>
      </c>
      <c r="B20140" t="s">
        <v>19995</v>
      </c>
      <c r="C20140">
        <v>154218</v>
      </c>
      <c r="D20140" t="str">
        <f>"1177-889X"</f>
        <v>1177-889X</v>
      </c>
      <c r="E20140" t="s">
        <v>8</v>
      </c>
      <c r="F20140" t="s">
        <v>20154</v>
      </c>
      <c r="G20140">
        <v>1</v>
      </c>
    </row>
    <row r="20141" spans="1:7" x14ac:dyDescent="0.25">
      <c r="A20141">
        <v>65</v>
      </c>
      <c r="B20141" t="s">
        <v>19995</v>
      </c>
      <c r="C20141">
        <v>7737730</v>
      </c>
      <c r="D20141" t="str">
        <f>"2211-2669"</f>
        <v>2211-2669</v>
      </c>
      <c r="E20141" t="s">
        <v>8</v>
      </c>
      <c r="F20141" t="s">
        <v>20155</v>
      </c>
      <c r="G20141">
        <v>1</v>
      </c>
    </row>
    <row r="20142" spans="1:7" x14ac:dyDescent="0.25">
      <c r="A20142">
        <v>65</v>
      </c>
      <c r="B20142" t="s">
        <v>19995</v>
      </c>
      <c r="C20142">
        <v>7668</v>
      </c>
      <c r="D20142" t="str">
        <f>"0031-6768"</f>
        <v>0031-6768</v>
      </c>
      <c r="E20142" t="s">
        <v>8</v>
      </c>
      <c r="F20142" t="s">
        <v>20156</v>
      </c>
      <c r="G20142">
        <v>1</v>
      </c>
    </row>
    <row r="20143" spans="1:7" x14ac:dyDescent="0.25">
      <c r="A20143">
        <v>65</v>
      </c>
      <c r="B20143" t="s">
        <v>19995</v>
      </c>
      <c r="C20143">
        <v>160064</v>
      </c>
      <c r="D20143" t="str">
        <f>"2081-2221"</f>
        <v>2081-2221</v>
      </c>
      <c r="E20143" t="s">
        <v>8</v>
      </c>
      <c r="F20143" t="s">
        <v>20157</v>
      </c>
      <c r="G20143">
        <v>1</v>
      </c>
    </row>
    <row r="20144" spans="1:7" x14ac:dyDescent="0.25">
      <c r="A20144">
        <v>65</v>
      </c>
      <c r="B20144" t="s">
        <v>19995</v>
      </c>
      <c r="C20144">
        <v>6772</v>
      </c>
      <c r="D20144" t="str">
        <f>"1740-8989"</f>
        <v>1740-8989</v>
      </c>
      <c r="E20144" t="s">
        <v>8</v>
      </c>
      <c r="F20144" t="s">
        <v>20158</v>
      </c>
      <c r="G20144">
        <v>1</v>
      </c>
    </row>
    <row r="20145" spans="1:7" x14ac:dyDescent="0.25">
      <c r="A20145">
        <v>65</v>
      </c>
      <c r="B20145" t="s">
        <v>19995</v>
      </c>
      <c r="C20145">
        <v>24687</v>
      </c>
      <c r="D20145" t="str">
        <f>"0031-8981"</f>
        <v>0031-8981</v>
      </c>
      <c r="E20145" t="s">
        <v>8</v>
      </c>
      <c r="F20145" t="s">
        <v>20159</v>
      </c>
      <c r="G20145">
        <v>1</v>
      </c>
    </row>
    <row r="20146" spans="1:7" x14ac:dyDescent="0.25">
      <c r="A20146">
        <v>65</v>
      </c>
      <c r="B20146" t="s">
        <v>19995</v>
      </c>
      <c r="C20146">
        <v>20854</v>
      </c>
      <c r="D20146" t="str">
        <f>"1047-9651"</f>
        <v>1047-9651</v>
      </c>
      <c r="E20146" t="s">
        <v>8</v>
      </c>
      <c r="F20146" t="s">
        <v>20160</v>
      </c>
      <c r="G20146">
        <v>1</v>
      </c>
    </row>
    <row r="20147" spans="1:7" x14ac:dyDescent="0.25">
      <c r="A20147">
        <v>65</v>
      </c>
      <c r="B20147" t="s">
        <v>19995</v>
      </c>
      <c r="C20147">
        <v>10688</v>
      </c>
      <c r="D20147" t="str">
        <f>"1466-853X"</f>
        <v>1466-853X</v>
      </c>
      <c r="E20147" t="s">
        <v>8</v>
      </c>
      <c r="F20147" t="s">
        <v>20161</v>
      </c>
      <c r="G20147">
        <v>1</v>
      </c>
    </row>
    <row r="20148" spans="1:7" x14ac:dyDescent="0.25">
      <c r="A20148">
        <v>65</v>
      </c>
      <c r="B20148" t="s">
        <v>19995</v>
      </c>
      <c r="C20148">
        <v>7754806</v>
      </c>
      <c r="E20148" t="s">
        <v>8</v>
      </c>
      <c r="F20148" t="s">
        <v>20162</v>
      </c>
      <c r="G20148">
        <v>1</v>
      </c>
    </row>
    <row r="20149" spans="1:7" x14ac:dyDescent="0.25">
      <c r="A20149">
        <v>65</v>
      </c>
      <c r="B20149" t="s">
        <v>19995</v>
      </c>
      <c r="C20149">
        <v>22357</v>
      </c>
      <c r="D20149" t="str">
        <f>"1754-3371"</f>
        <v>1754-3371</v>
      </c>
      <c r="E20149" t="s">
        <v>8</v>
      </c>
      <c r="F20149" t="s">
        <v>20163</v>
      </c>
      <c r="G20149">
        <v>1</v>
      </c>
    </row>
    <row r="20150" spans="1:7" x14ac:dyDescent="0.25">
      <c r="A20150">
        <v>65</v>
      </c>
      <c r="B20150" t="s">
        <v>19995</v>
      </c>
      <c r="C20150">
        <v>8113</v>
      </c>
      <c r="D20150" t="str">
        <f>"0309-3646"</f>
        <v>0309-3646</v>
      </c>
      <c r="E20150" t="s">
        <v>8</v>
      </c>
      <c r="F20150" t="s">
        <v>20164</v>
      </c>
      <c r="G20150">
        <v>1</v>
      </c>
    </row>
    <row r="20151" spans="1:7" x14ac:dyDescent="0.25">
      <c r="A20151">
        <v>65</v>
      </c>
      <c r="B20151" t="s">
        <v>19995</v>
      </c>
      <c r="C20151">
        <v>8783643</v>
      </c>
      <c r="E20151" t="s">
        <v>15</v>
      </c>
      <c r="F20151" t="s">
        <v>20165</v>
      </c>
      <c r="G20151">
        <v>1</v>
      </c>
    </row>
    <row r="20152" spans="1:7" x14ac:dyDescent="0.25">
      <c r="A20152">
        <v>65</v>
      </c>
      <c r="B20152" t="s">
        <v>19995</v>
      </c>
      <c r="C20152">
        <v>5531</v>
      </c>
      <c r="D20152" t="str">
        <f>"0033-6297"</f>
        <v>0033-6297</v>
      </c>
      <c r="E20152" t="s">
        <v>8</v>
      </c>
      <c r="F20152" t="s">
        <v>20166</v>
      </c>
      <c r="G20152">
        <v>1</v>
      </c>
    </row>
    <row r="20153" spans="1:7" x14ac:dyDescent="0.25">
      <c r="A20153">
        <v>65</v>
      </c>
      <c r="B20153" t="s">
        <v>19995</v>
      </c>
      <c r="C20153">
        <v>9707</v>
      </c>
      <c r="D20153" t="str">
        <f>"1543-8627"</f>
        <v>1543-8627</v>
      </c>
      <c r="E20153" t="s">
        <v>8</v>
      </c>
      <c r="F20153" t="s">
        <v>20167</v>
      </c>
      <c r="G20153">
        <v>1</v>
      </c>
    </row>
    <row r="20154" spans="1:7" x14ac:dyDescent="0.25">
      <c r="A20154">
        <v>65</v>
      </c>
      <c r="B20154" t="s">
        <v>19995</v>
      </c>
      <c r="C20154">
        <v>3549</v>
      </c>
      <c r="D20154" t="str">
        <f>"0270-1367"</f>
        <v>0270-1367</v>
      </c>
      <c r="E20154" t="s">
        <v>8</v>
      </c>
      <c r="F20154" t="s">
        <v>20168</v>
      </c>
      <c r="G20154">
        <v>1</v>
      </c>
    </row>
    <row r="20155" spans="1:7" x14ac:dyDescent="0.25">
      <c r="A20155">
        <v>65</v>
      </c>
      <c r="B20155" t="s">
        <v>19995</v>
      </c>
      <c r="C20155">
        <v>8783644</v>
      </c>
      <c r="E20155" t="s">
        <v>15</v>
      </c>
      <c r="F20155" t="s">
        <v>20169</v>
      </c>
      <c r="G20155">
        <v>1</v>
      </c>
    </row>
    <row r="20156" spans="1:7" x14ac:dyDescent="0.25">
      <c r="A20156">
        <v>65</v>
      </c>
      <c r="B20156" t="s">
        <v>19995</v>
      </c>
      <c r="C20156">
        <v>7704051</v>
      </c>
      <c r="D20156" t="str">
        <f>"2000-088X"</f>
        <v>2000-088X</v>
      </c>
      <c r="E20156" t="s">
        <v>8</v>
      </c>
      <c r="F20156" t="s">
        <v>20170</v>
      </c>
      <c r="G20156">
        <v>1</v>
      </c>
    </row>
    <row r="20157" spans="1:7" x14ac:dyDescent="0.25">
      <c r="A20157">
        <v>65</v>
      </c>
      <c r="B20157" t="s">
        <v>19995</v>
      </c>
      <c r="C20157">
        <v>5605</v>
      </c>
      <c r="D20157" t="str">
        <f>"0765-1597"</f>
        <v>0765-1597</v>
      </c>
      <c r="E20157" t="s">
        <v>8</v>
      </c>
      <c r="F20157" t="s">
        <v>20171</v>
      </c>
      <c r="G20157">
        <v>1</v>
      </c>
    </row>
    <row r="20158" spans="1:7" x14ac:dyDescent="0.25">
      <c r="A20158">
        <v>65</v>
      </c>
      <c r="B20158" t="s">
        <v>19995</v>
      </c>
      <c r="C20158">
        <v>8783380</v>
      </c>
      <c r="D20158" t="str">
        <f>"2473-3938"</f>
        <v>2473-3938</v>
      </c>
      <c r="E20158" t="s">
        <v>8</v>
      </c>
      <c r="F20158" t="s">
        <v>20172</v>
      </c>
      <c r="G20158">
        <v>1</v>
      </c>
    </row>
    <row r="20159" spans="1:7" x14ac:dyDescent="0.25">
      <c r="A20159">
        <v>65</v>
      </c>
      <c r="B20159" t="s">
        <v>19995</v>
      </c>
      <c r="C20159">
        <v>7698710</v>
      </c>
      <c r="D20159" t="str">
        <f>"2044-5040"</f>
        <v>2044-5040</v>
      </c>
      <c r="E20159" t="s">
        <v>8</v>
      </c>
      <c r="F20159" t="s">
        <v>20173</v>
      </c>
      <c r="G20159">
        <v>1</v>
      </c>
    </row>
    <row r="20160" spans="1:7" x14ac:dyDescent="0.25">
      <c r="A20160">
        <v>65</v>
      </c>
      <c r="B20160" t="s">
        <v>19995</v>
      </c>
      <c r="C20160">
        <v>7400409</v>
      </c>
      <c r="D20160" t="str">
        <f>"0161-8105"</f>
        <v>0161-8105</v>
      </c>
      <c r="E20160" t="s">
        <v>8</v>
      </c>
      <c r="F20160" t="s">
        <v>20174</v>
      </c>
      <c r="G20160">
        <v>1</v>
      </c>
    </row>
    <row r="20161" spans="1:7" x14ac:dyDescent="0.25">
      <c r="A20161">
        <v>65</v>
      </c>
      <c r="B20161" t="s">
        <v>19995</v>
      </c>
      <c r="C20161">
        <v>8140</v>
      </c>
      <c r="D20161" t="str">
        <f>"1466-0970"</f>
        <v>1466-0970</v>
      </c>
      <c r="E20161" t="s">
        <v>8</v>
      </c>
      <c r="F20161" t="s">
        <v>20175</v>
      </c>
      <c r="G20161">
        <v>1</v>
      </c>
    </row>
    <row r="20162" spans="1:7" x14ac:dyDescent="0.25">
      <c r="A20162">
        <v>65</v>
      </c>
      <c r="B20162" t="s">
        <v>19995</v>
      </c>
      <c r="C20162">
        <v>5889</v>
      </c>
      <c r="D20162" t="str">
        <f>"0741-1235"</f>
        <v>0741-1235</v>
      </c>
      <c r="E20162" t="s">
        <v>8</v>
      </c>
      <c r="F20162" t="s">
        <v>20176</v>
      </c>
      <c r="G20162">
        <v>1</v>
      </c>
    </row>
    <row r="20163" spans="1:7" x14ac:dyDescent="0.25">
      <c r="A20163">
        <v>65</v>
      </c>
      <c r="B20163" t="s">
        <v>19995</v>
      </c>
      <c r="C20163">
        <v>13068</v>
      </c>
      <c r="D20163" t="str">
        <f>"1087-1659"</f>
        <v>1087-1659</v>
      </c>
      <c r="E20163" t="s">
        <v>8</v>
      </c>
      <c r="F20163" t="s">
        <v>20177</v>
      </c>
      <c r="G20163">
        <v>1</v>
      </c>
    </row>
    <row r="20164" spans="1:7" x14ac:dyDescent="0.25">
      <c r="A20164">
        <v>65</v>
      </c>
      <c r="B20164" t="s">
        <v>19995</v>
      </c>
      <c r="C20164">
        <v>152012</v>
      </c>
      <c r="D20164" t="str">
        <f>"1746-0263"</f>
        <v>1746-0263</v>
      </c>
      <c r="E20164" t="s">
        <v>8</v>
      </c>
      <c r="F20164" t="s">
        <v>20178</v>
      </c>
      <c r="G20164">
        <v>1</v>
      </c>
    </row>
    <row r="20165" spans="1:7" x14ac:dyDescent="0.25">
      <c r="A20165">
        <v>65</v>
      </c>
      <c r="B20165" t="s">
        <v>19995</v>
      </c>
      <c r="C20165">
        <v>9059</v>
      </c>
      <c r="D20165" t="str">
        <f>"1743-0437"</f>
        <v>1743-0437</v>
      </c>
      <c r="E20165" t="s">
        <v>8</v>
      </c>
      <c r="F20165" t="s">
        <v>20179</v>
      </c>
      <c r="G20165">
        <v>1</v>
      </c>
    </row>
    <row r="20166" spans="1:7" x14ac:dyDescent="0.25">
      <c r="A20166">
        <v>65</v>
      </c>
      <c r="B20166" t="s">
        <v>19995</v>
      </c>
      <c r="C20166">
        <v>8783645</v>
      </c>
      <c r="E20166" t="s">
        <v>15</v>
      </c>
      <c r="F20166" t="s">
        <v>20180</v>
      </c>
      <c r="G20166">
        <v>1</v>
      </c>
    </row>
    <row r="20167" spans="1:7" x14ac:dyDescent="0.25">
      <c r="A20167">
        <v>65</v>
      </c>
      <c r="B20167" t="s">
        <v>19995</v>
      </c>
      <c r="C20167">
        <v>7738082</v>
      </c>
      <c r="D20167" t="str">
        <f>"2066-8732"</f>
        <v>2066-8732</v>
      </c>
      <c r="E20167" t="s">
        <v>8</v>
      </c>
      <c r="F20167" t="s">
        <v>20181</v>
      </c>
      <c r="G20167">
        <v>1</v>
      </c>
    </row>
    <row r="20168" spans="1:7" x14ac:dyDescent="0.25">
      <c r="A20168">
        <v>65</v>
      </c>
      <c r="B20168" t="s">
        <v>19995</v>
      </c>
      <c r="C20168">
        <v>8783646</v>
      </c>
      <c r="D20168" t="str">
        <f>"1610-3181"</f>
        <v>1610-3181</v>
      </c>
      <c r="E20168" t="s">
        <v>15</v>
      </c>
      <c r="F20168" t="s">
        <v>20182</v>
      </c>
      <c r="G20168">
        <v>1</v>
      </c>
    </row>
    <row r="20169" spans="1:7" x14ac:dyDescent="0.25">
      <c r="A20169">
        <v>65</v>
      </c>
      <c r="B20169" t="s">
        <v>19995</v>
      </c>
      <c r="C20169">
        <v>16342</v>
      </c>
      <c r="D20169" t="str">
        <f>"1357-3322"</f>
        <v>1357-3322</v>
      </c>
      <c r="E20169" t="s">
        <v>8</v>
      </c>
      <c r="F20169" t="s">
        <v>20183</v>
      </c>
      <c r="G20169">
        <v>1</v>
      </c>
    </row>
    <row r="20170" spans="1:7" x14ac:dyDescent="0.25">
      <c r="A20170">
        <v>65</v>
      </c>
      <c r="B20170" t="s">
        <v>19995</v>
      </c>
      <c r="C20170">
        <v>7754568</v>
      </c>
      <c r="D20170" t="str">
        <f>"2157-3905"</f>
        <v>2157-3905</v>
      </c>
      <c r="E20170" t="s">
        <v>8</v>
      </c>
      <c r="F20170" t="s">
        <v>20184</v>
      </c>
      <c r="G20170">
        <v>1</v>
      </c>
    </row>
    <row r="20171" spans="1:7" x14ac:dyDescent="0.25">
      <c r="A20171">
        <v>65</v>
      </c>
      <c r="B20171" t="s">
        <v>19995</v>
      </c>
      <c r="C20171">
        <v>17151</v>
      </c>
      <c r="D20171" t="str">
        <f>"1476-3141"</f>
        <v>1476-3141</v>
      </c>
      <c r="E20171" t="s">
        <v>8</v>
      </c>
      <c r="F20171" t="s">
        <v>20185</v>
      </c>
      <c r="G20171">
        <v>1</v>
      </c>
    </row>
    <row r="20172" spans="1:7" x14ac:dyDescent="0.25">
      <c r="A20172">
        <v>65</v>
      </c>
      <c r="B20172" t="s">
        <v>19995</v>
      </c>
      <c r="C20172">
        <v>8782831</v>
      </c>
      <c r="E20172" t="s">
        <v>2100</v>
      </c>
      <c r="F20172" t="s">
        <v>20186</v>
      </c>
      <c r="G20172">
        <v>1</v>
      </c>
    </row>
    <row r="20173" spans="1:7" x14ac:dyDescent="0.25">
      <c r="A20173">
        <v>65</v>
      </c>
      <c r="B20173" t="s">
        <v>19995</v>
      </c>
      <c r="C20173">
        <v>6910</v>
      </c>
      <c r="D20173" t="str">
        <f>"1369-7072"</f>
        <v>1369-7072</v>
      </c>
      <c r="E20173" t="s">
        <v>8</v>
      </c>
      <c r="F20173" t="s">
        <v>20187</v>
      </c>
      <c r="G20173">
        <v>1</v>
      </c>
    </row>
    <row r="20174" spans="1:7" x14ac:dyDescent="0.25">
      <c r="A20174">
        <v>65</v>
      </c>
      <c r="B20174" t="s">
        <v>19995</v>
      </c>
      <c r="C20174">
        <v>16193</v>
      </c>
      <c r="D20174" t="str">
        <f>"1062-8592"</f>
        <v>1062-8592</v>
      </c>
      <c r="E20174" t="s">
        <v>8</v>
      </c>
      <c r="F20174" t="s">
        <v>20188</v>
      </c>
      <c r="G20174">
        <v>1</v>
      </c>
    </row>
    <row r="20175" spans="1:7" x14ac:dyDescent="0.25">
      <c r="A20175">
        <v>65</v>
      </c>
      <c r="B20175" t="s">
        <v>19995</v>
      </c>
      <c r="C20175">
        <v>14334</v>
      </c>
      <c r="D20175" t="str">
        <f>"0932-0555"</f>
        <v>0932-0555</v>
      </c>
      <c r="E20175" t="s">
        <v>8</v>
      </c>
      <c r="F20175" t="s">
        <v>20189</v>
      </c>
      <c r="G20175">
        <v>1</v>
      </c>
    </row>
    <row r="20176" spans="1:7" x14ac:dyDescent="0.25">
      <c r="A20176">
        <v>65</v>
      </c>
      <c r="B20176" t="s">
        <v>19995</v>
      </c>
      <c r="C20176">
        <v>3677</v>
      </c>
      <c r="D20176" t="str">
        <f>"0342-2380"</f>
        <v>0342-2380</v>
      </c>
      <c r="E20176" t="s">
        <v>8</v>
      </c>
      <c r="F20176" t="s">
        <v>20190</v>
      </c>
      <c r="G20176">
        <v>1</v>
      </c>
    </row>
    <row r="20177" spans="1:7" x14ac:dyDescent="0.25">
      <c r="A20177">
        <v>65</v>
      </c>
      <c r="B20177" t="s">
        <v>19995</v>
      </c>
      <c r="C20177">
        <v>10089</v>
      </c>
      <c r="D20177" t="str">
        <f>"1524-1602"</f>
        <v>1524-1602</v>
      </c>
      <c r="E20177" t="s">
        <v>8</v>
      </c>
      <c r="F20177" t="s">
        <v>20191</v>
      </c>
      <c r="G20177">
        <v>1</v>
      </c>
    </row>
    <row r="20178" spans="1:7" x14ac:dyDescent="0.25">
      <c r="A20178">
        <v>65</v>
      </c>
      <c r="B20178" t="s">
        <v>19995</v>
      </c>
      <c r="C20178">
        <v>1507</v>
      </c>
      <c r="D20178" t="str">
        <f>"1424-7860"</f>
        <v>1424-7860</v>
      </c>
      <c r="E20178" t="s">
        <v>8</v>
      </c>
      <c r="F20178" t="s">
        <v>20192</v>
      </c>
      <c r="G20178">
        <v>1</v>
      </c>
    </row>
    <row r="20179" spans="1:7" x14ac:dyDescent="0.25">
      <c r="A20179">
        <v>65</v>
      </c>
      <c r="B20179" t="s">
        <v>19995</v>
      </c>
      <c r="C20179">
        <v>5825</v>
      </c>
      <c r="D20179" t="str">
        <f>"0039-906X"</f>
        <v>0039-906X</v>
      </c>
      <c r="E20179" t="s">
        <v>8</v>
      </c>
      <c r="F20179" t="s">
        <v>20193</v>
      </c>
      <c r="G20179">
        <v>1</v>
      </c>
    </row>
    <row r="20180" spans="1:7" x14ac:dyDescent="0.25">
      <c r="A20180">
        <v>65</v>
      </c>
      <c r="B20180" t="s">
        <v>19995</v>
      </c>
      <c r="C20180">
        <v>155723</v>
      </c>
      <c r="D20180" t="str">
        <f>"1821-6404"</f>
        <v>1821-6404</v>
      </c>
      <c r="E20180" t="s">
        <v>8</v>
      </c>
      <c r="F20180" t="s">
        <v>20194</v>
      </c>
      <c r="G20180">
        <v>1</v>
      </c>
    </row>
    <row r="20181" spans="1:7" x14ac:dyDescent="0.25">
      <c r="A20181">
        <v>65</v>
      </c>
      <c r="B20181" t="s">
        <v>19995</v>
      </c>
      <c r="C20181">
        <v>8776806</v>
      </c>
      <c r="D20181" t="str">
        <f>"2332-8940"</f>
        <v>2332-8940</v>
      </c>
      <c r="E20181" t="s">
        <v>8</v>
      </c>
      <c r="F20181" t="s">
        <v>20195</v>
      </c>
      <c r="G20181">
        <v>1</v>
      </c>
    </row>
    <row r="20182" spans="1:7" x14ac:dyDescent="0.25">
      <c r="A20182">
        <v>65</v>
      </c>
      <c r="B20182" t="s">
        <v>19995</v>
      </c>
      <c r="C20182">
        <v>116761</v>
      </c>
      <c r="D20182" t="str">
        <f>"1748-1104"</f>
        <v>1748-1104</v>
      </c>
      <c r="E20182" t="s">
        <v>8</v>
      </c>
      <c r="F20182" t="s">
        <v>20196</v>
      </c>
      <c r="G20182">
        <v>1</v>
      </c>
    </row>
    <row r="20183" spans="1:7" x14ac:dyDescent="0.25">
      <c r="A20183">
        <v>65</v>
      </c>
      <c r="B20183" t="s">
        <v>19995</v>
      </c>
      <c r="C20183">
        <v>8783347</v>
      </c>
      <c r="D20183" t="str">
        <f>"2152-7857"</f>
        <v>2152-7857</v>
      </c>
      <c r="E20183" t="s">
        <v>8</v>
      </c>
      <c r="F20183" t="s">
        <v>20197</v>
      </c>
      <c r="G20183">
        <v>1</v>
      </c>
    </row>
    <row r="20184" spans="1:7" x14ac:dyDescent="0.25">
      <c r="A20184">
        <v>65</v>
      </c>
      <c r="B20184" t="s">
        <v>19995</v>
      </c>
      <c r="C20184">
        <v>3285</v>
      </c>
      <c r="D20184" t="str">
        <f>"0952-3367"</f>
        <v>0952-3367</v>
      </c>
      <c r="E20184" t="s">
        <v>8</v>
      </c>
      <c r="F20184" t="s">
        <v>20198</v>
      </c>
      <c r="G20184">
        <v>1</v>
      </c>
    </row>
    <row r="20185" spans="1:7" x14ac:dyDescent="0.25">
      <c r="A20185">
        <v>65</v>
      </c>
      <c r="B20185" t="s">
        <v>19995</v>
      </c>
      <c r="C20185">
        <v>6641</v>
      </c>
      <c r="D20185" t="str">
        <f>"0022-4707"</f>
        <v>0022-4707</v>
      </c>
      <c r="E20185" t="s">
        <v>8</v>
      </c>
      <c r="F20185" t="s">
        <v>20199</v>
      </c>
      <c r="G20185">
        <v>1</v>
      </c>
    </row>
    <row r="20186" spans="1:7" x14ac:dyDescent="0.25">
      <c r="A20186">
        <v>65</v>
      </c>
      <c r="B20186" t="s">
        <v>19995</v>
      </c>
      <c r="C20186">
        <v>5209</v>
      </c>
      <c r="D20186" t="str">
        <f>"0091-3847"</f>
        <v>0091-3847</v>
      </c>
      <c r="E20186" t="s">
        <v>8</v>
      </c>
      <c r="F20186" t="s">
        <v>20200</v>
      </c>
      <c r="G20186">
        <v>1</v>
      </c>
    </row>
    <row r="20187" spans="1:7" x14ac:dyDescent="0.25">
      <c r="A20187">
        <v>65</v>
      </c>
      <c r="B20187" t="s">
        <v>19995</v>
      </c>
      <c r="C20187">
        <v>4412</v>
      </c>
      <c r="D20187" t="str">
        <f>"0888-4781"</f>
        <v>0888-4781</v>
      </c>
      <c r="E20187" t="s">
        <v>8</v>
      </c>
      <c r="F20187" t="s">
        <v>20201</v>
      </c>
      <c r="G20187">
        <v>1</v>
      </c>
    </row>
    <row r="20188" spans="1:7" x14ac:dyDescent="0.25">
      <c r="A20188">
        <v>65</v>
      </c>
      <c r="B20188" t="s">
        <v>19995</v>
      </c>
      <c r="C20188">
        <v>76855</v>
      </c>
      <c r="D20188" t="str">
        <f>"1756-283X"</f>
        <v>1756-283X</v>
      </c>
      <c r="E20188" t="s">
        <v>8</v>
      </c>
      <c r="F20188" t="s">
        <v>20202</v>
      </c>
      <c r="G20188">
        <v>1</v>
      </c>
    </row>
    <row r="20189" spans="1:7" x14ac:dyDescent="0.25">
      <c r="A20189">
        <v>65</v>
      </c>
      <c r="B20189" t="s">
        <v>19995</v>
      </c>
      <c r="C20189">
        <v>160052</v>
      </c>
      <c r="D20189" t="str">
        <f>"0029-2001"</f>
        <v>0029-2001</v>
      </c>
      <c r="E20189" t="s">
        <v>8</v>
      </c>
      <c r="F20189" t="s">
        <v>20203</v>
      </c>
      <c r="G20189">
        <v>1</v>
      </c>
    </row>
    <row r="20190" spans="1:7" x14ac:dyDescent="0.25">
      <c r="A20190">
        <v>65</v>
      </c>
      <c r="B20190" t="s">
        <v>19995</v>
      </c>
      <c r="C20190">
        <v>8782686</v>
      </c>
      <c r="E20190" t="s">
        <v>8</v>
      </c>
      <c r="F20190" t="s">
        <v>20204</v>
      </c>
      <c r="G20190">
        <v>1</v>
      </c>
    </row>
    <row r="20191" spans="1:7" x14ac:dyDescent="0.25">
      <c r="A20191">
        <v>65</v>
      </c>
      <c r="B20191" t="s">
        <v>19995</v>
      </c>
      <c r="C20191">
        <v>6508</v>
      </c>
      <c r="D20191" t="str">
        <f>"1063-6161"</f>
        <v>1063-6161</v>
      </c>
      <c r="E20191" t="s">
        <v>8</v>
      </c>
      <c r="F20191" t="s">
        <v>20205</v>
      </c>
      <c r="G20191">
        <v>1</v>
      </c>
    </row>
    <row r="20192" spans="1:7" x14ac:dyDescent="0.25">
      <c r="A20192">
        <v>65</v>
      </c>
      <c r="B20192" t="s">
        <v>19995</v>
      </c>
      <c r="C20192">
        <v>27878</v>
      </c>
      <c r="D20192" t="str">
        <f>"1607-8055"</f>
        <v>1607-8055</v>
      </c>
      <c r="E20192" t="s">
        <v>8</v>
      </c>
      <c r="F20192" t="s">
        <v>20206</v>
      </c>
      <c r="G20192">
        <v>1</v>
      </c>
    </row>
    <row r="20193" spans="1:7" x14ac:dyDescent="0.25">
      <c r="A20193">
        <v>65</v>
      </c>
      <c r="B20193" t="s">
        <v>19995</v>
      </c>
      <c r="C20193">
        <v>160059</v>
      </c>
      <c r="D20193" t="str">
        <f>"1612-5010"</f>
        <v>1612-5010</v>
      </c>
      <c r="E20193" t="s">
        <v>8</v>
      </c>
      <c r="F20193" t="s">
        <v>20207</v>
      </c>
      <c r="G20193">
        <v>1</v>
      </c>
    </row>
    <row r="20194" spans="1:7" x14ac:dyDescent="0.25">
      <c r="A20194">
        <v>66</v>
      </c>
      <c r="B20194" t="s">
        <v>20208</v>
      </c>
      <c r="C20194">
        <v>6893</v>
      </c>
      <c r="D20194" t="str">
        <f>"0144-929X"</f>
        <v>0144-929X</v>
      </c>
      <c r="E20194" t="s">
        <v>8</v>
      </c>
      <c r="F20194" t="s">
        <v>20209</v>
      </c>
      <c r="G20194">
        <v>2</v>
      </c>
    </row>
    <row r="20195" spans="1:7" x14ac:dyDescent="0.25">
      <c r="A20195">
        <v>66</v>
      </c>
      <c r="B20195" t="s">
        <v>20208</v>
      </c>
      <c r="C20195">
        <v>16421</v>
      </c>
      <c r="D20195" t="str">
        <f>"1462-6268"</f>
        <v>1462-6268</v>
      </c>
      <c r="E20195" t="s">
        <v>8</v>
      </c>
      <c r="F20195" t="s">
        <v>20210</v>
      </c>
      <c r="G20195">
        <v>2</v>
      </c>
    </row>
    <row r="20196" spans="1:7" x14ac:dyDescent="0.25">
      <c r="A20196">
        <v>66</v>
      </c>
      <c r="B20196" t="s">
        <v>20208</v>
      </c>
      <c r="C20196">
        <v>911</v>
      </c>
      <c r="D20196" t="str">
        <f>"1795-6889"</f>
        <v>1795-6889</v>
      </c>
      <c r="E20196" t="s">
        <v>8</v>
      </c>
      <c r="F20196" t="s">
        <v>20211</v>
      </c>
      <c r="G20196">
        <v>2</v>
      </c>
    </row>
    <row r="20197" spans="1:7" x14ac:dyDescent="0.25">
      <c r="A20197">
        <v>66</v>
      </c>
      <c r="B20197" t="s">
        <v>20208</v>
      </c>
      <c r="C20197">
        <v>12696</v>
      </c>
      <c r="D20197" t="str">
        <f>"0950-5849"</f>
        <v>0950-5849</v>
      </c>
      <c r="E20197" t="s">
        <v>8</v>
      </c>
      <c r="F20197" t="s">
        <v>20212</v>
      </c>
      <c r="G20197">
        <v>2</v>
      </c>
    </row>
    <row r="20198" spans="1:7" x14ac:dyDescent="0.25">
      <c r="A20198">
        <v>66</v>
      </c>
      <c r="B20198" t="s">
        <v>20208</v>
      </c>
      <c r="C20198">
        <v>9863</v>
      </c>
      <c r="D20198" t="str">
        <f>"1548-3908"</f>
        <v>1548-3908</v>
      </c>
      <c r="E20198" t="s">
        <v>8</v>
      </c>
      <c r="F20198" t="s">
        <v>20213</v>
      </c>
      <c r="G20198">
        <v>2</v>
      </c>
    </row>
    <row r="20199" spans="1:7" x14ac:dyDescent="0.25">
      <c r="A20199">
        <v>66</v>
      </c>
      <c r="B20199" t="s">
        <v>20208</v>
      </c>
      <c r="C20199">
        <v>5203</v>
      </c>
      <c r="D20199" t="str">
        <f>"1066-2243"</f>
        <v>1066-2243</v>
      </c>
      <c r="E20199" t="s">
        <v>8</v>
      </c>
      <c r="F20199" t="s">
        <v>20214</v>
      </c>
      <c r="G20199">
        <v>2</v>
      </c>
    </row>
    <row r="20200" spans="1:7" x14ac:dyDescent="0.25">
      <c r="A20200">
        <v>66</v>
      </c>
      <c r="B20200" t="s">
        <v>20208</v>
      </c>
      <c r="C20200">
        <v>8173</v>
      </c>
      <c r="E20200" t="s">
        <v>8</v>
      </c>
      <c r="F20200" t="s">
        <v>20215</v>
      </c>
      <c r="G20200">
        <v>2</v>
      </c>
    </row>
    <row r="20201" spans="1:7" x14ac:dyDescent="0.25">
      <c r="A20201">
        <v>66</v>
      </c>
      <c r="B20201" t="s">
        <v>20208</v>
      </c>
      <c r="C20201">
        <v>7720077</v>
      </c>
      <c r="D20201" t="str">
        <f>"2092-6731"</f>
        <v>2092-6731</v>
      </c>
      <c r="E20201" t="s">
        <v>8</v>
      </c>
      <c r="F20201" t="s">
        <v>20216</v>
      </c>
      <c r="G20201">
        <v>1</v>
      </c>
    </row>
    <row r="20202" spans="1:7" x14ac:dyDescent="0.25">
      <c r="A20202">
        <v>66</v>
      </c>
      <c r="B20202" t="s">
        <v>20208</v>
      </c>
      <c r="C20202">
        <v>8781983</v>
      </c>
      <c r="D20202" t="str">
        <f>"2245-7755"</f>
        <v>2245-7755</v>
      </c>
      <c r="E20202" t="s">
        <v>8</v>
      </c>
      <c r="F20202" t="s">
        <v>20217</v>
      </c>
      <c r="G20202">
        <v>1</v>
      </c>
    </row>
    <row r="20203" spans="1:7" x14ac:dyDescent="0.25">
      <c r="A20203">
        <v>66</v>
      </c>
      <c r="B20203" t="s">
        <v>20208</v>
      </c>
      <c r="C20203">
        <v>8782787</v>
      </c>
      <c r="E20203" t="s">
        <v>2100</v>
      </c>
      <c r="F20203" t="s">
        <v>20218</v>
      </c>
      <c r="G20203">
        <v>1</v>
      </c>
    </row>
    <row r="20204" spans="1:7" x14ac:dyDescent="0.25">
      <c r="A20204">
        <v>66</v>
      </c>
      <c r="B20204" t="s">
        <v>20208</v>
      </c>
      <c r="C20204">
        <v>180164</v>
      </c>
      <c r="E20204" t="s">
        <v>8</v>
      </c>
      <c r="F20204" t="s">
        <v>20219</v>
      </c>
      <c r="G20204">
        <v>1</v>
      </c>
    </row>
    <row r="20205" spans="1:7" x14ac:dyDescent="0.25">
      <c r="A20205">
        <v>66</v>
      </c>
      <c r="B20205" t="s">
        <v>20208</v>
      </c>
      <c r="C20205">
        <v>5020078</v>
      </c>
      <c r="E20205" t="s">
        <v>2100</v>
      </c>
      <c r="F20205" t="s">
        <v>20220</v>
      </c>
      <c r="G20205">
        <v>1</v>
      </c>
    </row>
    <row r="20206" spans="1:7" x14ac:dyDescent="0.25">
      <c r="A20206">
        <v>66</v>
      </c>
      <c r="B20206" t="s">
        <v>20208</v>
      </c>
      <c r="C20206">
        <v>15995</v>
      </c>
      <c r="D20206" t="str">
        <f>"8755-4615"</f>
        <v>8755-4615</v>
      </c>
      <c r="E20206" t="s">
        <v>8</v>
      </c>
      <c r="F20206" t="s">
        <v>20221</v>
      </c>
      <c r="G20206">
        <v>1</v>
      </c>
    </row>
    <row r="20207" spans="1:7" x14ac:dyDescent="0.25">
      <c r="A20207">
        <v>66</v>
      </c>
      <c r="B20207" t="s">
        <v>20208</v>
      </c>
      <c r="C20207">
        <v>10312</v>
      </c>
      <c r="D20207" t="str">
        <f>"1544-3574"</f>
        <v>1544-3574</v>
      </c>
      <c r="E20207" t="s">
        <v>8</v>
      </c>
      <c r="F20207" t="s">
        <v>20222</v>
      </c>
      <c r="G20207">
        <v>1</v>
      </c>
    </row>
    <row r="20208" spans="1:7" x14ac:dyDescent="0.25">
      <c r="A20208">
        <v>66</v>
      </c>
      <c r="B20208" t="s">
        <v>20208</v>
      </c>
      <c r="C20208">
        <v>1661</v>
      </c>
      <c r="D20208" t="str">
        <f>"0907-0877"</f>
        <v>0907-0877</v>
      </c>
      <c r="E20208" t="s">
        <v>8</v>
      </c>
      <c r="F20208" t="s">
        <v>20223</v>
      </c>
      <c r="G20208">
        <v>1</v>
      </c>
    </row>
    <row r="20209" spans="1:7" x14ac:dyDescent="0.25">
      <c r="A20209">
        <v>66</v>
      </c>
      <c r="B20209" t="s">
        <v>20208</v>
      </c>
      <c r="C20209">
        <v>8781984</v>
      </c>
      <c r="E20209" t="s">
        <v>15</v>
      </c>
      <c r="F20209" t="s">
        <v>20224</v>
      </c>
      <c r="G20209">
        <v>1</v>
      </c>
    </row>
    <row r="20210" spans="1:7" x14ac:dyDescent="0.25">
      <c r="A20210">
        <v>66</v>
      </c>
      <c r="B20210" t="s">
        <v>20208</v>
      </c>
      <c r="C20210">
        <v>8551</v>
      </c>
      <c r="E20210" t="s">
        <v>8</v>
      </c>
      <c r="F20210" t="s">
        <v>20225</v>
      </c>
      <c r="G20210">
        <v>1</v>
      </c>
    </row>
    <row r="20211" spans="1:7" x14ac:dyDescent="0.25">
      <c r="A20211">
        <v>66</v>
      </c>
      <c r="B20211" t="s">
        <v>20208</v>
      </c>
      <c r="C20211">
        <v>8782528</v>
      </c>
      <c r="D20211" t="str">
        <f>"2411-7145"</f>
        <v>2411-7145</v>
      </c>
      <c r="E20211" t="s">
        <v>8</v>
      </c>
      <c r="F20211" t="s">
        <v>20226</v>
      </c>
      <c r="G20211">
        <v>1</v>
      </c>
    </row>
    <row r="20212" spans="1:7" x14ac:dyDescent="0.25">
      <c r="A20212">
        <v>66</v>
      </c>
      <c r="B20212" t="s">
        <v>20208</v>
      </c>
      <c r="C20212">
        <v>8782720</v>
      </c>
      <c r="D20212" t="str">
        <f>"2254-0059"</f>
        <v>2254-0059</v>
      </c>
      <c r="E20212" t="s">
        <v>8</v>
      </c>
      <c r="F20212" t="s">
        <v>20227</v>
      </c>
      <c r="G20212">
        <v>1</v>
      </c>
    </row>
    <row r="20213" spans="1:7" x14ac:dyDescent="0.25">
      <c r="A20213">
        <v>66</v>
      </c>
      <c r="B20213" t="s">
        <v>20208</v>
      </c>
      <c r="C20213">
        <v>58840</v>
      </c>
      <c r="E20213" t="s">
        <v>8</v>
      </c>
      <c r="F20213" t="s">
        <v>20228</v>
      </c>
      <c r="G20213">
        <v>1</v>
      </c>
    </row>
    <row r="20214" spans="1:7" x14ac:dyDescent="0.25">
      <c r="A20214">
        <v>66</v>
      </c>
      <c r="B20214" t="s">
        <v>20208</v>
      </c>
      <c r="C20214">
        <v>128775</v>
      </c>
      <c r="D20214" t="str">
        <f>"1555-9351"</f>
        <v>1555-9351</v>
      </c>
      <c r="E20214" t="s">
        <v>8</v>
      </c>
      <c r="F20214" t="s">
        <v>20229</v>
      </c>
      <c r="G20214">
        <v>1</v>
      </c>
    </row>
    <row r="20215" spans="1:7" x14ac:dyDescent="0.25">
      <c r="A20215">
        <v>66</v>
      </c>
      <c r="B20215" t="s">
        <v>20208</v>
      </c>
      <c r="C20215">
        <v>2103</v>
      </c>
      <c r="D20215" t="str">
        <f>"1645-7641"</f>
        <v>1645-7641</v>
      </c>
      <c r="E20215" t="s">
        <v>8</v>
      </c>
      <c r="F20215" t="s">
        <v>20230</v>
      </c>
      <c r="G20215">
        <v>1</v>
      </c>
    </row>
    <row r="20216" spans="1:7" x14ac:dyDescent="0.25">
      <c r="A20216">
        <v>66</v>
      </c>
      <c r="B20216" t="s">
        <v>20208</v>
      </c>
      <c r="C20216">
        <v>13964</v>
      </c>
      <c r="D20216" t="str">
        <f>"1389-6911"</f>
        <v>1389-6911</v>
      </c>
      <c r="E20216" t="s">
        <v>8</v>
      </c>
      <c r="F20216" t="s">
        <v>20231</v>
      </c>
      <c r="G20216">
        <v>1</v>
      </c>
    </row>
    <row r="20217" spans="1:7" x14ac:dyDescent="0.25">
      <c r="A20217">
        <v>66</v>
      </c>
      <c r="B20217" t="s">
        <v>20208</v>
      </c>
      <c r="C20217">
        <v>7753802</v>
      </c>
      <c r="D20217" t="str">
        <f>"1826-9745"</f>
        <v>1826-9745</v>
      </c>
      <c r="E20217" t="s">
        <v>8</v>
      </c>
      <c r="F20217" t="s">
        <v>20232</v>
      </c>
      <c r="G20217">
        <v>1</v>
      </c>
    </row>
    <row r="20218" spans="1:7" x14ac:dyDescent="0.25">
      <c r="A20218">
        <v>66</v>
      </c>
      <c r="B20218" t="s">
        <v>20208</v>
      </c>
      <c r="C20218">
        <v>11194</v>
      </c>
      <c r="D20218" t="str">
        <f>"1550-6037"</f>
        <v>1550-6037</v>
      </c>
      <c r="E20218" t="s">
        <v>8</v>
      </c>
      <c r="F20218" t="s">
        <v>20233</v>
      </c>
      <c r="G20218">
        <v>1</v>
      </c>
    </row>
    <row r="20219" spans="1:7" x14ac:dyDescent="0.25">
      <c r="A20219">
        <v>66</v>
      </c>
      <c r="B20219" t="s">
        <v>20208</v>
      </c>
      <c r="C20219">
        <v>1834</v>
      </c>
      <c r="D20219" t="str">
        <f>"1097-2641"</f>
        <v>1097-2641</v>
      </c>
      <c r="E20219" t="s">
        <v>8</v>
      </c>
      <c r="F20219" t="s">
        <v>20234</v>
      </c>
      <c r="G20219">
        <v>1</v>
      </c>
    </row>
    <row r="20220" spans="1:7" x14ac:dyDescent="0.25">
      <c r="A20220">
        <v>66</v>
      </c>
      <c r="B20220" t="s">
        <v>20208</v>
      </c>
      <c r="C20220">
        <v>3967</v>
      </c>
      <c r="D20220" t="str">
        <f>"1530-1346"</f>
        <v>1530-1346</v>
      </c>
      <c r="E20220" t="s">
        <v>8</v>
      </c>
      <c r="F20220" t="s">
        <v>20235</v>
      </c>
      <c r="G20220">
        <v>1</v>
      </c>
    </row>
    <row r="20221" spans="1:7" x14ac:dyDescent="0.25">
      <c r="A20221">
        <v>66</v>
      </c>
      <c r="B20221" t="s">
        <v>20208</v>
      </c>
      <c r="C20221">
        <v>4985</v>
      </c>
      <c r="D20221" t="str">
        <f>"1072-5520"</f>
        <v>1072-5520</v>
      </c>
      <c r="E20221" t="s">
        <v>8</v>
      </c>
      <c r="F20221" t="s">
        <v>20236</v>
      </c>
      <c r="G20221">
        <v>1</v>
      </c>
    </row>
    <row r="20222" spans="1:7" x14ac:dyDescent="0.25">
      <c r="A20222">
        <v>66</v>
      </c>
      <c r="B20222" t="s">
        <v>20208</v>
      </c>
      <c r="C20222">
        <v>8782767</v>
      </c>
      <c r="E20222" t="s">
        <v>2100</v>
      </c>
      <c r="F20222" t="s">
        <v>20237</v>
      </c>
      <c r="G20222">
        <v>1</v>
      </c>
    </row>
    <row r="20223" spans="1:7" x14ac:dyDescent="0.25">
      <c r="A20223">
        <v>66</v>
      </c>
      <c r="B20223" t="s">
        <v>20208</v>
      </c>
      <c r="C20223">
        <v>8782789</v>
      </c>
      <c r="E20223" t="s">
        <v>2100</v>
      </c>
      <c r="F20223" t="s">
        <v>20238</v>
      </c>
      <c r="G20223">
        <v>1</v>
      </c>
    </row>
    <row r="20224" spans="1:7" x14ac:dyDescent="0.25">
      <c r="A20224">
        <v>66</v>
      </c>
      <c r="B20224" t="s">
        <v>20208</v>
      </c>
      <c r="C20224">
        <v>7744781</v>
      </c>
      <c r="D20224" t="str">
        <f>"2212-8689"</f>
        <v>2212-8689</v>
      </c>
      <c r="E20224" t="s">
        <v>8</v>
      </c>
      <c r="F20224" t="s">
        <v>20239</v>
      </c>
      <c r="G20224">
        <v>1</v>
      </c>
    </row>
    <row r="20225" spans="1:7" x14ac:dyDescent="0.25">
      <c r="A20225">
        <v>66</v>
      </c>
      <c r="B20225" t="s">
        <v>20208</v>
      </c>
      <c r="C20225">
        <v>10629</v>
      </c>
      <c r="D20225" t="str">
        <f>"1630-7267"</f>
        <v>1630-7267</v>
      </c>
      <c r="E20225" t="s">
        <v>8</v>
      </c>
      <c r="F20225" t="s">
        <v>20240</v>
      </c>
      <c r="G20225">
        <v>1</v>
      </c>
    </row>
    <row r="20226" spans="1:7" x14ac:dyDescent="0.25">
      <c r="A20226">
        <v>66</v>
      </c>
      <c r="B20226" t="s">
        <v>20208</v>
      </c>
      <c r="C20226">
        <v>5005</v>
      </c>
      <c r="D20226" t="str">
        <f>"1470-9503"</f>
        <v>1470-9503</v>
      </c>
      <c r="E20226" t="s">
        <v>8</v>
      </c>
      <c r="F20226" t="s">
        <v>20241</v>
      </c>
      <c r="G20226">
        <v>1</v>
      </c>
    </row>
    <row r="20227" spans="1:7" x14ac:dyDescent="0.25">
      <c r="A20227">
        <v>66</v>
      </c>
      <c r="B20227" t="s">
        <v>20208</v>
      </c>
      <c r="C20227">
        <v>25776</v>
      </c>
      <c r="D20227" t="str">
        <f>"1479-4713"</f>
        <v>1479-4713</v>
      </c>
      <c r="E20227" t="s">
        <v>8</v>
      </c>
      <c r="F20227" t="s">
        <v>20242</v>
      </c>
      <c r="G20227">
        <v>1</v>
      </c>
    </row>
    <row r="20228" spans="1:7" x14ac:dyDescent="0.25">
      <c r="A20228">
        <v>66</v>
      </c>
      <c r="B20228" t="s">
        <v>20208</v>
      </c>
      <c r="C20228">
        <v>8783462</v>
      </c>
      <c r="D20228" t="str">
        <f>"2465-227X"</f>
        <v>2465-227X</v>
      </c>
      <c r="E20228" t="s">
        <v>8</v>
      </c>
      <c r="F20228" t="s">
        <v>20243</v>
      </c>
      <c r="G20228">
        <v>1</v>
      </c>
    </row>
    <row r="20229" spans="1:7" x14ac:dyDescent="0.25">
      <c r="A20229">
        <v>66</v>
      </c>
      <c r="B20229" t="s">
        <v>20208</v>
      </c>
      <c r="C20229">
        <v>1804</v>
      </c>
      <c r="D20229" t="str">
        <f>"1552-6283"</f>
        <v>1552-6283</v>
      </c>
      <c r="E20229" t="s">
        <v>8</v>
      </c>
      <c r="F20229" t="s">
        <v>20244</v>
      </c>
      <c r="G20229">
        <v>1</v>
      </c>
    </row>
    <row r="20230" spans="1:7" x14ac:dyDescent="0.25">
      <c r="A20230">
        <v>66</v>
      </c>
      <c r="B20230" t="s">
        <v>20208</v>
      </c>
      <c r="C20230">
        <v>7758220</v>
      </c>
      <c r="D20230" t="str">
        <f>"2246-2120"</f>
        <v>2246-2120</v>
      </c>
      <c r="E20230" t="s">
        <v>8</v>
      </c>
      <c r="F20230" t="s">
        <v>20245</v>
      </c>
      <c r="G20230">
        <v>1</v>
      </c>
    </row>
    <row r="20231" spans="1:7" x14ac:dyDescent="0.25">
      <c r="A20231">
        <v>66</v>
      </c>
      <c r="B20231" t="s">
        <v>20208</v>
      </c>
      <c r="C20231">
        <v>8783461</v>
      </c>
      <c r="E20231" t="s">
        <v>8</v>
      </c>
      <c r="F20231" t="s">
        <v>20246</v>
      </c>
      <c r="G20231">
        <v>1</v>
      </c>
    </row>
    <row r="20232" spans="1:7" x14ac:dyDescent="0.25">
      <c r="A20232">
        <v>66</v>
      </c>
      <c r="B20232" t="s">
        <v>20208</v>
      </c>
      <c r="C20232">
        <v>8775053</v>
      </c>
      <c r="E20232" t="s">
        <v>8</v>
      </c>
      <c r="F20232" t="s">
        <v>20247</v>
      </c>
      <c r="G20232">
        <v>1</v>
      </c>
    </row>
    <row r="20233" spans="1:7" x14ac:dyDescent="0.25">
      <c r="A20233">
        <v>66</v>
      </c>
      <c r="B20233" t="s">
        <v>20208</v>
      </c>
      <c r="C20233">
        <v>7758219</v>
      </c>
      <c r="D20233" t="str">
        <f>"2246-5235"</f>
        <v>2246-5235</v>
      </c>
      <c r="E20233" t="s">
        <v>8</v>
      </c>
      <c r="F20233" t="s">
        <v>20248</v>
      </c>
      <c r="G20233">
        <v>1</v>
      </c>
    </row>
    <row r="20234" spans="1:7" x14ac:dyDescent="0.25">
      <c r="A20234">
        <v>66</v>
      </c>
      <c r="B20234" t="s">
        <v>20208</v>
      </c>
      <c r="C20234">
        <v>8783585</v>
      </c>
      <c r="E20234" t="s">
        <v>15</v>
      </c>
      <c r="F20234" t="s">
        <v>20249</v>
      </c>
      <c r="G20234">
        <v>1</v>
      </c>
    </row>
    <row r="20235" spans="1:7" x14ac:dyDescent="0.25">
      <c r="A20235">
        <v>66</v>
      </c>
      <c r="B20235" t="s">
        <v>20208</v>
      </c>
      <c r="C20235">
        <v>108</v>
      </c>
      <c r="E20235" t="s">
        <v>8</v>
      </c>
      <c r="F20235" t="s">
        <v>20250</v>
      </c>
      <c r="G20235">
        <v>1</v>
      </c>
    </row>
    <row r="20236" spans="1:7" x14ac:dyDescent="0.25">
      <c r="A20236">
        <v>66</v>
      </c>
      <c r="B20236" t="s">
        <v>20208</v>
      </c>
      <c r="C20236">
        <v>7757090</v>
      </c>
      <c r="D20236" t="str">
        <f>"2182-8830"</f>
        <v>2182-8830</v>
      </c>
      <c r="E20236" t="s">
        <v>8</v>
      </c>
      <c r="F20236" t="s">
        <v>20251</v>
      </c>
      <c r="G20236">
        <v>1</v>
      </c>
    </row>
    <row r="20237" spans="1:7" x14ac:dyDescent="0.25">
      <c r="A20237">
        <v>66</v>
      </c>
      <c r="B20237" t="s">
        <v>20208</v>
      </c>
      <c r="C20237">
        <v>8782788</v>
      </c>
      <c r="E20237" t="s">
        <v>2100</v>
      </c>
      <c r="F20237" t="s">
        <v>20252</v>
      </c>
      <c r="G20237">
        <v>1</v>
      </c>
    </row>
    <row r="20238" spans="1:7" x14ac:dyDescent="0.25">
      <c r="A20238">
        <v>66</v>
      </c>
      <c r="B20238" t="s">
        <v>20208</v>
      </c>
      <c r="C20238">
        <v>5010993</v>
      </c>
      <c r="D20238" t="str">
        <f>"2220-4792"</f>
        <v>2220-4792</v>
      </c>
      <c r="E20238" t="s">
        <v>2100</v>
      </c>
      <c r="F20238" t="s">
        <v>20253</v>
      </c>
      <c r="G20238">
        <v>1</v>
      </c>
    </row>
    <row r="20239" spans="1:7" x14ac:dyDescent="0.25">
      <c r="A20239">
        <v>66</v>
      </c>
      <c r="B20239" t="s">
        <v>20208</v>
      </c>
      <c r="C20239">
        <v>15904</v>
      </c>
      <c r="D20239" t="str">
        <f>"1361-4568"</f>
        <v>1361-4568</v>
      </c>
      <c r="E20239" t="s">
        <v>8</v>
      </c>
      <c r="F20239" t="s">
        <v>20254</v>
      </c>
      <c r="G20239">
        <v>1</v>
      </c>
    </row>
    <row r="20240" spans="1:7" x14ac:dyDescent="0.25">
      <c r="A20240">
        <v>66</v>
      </c>
      <c r="B20240" t="s">
        <v>20208</v>
      </c>
      <c r="C20240">
        <v>7747694</v>
      </c>
      <c r="D20240" t="str">
        <f>"2462-6384"</f>
        <v>2462-6384</v>
      </c>
      <c r="E20240" t="s">
        <v>8</v>
      </c>
      <c r="F20240" t="s">
        <v>20255</v>
      </c>
      <c r="G20240">
        <v>1</v>
      </c>
    </row>
    <row r="20241" spans="1:7" x14ac:dyDescent="0.25">
      <c r="A20241">
        <v>66</v>
      </c>
      <c r="B20241" t="s">
        <v>20208</v>
      </c>
      <c r="C20241">
        <v>6243028</v>
      </c>
      <c r="D20241" t="str">
        <f>"1836-5132"</f>
        <v>1836-5132</v>
      </c>
      <c r="E20241" t="s">
        <v>8</v>
      </c>
      <c r="F20241" t="s">
        <v>20256</v>
      </c>
      <c r="G20241">
        <v>1</v>
      </c>
    </row>
    <row r="20242" spans="1:7" x14ac:dyDescent="0.25">
      <c r="A20242">
        <v>66</v>
      </c>
      <c r="B20242" t="s">
        <v>20208</v>
      </c>
      <c r="C20242">
        <v>14605</v>
      </c>
      <c r="D20242" t="str">
        <f>"1054-7460"</f>
        <v>1054-7460</v>
      </c>
      <c r="E20242" t="s">
        <v>8</v>
      </c>
      <c r="F20242" t="s">
        <v>20257</v>
      </c>
      <c r="G20242">
        <v>1</v>
      </c>
    </row>
    <row r="20243" spans="1:7" x14ac:dyDescent="0.25">
      <c r="A20243">
        <v>66</v>
      </c>
      <c r="B20243" t="s">
        <v>20208</v>
      </c>
      <c r="C20243">
        <v>13012</v>
      </c>
      <c r="D20243" t="str">
        <f>"1550-445X"</f>
        <v>1550-445X</v>
      </c>
      <c r="E20243" t="s">
        <v>8</v>
      </c>
      <c r="F20243" t="s">
        <v>20258</v>
      </c>
      <c r="G20243">
        <v>1</v>
      </c>
    </row>
    <row r="20244" spans="1:7" x14ac:dyDescent="0.25">
      <c r="A20244">
        <v>66</v>
      </c>
      <c r="B20244" t="s">
        <v>20208</v>
      </c>
      <c r="C20244">
        <v>6968</v>
      </c>
      <c r="D20244" t="str">
        <f>"1095-2055"</f>
        <v>1095-2055</v>
      </c>
      <c r="E20244" t="s">
        <v>8</v>
      </c>
      <c r="F20244" t="s">
        <v>20259</v>
      </c>
      <c r="G20244">
        <v>1</v>
      </c>
    </row>
    <row r="20245" spans="1:7" x14ac:dyDescent="0.25">
      <c r="A20245">
        <v>66</v>
      </c>
      <c r="B20245" t="s">
        <v>20208</v>
      </c>
      <c r="C20245">
        <v>12009</v>
      </c>
      <c r="D20245" t="str">
        <f>"1550-5502"</f>
        <v>1550-5502</v>
      </c>
      <c r="E20245" t="s">
        <v>8</v>
      </c>
      <c r="F20245" t="s">
        <v>20260</v>
      </c>
      <c r="G20245">
        <v>1</v>
      </c>
    </row>
    <row r="20246" spans="1:7" x14ac:dyDescent="0.25">
      <c r="A20246">
        <v>66</v>
      </c>
      <c r="B20246" t="s">
        <v>20208</v>
      </c>
      <c r="C20246">
        <v>7758218</v>
      </c>
      <c r="D20246" t="str">
        <f>"2445-4842"</f>
        <v>2445-4842</v>
      </c>
      <c r="E20246" t="s">
        <v>15</v>
      </c>
      <c r="F20246" t="s">
        <v>20261</v>
      </c>
      <c r="G20246">
        <v>1</v>
      </c>
    </row>
    <row r="20247" spans="1:7" x14ac:dyDescent="0.25">
      <c r="A20247">
        <v>67</v>
      </c>
      <c r="B20247" t="s">
        <v>20262</v>
      </c>
      <c r="C20247">
        <v>1106</v>
      </c>
      <c r="D20247" t="str">
        <f>"0360-0300"</f>
        <v>0360-0300</v>
      </c>
      <c r="E20247" t="s">
        <v>8</v>
      </c>
      <c r="F20247" t="s">
        <v>20263</v>
      </c>
      <c r="G20247">
        <v>2</v>
      </c>
    </row>
    <row r="20248" spans="1:7" x14ac:dyDescent="0.25">
      <c r="A20248">
        <v>67</v>
      </c>
      <c r="B20248" t="s">
        <v>20262</v>
      </c>
      <c r="C20248">
        <v>8558</v>
      </c>
      <c r="D20248" t="str">
        <f>"0362-5915"</f>
        <v>0362-5915</v>
      </c>
      <c r="E20248" t="s">
        <v>8</v>
      </c>
      <c r="F20248" t="s">
        <v>20264</v>
      </c>
      <c r="G20248">
        <v>2</v>
      </c>
    </row>
    <row r="20249" spans="1:7" x14ac:dyDescent="0.25">
      <c r="A20249">
        <v>67</v>
      </c>
      <c r="B20249" t="s">
        <v>20262</v>
      </c>
      <c r="C20249">
        <v>3715</v>
      </c>
      <c r="D20249" t="str">
        <f>"1046-8188"</f>
        <v>1046-8188</v>
      </c>
      <c r="E20249" t="s">
        <v>8</v>
      </c>
      <c r="F20249" t="s">
        <v>20265</v>
      </c>
      <c r="G20249">
        <v>2</v>
      </c>
    </row>
    <row r="20250" spans="1:7" x14ac:dyDescent="0.25">
      <c r="A20250">
        <v>67</v>
      </c>
      <c r="B20250" t="s">
        <v>20262</v>
      </c>
      <c r="C20250">
        <v>16740</v>
      </c>
      <c r="D20250" t="str">
        <f>"1049-331X"</f>
        <v>1049-331X</v>
      </c>
      <c r="E20250" t="s">
        <v>8</v>
      </c>
      <c r="F20250" t="s">
        <v>20266</v>
      </c>
      <c r="G20250">
        <v>2</v>
      </c>
    </row>
    <row r="20251" spans="1:7" x14ac:dyDescent="0.25">
      <c r="A20251">
        <v>67</v>
      </c>
      <c r="B20251" t="s">
        <v>20262</v>
      </c>
      <c r="C20251">
        <v>6047758</v>
      </c>
      <c r="D20251" t="str">
        <f>"2363-7005"</f>
        <v>2363-7005</v>
      </c>
      <c r="E20251" t="s">
        <v>8</v>
      </c>
      <c r="F20251" t="s">
        <v>20267</v>
      </c>
      <c r="G20251">
        <v>2</v>
      </c>
    </row>
    <row r="20252" spans="1:7" x14ac:dyDescent="0.25">
      <c r="A20252">
        <v>67</v>
      </c>
      <c r="B20252" t="s">
        <v>20262</v>
      </c>
      <c r="C20252">
        <v>3491</v>
      </c>
      <c r="D20252" t="str">
        <f>"1529-3181"</f>
        <v>1529-3181</v>
      </c>
      <c r="E20252" t="s">
        <v>8</v>
      </c>
      <c r="F20252" t="s">
        <v>20268</v>
      </c>
      <c r="G20252">
        <v>2</v>
      </c>
    </row>
    <row r="20253" spans="1:7" x14ac:dyDescent="0.25">
      <c r="A20253">
        <v>67</v>
      </c>
      <c r="B20253" t="s">
        <v>20262</v>
      </c>
      <c r="C20253">
        <v>14151</v>
      </c>
      <c r="D20253" t="str">
        <f>"0167-9236"</f>
        <v>0167-9236</v>
      </c>
      <c r="E20253" t="s">
        <v>8</v>
      </c>
      <c r="F20253" t="s">
        <v>20269</v>
      </c>
      <c r="G20253">
        <v>2</v>
      </c>
    </row>
    <row r="20254" spans="1:7" x14ac:dyDescent="0.25">
      <c r="A20254">
        <v>67</v>
      </c>
      <c r="B20254" t="s">
        <v>20262</v>
      </c>
      <c r="C20254">
        <v>1321</v>
      </c>
      <c r="D20254" t="str">
        <f>"1567-4223"</f>
        <v>1567-4223</v>
      </c>
      <c r="E20254" t="s">
        <v>8</v>
      </c>
      <c r="F20254" t="s">
        <v>20270</v>
      </c>
      <c r="G20254">
        <v>2</v>
      </c>
    </row>
    <row r="20255" spans="1:7" x14ac:dyDescent="0.25">
      <c r="A20255">
        <v>67</v>
      </c>
      <c r="B20255" t="s">
        <v>20262</v>
      </c>
      <c r="C20255">
        <v>8164</v>
      </c>
      <c r="D20255" t="str">
        <f>"1382-3256"</f>
        <v>1382-3256</v>
      </c>
      <c r="E20255" t="s">
        <v>8</v>
      </c>
      <c r="F20255" t="s">
        <v>20271</v>
      </c>
      <c r="G20255">
        <v>2</v>
      </c>
    </row>
    <row r="20256" spans="1:7" x14ac:dyDescent="0.25">
      <c r="A20256">
        <v>67</v>
      </c>
      <c r="B20256" t="s">
        <v>20262</v>
      </c>
      <c r="C20256">
        <v>11078</v>
      </c>
      <c r="D20256" t="str">
        <f>"1751-7575"</f>
        <v>1751-7575</v>
      </c>
      <c r="E20256" t="s">
        <v>8</v>
      </c>
      <c r="F20256" t="s">
        <v>20272</v>
      </c>
      <c r="G20256">
        <v>2</v>
      </c>
    </row>
    <row r="20257" spans="1:7" x14ac:dyDescent="0.25">
      <c r="A20257">
        <v>67</v>
      </c>
      <c r="B20257" t="s">
        <v>20262</v>
      </c>
      <c r="C20257">
        <v>4173</v>
      </c>
      <c r="D20257" t="str">
        <f>"0960-085X"</f>
        <v>0960-085X</v>
      </c>
      <c r="E20257" t="s">
        <v>8</v>
      </c>
      <c r="F20257" t="s">
        <v>20273</v>
      </c>
      <c r="G20257">
        <v>2</v>
      </c>
    </row>
    <row r="20258" spans="1:7" x14ac:dyDescent="0.25">
      <c r="A20258">
        <v>67</v>
      </c>
      <c r="B20258" t="s">
        <v>20262</v>
      </c>
      <c r="C20258">
        <v>3646</v>
      </c>
      <c r="D20258" t="str">
        <f>"0740-624X"</f>
        <v>0740-624X</v>
      </c>
      <c r="E20258" t="s">
        <v>8</v>
      </c>
      <c r="F20258" t="s">
        <v>20274</v>
      </c>
      <c r="G20258">
        <v>2</v>
      </c>
    </row>
    <row r="20259" spans="1:7" x14ac:dyDescent="0.25">
      <c r="A20259">
        <v>67</v>
      </c>
      <c r="B20259" t="s">
        <v>20262</v>
      </c>
      <c r="C20259">
        <v>11426</v>
      </c>
      <c r="D20259" t="str">
        <f>"1460-4582"</f>
        <v>1460-4582</v>
      </c>
      <c r="E20259" t="s">
        <v>8</v>
      </c>
      <c r="F20259" t="s">
        <v>20275</v>
      </c>
      <c r="G20259">
        <v>2</v>
      </c>
    </row>
    <row r="20260" spans="1:7" x14ac:dyDescent="0.25">
      <c r="A20260">
        <v>67</v>
      </c>
      <c r="B20260" t="s">
        <v>20262</v>
      </c>
      <c r="C20260">
        <v>887</v>
      </c>
      <c r="D20260" t="str">
        <f>"1471-7727"</f>
        <v>1471-7727</v>
      </c>
      <c r="E20260" t="s">
        <v>8</v>
      </c>
      <c r="F20260" t="s">
        <v>20276</v>
      </c>
      <c r="G20260">
        <v>2</v>
      </c>
    </row>
    <row r="20261" spans="1:7" x14ac:dyDescent="0.25">
      <c r="A20261">
        <v>67</v>
      </c>
      <c r="B20261" t="s">
        <v>20262</v>
      </c>
      <c r="C20261">
        <v>6451</v>
      </c>
      <c r="D20261" t="str">
        <f>"1387-3326"</f>
        <v>1387-3326</v>
      </c>
      <c r="E20261" t="s">
        <v>8</v>
      </c>
      <c r="F20261" t="s">
        <v>20277</v>
      </c>
      <c r="G20261">
        <v>2</v>
      </c>
    </row>
    <row r="20262" spans="1:7" x14ac:dyDescent="0.25">
      <c r="A20262">
        <v>67</v>
      </c>
      <c r="B20262" t="s">
        <v>20262</v>
      </c>
      <c r="C20262">
        <v>11745</v>
      </c>
      <c r="D20262" t="str">
        <f>"1350-1917"</f>
        <v>1350-1917</v>
      </c>
      <c r="E20262" t="s">
        <v>8</v>
      </c>
      <c r="F20262" t="s">
        <v>20278</v>
      </c>
      <c r="G20262">
        <v>2</v>
      </c>
    </row>
    <row r="20263" spans="1:7" x14ac:dyDescent="0.25">
      <c r="A20263">
        <v>67</v>
      </c>
      <c r="B20263" t="s">
        <v>20262</v>
      </c>
      <c r="C20263">
        <v>16324</v>
      </c>
      <c r="D20263" t="str">
        <f>"1058-0530"</f>
        <v>1058-0530</v>
      </c>
      <c r="E20263" t="s">
        <v>8</v>
      </c>
      <c r="F20263" t="s">
        <v>20279</v>
      </c>
      <c r="G20263">
        <v>2</v>
      </c>
    </row>
    <row r="20264" spans="1:7" x14ac:dyDescent="0.25">
      <c r="A20264">
        <v>67</v>
      </c>
      <c r="B20264" t="s">
        <v>20262</v>
      </c>
      <c r="C20264">
        <v>13679</v>
      </c>
      <c r="D20264" t="str">
        <f>"1047-7047"</f>
        <v>1047-7047</v>
      </c>
      <c r="E20264" t="s">
        <v>8</v>
      </c>
      <c r="F20264" t="s">
        <v>20280</v>
      </c>
      <c r="G20264">
        <v>2</v>
      </c>
    </row>
    <row r="20265" spans="1:7" x14ac:dyDescent="0.25">
      <c r="A20265">
        <v>67</v>
      </c>
      <c r="B20265" t="s">
        <v>20262</v>
      </c>
      <c r="C20265">
        <v>16766</v>
      </c>
      <c r="D20265" t="str">
        <f>"0959-3845"</f>
        <v>0959-3845</v>
      </c>
      <c r="E20265" t="s">
        <v>8</v>
      </c>
      <c r="F20265" t="s">
        <v>20281</v>
      </c>
      <c r="G20265">
        <v>2</v>
      </c>
    </row>
    <row r="20266" spans="1:7" x14ac:dyDescent="0.25">
      <c r="A20266">
        <v>67</v>
      </c>
      <c r="B20266" t="s">
        <v>20262</v>
      </c>
      <c r="C20266">
        <v>5000141</v>
      </c>
      <c r="E20266" t="s">
        <v>2100</v>
      </c>
      <c r="F20266" t="s">
        <v>20282</v>
      </c>
      <c r="G20266">
        <v>2</v>
      </c>
    </row>
    <row r="20267" spans="1:7" x14ac:dyDescent="0.25">
      <c r="A20267">
        <v>67</v>
      </c>
      <c r="B20267" t="s">
        <v>20262</v>
      </c>
      <c r="C20267">
        <v>12355</v>
      </c>
      <c r="D20267" t="str">
        <f>"1044-7318"</f>
        <v>1044-7318</v>
      </c>
      <c r="E20267" t="s">
        <v>8</v>
      </c>
      <c r="F20267" t="s">
        <v>20283</v>
      </c>
      <c r="G20267">
        <v>2</v>
      </c>
    </row>
    <row r="20268" spans="1:7" x14ac:dyDescent="0.25">
      <c r="A20268">
        <v>67</v>
      </c>
      <c r="B20268" t="s">
        <v>20262</v>
      </c>
      <c r="C20268">
        <v>16439</v>
      </c>
      <c r="D20268" t="str">
        <f>"1386-5056"</f>
        <v>1386-5056</v>
      </c>
      <c r="E20268" t="s">
        <v>8</v>
      </c>
      <c r="F20268" t="s">
        <v>20284</v>
      </c>
      <c r="G20268">
        <v>2</v>
      </c>
    </row>
    <row r="20269" spans="1:7" x14ac:dyDescent="0.25">
      <c r="A20269">
        <v>67</v>
      </c>
      <c r="B20269" t="s">
        <v>20262</v>
      </c>
      <c r="C20269">
        <v>8351</v>
      </c>
      <c r="D20269" t="str">
        <f>"0268-3962"</f>
        <v>0268-3962</v>
      </c>
      <c r="E20269" t="s">
        <v>8</v>
      </c>
      <c r="F20269" t="s">
        <v>20285</v>
      </c>
      <c r="G20269">
        <v>2</v>
      </c>
    </row>
    <row r="20270" spans="1:7" x14ac:dyDescent="0.25">
      <c r="A20270">
        <v>67</v>
      </c>
      <c r="B20270" t="s">
        <v>20262</v>
      </c>
      <c r="C20270">
        <v>15847</v>
      </c>
      <c r="D20270" t="str">
        <f>"1933-1681"</f>
        <v>1933-1681</v>
      </c>
      <c r="E20270" t="s">
        <v>8</v>
      </c>
      <c r="F20270" t="s">
        <v>20286</v>
      </c>
      <c r="G20270">
        <v>2</v>
      </c>
    </row>
    <row r="20271" spans="1:7" x14ac:dyDescent="0.25">
      <c r="A20271">
        <v>67</v>
      </c>
      <c r="B20271" t="s">
        <v>20262</v>
      </c>
      <c r="C20271">
        <v>780</v>
      </c>
      <c r="D20271" t="str">
        <f>"0742-1222"</f>
        <v>0742-1222</v>
      </c>
      <c r="E20271" t="s">
        <v>8</v>
      </c>
      <c r="F20271" t="s">
        <v>20287</v>
      </c>
      <c r="G20271">
        <v>2</v>
      </c>
    </row>
    <row r="20272" spans="1:7" x14ac:dyDescent="0.25">
      <c r="A20272">
        <v>67</v>
      </c>
      <c r="B20272" t="s">
        <v>20262</v>
      </c>
      <c r="C20272">
        <v>9128</v>
      </c>
      <c r="D20272" t="str">
        <f>"1536-9323"</f>
        <v>1536-9323</v>
      </c>
      <c r="E20272" t="s">
        <v>8</v>
      </c>
      <c r="F20272" t="s">
        <v>20288</v>
      </c>
      <c r="G20272">
        <v>2</v>
      </c>
    </row>
    <row r="20273" spans="1:7" x14ac:dyDescent="0.25">
      <c r="A20273">
        <v>67</v>
      </c>
      <c r="B20273" t="s">
        <v>20262</v>
      </c>
      <c r="C20273">
        <v>8879</v>
      </c>
      <c r="D20273" t="str">
        <f>"0950-7051"</f>
        <v>0950-7051</v>
      </c>
      <c r="E20273" t="s">
        <v>8</v>
      </c>
      <c r="F20273" t="s">
        <v>20289</v>
      </c>
      <c r="G20273">
        <v>2</v>
      </c>
    </row>
    <row r="20274" spans="1:7" x14ac:dyDescent="0.25">
      <c r="A20274">
        <v>67</v>
      </c>
      <c r="B20274" t="s">
        <v>20262</v>
      </c>
      <c r="C20274">
        <v>7688</v>
      </c>
      <c r="D20274" t="str">
        <f>"0026-1270"</f>
        <v>0026-1270</v>
      </c>
      <c r="E20274" t="s">
        <v>8</v>
      </c>
      <c r="F20274" t="s">
        <v>20290</v>
      </c>
      <c r="G20274">
        <v>2</v>
      </c>
    </row>
    <row r="20275" spans="1:7" x14ac:dyDescent="0.25">
      <c r="A20275">
        <v>67</v>
      </c>
      <c r="B20275" t="s">
        <v>20262</v>
      </c>
      <c r="C20275">
        <v>14150</v>
      </c>
      <c r="D20275" t="str">
        <f>"0276-7783"</f>
        <v>0276-7783</v>
      </c>
      <c r="E20275" t="s">
        <v>8</v>
      </c>
      <c r="F20275" t="s">
        <v>20291</v>
      </c>
      <c r="G20275">
        <v>2</v>
      </c>
    </row>
    <row r="20276" spans="1:7" x14ac:dyDescent="0.25">
      <c r="A20276">
        <v>67</v>
      </c>
      <c r="B20276" t="s">
        <v>20262</v>
      </c>
      <c r="C20276">
        <v>11997</v>
      </c>
      <c r="D20276" t="str">
        <f>"1540-1960"</f>
        <v>1540-1960</v>
      </c>
      <c r="E20276" t="s">
        <v>8</v>
      </c>
      <c r="F20276" t="s">
        <v>20292</v>
      </c>
      <c r="G20276">
        <v>2</v>
      </c>
    </row>
    <row r="20277" spans="1:7" x14ac:dyDescent="0.25">
      <c r="A20277">
        <v>67</v>
      </c>
      <c r="B20277" t="s">
        <v>20262</v>
      </c>
      <c r="C20277">
        <v>12053</v>
      </c>
      <c r="D20277" t="str">
        <f>"1574-017X"</f>
        <v>1574-017X</v>
      </c>
      <c r="E20277" t="s">
        <v>8</v>
      </c>
      <c r="F20277" t="s">
        <v>20293</v>
      </c>
      <c r="G20277">
        <v>2</v>
      </c>
    </row>
    <row r="20278" spans="1:7" x14ac:dyDescent="0.25">
      <c r="A20278">
        <v>67</v>
      </c>
      <c r="B20278" t="s">
        <v>20262</v>
      </c>
      <c r="C20278">
        <v>27855</v>
      </c>
      <c r="E20278" t="s">
        <v>8</v>
      </c>
      <c r="F20278" t="s">
        <v>20294</v>
      </c>
      <c r="G20278">
        <v>2</v>
      </c>
    </row>
    <row r="20279" spans="1:7" x14ac:dyDescent="0.25">
      <c r="A20279">
        <v>67</v>
      </c>
      <c r="B20279" t="s">
        <v>20262</v>
      </c>
      <c r="C20279">
        <v>4495</v>
      </c>
      <c r="D20279" t="str">
        <f>"0905-0167"</f>
        <v>0905-0167</v>
      </c>
      <c r="E20279" t="s">
        <v>8</v>
      </c>
      <c r="F20279" t="s">
        <v>20295</v>
      </c>
      <c r="G20279">
        <v>2</v>
      </c>
    </row>
    <row r="20280" spans="1:7" x14ac:dyDescent="0.25">
      <c r="A20280">
        <v>67</v>
      </c>
      <c r="B20280" t="s">
        <v>20262</v>
      </c>
      <c r="C20280">
        <v>15103</v>
      </c>
      <c r="D20280" t="str">
        <f>"1077-4866"</f>
        <v>1077-4866</v>
      </c>
      <c r="E20280" t="s">
        <v>8</v>
      </c>
      <c r="F20280" t="s">
        <v>20296</v>
      </c>
      <c r="G20280">
        <v>2</v>
      </c>
    </row>
    <row r="20281" spans="1:7" x14ac:dyDescent="0.25">
      <c r="A20281">
        <v>67</v>
      </c>
      <c r="B20281" t="s">
        <v>20262</v>
      </c>
      <c r="C20281">
        <v>5708</v>
      </c>
      <c r="D20281" t="str">
        <f>"0963-8687"</f>
        <v>0963-8687</v>
      </c>
      <c r="E20281" t="s">
        <v>8</v>
      </c>
      <c r="F20281" t="s">
        <v>20297</v>
      </c>
      <c r="G20281">
        <v>2</v>
      </c>
    </row>
    <row r="20282" spans="1:7" x14ac:dyDescent="0.25">
      <c r="A20282">
        <v>67</v>
      </c>
      <c r="B20282" t="s">
        <v>20262</v>
      </c>
      <c r="C20282">
        <v>14664</v>
      </c>
      <c r="D20282" t="str">
        <f>"0924-1868"</f>
        <v>0924-1868</v>
      </c>
      <c r="E20282" t="s">
        <v>8</v>
      </c>
      <c r="F20282" t="s">
        <v>20298</v>
      </c>
      <c r="G20282">
        <v>2</v>
      </c>
    </row>
    <row r="20283" spans="1:7" x14ac:dyDescent="0.25">
      <c r="A20283">
        <v>67</v>
      </c>
      <c r="B20283" t="s">
        <v>20262</v>
      </c>
      <c r="C20283">
        <v>6861</v>
      </c>
      <c r="D20283" t="str">
        <f>"1936-1955"</f>
        <v>1936-1955</v>
      </c>
      <c r="E20283" t="s">
        <v>8</v>
      </c>
      <c r="F20283" t="s">
        <v>20299</v>
      </c>
      <c r="G20283">
        <v>1</v>
      </c>
    </row>
    <row r="20284" spans="1:7" x14ac:dyDescent="0.25">
      <c r="A20284">
        <v>67</v>
      </c>
      <c r="B20284" t="s">
        <v>20262</v>
      </c>
      <c r="C20284">
        <v>12049</v>
      </c>
      <c r="D20284" t="str">
        <f>"1094-9224"</f>
        <v>1094-9224</v>
      </c>
      <c r="E20284" t="s">
        <v>8</v>
      </c>
      <c r="F20284" t="s">
        <v>20300</v>
      </c>
      <c r="G20284">
        <v>1</v>
      </c>
    </row>
    <row r="20285" spans="1:7" x14ac:dyDescent="0.25">
      <c r="A20285">
        <v>67</v>
      </c>
      <c r="B20285" t="s">
        <v>20262</v>
      </c>
      <c r="C20285">
        <v>7737654</v>
      </c>
      <c r="D20285" t="str">
        <f>"2160-6455"</f>
        <v>2160-6455</v>
      </c>
      <c r="E20285" t="s">
        <v>8</v>
      </c>
      <c r="F20285" t="s">
        <v>20301</v>
      </c>
      <c r="G20285">
        <v>1</v>
      </c>
    </row>
    <row r="20286" spans="1:7" x14ac:dyDescent="0.25">
      <c r="A20286">
        <v>67</v>
      </c>
      <c r="B20286" t="s">
        <v>20262</v>
      </c>
      <c r="C20286">
        <v>8783174</v>
      </c>
      <c r="D20286" t="str">
        <f>"2167-2121"</f>
        <v>2167-2121</v>
      </c>
      <c r="E20286" t="s">
        <v>2100</v>
      </c>
      <c r="F20286" t="s">
        <v>20302</v>
      </c>
      <c r="G20286">
        <v>1</v>
      </c>
    </row>
    <row r="20287" spans="1:7" x14ac:dyDescent="0.25">
      <c r="A20287">
        <v>67</v>
      </c>
      <c r="B20287" t="s">
        <v>20262</v>
      </c>
      <c r="C20287">
        <v>7863</v>
      </c>
      <c r="D20287" t="str">
        <f>"0219-5259"</f>
        <v>0219-5259</v>
      </c>
      <c r="E20287" t="s">
        <v>8</v>
      </c>
      <c r="F20287" t="s">
        <v>20303</v>
      </c>
      <c r="G20287">
        <v>1</v>
      </c>
    </row>
    <row r="20288" spans="1:7" x14ac:dyDescent="0.25">
      <c r="A20288">
        <v>67</v>
      </c>
      <c r="B20288" t="s">
        <v>20262</v>
      </c>
      <c r="C20288">
        <v>6310</v>
      </c>
      <c r="D20288" t="str">
        <f>"1568-2633"</f>
        <v>1568-2633</v>
      </c>
      <c r="E20288" t="s">
        <v>15</v>
      </c>
      <c r="F20288" t="s">
        <v>20304</v>
      </c>
      <c r="G20288">
        <v>1</v>
      </c>
    </row>
    <row r="20289" spans="1:7" x14ac:dyDescent="0.25">
      <c r="A20289">
        <v>67</v>
      </c>
      <c r="B20289" t="s">
        <v>20262</v>
      </c>
      <c r="C20289">
        <v>6025031</v>
      </c>
      <c r="E20289" t="s">
        <v>8</v>
      </c>
      <c r="F20289" t="s">
        <v>20305</v>
      </c>
      <c r="G20289">
        <v>1</v>
      </c>
    </row>
    <row r="20290" spans="1:7" x14ac:dyDescent="0.25">
      <c r="A20290">
        <v>67</v>
      </c>
      <c r="B20290" t="s">
        <v>20262</v>
      </c>
      <c r="C20290">
        <v>8782612</v>
      </c>
      <c r="D20290" t="str">
        <f>"1869-0327"</f>
        <v>1869-0327</v>
      </c>
      <c r="E20290" t="s">
        <v>8</v>
      </c>
      <c r="F20290" t="s">
        <v>20306</v>
      </c>
      <c r="G20290">
        <v>1</v>
      </c>
    </row>
    <row r="20291" spans="1:7" x14ac:dyDescent="0.25">
      <c r="A20291">
        <v>67</v>
      </c>
      <c r="B20291" t="s">
        <v>20262</v>
      </c>
      <c r="C20291">
        <v>8783172</v>
      </c>
      <c r="E20291" t="s">
        <v>2100</v>
      </c>
      <c r="F20291" t="s">
        <v>20307</v>
      </c>
      <c r="G20291">
        <v>1</v>
      </c>
    </row>
    <row r="20292" spans="1:7" x14ac:dyDescent="0.25">
      <c r="A20292">
        <v>67</v>
      </c>
      <c r="B20292" t="s">
        <v>20262</v>
      </c>
      <c r="C20292">
        <v>9335</v>
      </c>
      <c r="D20292" t="str">
        <f>"1347-6297"</f>
        <v>1347-6297</v>
      </c>
      <c r="E20292" t="s">
        <v>8</v>
      </c>
      <c r="F20292" t="s">
        <v>20308</v>
      </c>
      <c r="G20292">
        <v>1</v>
      </c>
    </row>
    <row r="20293" spans="1:7" x14ac:dyDescent="0.25">
      <c r="A20293">
        <v>67</v>
      </c>
      <c r="B20293" t="s">
        <v>20262</v>
      </c>
      <c r="C20293">
        <v>8766184</v>
      </c>
      <c r="E20293" t="s">
        <v>8</v>
      </c>
      <c r="F20293" t="s">
        <v>20309</v>
      </c>
      <c r="G20293">
        <v>1</v>
      </c>
    </row>
    <row r="20294" spans="1:7" x14ac:dyDescent="0.25">
      <c r="A20294">
        <v>67</v>
      </c>
      <c r="B20294" t="s">
        <v>20262</v>
      </c>
      <c r="C20294">
        <v>1557</v>
      </c>
      <c r="D20294" t="str">
        <f>"1361-3723"</f>
        <v>1361-3723</v>
      </c>
      <c r="E20294" t="s">
        <v>8</v>
      </c>
      <c r="F20294" t="s">
        <v>20310</v>
      </c>
      <c r="G20294">
        <v>1</v>
      </c>
    </row>
    <row r="20295" spans="1:7" x14ac:dyDescent="0.25">
      <c r="A20295">
        <v>67</v>
      </c>
      <c r="B20295" t="s">
        <v>20262</v>
      </c>
      <c r="C20295">
        <v>12814</v>
      </c>
      <c r="D20295" t="str">
        <f>"1865-2034"</f>
        <v>1865-2034</v>
      </c>
      <c r="E20295" t="s">
        <v>8</v>
      </c>
      <c r="F20295" t="s">
        <v>20311</v>
      </c>
      <c r="G20295">
        <v>1</v>
      </c>
    </row>
    <row r="20296" spans="1:7" x14ac:dyDescent="0.25">
      <c r="A20296">
        <v>67</v>
      </c>
      <c r="B20296" t="s">
        <v>20262</v>
      </c>
      <c r="C20296">
        <v>12061</v>
      </c>
      <c r="D20296" t="str">
        <f>"0360-8352"</f>
        <v>0360-8352</v>
      </c>
      <c r="E20296" t="s">
        <v>8</v>
      </c>
      <c r="F20296" t="s">
        <v>20312</v>
      </c>
      <c r="G20296">
        <v>1</v>
      </c>
    </row>
    <row r="20297" spans="1:7" x14ac:dyDescent="0.25">
      <c r="A20297">
        <v>67</v>
      </c>
      <c r="B20297" t="s">
        <v>20262</v>
      </c>
      <c r="C20297">
        <v>10948</v>
      </c>
      <c r="D20297" t="str">
        <f>"0305-0548"</f>
        <v>0305-0548</v>
      </c>
      <c r="E20297" t="s">
        <v>8</v>
      </c>
      <c r="F20297" t="s">
        <v>20313</v>
      </c>
      <c r="G20297">
        <v>1</v>
      </c>
    </row>
    <row r="20298" spans="1:7" x14ac:dyDescent="0.25">
      <c r="A20298">
        <v>67</v>
      </c>
      <c r="B20298" t="s">
        <v>20262</v>
      </c>
      <c r="C20298">
        <v>6614</v>
      </c>
      <c r="D20298" t="str">
        <f>"0167-4048"</f>
        <v>0167-4048</v>
      </c>
      <c r="E20298" t="s">
        <v>8</v>
      </c>
      <c r="F20298" t="s">
        <v>20314</v>
      </c>
      <c r="G20298">
        <v>1</v>
      </c>
    </row>
    <row r="20299" spans="1:7" x14ac:dyDescent="0.25">
      <c r="A20299">
        <v>67</v>
      </c>
      <c r="B20299" t="s">
        <v>20262</v>
      </c>
      <c r="C20299">
        <v>10960</v>
      </c>
      <c r="D20299" t="str">
        <f>"0010-485X"</f>
        <v>0010-485X</v>
      </c>
      <c r="E20299" t="s">
        <v>8</v>
      </c>
      <c r="F20299" t="s">
        <v>20315</v>
      </c>
      <c r="G20299">
        <v>1</v>
      </c>
    </row>
    <row r="20300" spans="1:7" x14ac:dyDescent="0.25">
      <c r="A20300">
        <v>67</v>
      </c>
      <c r="B20300" t="s">
        <v>20262</v>
      </c>
      <c r="C20300">
        <v>5010313</v>
      </c>
      <c r="E20300" t="s">
        <v>2100</v>
      </c>
      <c r="F20300" t="s">
        <v>20316</v>
      </c>
      <c r="G20300">
        <v>1</v>
      </c>
    </row>
    <row r="20301" spans="1:7" x14ac:dyDescent="0.25">
      <c r="A20301">
        <v>67</v>
      </c>
      <c r="B20301" t="s">
        <v>20262</v>
      </c>
      <c r="C20301">
        <v>9187</v>
      </c>
      <c r="D20301" t="str">
        <f>"1574-9541"</f>
        <v>1574-9541</v>
      </c>
      <c r="E20301" t="s">
        <v>8</v>
      </c>
      <c r="F20301" t="s">
        <v>20317</v>
      </c>
      <c r="G20301">
        <v>1</v>
      </c>
    </row>
    <row r="20302" spans="1:7" x14ac:dyDescent="0.25">
      <c r="A20302">
        <v>67</v>
      </c>
      <c r="B20302" t="s">
        <v>20262</v>
      </c>
      <c r="C20302">
        <v>1749</v>
      </c>
      <c r="E20302" t="s">
        <v>8</v>
      </c>
      <c r="F20302" t="s">
        <v>20318</v>
      </c>
      <c r="G20302">
        <v>1</v>
      </c>
    </row>
    <row r="20303" spans="1:7" x14ac:dyDescent="0.25">
      <c r="A20303">
        <v>67</v>
      </c>
      <c r="B20303" t="s">
        <v>20262</v>
      </c>
      <c r="C20303">
        <v>7452</v>
      </c>
      <c r="E20303" t="s">
        <v>8</v>
      </c>
      <c r="F20303" t="s">
        <v>20319</v>
      </c>
      <c r="G20303">
        <v>1</v>
      </c>
    </row>
    <row r="20304" spans="1:7" x14ac:dyDescent="0.25">
      <c r="A20304">
        <v>67</v>
      </c>
      <c r="B20304" t="s">
        <v>20262</v>
      </c>
      <c r="C20304">
        <v>12160</v>
      </c>
      <c r="E20304" t="s">
        <v>8</v>
      </c>
      <c r="F20304" t="s">
        <v>20320</v>
      </c>
      <c r="G20304">
        <v>1</v>
      </c>
    </row>
    <row r="20305" spans="1:7" x14ac:dyDescent="0.25">
      <c r="A20305">
        <v>67</v>
      </c>
      <c r="B20305" t="s">
        <v>20262</v>
      </c>
      <c r="C20305">
        <v>5000387</v>
      </c>
      <c r="E20305" t="s">
        <v>2100</v>
      </c>
      <c r="F20305" t="s">
        <v>20321</v>
      </c>
      <c r="G20305">
        <v>1</v>
      </c>
    </row>
    <row r="20306" spans="1:7" x14ac:dyDescent="0.25">
      <c r="A20306">
        <v>67</v>
      </c>
      <c r="B20306" t="s">
        <v>20262</v>
      </c>
      <c r="C20306">
        <v>9080</v>
      </c>
      <c r="D20306" t="str">
        <f>"1567-2190"</f>
        <v>1567-2190</v>
      </c>
      <c r="E20306" t="s">
        <v>8</v>
      </c>
      <c r="F20306" t="s">
        <v>20322</v>
      </c>
      <c r="G20306">
        <v>1</v>
      </c>
    </row>
    <row r="20307" spans="1:7" x14ac:dyDescent="0.25">
      <c r="A20307">
        <v>67</v>
      </c>
      <c r="B20307" t="s">
        <v>20262</v>
      </c>
      <c r="C20307">
        <v>5000413</v>
      </c>
      <c r="E20307" t="s">
        <v>2100</v>
      </c>
      <c r="F20307" t="s">
        <v>20323</v>
      </c>
      <c r="G20307">
        <v>1</v>
      </c>
    </row>
    <row r="20308" spans="1:7" x14ac:dyDescent="0.25">
      <c r="A20308">
        <v>67</v>
      </c>
      <c r="B20308" t="s">
        <v>20262</v>
      </c>
      <c r="C20308">
        <v>8782677</v>
      </c>
      <c r="E20308" t="s">
        <v>2100</v>
      </c>
      <c r="F20308" t="s">
        <v>20324</v>
      </c>
      <c r="G20308">
        <v>1</v>
      </c>
    </row>
    <row r="20309" spans="1:7" x14ac:dyDescent="0.25">
      <c r="A20309">
        <v>67</v>
      </c>
      <c r="B20309" t="s">
        <v>20262</v>
      </c>
      <c r="C20309">
        <v>7357</v>
      </c>
      <c r="D20309" t="str">
        <f>"1536-1268"</f>
        <v>1536-1268</v>
      </c>
      <c r="E20309" t="s">
        <v>8</v>
      </c>
      <c r="F20309" t="s">
        <v>20325</v>
      </c>
      <c r="G20309">
        <v>1</v>
      </c>
    </row>
    <row r="20310" spans="1:7" x14ac:dyDescent="0.25">
      <c r="A20310">
        <v>67</v>
      </c>
      <c r="B20310" t="s">
        <v>20262</v>
      </c>
      <c r="C20310">
        <v>6144325</v>
      </c>
      <c r="D20310" t="str">
        <f>"2371-9850"</f>
        <v>2371-9850</v>
      </c>
      <c r="E20310" t="s">
        <v>8</v>
      </c>
      <c r="F20310" t="s">
        <v>20326</v>
      </c>
      <c r="G20310">
        <v>1</v>
      </c>
    </row>
    <row r="20311" spans="1:7" x14ac:dyDescent="0.25">
      <c r="A20311">
        <v>67</v>
      </c>
      <c r="B20311" t="s">
        <v>20262</v>
      </c>
      <c r="C20311">
        <v>10258</v>
      </c>
      <c r="D20311" t="str">
        <f>"0916-8532"</f>
        <v>0916-8532</v>
      </c>
      <c r="E20311" t="s">
        <v>8</v>
      </c>
      <c r="F20311" t="s">
        <v>20327</v>
      </c>
      <c r="G20311">
        <v>1</v>
      </c>
    </row>
    <row r="20312" spans="1:7" x14ac:dyDescent="0.25">
      <c r="A20312">
        <v>67</v>
      </c>
      <c r="B20312" t="s">
        <v>20262</v>
      </c>
      <c r="C20312">
        <v>88744</v>
      </c>
      <c r="D20312" t="str">
        <f>"1751-8709"</f>
        <v>1751-8709</v>
      </c>
      <c r="E20312" t="s">
        <v>8</v>
      </c>
      <c r="F20312" t="s">
        <v>20328</v>
      </c>
      <c r="G20312">
        <v>1</v>
      </c>
    </row>
    <row r="20313" spans="1:7" x14ac:dyDescent="0.25">
      <c r="A20313">
        <v>67</v>
      </c>
      <c r="B20313" t="s">
        <v>20262</v>
      </c>
      <c r="C20313">
        <v>13584</v>
      </c>
      <c r="D20313" t="str">
        <f>"1648-5831"</f>
        <v>1648-5831</v>
      </c>
      <c r="E20313" t="s">
        <v>8</v>
      </c>
      <c r="F20313" t="s">
        <v>20329</v>
      </c>
      <c r="G20313">
        <v>1</v>
      </c>
    </row>
    <row r="20314" spans="1:7" x14ac:dyDescent="0.25">
      <c r="A20314">
        <v>67</v>
      </c>
      <c r="B20314" t="s">
        <v>20262</v>
      </c>
      <c r="C20314">
        <v>8782457</v>
      </c>
      <c r="E20314" t="s">
        <v>8</v>
      </c>
      <c r="F20314" t="s">
        <v>20330</v>
      </c>
      <c r="G20314">
        <v>1</v>
      </c>
    </row>
    <row r="20315" spans="1:7" x14ac:dyDescent="0.25">
      <c r="A20315">
        <v>67</v>
      </c>
      <c r="B20315" t="s">
        <v>20262</v>
      </c>
      <c r="C20315">
        <v>5902</v>
      </c>
      <c r="D20315" t="str">
        <f>"1040-1628"</f>
        <v>1040-1628</v>
      </c>
      <c r="E20315" t="s">
        <v>8</v>
      </c>
      <c r="F20315" t="s">
        <v>20331</v>
      </c>
      <c r="G20315">
        <v>1</v>
      </c>
    </row>
    <row r="20316" spans="1:7" x14ac:dyDescent="0.25">
      <c r="A20316">
        <v>67</v>
      </c>
      <c r="B20316" t="s">
        <v>20262</v>
      </c>
      <c r="C20316">
        <v>6415</v>
      </c>
      <c r="D20316" t="str">
        <f>"1617-9846"</f>
        <v>1617-9846</v>
      </c>
      <c r="E20316" t="s">
        <v>8</v>
      </c>
      <c r="F20316" t="s">
        <v>20332</v>
      </c>
      <c r="G20316">
        <v>1</v>
      </c>
    </row>
    <row r="20317" spans="1:7" x14ac:dyDescent="0.25">
      <c r="A20317">
        <v>67</v>
      </c>
      <c r="B20317" t="s">
        <v>20262</v>
      </c>
      <c r="C20317">
        <v>15712</v>
      </c>
      <c r="D20317" t="str">
        <f>"1385-951X"</f>
        <v>1385-951X</v>
      </c>
      <c r="E20317" t="s">
        <v>8</v>
      </c>
      <c r="F20317" t="s">
        <v>20333</v>
      </c>
      <c r="G20317">
        <v>1</v>
      </c>
    </row>
    <row r="20318" spans="1:7" x14ac:dyDescent="0.25">
      <c r="A20318">
        <v>67</v>
      </c>
      <c r="B20318" t="s">
        <v>20262</v>
      </c>
      <c r="C20318">
        <v>9994</v>
      </c>
      <c r="D20318" t="str">
        <f>"0268-1102"</f>
        <v>0268-1102</v>
      </c>
      <c r="E20318" t="s">
        <v>8</v>
      </c>
      <c r="F20318" t="s">
        <v>20334</v>
      </c>
      <c r="G20318">
        <v>1</v>
      </c>
    </row>
    <row r="20319" spans="1:7" x14ac:dyDescent="0.25">
      <c r="A20319">
        <v>67</v>
      </c>
      <c r="B20319" t="s">
        <v>20262</v>
      </c>
      <c r="C20319">
        <v>5574</v>
      </c>
      <c r="D20319" t="str">
        <f>"1555-1229"</f>
        <v>1555-1229</v>
      </c>
      <c r="E20319" t="s">
        <v>8</v>
      </c>
      <c r="F20319" t="s">
        <v>20335</v>
      </c>
      <c r="G20319">
        <v>1</v>
      </c>
    </row>
    <row r="20320" spans="1:7" x14ac:dyDescent="0.25">
      <c r="A20320">
        <v>67</v>
      </c>
      <c r="B20320" t="s">
        <v>20262</v>
      </c>
      <c r="C20320">
        <v>5020029</v>
      </c>
      <c r="E20320" t="s">
        <v>2100</v>
      </c>
      <c r="F20320" t="s">
        <v>20336</v>
      </c>
      <c r="G20320">
        <v>1</v>
      </c>
    </row>
    <row r="20321" spans="1:7" x14ac:dyDescent="0.25">
      <c r="A20321">
        <v>67</v>
      </c>
      <c r="B20321" t="s">
        <v>20262</v>
      </c>
      <c r="C20321">
        <v>8782611</v>
      </c>
      <c r="E20321" t="s">
        <v>2100</v>
      </c>
      <c r="F20321" t="s">
        <v>20337</v>
      </c>
      <c r="G20321">
        <v>1</v>
      </c>
    </row>
    <row r="20322" spans="1:7" x14ac:dyDescent="0.25">
      <c r="A20322">
        <v>67</v>
      </c>
      <c r="B20322" t="s">
        <v>20262</v>
      </c>
      <c r="C20322">
        <v>15936</v>
      </c>
      <c r="D20322" t="str">
        <f>"1467-0895"</f>
        <v>1467-0895</v>
      </c>
      <c r="E20322" t="s">
        <v>8</v>
      </c>
      <c r="F20322" t="s">
        <v>20338</v>
      </c>
      <c r="G20322">
        <v>1</v>
      </c>
    </row>
    <row r="20323" spans="1:7" x14ac:dyDescent="0.25">
      <c r="A20323">
        <v>67</v>
      </c>
      <c r="B20323" t="s">
        <v>20262</v>
      </c>
      <c r="C20323">
        <v>8989</v>
      </c>
      <c r="D20323" t="str">
        <f>"1746-0972"</f>
        <v>1746-0972</v>
      </c>
      <c r="E20323" t="s">
        <v>8</v>
      </c>
      <c r="F20323" t="s">
        <v>20339</v>
      </c>
      <c r="G20323">
        <v>1</v>
      </c>
    </row>
    <row r="20324" spans="1:7" x14ac:dyDescent="0.25">
      <c r="A20324">
        <v>67</v>
      </c>
      <c r="B20324" t="s">
        <v>20262</v>
      </c>
      <c r="C20324">
        <v>6157277</v>
      </c>
      <c r="D20324" t="str">
        <f>"1947-3591"</f>
        <v>1947-3591</v>
      </c>
      <c r="E20324" t="s">
        <v>8</v>
      </c>
      <c r="F20324" t="s">
        <v>20340</v>
      </c>
      <c r="G20324">
        <v>1</v>
      </c>
    </row>
    <row r="20325" spans="1:7" x14ac:dyDescent="0.25">
      <c r="A20325">
        <v>67</v>
      </c>
      <c r="B20325" t="s">
        <v>20262</v>
      </c>
      <c r="C20325">
        <v>12642</v>
      </c>
      <c r="D20325" t="str">
        <f>"1548-1131"</f>
        <v>1548-1131</v>
      </c>
      <c r="E20325" t="s">
        <v>8</v>
      </c>
      <c r="F20325" t="s">
        <v>20341</v>
      </c>
      <c r="G20325">
        <v>1</v>
      </c>
    </row>
    <row r="20326" spans="1:7" x14ac:dyDescent="0.25">
      <c r="A20326">
        <v>67</v>
      </c>
      <c r="B20326" t="s">
        <v>20262</v>
      </c>
      <c r="C20326">
        <v>1667</v>
      </c>
      <c r="D20326" t="str">
        <f>"1751-911X"</f>
        <v>1751-911X</v>
      </c>
      <c r="E20326" t="s">
        <v>8</v>
      </c>
      <c r="F20326" t="s">
        <v>20342</v>
      </c>
      <c r="G20326">
        <v>1</v>
      </c>
    </row>
    <row r="20327" spans="1:7" x14ac:dyDescent="0.25">
      <c r="A20327">
        <v>67</v>
      </c>
      <c r="B20327" t="s">
        <v>20262</v>
      </c>
      <c r="C20327">
        <v>3900</v>
      </c>
      <c r="D20327" t="str">
        <f>"1548-1115"</f>
        <v>1548-1115</v>
      </c>
      <c r="E20327" t="s">
        <v>8</v>
      </c>
      <c r="F20327" t="s">
        <v>20343</v>
      </c>
      <c r="G20327">
        <v>1</v>
      </c>
    </row>
    <row r="20328" spans="1:7" x14ac:dyDescent="0.25">
      <c r="A20328">
        <v>67</v>
      </c>
      <c r="B20328" t="s">
        <v>20262</v>
      </c>
      <c r="C20328">
        <v>6157707</v>
      </c>
      <c r="D20328" t="str">
        <f>"1941-627X"</f>
        <v>1941-627X</v>
      </c>
      <c r="E20328" t="s">
        <v>8</v>
      </c>
      <c r="F20328" t="s">
        <v>20344</v>
      </c>
      <c r="G20328">
        <v>1</v>
      </c>
    </row>
    <row r="20329" spans="1:7" x14ac:dyDescent="0.25">
      <c r="A20329">
        <v>67</v>
      </c>
      <c r="B20329" t="s">
        <v>20262</v>
      </c>
      <c r="C20329">
        <v>16004</v>
      </c>
      <c r="D20329" t="str">
        <f>"0308-1079"</f>
        <v>0308-1079</v>
      </c>
      <c r="E20329" t="s">
        <v>8</v>
      </c>
      <c r="F20329" t="s">
        <v>20345</v>
      </c>
      <c r="G20329">
        <v>1</v>
      </c>
    </row>
    <row r="20330" spans="1:7" x14ac:dyDescent="0.25">
      <c r="A20330">
        <v>67</v>
      </c>
      <c r="B20330" t="s">
        <v>20262</v>
      </c>
      <c r="C20330">
        <v>6157860</v>
      </c>
      <c r="D20330" t="str">
        <f>"1947-3478"</f>
        <v>1947-3478</v>
      </c>
      <c r="E20330" t="s">
        <v>8</v>
      </c>
      <c r="F20330" t="s">
        <v>20346</v>
      </c>
      <c r="G20330">
        <v>1</v>
      </c>
    </row>
    <row r="20331" spans="1:7" x14ac:dyDescent="0.25">
      <c r="A20331">
        <v>67</v>
      </c>
      <c r="B20331" t="s">
        <v>20262</v>
      </c>
      <c r="C20331">
        <v>7236</v>
      </c>
      <c r="D20331" t="str">
        <f>"1744-1765"</f>
        <v>1744-1765</v>
      </c>
      <c r="E20331" t="s">
        <v>8</v>
      </c>
      <c r="F20331" t="s">
        <v>20347</v>
      </c>
      <c r="G20331">
        <v>1</v>
      </c>
    </row>
    <row r="20332" spans="1:7" x14ac:dyDescent="0.25">
      <c r="A20332">
        <v>67</v>
      </c>
      <c r="B20332" t="s">
        <v>20262</v>
      </c>
      <c r="C20332">
        <v>7242</v>
      </c>
      <c r="D20332" t="str">
        <f>"1615-5262"</f>
        <v>1615-5262</v>
      </c>
      <c r="E20332" t="s">
        <v>8</v>
      </c>
      <c r="F20332" t="s">
        <v>20348</v>
      </c>
      <c r="G20332">
        <v>1</v>
      </c>
    </row>
    <row r="20333" spans="1:7" x14ac:dyDescent="0.25">
      <c r="A20333">
        <v>67</v>
      </c>
      <c r="B20333" t="s">
        <v>20262</v>
      </c>
      <c r="C20333">
        <v>10377</v>
      </c>
      <c r="D20333" t="str">
        <f>"1479-3121"</f>
        <v>1479-3121</v>
      </c>
      <c r="E20333" t="s">
        <v>8</v>
      </c>
      <c r="F20333" t="s">
        <v>20349</v>
      </c>
      <c r="G20333">
        <v>1</v>
      </c>
    </row>
    <row r="20334" spans="1:7" x14ac:dyDescent="0.25">
      <c r="A20334">
        <v>67</v>
      </c>
      <c r="B20334" t="s">
        <v>20262</v>
      </c>
      <c r="C20334">
        <v>8782661</v>
      </c>
      <c r="D20334" t="str">
        <f>"2182-7796"</f>
        <v>2182-7796</v>
      </c>
      <c r="E20334" t="s">
        <v>8</v>
      </c>
      <c r="F20334" t="s">
        <v>20350</v>
      </c>
      <c r="G20334">
        <v>1</v>
      </c>
    </row>
    <row r="20335" spans="1:7" x14ac:dyDescent="0.25">
      <c r="A20335">
        <v>67</v>
      </c>
      <c r="B20335" t="s">
        <v>20262</v>
      </c>
      <c r="C20335">
        <v>22114</v>
      </c>
      <c r="D20335" t="str">
        <f>"1935-5726"</f>
        <v>1935-5726</v>
      </c>
      <c r="E20335" t="s">
        <v>8</v>
      </c>
      <c r="F20335" t="s">
        <v>20351</v>
      </c>
      <c r="G20335">
        <v>1</v>
      </c>
    </row>
    <row r="20336" spans="1:7" x14ac:dyDescent="0.25">
      <c r="A20336">
        <v>67</v>
      </c>
      <c r="B20336" t="s">
        <v>20262</v>
      </c>
      <c r="C20336">
        <v>8524</v>
      </c>
      <c r="D20336" t="str">
        <f>"0219-6220"</f>
        <v>0219-6220</v>
      </c>
      <c r="E20336" t="s">
        <v>8</v>
      </c>
      <c r="F20336" t="s">
        <v>20352</v>
      </c>
      <c r="G20336">
        <v>1</v>
      </c>
    </row>
    <row r="20337" spans="1:7" x14ac:dyDescent="0.25">
      <c r="A20337">
        <v>67</v>
      </c>
      <c r="B20337" t="s">
        <v>20262</v>
      </c>
      <c r="C20337">
        <v>15027</v>
      </c>
      <c r="D20337" t="str">
        <f>"1461-4111"</f>
        <v>1461-4111</v>
      </c>
      <c r="E20337" t="s">
        <v>8</v>
      </c>
      <c r="F20337" t="s">
        <v>20353</v>
      </c>
      <c r="G20337">
        <v>1</v>
      </c>
    </row>
    <row r="20338" spans="1:7" x14ac:dyDescent="0.25">
      <c r="A20338">
        <v>67</v>
      </c>
      <c r="B20338" t="s">
        <v>20262</v>
      </c>
      <c r="C20338">
        <v>11657</v>
      </c>
      <c r="E20338" t="s">
        <v>8</v>
      </c>
      <c r="F20338" t="s">
        <v>20354</v>
      </c>
      <c r="G20338">
        <v>1</v>
      </c>
    </row>
    <row r="20339" spans="1:7" x14ac:dyDescent="0.25">
      <c r="A20339">
        <v>67</v>
      </c>
      <c r="B20339" t="s">
        <v>20262</v>
      </c>
      <c r="C20339">
        <v>13577</v>
      </c>
      <c r="D20339" t="str">
        <f>"1747-8405"</f>
        <v>1747-8405</v>
      </c>
      <c r="E20339" t="s">
        <v>8</v>
      </c>
      <c r="F20339" t="s">
        <v>20355</v>
      </c>
      <c r="G20339">
        <v>1</v>
      </c>
    </row>
    <row r="20340" spans="1:7" x14ac:dyDescent="0.25">
      <c r="A20340">
        <v>67</v>
      </c>
      <c r="B20340" t="s">
        <v>20262</v>
      </c>
      <c r="C20340">
        <v>8782610</v>
      </c>
      <c r="D20340" t="str">
        <f>"2155-6334"</f>
        <v>2155-6334</v>
      </c>
      <c r="E20340" t="s">
        <v>8</v>
      </c>
      <c r="F20340" t="s">
        <v>20356</v>
      </c>
      <c r="G20340">
        <v>1</v>
      </c>
    </row>
    <row r="20341" spans="1:7" x14ac:dyDescent="0.25">
      <c r="A20341">
        <v>67</v>
      </c>
      <c r="B20341" t="s">
        <v>20262</v>
      </c>
      <c r="C20341">
        <v>92</v>
      </c>
      <c r="D20341" t="str">
        <f>"0218-1940"</f>
        <v>0218-1940</v>
      </c>
      <c r="E20341" t="s">
        <v>8</v>
      </c>
      <c r="F20341" t="s">
        <v>20357</v>
      </c>
      <c r="G20341">
        <v>1</v>
      </c>
    </row>
    <row r="20342" spans="1:7" x14ac:dyDescent="0.25">
      <c r="A20342">
        <v>67</v>
      </c>
      <c r="B20342" t="s">
        <v>20262</v>
      </c>
      <c r="C20342">
        <v>160038</v>
      </c>
      <c r="D20342" t="str">
        <f>"1891-9863"</f>
        <v>1891-9863</v>
      </c>
      <c r="E20342" t="s">
        <v>8</v>
      </c>
      <c r="F20342" t="s">
        <v>20358</v>
      </c>
      <c r="G20342">
        <v>1</v>
      </c>
    </row>
    <row r="20343" spans="1:7" x14ac:dyDescent="0.25">
      <c r="A20343">
        <v>67</v>
      </c>
      <c r="B20343" t="s">
        <v>20262</v>
      </c>
      <c r="C20343">
        <v>14457</v>
      </c>
      <c r="D20343" t="str">
        <f>"1552-6496"</f>
        <v>1552-6496</v>
      </c>
      <c r="E20343" t="s">
        <v>8</v>
      </c>
      <c r="F20343" t="s">
        <v>20359</v>
      </c>
      <c r="G20343">
        <v>1</v>
      </c>
    </row>
    <row r="20344" spans="1:7" x14ac:dyDescent="0.25">
      <c r="A20344">
        <v>67</v>
      </c>
      <c r="B20344" t="s">
        <v>20262</v>
      </c>
      <c r="C20344">
        <v>16781</v>
      </c>
      <c r="D20344" t="str">
        <f>"1548-7717"</f>
        <v>1548-7717</v>
      </c>
      <c r="E20344" t="s">
        <v>8</v>
      </c>
      <c r="F20344" t="s">
        <v>20360</v>
      </c>
      <c r="G20344">
        <v>1</v>
      </c>
    </row>
    <row r="20345" spans="1:7" x14ac:dyDescent="0.25">
      <c r="A20345">
        <v>67</v>
      </c>
      <c r="B20345" t="s">
        <v>20262</v>
      </c>
      <c r="C20345">
        <v>3883</v>
      </c>
      <c r="D20345" t="str">
        <f>"0887-4417"</f>
        <v>0887-4417</v>
      </c>
      <c r="E20345" t="s">
        <v>8</v>
      </c>
      <c r="F20345" t="s">
        <v>20361</v>
      </c>
      <c r="G20345">
        <v>1</v>
      </c>
    </row>
    <row r="20346" spans="1:7" x14ac:dyDescent="0.25">
      <c r="A20346">
        <v>67</v>
      </c>
      <c r="B20346" t="s">
        <v>20262</v>
      </c>
      <c r="C20346">
        <v>14381</v>
      </c>
      <c r="D20346" t="str">
        <f>"1246-0125"</f>
        <v>1246-0125</v>
      </c>
      <c r="E20346" t="s">
        <v>8</v>
      </c>
      <c r="F20346" t="s">
        <v>20362</v>
      </c>
      <c r="G20346">
        <v>1</v>
      </c>
    </row>
    <row r="20347" spans="1:7" x14ac:dyDescent="0.25">
      <c r="A20347">
        <v>67</v>
      </c>
      <c r="B20347" t="s">
        <v>20262</v>
      </c>
      <c r="C20347">
        <v>4060</v>
      </c>
      <c r="D20347" t="str">
        <f>"1741-0398"</f>
        <v>1741-0398</v>
      </c>
      <c r="E20347" t="s">
        <v>8</v>
      </c>
      <c r="F20347" t="s">
        <v>20363</v>
      </c>
      <c r="G20347">
        <v>1</v>
      </c>
    </row>
    <row r="20348" spans="1:7" x14ac:dyDescent="0.25">
      <c r="A20348">
        <v>67</v>
      </c>
      <c r="B20348" t="s">
        <v>20262</v>
      </c>
      <c r="C20348">
        <v>2737</v>
      </c>
      <c r="D20348" t="str">
        <f>"1062-7375"</f>
        <v>1062-7375</v>
      </c>
      <c r="E20348" t="s">
        <v>8</v>
      </c>
      <c r="F20348" t="s">
        <v>20364</v>
      </c>
      <c r="G20348">
        <v>1</v>
      </c>
    </row>
    <row r="20349" spans="1:7" x14ac:dyDescent="0.25">
      <c r="A20349">
        <v>67</v>
      </c>
      <c r="B20349" t="s">
        <v>20262</v>
      </c>
      <c r="C20349">
        <v>2765</v>
      </c>
      <c r="D20349" t="str">
        <f>"1097-198X"</f>
        <v>1097-198X</v>
      </c>
      <c r="E20349" t="s">
        <v>8</v>
      </c>
      <c r="F20349" t="s">
        <v>20365</v>
      </c>
      <c r="G20349">
        <v>1</v>
      </c>
    </row>
    <row r="20350" spans="1:7" x14ac:dyDescent="0.25">
      <c r="A20350">
        <v>67</v>
      </c>
      <c r="B20350" t="s">
        <v>20262</v>
      </c>
      <c r="C20350">
        <v>16629</v>
      </c>
      <c r="D20350" t="str">
        <f>"0219-6492"</f>
        <v>0219-6492</v>
      </c>
      <c r="E20350" t="s">
        <v>8</v>
      </c>
      <c r="F20350" t="s">
        <v>20366</v>
      </c>
      <c r="G20350">
        <v>1</v>
      </c>
    </row>
    <row r="20351" spans="1:7" x14ac:dyDescent="0.25">
      <c r="A20351">
        <v>67</v>
      </c>
      <c r="B20351" t="s">
        <v>20262</v>
      </c>
      <c r="C20351">
        <v>5196</v>
      </c>
      <c r="D20351" t="str">
        <f>"2214-2126"</f>
        <v>2214-2126</v>
      </c>
      <c r="E20351" t="s">
        <v>8</v>
      </c>
      <c r="F20351" t="s">
        <v>20367</v>
      </c>
      <c r="G20351">
        <v>1</v>
      </c>
    </row>
    <row r="20352" spans="1:7" x14ac:dyDescent="0.25">
      <c r="A20352">
        <v>67</v>
      </c>
      <c r="B20352" t="s">
        <v>20262</v>
      </c>
      <c r="C20352">
        <v>153665</v>
      </c>
      <c r="E20352" t="s">
        <v>8</v>
      </c>
      <c r="F20352" t="s">
        <v>20368</v>
      </c>
      <c r="G20352">
        <v>1</v>
      </c>
    </row>
    <row r="20353" spans="1:7" x14ac:dyDescent="0.25">
      <c r="A20353">
        <v>67</v>
      </c>
      <c r="B20353" t="s">
        <v>20262</v>
      </c>
      <c r="C20353">
        <v>10838</v>
      </c>
      <c r="D20353" t="str">
        <f>"1042-1319"</f>
        <v>1042-1319</v>
      </c>
      <c r="E20353" t="s">
        <v>8</v>
      </c>
      <c r="F20353" t="s">
        <v>20369</v>
      </c>
      <c r="G20353">
        <v>1</v>
      </c>
    </row>
    <row r="20354" spans="1:7" x14ac:dyDescent="0.25">
      <c r="A20354">
        <v>67</v>
      </c>
      <c r="B20354" t="s">
        <v>20262</v>
      </c>
      <c r="C20354">
        <v>8782481</v>
      </c>
      <c r="D20354" t="str">
        <f>"2058-4555"</f>
        <v>2058-4555</v>
      </c>
      <c r="E20354" t="s">
        <v>8</v>
      </c>
      <c r="F20354" t="s">
        <v>20370</v>
      </c>
      <c r="G20354">
        <v>1</v>
      </c>
    </row>
    <row r="20355" spans="1:7" x14ac:dyDescent="0.25">
      <c r="A20355">
        <v>67</v>
      </c>
      <c r="B20355" t="s">
        <v>20262</v>
      </c>
      <c r="C20355">
        <v>7716938</v>
      </c>
      <c r="E20355" t="s">
        <v>8</v>
      </c>
      <c r="F20355" t="s">
        <v>20371</v>
      </c>
      <c r="G20355">
        <v>1</v>
      </c>
    </row>
    <row r="20356" spans="1:7" x14ac:dyDescent="0.25">
      <c r="A20356">
        <v>67</v>
      </c>
      <c r="B20356" t="s">
        <v>20262</v>
      </c>
      <c r="C20356">
        <v>5778</v>
      </c>
      <c r="D20356" t="str">
        <f>"0921-0296"</f>
        <v>0921-0296</v>
      </c>
      <c r="E20356" t="s">
        <v>8</v>
      </c>
      <c r="F20356" t="s">
        <v>20372</v>
      </c>
      <c r="G20356">
        <v>1</v>
      </c>
    </row>
    <row r="20357" spans="1:7" x14ac:dyDescent="0.25">
      <c r="A20357">
        <v>67</v>
      </c>
      <c r="B20357" t="s">
        <v>20262</v>
      </c>
      <c r="C20357">
        <v>481</v>
      </c>
      <c r="D20357" t="str">
        <f>"1543-5962"</f>
        <v>1543-5962</v>
      </c>
      <c r="E20357" t="s">
        <v>8</v>
      </c>
      <c r="F20357" t="s">
        <v>20373</v>
      </c>
      <c r="G20357">
        <v>1</v>
      </c>
    </row>
    <row r="20358" spans="1:7" x14ac:dyDescent="0.25">
      <c r="A20358">
        <v>67</v>
      </c>
      <c r="B20358" t="s">
        <v>20262</v>
      </c>
      <c r="C20358">
        <v>16442</v>
      </c>
      <c r="D20358" t="str">
        <f>"1064-7570"</f>
        <v>1064-7570</v>
      </c>
      <c r="E20358" t="s">
        <v>8</v>
      </c>
      <c r="F20358" t="s">
        <v>20374</v>
      </c>
      <c r="G20358">
        <v>1</v>
      </c>
    </row>
    <row r="20359" spans="1:7" x14ac:dyDescent="0.25">
      <c r="A20359">
        <v>67</v>
      </c>
      <c r="B20359" t="s">
        <v>20262</v>
      </c>
      <c r="C20359">
        <v>10202</v>
      </c>
      <c r="D20359" t="str">
        <f>"1546-2234"</f>
        <v>1546-2234</v>
      </c>
      <c r="E20359" t="s">
        <v>8</v>
      </c>
      <c r="F20359" t="s">
        <v>20375</v>
      </c>
      <c r="G20359">
        <v>1</v>
      </c>
    </row>
    <row r="20360" spans="1:7" x14ac:dyDescent="0.25">
      <c r="A20360">
        <v>67</v>
      </c>
      <c r="B20360" t="s">
        <v>20262</v>
      </c>
      <c r="C20360">
        <v>15777</v>
      </c>
      <c r="D20360" t="str">
        <f>"1091-9392"</f>
        <v>1091-9392</v>
      </c>
      <c r="E20360" t="s">
        <v>8</v>
      </c>
      <c r="F20360" t="s">
        <v>20376</v>
      </c>
      <c r="G20360">
        <v>1</v>
      </c>
    </row>
    <row r="20361" spans="1:7" x14ac:dyDescent="0.25">
      <c r="A20361">
        <v>67</v>
      </c>
      <c r="B20361" t="s">
        <v>20262</v>
      </c>
      <c r="C20361">
        <v>8930</v>
      </c>
      <c r="D20361" t="str">
        <f>"1443-458X"</f>
        <v>1443-458X</v>
      </c>
      <c r="E20361" t="s">
        <v>8</v>
      </c>
      <c r="F20361" t="s">
        <v>20377</v>
      </c>
      <c r="G20361">
        <v>1</v>
      </c>
    </row>
    <row r="20362" spans="1:7" x14ac:dyDescent="0.25">
      <c r="A20362">
        <v>67</v>
      </c>
      <c r="B20362" t="s">
        <v>20262</v>
      </c>
      <c r="C20362">
        <v>15623</v>
      </c>
      <c r="D20362" t="str">
        <f>"2047-7473"</f>
        <v>2047-7473</v>
      </c>
      <c r="E20362" t="s">
        <v>8</v>
      </c>
      <c r="F20362" t="s">
        <v>20378</v>
      </c>
      <c r="G20362">
        <v>1</v>
      </c>
    </row>
    <row r="20363" spans="1:7" x14ac:dyDescent="0.25">
      <c r="A20363">
        <v>67</v>
      </c>
      <c r="B20363" t="s">
        <v>20262</v>
      </c>
      <c r="C20363">
        <v>122079</v>
      </c>
      <c r="D20363" t="str">
        <f>"1328-7265"</f>
        <v>1328-7265</v>
      </c>
      <c r="E20363" t="s">
        <v>8</v>
      </c>
      <c r="F20363" t="s">
        <v>20379</v>
      </c>
      <c r="G20363">
        <v>1</v>
      </c>
    </row>
    <row r="20364" spans="1:7" x14ac:dyDescent="0.25">
      <c r="A20364">
        <v>67</v>
      </c>
      <c r="B20364" t="s">
        <v>20262</v>
      </c>
      <c r="C20364">
        <v>1573</v>
      </c>
      <c r="D20364" t="str">
        <f>"0219-1377"</f>
        <v>0219-1377</v>
      </c>
      <c r="E20364" t="s">
        <v>8</v>
      </c>
      <c r="F20364" t="s">
        <v>20380</v>
      </c>
      <c r="G20364">
        <v>1</v>
      </c>
    </row>
    <row r="20365" spans="1:7" x14ac:dyDescent="0.25">
      <c r="A20365">
        <v>67</v>
      </c>
      <c r="B20365" t="s">
        <v>20262</v>
      </c>
      <c r="C20365">
        <v>3115</v>
      </c>
      <c r="D20365" t="str">
        <f>"1617-5468"</f>
        <v>1617-5468</v>
      </c>
      <c r="E20365" t="s">
        <v>8</v>
      </c>
      <c r="F20365" t="s">
        <v>20381</v>
      </c>
      <c r="G20365">
        <v>1</v>
      </c>
    </row>
    <row r="20366" spans="1:7" x14ac:dyDescent="0.25">
      <c r="A20366">
        <v>67</v>
      </c>
      <c r="B20366" t="s">
        <v>20262</v>
      </c>
      <c r="C20366">
        <v>14434</v>
      </c>
      <c r="D20366" t="str">
        <f>"1060-3425"</f>
        <v>1060-3425</v>
      </c>
      <c r="E20366" t="s">
        <v>8</v>
      </c>
      <c r="F20366" t="s">
        <v>20382</v>
      </c>
      <c r="G20366">
        <v>1</v>
      </c>
    </row>
    <row r="20367" spans="1:7" x14ac:dyDescent="0.25">
      <c r="A20367">
        <v>67</v>
      </c>
      <c r="B20367" t="s">
        <v>20262</v>
      </c>
      <c r="C20367">
        <v>27840</v>
      </c>
      <c r="E20367" t="s">
        <v>8</v>
      </c>
      <c r="F20367" t="s">
        <v>20383</v>
      </c>
      <c r="G20367">
        <v>1</v>
      </c>
    </row>
    <row r="20368" spans="1:7" x14ac:dyDescent="0.25">
      <c r="A20368">
        <v>67</v>
      </c>
      <c r="B20368" t="s">
        <v>20262</v>
      </c>
      <c r="C20368">
        <v>43825</v>
      </c>
      <c r="D20368" t="str">
        <f>"1940-1434"</f>
        <v>1940-1434</v>
      </c>
      <c r="E20368" t="s">
        <v>8</v>
      </c>
      <c r="F20368" t="s">
        <v>20384</v>
      </c>
      <c r="G20368">
        <v>1</v>
      </c>
    </row>
    <row r="20369" spans="1:7" x14ac:dyDescent="0.25">
      <c r="A20369">
        <v>67</v>
      </c>
      <c r="B20369" t="s">
        <v>20262</v>
      </c>
      <c r="C20369">
        <v>27839</v>
      </c>
      <c r="E20369" t="s">
        <v>8</v>
      </c>
      <c r="F20369" t="s">
        <v>20385</v>
      </c>
      <c r="G20369">
        <v>1</v>
      </c>
    </row>
    <row r="20370" spans="1:7" x14ac:dyDescent="0.25">
      <c r="A20370">
        <v>67</v>
      </c>
      <c r="B20370" t="s">
        <v>20262</v>
      </c>
      <c r="C20370">
        <v>11918</v>
      </c>
      <c r="D20370" t="str">
        <f>"0270-5257"</f>
        <v>0270-5257</v>
      </c>
      <c r="E20370" t="s">
        <v>8</v>
      </c>
      <c r="F20370" t="s">
        <v>20386</v>
      </c>
      <c r="G20370">
        <v>1</v>
      </c>
    </row>
    <row r="20371" spans="1:7" x14ac:dyDescent="0.25">
      <c r="A20371">
        <v>67</v>
      </c>
      <c r="B20371" t="s">
        <v>20262</v>
      </c>
      <c r="C20371">
        <v>27820</v>
      </c>
      <c r="E20371" t="s">
        <v>8</v>
      </c>
      <c r="F20371" t="s">
        <v>20387</v>
      </c>
      <c r="G20371">
        <v>1</v>
      </c>
    </row>
    <row r="20372" spans="1:7" x14ac:dyDescent="0.25">
      <c r="A20372">
        <v>67</v>
      </c>
      <c r="B20372" t="s">
        <v>20262</v>
      </c>
      <c r="C20372">
        <v>6299</v>
      </c>
      <c r="E20372" t="s">
        <v>8</v>
      </c>
      <c r="F20372" t="s">
        <v>20388</v>
      </c>
      <c r="G20372">
        <v>1</v>
      </c>
    </row>
    <row r="20373" spans="1:7" x14ac:dyDescent="0.25">
      <c r="A20373">
        <v>67</v>
      </c>
      <c r="B20373" t="s">
        <v>20262</v>
      </c>
      <c r="C20373">
        <v>3162</v>
      </c>
      <c r="D20373" t="str">
        <f>"1532-0936"</f>
        <v>1532-0936</v>
      </c>
      <c r="E20373" t="s">
        <v>8</v>
      </c>
      <c r="F20373" t="s">
        <v>20389</v>
      </c>
      <c r="G20373">
        <v>1</v>
      </c>
    </row>
    <row r="20374" spans="1:7" x14ac:dyDescent="0.25">
      <c r="A20374">
        <v>67</v>
      </c>
      <c r="B20374" t="s">
        <v>20262</v>
      </c>
      <c r="C20374">
        <v>16976</v>
      </c>
      <c r="E20374" t="s">
        <v>8</v>
      </c>
      <c r="F20374" t="s">
        <v>20390</v>
      </c>
      <c r="G20374">
        <v>1</v>
      </c>
    </row>
    <row r="20375" spans="1:7" x14ac:dyDescent="0.25">
      <c r="A20375">
        <v>67</v>
      </c>
      <c r="B20375" t="s">
        <v>20262</v>
      </c>
      <c r="C20375">
        <v>1486</v>
      </c>
      <c r="D20375" t="str">
        <f>"0888-7985"</f>
        <v>0888-7985</v>
      </c>
      <c r="E20375" t="s">
        <v>8</v>
      </c>
      <c r="F20375" t="s">
        <v>20391</v>
      </c>
      <c r="G20375">
        <v>1</v>
      </c>
    </row>
    <row r="20376" spans="1:7" x14ac:dyDescent="0.25">
      <c r="A20376">
        <v>68</v>
      </c>
      <c r="B20376" t="s">
        <v>20392</v>
      </c>
      <c r="C20376">
        <v>10199</v>
      </c>
      <c r="D20376" t="str">
        <f>"0003-3790"</f>
        <v>0003-3790</v>
      </c>
      <c r="E20376" t="s">
        <v>8</v>
      </c>
      <c r="F20376" t="s">
        <v>20393</v>
      </c>
      <c r="G20376">
        <v>2</v>
      </c>
    </row>
    <row r="20377" spans="1:7" x14ac:dyDescent="0.25">
      <c r="A20377">
        <v>68</v>
      </c>
      <c r="B20377" t="s">
        <v>20392</v>
      </c>
      <c r="C20377">
        <v>7755952</v>
      </c>
      <c r="E20377" t="s">
        <v>8</v>
      </c>
      <c r="F20377" t="s">
        <v>20394</v>
      </c>
      <c r="G20377">
        <v>2</v>
      </c>
    </row>
    <row r="20378" spans="1:7" x14ac:dyDescent="0.25">
      <c r="A20378">
        <v>68</v>
      </c>
      <c r="B20378" t="s">
        <v>20392</v>
      </c>
      <c r="C20378">
        <v>12180</v>
      </c>
      <c r="D20378" t="str">
        <f>"0169-3867"</f>
        <v>0169-3867</v>
      </c>
      <c r="E20378" t="s">
        <v>8</v>
      </c>
      <c r="F20378" t="s">
        <v>20395</v>
      </c>
      <c r="G20378">
        <v>2</v>
      </c>
    </row>
    <row r="20379" spans="1:7" x14ac:dyDescent="0.25">
      <c r="A20379">
        <v>68</v>
      </c>
      <c r="B20379" t="s">
        <v>20392</v>
      </c>
      <c r="C20379">
        <v>8775959</v>
      </c>
      <c r="D20379" t="str">
        <f>"2058-850X"</f>
        <v>2058-850X</v>
      </c>
      <c r="E20379" t="s">
        <v>8</v>
      </c>
      <c r="F20379" t="s">
        <v>20396</v>
      </c>
      <c r="G20379">
        <v>2</v>
      </c>
    </row>
    <row r="20380" spans="1:7" x14ac:dyDescent="0.25">
      <c r="A20380">
        <v>68</v>
      </c>
      <c r="B20380" t="s">
        <v>20392</v>
      </c>
      <c r="C20380">
        <v>9231</v>
      </c>
      <c r="E20380" t="s">
        <v>8</v>
      </c>
      <c r="F20380" t="s">
        <v>20397</v>
      </c>
      <c r="G20380">
        <v>2</v>
      </c>
    </row>
    <row r="20381" spans="1:7" x14ac:dyDescent="0.25">
      <c r="A20381">
        <v>68</v>
      </c>
      <c r="B20381" t="s">
        <v>20392</v>
      </c>
      <c r="C20381">
        <v>8782443</v>
      </c>
      <c r="D20381" t="str">
        <f>"0068-0346"</f>
        <v>0068-0346</v>
      </c>
      <c r="E20381" t="s">
        <v>15</v>
      </c>
      <c r="F20381" t="s">
        <v>20398</v>
      </c>
      <c r="G20381">
        <v>2</v>
      </c>
    </row>
    <row r="20382" spans="1:7" x14ac:dyDescent="0.25">
      <c r="A20382">
        <v>68</v>
      </c>
      <c r="B20382" t="s">
        <v>20392</v>
      </c>
      <c r="C20382">
        <v>2056</v>
      </c>
      <c r="D20382" t="str">
        <f>"0007-0874"</f>
        <v>0007-0874</v>
      </c>
      <c r="E20382" t="s">
        <v>8</v>
      </c>
      <c r="F20382" t="s">
        <v>20399</v>
      </c>
      <c r="G20382">
        <v>2</v>
      </c>
    </row>
    <row r="20383" spans="1:7" x14ac:dyDescent="0.25">
      <c r="A20383">
        <v>68</v>
      </c>
      <c r="B20383" t="s">
        <v>20392</v>
      </c>
      <c r="C20383">
        <v>15446</v>
      </c>
      <c r="D20383" t="str">
        <f>"0008-8994"</f>
        <v>0008-8994</v>
      </c>
      <c r="E20383" t="s">
        <v>8</v>
      </c>
      <c r="F20383" t="s">
        <v>20400</v>
      </c>
      <c r="G20383">
        <v>2</v>
      </c>
    </row>
    <row r="20384" spans="1:7" x14ac:dyDescent="0.25">
      <c r="A20384">
        <v>68</v>
      </c>
      <c r="B20384" t="s">
        <v>20392</v>
      </c>
      <c r="C20384">
        <v>8366</v>
      </c>
      <c r="D20384" t="str">
        <f>"1063-1801"</f>
        <v>1063-1801</v>
      </c>
      <c r="E20384" t="s">
        <v>8</v>
      </c>
      <c r="F20384" t="s">
        <v>20401</v>
      </c>
      <c r="G20384">
        <v>2</v>
      </c>
    </row>
    <row r="20385" spans="1:7" x14ac:dyDescent="0.25">
      <c r="A20385">
        <v>68</v>
      </c>
      <c r="B20385" t="s">
        <v>20392</v>
      </c>
      <c r="C20385">
        <v>8781225</v>
      </c>
      <c r="E20385" t="s">
        <v>8</v>
      </c>
      <c r="F20385" t="s">
        <v>20402</v>
      </c>
      <c r="G20385">
        <v>2</v>
      </c>
    </row>
    <row r="20386" spans="1:7" x14ac:dyDescent="0.25">
      <c r="A20386">
        <v>68</v>
      </c>
      <c r="B20386" t="s">
        <v>20392</v>
      </c>
      <c r="C20386">
        <v>27040</v>
      </c>
      <c r="D20386" t="str">
        <f>"1939-1811"</f>
        <v>1939-1811</v>
      </c>
      <c r="E20386" t="s">
        <v>8</v>
      </c>
      <c r="F20386" t="s">
        <v>20403</v>
      </c>
      <c r="G20386">
        <v>2</v>
      </c>
    </row>
    <row r="20387" spans="1:7" x14ac:dyDescent="0.25">
      <c r="A20387">
        <v>68</v>
      </c>
      <c r="B20387" t="s">
        <v>20392</v>
      </c>
      <c r="C20387">
        <v>7176</v>
      </c>
      <c r="D20387" t="str">
        <f>"0144-5340"</f>
        <v>0144-5340</v>
      </c>
      <c r="E20387" t="s">
        <v>8</v>
      </c>
      <c r="F20387" t="s">
        <v>20404</v>
      </c>
      <c r="G20387">
        <v>2</v>
      </c>
    </row>
    <row r="20388" spans="1:7" x14ac:dyDescent="0.25">
      <c r="A20388">
        <v>68</v>
      </c>
      <c r="B20388" t="s">
        <v>20392</v>
      </c>
      <c r="C20388">
        <v>5066</v>
      </c>
      <c r="D20388" t="str">
        <f>"0073-2753"</f>
        <v>0073-2753</v>
      </c>
      <c r="E20388" t="s">
        <v>8</v>
      </c>
      <c r="F20388" t="s">
        <v>20405</v>
      </c>
      <c r="G20388">
        <v>2</v>
      </c>
    </row>
    <row r="20389" spans="1:7" x14ac:dyDescent="0.25">
      <c r="A20389">
        <v>68</v>
      </c>
      <c r="B20389" t="s">
        <v>20392</v>
      </c>
      <c r="C20389">
        <v>16363</v>
      </c>
      <c r="D20389" t="str">
        <f>"0952-6951"</f>
        <v>0952-6951</v>
      </c>
      <c r="E20389" t="s">
        <v>8</v>
      </c>
      <c r="F20389" t="s">
        <v>20406</v>
      </c>
      <c r="G20389">
        <v>2</v>
      </c>
    </row>
    <row r="20390" spans="1:7" x14ac:dyDescent="0.25">
      <c r="A20390">
        <v>68</v>
      </c>
      <c r="B20390" t="s">
        <v>20392</v>
      </c>
      <c r="C20390">
        <v>14340</v>
      </c>
      <c r="D20390" t="str">
        <f>"0021-1753"</f>
        <v>0021-1753</v>
      </c>
      <c r="E20390" t="s">
        <v>8</v>
      </c>
      <c r="F20390" t="s">
        <v>20407</v>
      </c>
      <c r="G20390">
        <v>2</v>
      </c>
    </row>
    <row r="20391" spans="1:7" x14ac:dyDescent="0.25">
      <c r="A20391">
        <v>68</v>
      </c>
      <c r="B20391" t="s">
        <v>20392</v>
      </c>
      <c r="C20391">
        <v>11450</v>
      </c>
      <c r="D20391" t="str">
        <f>"0026-4695"</f>
        <v>0026-4695</v>
      </c>
      <c r="E20391" t="s">
        <v>8</v>
      </c>
      <c r="F20391" t="s">
        <v>20408</v>
      </c>
      <c r="G20391">
        <v>2</v>
      </c>
    </row>
    <row r="20392" spans="1:7" x14ac:dyDescent="0.25">
      <c r="A20392">
        <v>68</v>
      </c>
      <c r="B20392" t="s">
        <v>20392</v>
      </c>
      <c r="C20392">
        <v>16517</v>
      </c>
      <c r="D20392" t="str">
        <f>"1463-6778"</f>
        <v>1463-6778</v>
      </c>
      <c r="E20392" t="s">
        <v>8</v>
      </c>
      <c r="F20392" t="s">
        <v>20409</v>
      </c>
      <c r="G20392">
        <v>2</v>
      </c>
    </row>
    <row r="20393" spans="1:7" x14ac:dyDescent="0.25">
      <c r="A20393">
        <v>68</v>
      </c>
      <c r="B20393" t="s">
        <v>20392</v>
      </c>
      <c r="C20393">
        <v>11753</v>
      </c>
      <c r="D20393" t="str">
        <f>"0369-7827"</f>
        <v>0369-7827</v>
      </c>
      <c r="E20393" t="s">
        <v>8</v>
      </c>
      <c r="F20393" t="s">
        <v>20410</v>
      </c>
      <c r="G20393">
        <v>2</v>
      </c>
    </row>
    <row r="20394" spans="1:7" x14ac:dyDescent="0.25">
      <c r="A20394">
        <v>68</v>
      </c>
      <c r="B20394" t="s">
        <v>20392</v>
      </c>
      <c r="C20394">
        <v>5368</v>
      </c>
      <c r="D20394" t="str">
        <f>"0963-6625"</f>
        <v>0963-6625</v>
      </c>
      <c r="E20394" t="s">
        <v>8</v>
      </c>
      <c r="F20394" t="s">
        <v>20411</v>
      </c>
      <c r="G20394">
        <v>2</v>
      </c>
    </row>
    <row r="20395" spans="1:7" x14ac:dyDescent="0.25">
      <c r="A20395">
        <v>68</v>
      </c>
      <c r="B20395" t="s">
        <v>20392</v>
      </c>
      <c r="C20395">
        <v>7009</v>
      </c>
      <c r="D20395" t="str">
        <f>"0958-2029"</f>
        <v>0958-2029</v>
      </c>
      <c r="E20395" t="s">
        <v>8</v>
      </c>
      <c r="F20395" t="s">
        <v>20412</v>
      </c>
      <c r="G20395">
        <v>2</v>
      </c>
    </row>
    <row r="20396" spans="1:7" x14ac:dyDescent="0.25">
      <c r="A20396">
        <v>68</v>
      </c>
      <c r="B20396" t="s">
        <v>20392</v>
      </c>
      <c r="C20396">
        <v>27591</v>
      </c>
      <c r="E20396" t="s">
        <v>8</v>
      </c>
      <c r="F20396" t="s">
        <v>20413</v>
      </c>
      <c r="G20396">
        <v>2</v>
      </c>
    </row>
    <row r="20397" spans="1:7" x14ac:dyDescent="0.25">
      <c r="A20397">
        <v>68</v>
      </c>
      <c r="B20397" t="s">
        <v>20392</v>
      </c>
      <c r="C20397">
        <v>9643</v>
      </c>
      <c r="D20397" t="str">
        <f>"1353-3452"</f>
        <v>1353-3452</v>
      </c>
      <c r="E20397" t="s">
        <v>8</v>
      </c>
      <c r="F20397" t="s">
        <v>20414</v>
      </c>
      <c r="G20397">
        <v>2</v>
      </c>
    </row>
    <row r="20398" spans="1:7" x14ac:dyDescent="0.25">
      <c r="A20398">
        <v>68</v>
      </c>
      <c r="B20398" t="s">
        <v>20392</v>
      </c>
      <c r="C20398">
        <v>16878</v>
      </c>
      <c r="D20398" t="str">
        <f>"0302-3427"</f>
        <v>0302-3427</v>
      </c>
      <c r="E20398" t="s">
        <v>8</v>
      </c>
      <c r="F20398" t="s">
        <v>20415</v>
      </c>
      <c r="G20398">
        <v>2</v>
      </c>
    </row>
    <row r="20399" spans="1:7" x14ac:dyDescent="0.25">
      <c r="A20399">
        <v>68</v>
      </c>
      <c r="B20399" t="s">
        <v>20392</v>
      </c>
      <c r="C20399">
        <v>13615</v>
      </c>
      <c r="D20399" t="str">
        <f>"0950-5431"</f>
        <v>0950-5431</v>
      </c>
      <c r="E20399" t="s">
        <v>8</v>
      </c>
      <c r="F20399" t="s">
        <v>20416</v>
      </c>
      <c r="G20399">
        <v>2</v>
      </c>
    </row>
    <row r="20400" spans="1:7" x14ac:dyDescent="0.25">
      <c r="A20400">
        <v>68</v>
      </c>
      <c r="B20400" t="s">
        <v>20392</v>
      </c>
      <c r="C20400">
        <v>5134</v>
      </c>
      <c r="D20400" t="str">
        <f>"1075-5470"</f>
        <v>1075-5470</v>
      </c>
      <c r="E20400" t="s">
        <v>8</v>
      </c>
      <c r="F20400" t="s">
        <v>20417</v>
      </c>
      <c r="G20400">
        <v>2</v>
      </c>
    </row>
    <row r="20401" spans="1:7" x14ac:dyDescent="0.25">
      <c r="A20401">
        <v>68</v>
      </c>
      <c r="B20401" t="s">
        <v>20392</v>
      </c>
      <c r="C20401">
        <v>8024</v>
      </c>
      <c r="D20401" t="str">
        <f>"0269-8897"</f>
        <v>0269-8897</v>
      </c>
      <c r="E20401" t="s">
        <v>8</v>
      </c>
      <c r="F20401" t="s">
        <v>20418</v>
      </c>
      <c r="G20401">
        <v>2</v>
      </c>
    </row>
    <row r="20402" spans="1:7" x14ac:dyDescent="0.25">
      <c r="A20402">
        <v>68</v>
      </c>
      <c r="B20402" t="s">
        <v>20392</v>
      </c>
      <c r="C20402">
        <v>6833</v>
      </c>
      <c r="D20402" t="str">
        <f>"0162-2439"</f>
        <v>0162-2439</v>
      </c>
      <c r="E20402" t="s">
        <v>8</v>
      </c>
      <c r="F20402" t="s">
        <v>20419</v>
      </c>
      <c r="G20402">
        <v>2</v>
      </c>
    </row>
    <row r="20403" spans="1:7" x14ac:dyDescent="0.25">
      <c r="A20403">
        <v>68</v>
      </c>
      <c r="B20403" t="s">
        <v>20392</v>
      </c>
      <c r="C20403">
        <v>8927</v>
      </c>
      <c r="D20403" t="str">
        <f>"0269-1728"</f>
        <v>0269-1728</v>
      </c>
      <c r="E20403" t="s">
        <v>8</v>
      </c>
      <c r="F20403" t="s">
        <v>20420</v>
      </c>
      <c r="G20403">
        <v>2</v>
      </c>
    </row>
    <row r="20404" spans="1:7" x14ac:dyDescent="0.25">
      <c r="A20404">
        <v>68</v>
      </c>
      <c r="B20404" t="s">
        <v>20392</v>
      </c>
      <c r="C20404">
        <v>4177</v>
      </c>
      <c r="D20404" t="str">
        <f>"0306-3127"</f>
        <v>0306-3127</v>
      </c>
      <c r="E20404" t="s">
        <v>8</v>
      </c>
      <c r="F20404" t="s">
        <v>20421</v>
      </c>
      <c r="G20404">
        <v>2</v>
      </c>
    </row>
    <row r="20405" spans="1:7" x14ac:dyDescent="0.25">
      <c r="A20405">
        <v>68</v>
      </c>
      <c r="B20405" t="s">
        <v>20392</v>
      </c>
      <c r="C20405">
        <v>12853</v>
      </c>
      <c r="E20405" t="s">
        <v>8</v>
      </c>
      <c r="F20405" t="s">
        <v>20422</v>
      </c>
      <c r="G20405">
        <v>2</v>
      </c>
    </row>
    <row r="20406" spans="1:7" x14ac:dyDescent="0.25">
      <c r="A20406">
        <v>68</v>
      </c>
      <c r="B20406" t="s">
        <v>20392</v>
      </c>
      <c r="C20406">
        <v>16038</v>
      </c>
      <c r="D20406" t="str">
        <f>"0039-3681"</f>
        <v>0039-3681</v>
      </c>
      <c r="E20406" t="s">
        <v>8</v>
      </c>
      <c r="F20406" t="s">
        <v>20423</v>
      </c>
      <c r="G20406">
        <v>2</v>
      </c>
    </row>
    <row r="20407" spans="1:7" x14ac:dyDescent="0.25">
      <c r="A20407">
        <v>68</v>
      </c>
      <c r="B20407" t="s">
        <v>20392</v>
      </c>
      <c r="C20407">
        <v>2514</v>
      </c>
      <c r="D20407" t="str">
        <f>"1355-2198"</f>
        <v>1355-2198</v>
      </c>
      <c r="E20407" t="s">
        <v>8</v>
      </c>
      <c r="F20407" t="s">
        <v>20424</v>
      </c>
      <c r="G20407">
        <v>2</v>
      </c>
    </row>
    <row r="20408" spans="1:7" x14ac:dyDescent="0.25">
      <c r="A20408">
        <v>68</v>
      </c>
      <c r="B20408" t="s">
        <v>20392</v>
      </c>
      <c r="C20408">
        <v>7899</v>
      </c>
      <c r="D20408" t="str">
        <f>"1369-8486"</f>
        <v>1369-8486</v>
      </c>
      <c r="E20408" t="s">
        <v>8</v>
      </c>
      <c r="F20408" t="s">
        <v>20425</v>
      </c>
      <c r="G20408">
        <v>2</v>
      </c>
    </row>
    <row r="20409" spans="1:7" x14ac:dyDescent="0.25">
      <c r="A20409">
        <v>68</v>
      </c>
      <c r="B20409" t="s">
        <v>20392</v>
      </c>
      <c r="C20409">
        <v>1737</v>
      </c>
      <c r="D20409" t="str">
        <f>"0495-4548"</f>
        <v>0495-4548</v>
      </c>
      <c r="E20409" t="s">
        <v>8</v>
      </c>
      <c r="F20409" t="s">
        <v>20426</v>
      </c>
      <c r="G20409">
        <v>2</v>
      </c>
    </row>
    <row r="20410" spans="1:7" x14ac:dyDescent="0.25">
      <c r="A20410">
        <v>68</v>
      </c>
      <c r="B20410" t="s">
        <v>20392</v>
      </c>
      <c r="C20410">
        <v>84928</v>
      </c>
      <c r="D20410" t="str">
        <f>"1211-958X"</f>
        <v>1211-958X</v>
      </c>
      <c r="E20410" t="s">
        <v>15</v>
      </c>
      <c r="F20410" t="s">
        <v>20427</v>
      </c>
      <c r="G20410">
        <v>1</v>
      </c>
    </row>
    <row r="20411" spans="1:7" x14ac:dyDescent="0.25">
      <c r="A20411">
        <v>68</v>
      </c>
      <c r="B20411" t="s">
        <v>20392</v>
      </c>
      <c r="C20411">
        <v>7316</v>
      </c>
      <c r="D20411" t="str">
        <f>"1422-8521"</f>
        <v>1422-8521</v>
      </c>
      <c r="E20411" t="s">
        <v>15</v>
      </c>
      <c r="F20411" t="s">
        <v>20428</v>
      </c>
      <c r="G20411">
        <v>1</v>
      </c>
    </row>
    <row r="20412" spans="1:7" x14ac:dyDescent="0.25">
      <c r="A20412">
        <v>68</v>
      </c>
      <c r="B20412" t="s">
        <v>20392</v>
      </c>
      <c r="C20412">
        <v>8782601</v>
      </c>
      <c r="D20412" t="str">
        <f>"2325-0496"</f>
        <v>2325-0496</v>
      </c>
      <c r="E20412" t="s">
        <v>8</v>
      </c>
      <c r="F20412" t="s">
        <v>20429</v>
      </c>
      <c r="G20412">
        <v>1</v>
      </c>
    </row>
    <row r="20413" spans="1:7" x14ac:dyDescent="0.25">
      <c r="A20413">
        <v>68</v>
      </c>
      <c r="B20413" t="s">
        <v>20392</v>
      </c>
      <c r="C20413">
        <v>59556</v>
      </c>
      <c r="D20413" t="str">
        <f>"1549-4470"</f>
        <v>1549-4470</v>
      </c>
      <c r="E20413" t="s">
        <v>8</v>
      </c>
      <c r="F20413" t="s">
        <v>20430</v>
      </c>
      <c r="G20413">
        <v>1</v>
      </c>
    </row>
    <row r="20414" spans="1:7" x14ac:dyDescent="0.25">
      <c r="A20414">
        <v>68</v>
      </c>
      <c r="B20414" t="s">
        <v>20392</v>
      </c>
      <c r="C20414">
        <v>22686</v>
      </c>
      <c r="D20414" t="str">
        <f>"1044-016X"</f>
        <v>1044-016X</v>
      </c>
      <c r="E20414" t="s">
        <v>8</v>
      </c>
      <c r="F20414" t="s">
        <v>20431</v>
      </c>
      <c r="G20414">
        <v>1</v>
      </c>
    </row>
    <row r="20415" spans="1:7" x14ac:dyDescent="0.25">
      <c r="A20415">
        <v>68</v>
      </c>
      <c r="B20415" t="s">
        <v>20392</v>
      </c>
      <c r="C20415">
        <v>23636</v>
      </c>
      <c r="D20415" t="str">
        <f>"1565-1525"</f>
        <v>1565-1525</v>
      </c>
      <c r="E20415" t="s">
        <v>8</v>
      </c>
      <c r="F20415" t="s">
        <v>20432</v>
      </c>
      <c r="G20415">
        <v>1</v>
      </c>
    </row>
    <row r="20416" spans="1:7" x14ac:dyDescent="0.25">
      <c r="A20416">
        <v>68</v>
      </c>
      <c r="B20416" t="s">
        <v>20392</v>
      </c>
      <c r="C20416">
        <v>19888</v>
      </c>
      <c r="D20416" t="str">
        <f>"0232-8461"</f>
        <v>0232-8461</v>
      </c>
      <c r="E20416" t="s">
        <v>8</v>
      </c>
      <c r="F20416" t="s">
        <v>20433</v>
      </c>
      <c r="G20416">
        <v>1</v>
      </c>
    </row>
    <row r="20417" spans="1:7" x14ac:dyDescent="0.25">
      <c r="A20417">
        <v>68</v>
      </c>
      <c r="B20417" t="s">
        <v>20392</v>
      </c>
      <c r="C20417">
        <v>12179</v>
      </c>
      <c r="D20417" t="str">
        <f>"0003-0996"</f>
        <v>0003-0996</v>
      </c>
      <c r="E20417" t="s">
        <v>8</v>
      </c>
      <c r="F20417" t="s">
        <v>20434</v>
      </c>
      <c r="G20417">
        <v>1</v>
      </c>
    </row>
    <row r="20418" spans="1:7" x14ac:dyDescent="0.25">
      <c r="A20418">
        <v>68</v>
      </c>
      <c r="B20418" t="s">
        <v>20392</v>
      </c>
      <c r="C20418">
        <v>7758217</v>
      </c>
      <c r="E20418" t="s">
        <v>8</v>
      </c>
      <c r="F20418" t="s">
        <v>20435</v>
      </c>
      <c r="G20418">
        <v>1</v>
      </c>
    </row>
    <row r="20419" spans="1:7" x14ac:dyDescent="0.25">
      <c r="A20419">
        <v>68</v>
      </c>
      <c r="B20419" t="s">
        <v>20392</v>
      </c>
      <c r="C20419">
        <v>11113</v>
      </c>
      <c r="D20419" t="str">
        <f>"0097-4463"</f>
        <v>0097-4463</v>
      </c>
      <c r="E20419" t="s">
        <v>8</v>
      </c>
      <c r="F20419" t="s">
        <v>20436</v>
      </c>
      <c r="G20419">
        <v>1</v>
      </c>
    </row>
    <row r="20420" spans="1:7" x14ac:dyDescent="0.25">
      <c r="A20420">
        <v>68</v>
      </c>
      <c r="B20420" t="s">
        <v>20392</v>
      </c>
      <c r="C20420">
        <v>45491</v>
      </c>
      <c r="D20420" t="str">
        <f>"1863-0197"</f>
        <v>1863-0197</v>
      </c>
      <c r="E20420" t="s">
        <v>15</v>
      </c>
      <c r="F20420" t="s">
        <v>20437</v>
      </c>
      <c r="G20420">
        <v>1</v>
      </c>
    </row>
    <row r="20421" spans="1:7" x14ac:dyDescent="0.25">
      <c r="A20421">
        <v>68</v>
      </c>
      <c r="B20421" t="s">
        <v>20392</v>
      </c>
      <c r="C20421">
        <v>68133</v>
      </c>
      <c r="D20421" t="str">
        <f>"0942-0398"</f>
        <v>0942-0398</v>
      </c>
      <c r="E20421" t="s">
        <v>15</v>
      </c>
      <c r="F20421" t="s">
        <v>20438</v>
      </c>
      <c r="G20421">
        <v>1</v>
      </c>
    </row>
    <row r="20422" spans="1:7" x14ac:dyDescent="0.25">
      <c r="A20422">
        <v>68</v>
      </c>
      <c r="B20422" t="s">
        <v>20392</v>
      </c>
      <c r="C20422">
        <v>3619</v>
      </c>
      <c r="D20422" t="str">
        <f>"0003-6390"</f>
        <v>0003-6390</v>
      </c>
      <c r="E20422" t="s">
        <v>8</v>
      </c>
      <c r="F20422" t="s">
        <v>20439</v>
      </c>
      <c r="G20422">
        <v>1</v>
      </c>
    </row>
    <row r="20423" spans="1:7" x14ac:dyDescent="0.25">
      <c r="A20423">
        <v>68</v>
      </c>
      <c r="B20423" t="s">
        <v>20392</v>
      </c>
      <c r="C20423">
        <v>53244</v>
      </c>
      <c r="D20423" t="str">
        <f>"1385-0180"</f>
        <v>1385-0180</v>
      </c>
      <c r="E20423" t="s">
        <v>15</v>
      </c>
      <c r="F20423" t="s">
        <v>20440</v>
      </c>
      <c r="G20423">
        <v>1</v>
      </c>
    </row>
    <row r="20424" spans="1:7" x14ac:dyDescent="0.25">
      <c r="A20424">
        <v>68</v>
      </c>
      <c r="B20424" t="s">
        <v>20392</v>
      </c>
      <c r="C20424">
        <v>1423</v>
      </c>
      <c r="D20424" t="str">
        <f>"0003-9101"</f>
        <v>0003-9101</v>
      </c>
      <c r="E20424" t="s">
        <v>8</v>
      </c>
      <c r="F20424" t="s">
        <v>20441</v>
      </c>
      <c r="G20424">
        <v>1</v>
      </c>
    </row>
    <row r="20425" spans="1:7" x14ac:dyDescent="0.25">
      <c r="A20425">
        <v>68</v>
      </c>
      <c r="B20425" t="s">
        <v>20392</v>
      </c>
      <c r="C20425">
        <v>110</v>
      </c>
      <c r="D20425" t="str">
        <f>"0003-9519"</f>
        <v>0003-9519</v>
      </c>
      <c r="E20425" t="s">
        <v>8</v>
      </c>
      <c r="F20425" t="s">
        <v>20442</v>
      </c>
      <c r="G20425">
        <v>1</v>
      </c>
    </row>
    <row r="20426" spans="1:7" x14ac:dyDescent="0.25">
      <c r="A20426">
        <v>68</v>
      </c>
      <c r="B20426" t="s">
        <v>20392</v>
      </c>
      <c r="C20426">
        <v>17977</v>
      </c>
      <c r="D20426" t="str">
        <f>"1661-464X"</f>
        <v>1661-464X</v>
      </c>
      <c r="E20426" t="s">
        <v>8</v>
      </c>
      <c r="F20426" t="s">
        <v>20443</v>
      </c>
      <c r="G20426">
        <v>1</v>
      </c>
    </row>
    <row r="20427" spans="1:7" x14ac:dyDescent="0.25">
      <c r="A20427">
        <v>68</v>
      </c>
      <c r="B20427" t="s">
        <v>20392</v>
      </c>
      <c r="C20427">
        <v>25009</v>
      </c>
      <c r="D20427" t="str">
        <f>"0003-9810"</f>
        <v>0003-9810</v>
      </c>
      <c r="E20427" t="s">
        <v>8</v>
      </c>
      <c r="F20427" t="s">
        <v>20444</v>
      </c>
      <c r="G20427">
        <v>1</v>
      </c>
    </row>
    <row r="20428" spans="1:7" x14ac:dyDescent="0.25">
      <c r="A20428">
        <v>68</v>
      </c>
      <c r="B20428" t="s">
        <v>20392</v>
      </c>
      <c r="C20428">
        <v>9096</v>
      </c>
      <c r="D20428" t="str">
        <f>"0920-427X"</f>
        <v>0920-427X</v>
      </c>
      <c r="E20428" t="s">
        <v>8</v>
      </c>
      <c r="F20428" t="s">
        <v>20445</v>
      </c>
      <c r="G20428">
        <v>1</v>
      </c>
    </row>
    <row r="20429" spans="1:7" x14ac:dyDescent="0.25">
      <c r="A20429">
        <v>68</v>
      </c>
      <c r="B20429" t="s">
        <v>20392</v>
      </c>
      <c r="C20429">
        <v>27494</v>
      </c>
      <c r="D20429" t="str">
        <f>"0210-4466"</f>
        <v>0210-4466</v>
      </c>
      <c r="E20429" t="s">
        <v>8</v>
      </c>
      <c r="F20429" t="s">
        <v>20446</v>
      </c>
      <c r="G20429">
        <v>1</v>
      </c>
    </row>
    <row r="20430" spans="1:7" x14ac:dyDescent="0.25">
      <c r="A20430">
        <v>68</v>
      </c>
      <c r="B20430" t="s">
        <v>20392</v>
      </c>
      <c r="C20430">
        <v>21771</v>
      </c>
      <c r="D20430" t="str">
        <f>"1573-420X"</f>
        <v>1573-420X</v>
      </c>
      <c r="E20430" t="s">
        <v>8</v>
      </c>
      <c r="F20430" t="s">
        <v>20447</v>
      </c>
      <c r="G20430">
        <v>1</v>
      </c>
    </row>
    <row r="20431" spans="1:7" x14ac:dyDescent="0.25">
      <c r="A20431">
        <v>68</v>
      </c>
      <c r="B20431" t="s">
        <v>20392</v>
      </c>
      <c r="C20431">
        <v>16589</v>
      </c>
      <c r="D20431" t="str">
        <f>"0170-6233"</f>
        <v>0170-6233</v>
      </c>
      <c r="E20431" t="s">
        <v>8</v>
      </c>
      <c r="F20431" t="s">
        <v>20448</v>
      </c>
      <c r="G20431">
        <v>1</v>
      </c>
    </row>
    <row r="20432" spans="1:7" x14ac:dyDescent="0.25">
      <c r="A20432">
        <v>68</v>
      </c>
      <c r="B20432" t="s">
        <v>20392</v>
      </c>
      <c r="C20432">
        <v>149049</v>
      </c>
      <c r="D20432" t="str">
        <f>"0145-0379"</f>
        <v>0145-0379</v>
      </c>
      <c r="E20432" t="s">
        <v>15</v>
      </c>
      <c r="F20432" t="s">
        <v>20449</v>
      </c>
      <c r="G20432">
        <v>1</v>
      </c>
    </row>
    <row r="20433" spans="1:7" x14ac:dyDescent="0.25">
      <c r="A20433">
        <v>68</v>
      </c>
      <c r="B20433" t="s">
        <v>20392</v>
      </c>
      <c r="C20433">
        <v>19403</v>
      </c>
      <c r="D20433" t="str">
        <f>"1745-8552"</f>
        <v>1745-8552</v>
      </c>
      <c r="E20433" t="s">
        <v>8</v>
      </c>
      <c r="F20433" t="s">
        <v>20450</v>
      </c>
      <c r="G20433">
        <v>1</v>
      </c>
    </row>
    <row r="20434" spans="1:7" x14ac:dyDescent="0.25">
      <c r="A20434">
        <v>68</v>
      </c>
      <c r="B20434" t="s">
        <v>20392</v>
      </c>
      <c r="C20434">
        <v>87903</v>
      </c>
      <c r="D20434" t="str">
        <f>"0523-8226"</f>
        <v>0523-8226</v>
      </c>
      <c r="E20434" t="s">
        <v>15</v>
      </c>
      <c r="F20434" t="s">
        <v>20451</v>
      </c>
      <c r="G20434">
        <v>1</v>
      </c>
    </row>
    <row r="20435" spans="1:7" x14ac:dyDescent="0.25">
      <c r="A20435">
        <v>68</v>
      </c>
      <c r="B20435" t="s">
        <v>20392</v>
      </c>
      <c r="C20435">
        <v>22627</v>
      </c>
      <c r="D20435" t="str">
        <f>"1053-4385"</f>
        <v>1053-4385</v>
      </c>
      <c r="E20435" t="s">
        <v>8</v>
      </c>
      <c r="F20435" t="s">
        <v>20452</v>
      </c>
      <c r="G20435">
        <v>1</v>
      </c>
    </row>
    <row r="20436" spans="1:7" x14ac:dyDescent="0.25">
      <c r="A20436">
        <v>68</v>
      </c>
      <c r="B20436" t="s">
        <v>20392</v>
      </c>
      <c r="C20436">
        <v>16743</v>
      </c>
      <c r="D20436" t="str">
        <f>"0270-4676"</f>
        <v>0270-4676</v>
      </c>
      <c r="E20436" t="s">
        <v>8</v>
      </c>
      <c r="F20436" t="s">
        <v>20453</v>
      </c>
      <c r="G20436">
        <v>1</v>
      </c>
    </row>
    <row r="20437" spans="1:7" x14ac:dyDescent="0.25">
      <c r="A20437">
        <v>68</v>
      </c>
      <c r="B20437" t="s">
        <v>20392</v>
      </c>
      <c r="C20437">
        <v>27240</v>
      </c>
      <c r="D20437" t="str">
        <f>"0823-2105"</f>
        <v>0823-2105</v>
      </c>
      <c r="E20437" t="s">
        <v>8</v>
      </c>
      <c r="F20437" t="s">
        <v>20454</v>
      </c>
      <c r="G20437">
        <v>1</v>
      </c>
    </row>
    <row r="20438" spans="1:7" x14ac:dyDescent="0.25">
      <c r="A20438">
        <v>68</v>
      </c>
      <c r="B20438" t="s">
        <v>20392</v>
      </c>
      <c r="C20438">
        <v>8782602</v>
      </c>
      <c r="D20438" t="str">
        <f>"2380-3312"</f>
        <v>2380-3312</v>
      </c>
      <c r="E20438" t="s">
        <v>8</v>
      </c>
      <c r="F20438" t="s">
        <v>20455</v>
      </c>
      <c r="G20438">
        <v>1</v>
      </c>
    </row>
    <row r="20439" spans="1:7" x14ac:dyDescent="0.25">
      <c r="A20439">
        <v>68</v>
      </c>
      <c r="B20439" t="s">
        <v>20392</v>
      </c>
      <c r="C20439">
        <v>4746</v>
      </c>
      <c r="D20439" t="str">
        <f>"1001-6538"</f>
        <v>1001-6538</v>
      </c>
      <c r="E20439" t="s">
        <v>8</v>
      </c>
      <c r="F20439" t="s">
        <v>20456</v>
      </c>
      <c r="G20439">
        <v>1</v>
      </c>
    </row>
    <row r="20440" spans="1:7" x14ac:dyDescent="0.25">
      <c r="A20440">
        <v>68</v>
      </c>
      <c r="B20440" t="s">
        <v>20392</v>
      </c>
      <c r="C20440">
        <v>8778968</v>
      </c>
      <c r="E20440" t="s">
        <v>8</v>
      </c>
      <c r="F20440" t="s">
        <v>20457</v>
      </c>
      <c r="G20440">
        <v>1</v>
      </c>
    </row>
    <row r="20441" spans="1:7" x14ac:dyDescent="0.25">
      <c r="A20441">
        <v>68</v>
      </c>
      <c r="B20441" t="s">
        <v>20392</v>
      </c>
      <c r="C20441">
        <v>77437</v>
      </c>
      <c r="D20441" t="str">
        <f>"1996-5621"</f>
        <v>1996-5621</v>
      </c>
      <c r="E20441" t="s">
        <v>8</v>
      </c>
      <c r="F20441" t="s">
        <v>20458</v>
      </c>
      <c r="G20441">
        <v>1</v>
      </c>
    </row>
    <row r="20442" spans="1:7" x14ac:dyDescent="0.25">
      <c r="A20442">
        <v>68</v>
      </c>
      <c r="B20442" t="s">
        <v>20392</v>
      </c>
      <c r="C20442">
        <v>26978</v>
      </c>
      <c r="D20442" t="str">
        <f>"1540-8779"</f>
        <v>1540-8779</v>
      </c>
      <c r="E20442" t="s">
        <v>8</v>
      </c>
      <c r="F20442" t="s">
        <v>20459</v>
      </c>
      <c r="G20442">
        <v>1</v>
      </c>
    </row>
    <row r="20443" spans="1:7" x14ac:dyDescent="0.25">
      <c r="A20443">
        <v>68</v>
      </c>
      <c r="B20443" t="s">
        <v>20392</v>
      </c>
      <c r="C20443">
        <v>27414</v>
      </c>
      <c r="D20443" t="str">
        <f>"0300-4414"</f>
        <v>0300-4414</v>
      </c>
      <c r="E20443" t="s">
        <v>8</v>
      </c>
      <c r="F20443" t="s">
        <v>20460</v>
      </c>
      <c r="G20443">
        <v>1</v>
      </c>
    </row>
    <row r="20444" spans="1:7" x14ac:dyDescent="0.25">
      <c r="A20444">
        <v>68</v>
      </c>
      <c r="B20444" t="s">
        <v>20392</v>
      </c>
      <c r="C20444">
        <v>19167</v>
      </c>
      <c r="D20444" t="str">
        <f>"1383-7427"</f>
        <v>1383-7427</v>
      </c>
      <c r="E20444" t="s">
        <v>8</v>
      </c>
      <c r="F20444" t="s">
        <v>20461</v>
      </c>
      <c r="G20444">
        <v>1</v>
      </c>
    </row>
    <row r="20445" spans="1:7" x14ac:dyDescent="0.25">
      <c r="A20445">
        <v>68</v>
      </c>
      <c r="B20445" t="s">
        <v>20392</v>
      </c>
      <c r="C20445">
        <v>26452</v>
      </c>
      <c r="D20445" t="str">
        <f>"0736-623X"</f>
        <v>0736-623X</v>
      </c>
      <c r="E20445" t="s">
        <v>8</v>
      </c>
      <c r="F20445" t="s">
        <v>20462</v>
      </c>
      <c r="G20445">
        <v>1</v>
      </c>
    </row>
    <row r="20446" spans="1:7" x14ac:dyDescent="0.25">
      <c r="A20446">
        <v>68</v>
      </c>
      <c r="B20446" t="s">
        <v>20392</v>
      </c>
      <c r="C20446">
        <v>20732</v>
      </c>
      <c r="D20446" t="str">
        <f>"1875-2160"</f>
        <v>1875-2160</v>
      </c>
      <c r="E20446" t="s">
        <v>8</v>
      </c>
      <c r="F20446" t="s">
        <v>20463</v>
      </c>
      <c r="G20446">
        <v>1</v>
      </c>
    </row>
    <row r="20447" spans="1:7" x14ac:dyDescent="0.25">
      <c r="A20447">
        <v>68</v>
      </c>
      <c r="B20447" t="s">
        <v>20392</v>
      </c>
      <c r="C20447">
        <v>27657</v>
      </c>
      <c r="D20447" t="str">
        <f>"1562-918X"</f>
        <v>1562-918X</v>
      </c>
      <c r="E20447" t="s">
        <v>8</v>
      </c>
      <c r="F20447" t="s">
        <v>20464</v>
      </c>
      <c r="G20447">
        <v>1</v>
      </c>
    </row>
    <row r="20448" spans="1:7" x14ac:dyDescent="0.25">
      <c r="A20448">
        <v>68</v>
      </c>
      <c r="B20448" t="s">
        <v>20392</v>
      </c>
      <c r="C20448">
        <v>8776275</v>
      </c>
      <c r="D20448" t="str">
        <f>"2325-1034"</f>
        <v>2325-1034</v>
      </c>
      <c r="E20448" t="s">
        <v>8</v>
      </c>
      <c r="F20448" t="s">
        <v>20465</v>
      </c>
      <c r="G20448">
        <v>1</v>
      </c>
    </row>
    <row r="20449" spans="1:7" x14ac:dyDescent="0.25">
      <c r="A20449">
        <v>68</v>
      </c>
      <c r="B20449" t="s">
        <v>20392</v>
      </c>
      <c r="C20449">
        <v>101181</v>
      </c>
      <c r="D20449" t="str">
        <f>"0948-7255"</f>
        <v>0948-7255</v>
      </c>
      <c r="E20449" t="s">
        <v>15</v>
      </c>
      <c r="F20449" t="s">
        <v>20466</v>
      </c>
      <c r="G20449">
        <v>1</v>
      </c>
    </row>
    <row r="20450" spans="1:7" x14ac:dyDescent="0.25">
      <c r="A20450">
        <v>68</v>
      </c>
      <c r="B20450" t="s">
        <v>20392</v>
      </c>
      <c r="C20450">
        <v>7725714</v>
      </c>
      <c r="D20450" t="str">
        <f>"2156-8235"</f>
        <v>2156-8235</v>
      </c>
      <c r="E20450" t="s">
        <v>8</v>
      </c>
      <c r="F20450" t="s">
        <v>20467</v>
      </c>
      <c r="G20450">
        <v>1</v>
      </c>
    </row>
    <row r="20451" spans="1:7" x14ac:dyDescent="0.25">
      <c r="A20451">
        <v>68</v>
      </c>
      <c r="B20451" t="s">
        <v>20392</v>
      </c>
      <c r="C20451">
        <v>156494</v>
      </c>
      <c r="D20451" t="str">
        <f>"1867-299X"</f>
        <v>1867-299X</v>
      </c>
      <c r="E20451" t="s">
        <v>8</v>
      </c>
      <c r="F20451" t="s">
        <v>20468</v>
      </c>
      <c r="G20451">
        <v>1</v>
      </c>
    </row>
    <row r="20452" spans="1:7" x14ac:dyDescent="0.25">
      <c r="A20452">
        <v>68</v>
      </c>
      <c r="B20452" t="s">
        <v>20392</v>
      </c>
      <c r="C20452">
        <v>122485</v>
      </c>
      <c r="D20452" t="str">
        <f>"1230-6894"</f>
        <v>1230-6894</v>
      </c>
      <c r="E20452" t="s">
        <v>8</v>
      </c>
      <c r="F20452" t="s">
        <v>20469</v>
      </c>
      <c r="G20452">
        <v>1</v>
      </c>
    </row>
    <row r="20453" spans="1:7" x14ac:dyDescent="0.25">
      <c r="A20453">
        <v>68</v>
      </c>
      <c r="B20453" t="s">
        <v>20392</v>
      </c>
      <c r="C20453">
        <v>6950</v>
      </c>
      <c r="D20453" t="str">
        <f>"1233-1821"</f>
        <v>1233-1821</v>
      </c>
      <c r="E20453" t="s">
        <v>8</v>
      </c>
      <c r="F20453" t="s">
        <v>20470</v>
      </c>
      <c r="G20453">
        <v>1</v>
      </c>
    </row>
    <row r="20454" spans="1:7" x14ac:dyDescent="0.25">
      <c r="A20454">
        <v>68</v>
      </c>
      <c r="B20454" t="s">
        <v>20392</v>
      </c>
      <c r="C20454">
        <v>27502</v>
      </c>
      <c r="D20454" t="str">
        <f>"1971-6052"</f>
        <v>1971-6052</v>
      </c>
      <c r="E20454" t="s">
        <v>8</v>
      </c>
      <c r="F20454" t="s">
        <v>20471</v>
      </c>
      <c r="G20454">
        <v>1</v>
      </c>
    </row>
    <row r="20455" spans="1:7" x14ac:dyDescent="0.25">
      <c r="A20455">
        <v>68</v>
      </c>
      <c r="B20455" t="s">
        <v>20392</v>
      </c>
      <c r="C20455">
        <v>38923</v>
      </c>
      <c r="D20455" t="str">
        <f>"0435-1452"</f>
        <v>0435-1452</v>
      </c>
      <c r="E20455" t="s">
        <v>8</v>
      </c>
      <c r="F20455" t="s">
        <v>20472</v>
      </c>
      <c r="G20455">
        <v>1</v>
      </c>
    </row>
    <row r="20456" spans="1:7" x14ac:dyDescent="0.25">
      <c r="A20456">
        <v>68</v>
      </c>
      <c r="B20456" t="s">
        <v>20392</v>
      </c>
      <c r="C20456">
        <v>106190</v>
      </c>
      <c r="D20456" t="str">
        <f>"0934-8506"</f>
        <v>0934-8506</v>
      </c>
      <c r="E20456" t="s">
        <v>8</v>
      </c>
      <c r="F20456" t="s">
        <v>20473</v>
      </c>
      <c r="G20456">
        <v>1</v>
      </c>
    </row>
    <row r="20457" spans="1:7" x14ac:dyDescent="0.25">
      <c r="A20457">
        <v>68</v>
      </c>
      <c r="B20457" t="s">
        <v>20392</v>
      </c>
      <c r="C20457">
        <v>149421</v>
      </c>
      <c r="D20457" t="str">
        <f>"0939-334X"</f>
        <v>0939-334X</v>
      </c>
      <c r="E20457" t="s">
        <v>8</v>
      </c>
      <c r="F20457" t="s">
        <v>20474</v>
      </c>
      <c r="G20457">
        <v>1</v>
      </c>
    </row>
    <row r="20458" spans="1:7" x14ac:dyDescent="0.25">
      <c r="A20458">
        <v>68</v>
      </c>
      <c r="B20458" t="s">
        <v>20392</v>
      </c>
      <c r="C20458">
        <v>30031</v>
      </c>
      <c r="D20458" t="str">
        <f>"1215-4121"</f>
        <v>1215-4121</v>
      </c>
      <c r="E20458" t="s">
        <v>8</v>
      </c>
      <c r="F20458" t="s">
        <v>20475</v>
      </c>
      <c r="G20458">
        <v>1</v>
      </c>
    </row>
    <row r="20459" spans="1:7" x14ac:dyDescent="0.25">
      <c r="A20459">
        <v>68</v>
      </c>
      <c r="B20459" t="s">
        <v>20392</v>
      </c>
      <c r="C20459">
        <v>70122</v>
      </c>
      <c r="D20459" t="str">
        <f>"1442-1771"</f>
        <v>1442-1771</v>
      </c>
      <c r="E20459" t="s">
        <v>8</v>
      </c>
      <c r="F20459" t="s">
        <v>20476</v>
      </c>
      <c r="G20459">
        <v>1</v>
      </c>
    </row>
    <row r="20460" spans="1:7" x14ac:dyDescent="0.25">
      <c r="A20460">
        <v>68</v>
      </c>
      <c r="B20460" t="s">
        <v>20392</v>
      </c>
      <c r="C20460">
        <v>91504</v>
      </c>
      <c r="D20460" t="str">
        <f>"0781-5859"</f>
        <v>0781-5859</v>
      </c>
      <c r="E20460" t="s">
        <v>15</v>
      </c>
      <c r="F20460" t="s">
        <v>20477</v>
      </c>
      <c r="G20460">
        <v>1</v>
      </c>
    </row>
    <row r="20461" spans="1:7" x14ac:dyDescent="0.25">
      <c r="A20461">
        <v>68</v>
      </c>
      <c r="B20461" t="s">
        <v>20392</v>
      </c>
      <c r="C20461">
        <v>27585</v>
      </c>
      <c r="D20461" t="str">
        <f>"0440-8888"</f>
        <v>0440-8888</v>
      </c>
      <c r="E20461" t="s">
        <v>8</v>
      </c>
      <c r="F20461" t="s">
        <v>20478</v>
      </c>
      <c r="G20461">
        <v>1</v>
      </c>
    </row>
    <row r="20462" spans="1:7" x14ac:dyDescent="0.25">
      <c r="A20462">
        <v>68</v>
      </c>
      <c r="B20462" t="s">
        <v>20392</v>
      </c>
      <c r="C20462">
        <v>2942</v>
      </c>
      <c r="D20462" t="str">
        <f>"0285-4821"</f>
        <v>0285-4821</v>
      </c>
      <c r="E20462" t="s">
        <v>8</v>
      </c>
      <c r="F20462" t="s">
        <v>20479</v>
      </c>
      <c r="G20462">
        <v>1</v>
      </c>
    </row>
    <row r="20463" spans="1:7" x14ac:dyDescent="0.25">
      <c r="A20463">
        <v>68</v>
      </c>
      <c r="B20463" t="s">
        <v>20392</v>
      </c>
      <c r="C20463">
        <v>4640</v>
      </c>
      <c r="D20463" t="str">
        <f>"0727-3061"</f>
        <v>0727-3061</v>
      </c>
      <c r="E20463" t="s">
        <v>8</v>
      </c>
      <c r="F20463" t="s">
        <v>20480</v>
      </c>
      <c r="G20463">
        <v>1</v>
      </c>
    </row>
    <row r="20464" spans="1:7" x14ac:dyDescent="0.25">
      <c r="A20464">
        <v>68</v>
      </c>
      <c r="B20464" t="s">
        <v>20392</v>
      </c>
      <c r="C20464">
        <v>7532</v>
      </c>
      <c r="D20464" t="str">
        <f>"0302-5160"</f>
        <v>0302-5160</v>
      </c>
      <c r="E20464" t="s">
        <v>8</v>
      </c>
      <c r="F20464" t="s">
        <v>20481</v>
      </c>
      <c r="G20464">
        <v>1</v>
      </c>
    </row>
    <row r="20465" spans="1:7" x14ac:dyDescent="0.25">
      <c r="A20465">
        <v>68</v>
      </c>
      <c r="B20465" t="s">
        <v>20392</v>
      </c>
      <c r="C20465">
        <v>6283</v>
      </c>
      <c r="D20465" t="str">
        <f>"0391-9714"</f>
        <v>0391-9714</v>
      </c>
      <c r="E20465" t="s">
        <v>8</v>
      </c>
      <c r="F20465" t="s">
        <v>20482</v>
      </c>
      <c r="G20465">
        <v>1</v>
      </c>
    </row>
    <row r="20466" spans="1:7" x14ac:dyDescent="0.25">
      <c r="A20466">
        <v>68</v>
      </c>
      <c r="B20466" t="s">
        <v>20392</v>
      </c>
      <c r="C20466">
        <v>8775477</v>
      </c>
      <c r="D20466" t="str">
        <f>"2379-3163"</f>
        <v>2379-3163</v>
      </c>
      <c r="E20466" t="s">
        <v>8</v>
      </c>
      <c r="F20466" t="s">
        <v>20483</v>
      </c>
      <c r="G20466">
        <v>1</v>
      </c>
    </row>
    <row r="20467" spans="1:7" x14ac:dyDescent="0.25">
      <c r="A20467">
        <v>68</v>
      </c>
      <c r="B20467" t="s">
        <v>20392</v>
      </c>
      <c r="C20467">
        <v>28047</v>
      </c>
      <c r="D20467" t="str">
        <f>"0899-2428"</f>
        <v>0899-2428</v>
      </c>
      <c r="E20467" t="s">
        <v>15</v>
      </c>
      <c r="F20467" t="s">
        <v>20484</v>
      </c>
      <c r="G20467">
        <v>1</v>
      </c>
    </row>
    <row r="20468" spans="1:7" x14ac:dyDescent="0.25">
      <c r="A20468">
        <v>68</v>
      </c>
      <c r="B20468" t="s">
        <v>20392</v>
      </c>
      <c r="C20468">
        <v>8782598</v>
      </c>
      <c r="D20468" t="str">
        <f>"2500-2910"</f>
        <v>2500-2910</v>
      </c>
      <c r="E20468" t="s">
        <v>8</v>
      </c>
      <c r="F20468" t="s">
        <v>20485</v>
      </c>
      <c r="G20468">
        <v>1</v>
      </c>
    </row>
    <row r="20469" spans="1:7" x14ac:dyDescent="0.25">
      <c r="A20469">
        <v>68</v>
      </c>
      <c r="B20469" t="s">
        <v>20392</v>
      </c>
      <c r="C20469">
        <v>8255</v>
      </c>
      <c r="D20469" t="str">
        <f>"0957-154X"</f>
        <v>0957-154X</v>
      </c>
      <c r="E20469" t="s">
        <v>8</v>
      </c>
      <c r="F20469" t="s">
        <v>20486</v>
      </c>
      <c r="G20469">
        <v>1</v>
      </c>
    </row>
    <row r="20470" spans="1:7" x14ac:dyDescent="0.25">
      <c r="A20470">
        <v>68</v>
      </c>
      <c r="B20470" t="s">
        <v>20392</v>
      </c>
      <c r="C20470">
        <v>14316</v>
      </c>
      <c r="D20470" t="str">
        <f>"1872-0684"</f>
        <v>1872-0684</v>
      </c>
      <c r="E20470" t="s">
        <v>15</v>
      </c>
      <c r="F20470" t="s">
        <v>20487</v>
      </c>
      <c r="G20470">
        <v>1</v>
      </c>
    </row>
    <row r="20471" spans="1:7" x14ac:dyDescent="0.25">
      <c r="A20471">
        <v>68</v>
      </c>
      <c r="B20471" t="s">
        <v>20392</v>
      </c>
      <c r="C20471">
        <v>140170</v>
      </c>
      <c r="D20471" t="str">
        <f>"0144-5138"</f>
        <v>0144-5138</v>
      </c>
      <c r="E20471" t="s">
        <v>15</v>
      </c>
      <c r="F20471" t="s">
        <v>20488</v>
      </c>
      <c r="G20471">
        <v>1</v>
      </c>
    </row>
    <row r="20472" spans="1:7" x14ac:dyDescent="0.25">
      <c r="A20472">
        <v>68</v>
      </c>
      <c r="B20472" t="s">
        <v>20392</v>
      </c>
      <c r="C20472">
        <v>27849</v>
      </c>
      <c r="E20472" t="s">
        <v>8</v>
      </c>
      <c r="F20472" t="s">
        <v>20489</v>
      </c>
      <c r="G20472">
        <v>1</v>
      </c>
    </row>
    <row r="20473" spans="1:7" x14ac:dyDescent="0.25">
      <c r="A20473">
        <v>68</v>
      </c>
      <c r="B20473" t="s">
        <v>20392</v>
      </c>
      <c r="C20473">
        <v>7946</v>
      </c>
      <c r="D20473" t="str">
        <f>"1433-5158"</f>
        <v>1433-5158</v>
      </c>
      <c r="E20473" t="s">
        <v>8</v>
      </c>
      <c r="F20473" t="s">
        <v>20490</v>
      </c>
      <c r="G20473">
        <v>1</v>
      </c>
    </row>
    <row r="20474" spans="1:7" x14ac:dyDescent="0.25">
      <c r="A20474">
        <v>68</v>
      </c>
      <c r="B20474" t="s">
        <v>20392</v>
      </c>
      <c r="C20474">
        <v>82370</v>
      </c>
      <c r="E20474" t="s">
        <v>8</v>
      </c>
      <c r="F20474" t="s">
        <v>20491</v>
      </c>
      <c r="G20474">
        <v>1</v>
      </c>
    </row>
    <row r="20475" spans="1:7" x14ac:dyDescent="0.25">
      <c r="A20475">
        <v>68</v>
      </c>
      <c r="B20475" t="s">
        <v>20392</v>
      </c>
      <c r="C20475">
        <v>27646</v>
      </c>
      <c r="D20475" t="str">
        <f>"1361-8113"</f>
        <v>1361-8113</v>
      </c>
      <c r="E20475" t="s">
        <v>8</v>
      </c>
      <c r="F20475" t="s">
        <v>20492</v>
      </c>
      <c r="G20475">
        <v>1</v>
      </c>
    </row>
    <row r="20476" spans="1:7" x14ac:dyDescent="0.25">
      <c r="A20476">
        <v>68</v>
      </c>
      <c r="B20476" t="s">
        <v>20392</v>
      </c>
      <c r="C20476">
        <v>121820</v>
      </c>
      <c r="D20476" t="str">
        <f>"0019-5235"</f>
        <v>0019-5235</v>
      </c>
      <c r="E20476" t="s">
        <v>8</v>
      </c>
      <c r="F20476" t="s">
        <v>20493</v>
      </c>
      <c r="G20476">
        <v>1</v>
      </c>
    </row>
    <row r="20477" spans="1:7" x14ac:dyDescent="0.25">
      <c r="A20477">
        <v>68</v>
      </c>
      <c r="B20477" t="s">
        <v>20392</v>
      </c>
      <c r="C20477">
        <v>21237</v>
      </c>
      <c r="D20477" t="str">
        <f>"1544-7529"</f>
        <v>1544-7529</v>
      </c>
      <c r="E20477" t="s">
        <v>8</v>
      </c>
      <c r="F20477" t="s">
        <v>20494</v>
      </c>
      <c r="G20477">
        <v>1</v>
      </c>
    </row>
    <row r="20478" spans="1:7" x14ac:dyDescent="0.25">
      <c r="A20478">
        <v>68</v>
      </c>
      <c r="B20478" t="s">
        <v>20392</v>
      </c>
      <c r="C20478">
        <v>7694203</v>
      </c>
      <c r="E20478" t="s">
        <v>8</v>
      </c>
      <c r="F20478" t="s">
        <v>20495</v>
      </c>
      <c r="G20478">
        <v>1</v>
      </c>
    </row>
    <row r="20479" spans="1:7" x14ac:dyDescent="0.25">
      <c r="A20479">
        <v>68</v>
      </c>
      <c r="B20479" t="s">
        <v>20392</v>
      </c>
      <c r="C20479">
        <v>7695491</v>
      </c>
      <c r="D20479" t="str">
        <f>"2155-5028"</f>
        <v>2155-5028</v>
      </c>
      <c r="E20479" t="s">
        <v>8</v>
      </c>
      <c r="F20479" t="s">
        <v>20496</v>
      </c>
      <c r="G20479">
        <v>1</v>
      </c>
    </row>
    <row r="20480" spans="1:7" x14ac:dyDescent="0.25">
      <c r="A20480">
        <v>68</v>
      </c>
      <c r="B20480" t="s">
        <v>20392</v>
      </c>
      <c r="C20480">
        <v>6158696</v>
      </c>
      <c r="D20480" t="str">
        <f>"1947-3451"</f>
        <v>1947-3451</v>
      </c>
      <c r="E20480" t="s">
        <v>8</v>
      </c>
      <c r="F20480" t="s">
        <v>20497</v>
      </c>
      <c r="G20480">
        <v>1</v>
      </c>
    </row>
    <row r="20481" spans="1:7" x14ac:dyDescent="0.25">
      <c r="A20481">
        <v>68</v>
      </c>
      <c r="B20481" t="s">
        <v>20392</v>
      </c>
      <c r="C20481">
        <v>8043</v>
      </c>
      <c r="D20481" t="str">
        <f>"1832-3669"</f>
        <v>1832-3669</v>
      </c>
      <c r="E20481" t="s">
        <v>8</v>
      </c>
      <c r="F20481" t="s">
        <v>20498</v>
      </c>
      <c r="G20481">
        <v>1</v>
      </c>
    </row>
    <row r="20482" spans="1:7" x14ac:dyDescent="0.25">
      <c r="A20482">
        <v>68</v>
      </c>
      <c r="B20482" t="s">
        <v>20392</v>
      </c>
      <c r="C20482">
        <v>90075</v>
      </c>
      <c r="D20482" t="str">
        <f>"1081-4760"</f>
        <v>1081-4760</v>
      </c>
      <c r="E20482" t="s">
        <v>8</v>
      </c>
      <c r="F20482" t="s">
        <v>20499</v>
      </c>
      <c r="G20482">
        <v>1</v>
      </c>
    </row>
    <row r="20483" spans="1:7" x14ac:dyDescent="0.25">
      <c r="A20483">
        <v>68</v>
      </c>
      <c r="B20483" t="s">
        <v>20392</v>
      </c>
      <c r="C20483">
        <v>151859</v>
      </c>
      <c r="D20483" t="str">
        <f>"0234-8632"</f>
        <v>0234-8632</v>
      </c>
      <c r="E20483" t="s">
        <v>8</v>
      </c>
      <c r="F20483" t="s">
        <v>20500</v>
      </c>
      <c r="G20483">
        <v>1</v>
      </c>
    </row>
    <row r="20484" spans="1:7" x14ac:dyDescent="0.25">
      <c r="A20484">
        <v>68</v>
      </c>
      <c r="B20484" t="s">
        <v>20392</v>
      </c>
      <c r="C20484">
        <v>151903</v>
      </c>
      <c r="D20484" t="str">
        <f>"0202-0491"</f>
        <v>0202-0491</v>
      </c>
      <c r="E20484" t="s">
        <v>8</v>
      </c>
      <c r="F20484" t="s">
        <v>20501</v>
      </c>
      <c r="G20484">
        <v>1</v>
      </c>
    </row>
    <row r="20485" spans="1:7" x14ac:dyDescent="0.25">
      <c r="A20485">
        <v>68</v>
      </c>
      <c r="B20485" t="s">
        <v>20392</v>
      </c>
      <c r="C20485">
        <v>61860</v>
      </c>
      <c r="D20485" t="str">
        <f>"0136-0949"</f>
        <v>0136-0949</v>
      </c>
      <c r="E20485" t="s">
        <v>8</v>
      </c>
      <c r="F20485" t="s">
        <v>20502</v>
      </c>
      <c r="G20485">
        <v>1</v>
      </c>
    </row>
    <row r="20486" spans="1:7" x14ac:dyDescent="0.25">
      <c r="A20486">
        <v>68</v>
      </c>
      <c r="B20486" t="s">
        <v>20392</v>
      </c>
      <c r="C20486">
        <v>118992</v>
      </c>
      <c r="D20486" t="str">
        <f>"1435-1358"</f>
        <v>1435-1358</v>
      </c>
      <c r="E20486" t="s">
        <v>8</v>
      </c>
      <c r="F20486" t="s">
        <v>20503</v>
      </c>
      <c r="G20486">
        <v>1</v>
      </c>
    </row>
    <row r="20487" spans="1:7" x14ac:dyDescent="0.25">
      <c r="A20487">
        <v>68</v>
      </c>
      <c r="B20487" t="s">
        <v>20392</v>
      </c>
      <c r="C20487">
        <v>17999</v>
      </c>
      <c r="D20487" t="str">
        <f>"0021-8286"</f>
        <v>0021-8286</v>
      </c>
      <c r="E20487" t="s">
        <v>8</v>
      </c>
      <c r="F20487" t="s">
        <v>20504</v>
      </c>
      <c r="G20487">
        <v>1</v>
      </c>
    </row>
    <row r="20488" spans="1:7" x14ac:dyDescent="0.25">
      <c r="A20488">
        <v>68</v>
      </c>
      <c r="B20488" t="s">
        <v>20392</v>
      </c>
      <c r="C20488">
        <v>8782631</v>
      </c>
      <c r="D20488" t="str">
        <f>"2225-8973"</f>
        <v>2225-8973</v>
      </c>
      <c r="E20488" t="s">
        <v>8</v>
      </c>
      <c r="F20488" t="s">
        <v>20505</v>
      </c>
      <c r="G20488">
        <v>1</v>
      </c>
    </row>
    <row r="20489" spans="1:7" x14ac:dyDescent="0.25">
      <c r="A20489">
        <v>68</v>
      </c>
      <c r="B20489" t="s">
        <v>20392</v>
      </c>
      <c r="C20489">
        <v>13949</v>
      </c>
      <c r="D20489" t="str">
        <f>"1440-2807"</f>
        <v>1440-2807</v>
      </c>
      <c r="E20489" t="s">
        <v>8</v>
      </c>
      <c r="F20489" t="s">
        <v>20506</v>
      </c>
      <c r="G20489">
        <v>1</v>
      </c>
    </row>
    <row r="20490" spans="1:7" x14ac:dyDescent="0.25">
      <c r="A20490">
        <v>68</v>
      </c>
      <c r="B20490" t="s">
        <v>20392</v>
      </c>
      <c r="C20490">
        <v>22084</v>
      </c>
      <c r="D20490" t="str">
        <f>"1753-8068"</f>
        <v>1753-8068</v>
      </c>
      <c r="E20490" t="s">
        <v>8</v>
      </c>
      <c r="F20490" t="s">
        <v>20507</v>
      </c>
      <c r="G20490">
        <v>1</v>
      </c>
    </row>
    <row r="20491" spans="1:7" x14ac:dyDescent="0.25">
      <c r="A20491">
        <v>68</v>
      </c>
      <c r="B20491" t="s">
        <v>20392</v>
      </c>
      <c r="C20491">
        <v>19818</v>
      </c>
      <c r="D20491" t="str">
        <f>"1556-2646"</f>
        <v>1556-2646</v>
      </c>
      <c r="E20491" t="s">
        <v>8</v>
      </c>
      <c r="F20491" t="s">
        <v>20508</v>
      </c>
      <c r="G20491">
        <v>1</v>
      </c>
    </row>
    <row r="20492" spans="1:7" x14ac:dyDescent="0.25">
      <c r="A20492">
        <v>68</v>
      </c>
      <c r="B20492" t="s">
        <v>20392</v>
      </c>
      <c r="C20492">
        <v>8782575</v>
      </c>
      <c r="D20492" t="str">
        <f>"2573-2390"</f>
        <v>2573-2390</v>
      </c>
      <c r="E20492" t="s">
        <v>8</v>
      </c>
      <c r="F20492" t="s">
        <v>20509</v>
      </c>
      <c r="G20492">
        <v>1</v>
      </c>
    </row>
    <row r="20493" spans="1:7" x14ac:dyDescent="0.25">
      <c r="A20493">
        <v>68</v>
      </c>
      <c r="B20493" t="s">
        <v>20392</v>
      </c>
      <c r="C20493">
        <v>8782630</v>
      </c>
      <c r="D20493" t="str">
        <f>"1646-7752"</f>
        <v>1646-7752</v>
      </c>
      <c r="E20493" t="s">
        <v>8</v>
      </c>
      <c r="F20493" t="s">
        <v>20510</v>
      </c>
      <c r="G20493">
        <v>1</v>
      </c>
    </row>
    <row r="20494" spans="1:7" x14ac:dyDescent="0.25">
      <c r="A20494">
        <v>68</v>
      </c>
      <c r="B20494" t="s">
        <v>20392</v>
      </c>
      <c r="C20494">
        <v>250</v>
      </c>
      <c r="D20494" t="str">
        <f>"1061-9321"</f>
        <v>1061-9321</v>
      </c>
      <c r="E20494" t="s">
        <v>8</v>
      </c>
      <c r="F20494" t="s">
        <v>20511</v>
      </c>
      <c r="G20494">
        <v>1</v>
      </c>
    </row>
    <row r="20495" spans="1:7" x14ac:dyDescent="0.25">
      <c r="A20495">
        <v>68</v>
      </c>
      <c r="B20495" t="s">
        <v>20392</v>
      </c>
      <c r="C20495">
        <v>10996</v>
      </c>
      <c r="E20495" t="s">
        <v>8</v>
      </c>
      <c r="F20495" t="s">
        <v>20512</v>
      </c>
      <c r="G20495">
        <v>1</v>
      </c>
    </row>
    <row r="20496" spans="1:7" x14ac:dyDescent="0.25">
      <c r="A20496">
        <v>68</v>
      </c>
      <c r="B20496" t="s">
        <v>20392</v>
      </c>
      <c r="C20496">
        <v>7755521</v>
      </c>
      <c r="D20496" t="str">
        <f>"2329-9460"</f>
        <v>2329-9460</v>
      </c>
      <c r="E20496" t="s">
        <v>8</v>
      </c>
      <c r="F20496" t="s">
        <v>20513</v>
      </c>
      <c r="G20496">
        <v>1</v>
      </c>
    </row>
    <row r="20497" spans="1:7" x14ac:dyDescent="0.25">
      <c r="A20497">
        <v>68</v>
      </c>
      <c r="B20497" t="s">
        <v>20392</v>
      </c>
      <c r="C20497">
        <v>8782718</v>
      </c>
      <c r="D20497" t="str">
        <f>"2059-9072"</f>
        <v>2059-9072</v>
      </c>
      <c r="E20497" t="s">
        <v>8</v>
      </c>
      <c r="F20497" t="s">
        <v>20514</v>
      </c>
      <c r="G20497">
        <v>1</v>
      </c>
    </row>
    <row r="20498" spans="1:7" x14ac:dyDescent="0.25">
      <c r="A20498">
        <v>68</v>
      </c>
      <c r="B20498" t="s">
        <v>20392</v>
      </c>
      <c r="C20498">
        <v>14797</v>
      </c>
      <c r="D20498" t="str">
        <f>"0022-5010"</f>
        <v>0022-5010</v>
      </c>
      <c r="E20498" t="s">
        <v>8</v>
      </c>
      <c r="F20498" t="s">
        <v>20515</v>
      </c>
      <c r="G20498">
        <v>1</v>
      </c>
    </row>
    <row r="20499" spans="1:7" x14ac:dyDescent="0.25">
      <c r="A20499">
        <v>68</v>
      </c>
      <c r="B20499" t="s">
        <v>20392</v>
      </c>
      <c r="C20499">
        <v>5009</v>
      </c>
      <c r="D20499" t="str">
        <f>"0022-5045"</f>
        <v>0022-5045</v>
      </c>
      <c r="E20499" t="s">
        <v>8</v>
      </c>
      <c r="F20499" t="s">
        <v>20516</v>
      </c>
      <c r="G20499">
        <v>1</v>
      </c>
    </row>
    <row r="20500" spans="1:7" x14ac:dyDescent="0.25">
      <c r="A20500">
        <v>68</v>
      </c>
      <c r="B20500" t="s">
        <v>20392</v>
      </c>
      <c r="C20500">
        <v>10843</v>
      </c>
      <c r="D20500" t="str">
        <f>"0022-5061"</f>
        <v>0022-5061</v>
      </c>
      <c r="E20500" t="s">
        <v>8</v>
      </c>
      <c r="F20500" t="s">
        <v>20517</v>
      </c>
      <c r="G20500">
        <v>1</v>
      </c>
    </row>
    <row r="20501" spans="1:7" x14ac:dyDescent="0.25">
      <c r="A20501">
        <v>68</v>
      </c>
      <c r="B20501" t="s">
        <v>20392</v>
      </c>
      <c r="C20501">
        <v>13211</v>
      </c>
      <c r="D20501" t="str">
        <f>"0964-704X"</f>
        <v>0964-704X</v>
      </c>
      <c r="E20501" t="s">
        <v>8</v>
      </c>
      <c r="F20501" t="s">
        <v>20518</v>
      </c>
      <c r="G20501">
        <v>1</v>
      </c>
    </row>
    <row r="20502" spans="1:7" x14ac:dyDescent="0.25">
      <c r="A20502">
        <v>68</v>
      </c>
      <c r="B20502" t="s">
        <v>20392</v>
      </c>
      <c r="C20502">
        <v>8783464</v>
      </c>
      <c r="D20502" t="str">
        <f>"2473-599X"</f>
        <v>2473-599X</v>
      </c>
      <c r="E20502" t="s">
        <v>8</v>
      </c>
      <c r="F20502" t="s">
        <v>20519</v>
      </c>
      <c r="G20502">
        <v>1</v>
      </c>
    </row>
    <row r="20503" spans="1:7" x14ac:dyDescent="0.25">
      <c r="A20503">
        <v>68</v>
      </c>
      <c r="B20503" t="s">
        <v>20392</v>
      </c>
      <c r="C20503">
        <v>76621</v>
      </c>
      <c r="D20503" t="str">
        <f>"1225-505X"</f>
        <v>1225-505X</v>
      </c>
      <c r="E20503" t="s">
        <v>8</v>
      </c>
      <c r="F20503" t="s">
        <v>20520</v>
      </c>
      <c r="G20503">
        <v>1</v>
      </c>
    </row>
    <row r="20504" spans="1:7" x14ac:dyDescent="0.25">
      <c r="A20504">
        <v>68</v>
      </c>
      <c r="B20504" t="s">
        <v>20392</v>
      </c>
      <c r="C20504">
        <v>27823</v>
      </c>
      <c r="D20504" t="str">
        <f>"0944-6575"</f>
        <v>0944-6575</v>
      </c>
      <c r="E20504" t="s">
        <v>8</v>
      </c>
      <c r="F20504" t="s">
        <v>20521</v>
      </c>
      <c r="G20504">
        <v>1</v>
      </c>
    </row>
    <row r="20505" spans="1:7" x14ac:dyDescent="0.25">
      <c r="A20505">
        <v>68</v>
      </c>
      <c r="B20505" t="s">
        <v>20392</v>
      </c>
      <c r="C20505">
        <v>8934</v>
      </c>
      <c r="D20505" t="str">
        <f>"1567-715X"</f>
        <v>1567-715X</v>
      </c>
      <c r="E20505" t="s">
        <v>8</v>
      </c>
      <c r="F20505" t="s">
        <v>20522</v>
      </c>
      <c r="G20505">
        <v>1</v>
      </c>
    </row>
    <row r="20506" spans="1:7" x14ac:dyDescent="0.25">
      <c r="A20506">
        <v>68</v>
      </c>
      <c r="B20506" t="s">
        <v>20392</v>
      </c>
      <c r="C20506">
        <v>71892</v>
      </c>
      <c r="D20506" t="str">
        <f>"0023-589X"</f>
        <v>0023-589X</v>
      </c>
      <c r="E20506" t="s">
        <v>8</v>
      </c>
      <c r="F20506" t="s">
        <v>20523</v>
      </c>
      <c r="G20506">
        <v>1</v>
      </c>
    </row>
    <row r="20507" spans="1:7" x14ac:dyDescent="0.25">
      <c r="A20507">
        <v>68</v>
      </c>
      <c r="B20507" t="s">
        <v>20392</v>
      </c>
      <c r="C20507">
        <v>33118</v>
      </c>
      <c r="D20507" t="str">
        <f>"1588-7154"</f>
        <v>1588-7154</v>
      </c>
      <c r="E20507" t="s">
        <v>15</v>
      </c>
      <c r="F20507" t="s">
        <v>20524</v>
      </c>
      <c r="G20507">
        <v>1</v>
      </c>
    </row>
    <row r="20508" spans="1:7" x14ac:dyDescent="0.25">
      <c r="A20508">
        <v>68</v>
      </c>
      <c r="B20508" t="s">
        <v>20392</v>
      </c>
      <c r="C20508">
        <v>4931</v>
      </c>
      <c r="D20508" t="str">
        <f>"0210-8615"</f>
        <v>0210-8615</v>
      </c>
      <c r="E20508" t="s">
        <v>8</v>
      </c>
      <c r="F20508" t="s">
        <v>20525</v>
      </c>
      <c r="G20508">
        <v>1</v>
      </c>
    </row>
    <row r="20509" spans="1:7" x14ac:dyDescent="0.25">
      <c r="A20509">
        <v>68</v>
      </c>
      <c r="B20509" t="s">
        <v>20392</v>
      </c>
      <c r="C20509">
        <v>88013</v>
      </c>
      <c r="D20509" t="str">
        <f>"1826-1043"</f>
        <v>1826-1043</v>
      </c>
      <c r="E20509" t="s">
        <v>8</v>
      </c>
      <c r="F20509" t="s">
        <v>20526</v>
      </c>
      <c r="G20509">
        <v>1</v>
      </c>
    </row>
    <row r="20510" spans="1:7" x14ac:dyDescent="0.25">
      <c r="A20510">
        <v>68</v>
      </c>
      <c r="B20510" t="s">
        <v>20392</v>
      </c>
      <c r="C20510">
        <v>24640</v>
      </c>
      <c r="D20510" t="str">
        <f>"0024-5836"</f>
        <v>0024-5836</v>
      </c>
      <c r="E20510" t="s">
        <v>8</v>
      </c>
      <c r="F20510" t="s">
        <v>20527</v>
      </c>
      <c r="G20510">
        <v>1</v>
      </c>
    </row>
    <row r="20511" spans="1:7" x14ac:dyDescent="0.25">
      <c r="A20511">
        <v>68</v>
      </c>
      <c r="B20511" t="s">
        <v>20392</v>
      </c>
      <c r="C20511">
        <v>27854</v>
      </c>
      <c r="D20511" t="str">
        <f>"0076-1648"</f>
        <v>0076-1648</v>
      </c>
      <c r="E20511" t="s">
        <v>8</v>
      </c>
      <c r="F20511" t="s">
        <v>20528</v>
      </c>
      <c r="G20511">
        <v>1</v>
      </c>
    </row>
    <row r="20512" spans="1:7" x14ac:dyDescent="0.25">
      <c r="A20512">
        <v>68</v>
      </c>
      <c r="B20512" t="s">
        <v>20392</v>
      </c>
      <c r="C20512">
        <v>18923</v>
      </c>
      <c r="D20512" t="str">
        <f>"1468-215X"</f>
        <v>1468-215X</v>
      </c>
      <c r="E20512" t="s">
        <v>8</v>
      </c>
      <c r="F20512" t="s">
        <v>20529</v>
      </c>
      <c r="G20512">
        <v>1</v>
      </c>
    </row>
    <row r="20513" spans="1:7" x14ac:dyDescent="0.25">
      <c r="A20513">
        <v>68</v>
      </c>
      <c r="B20513" t="s">
        <v>20392</v>
      </c>
      <c r="C20513">
        <v>14711</v>
      </c>
      <c r="D20513" t="str">
        <f>"1567-8393"</f>
        <v>1567-8393</v>
      </c>
      <c r="E20513" t="s">
        <v>15</v>
      </c>
      <c r="F20513" t="s">
        <v>20530</v>
      </c>
      <c r="G20513">
        <v>1</v>
      </c>
    </row>
    <row r="20514" spans="1:7" x14ac:dyDescent="0.25">
      <c r="A20514">
        <v>68</v>
      </c>
      <c r="B20514" t="s">
        <v>20392</v>
      </c>
      <c r="C20514">
        <v>101626</v>
      </c>
      <c r="D20514" t="str">
        <f>"0939-351X"</f>
        <v>0939-351X</v>
      </c>
      <c r="E20514" t="s">
        <v>8</v>
      </c>
      <c r="F20514" t="s">
        <v>20531</v>
      </c>
      <c r="G20514">
        <v>1</v>
      </c>
    </row>
    <row r="20515" spans="1:7" x14ac:dyDescent="0.25">
      <c r="A20515">
        <v>68</v>
      </c>
      <c r="B20515" t="s">
        <v>20392</v>
      </c>
      <c r="C20515">
        <v>16669</v>
      </c>
      <c r="D20515" t="str">
        <f>"0025-8431"</f>
        <v>0025-8431</v>
      </c>
      <c r="E20515" t="s">
        <v>8</v>
      </c>
      <c r="F20515" t="s">
        <v>20532</v>
      </c>
      <c r="G20515">
        <v>1</v>
      </c>
    </row>
    <row r="20516" spans="1:7" x14ac:dyDescent="0.25">
      <c r="A20516">
        <v>68</v>
      </c>
      <c r="B20516" t="s">
        <v>20392</v>
      </c>
      <c r="C20516">
        <v>69294</v>
      </c>
      <c r="D20516" t="str">
        <f>"1231-1960"</f>
        <v>1231-1960</v>
      </c>
      <c r="E20516" t="s">
        <v>8</v>
      </c>
      <c r="F20516" t="s">
        <v>20533</v>
      </c>
      <c r="G20516">
        <v>1</v>
      </c>
    </row>
    <row r="20517" spans="1:7" x14ac:dyDescent="0.25">
      <c r="A20517">
        <v>68</v>
      </c>
      <c r="B20517" t="s">
        <v>20392</v>
      </c>
      <c r="C20517">
        <v>2444</v>
      </c>
      <c r="D20517" t="str">
        <f>"0815-0796"</f>
        <v>0815-0796</v>
      </c>
      <c r="E20517" t="s">
        <v>8</v>
      </c>
      <c r="F20517" t="s">
        <v>20534</v>
      </c>
      <c r="G20517">
        <v>1</v>
      </c>
    </row>
    <row r="20518" spans="1:7" x14ac:dyDescent="0.25">
      <c r="A20518">
        <v>68</v>
      </c>
      <c r="B20518" t="s">
        <v>20392</v>
      </c>
      <c r="C20518">
        <v>26454</v>
      </c>
      <c r="D20518" t="str">
        <f>"1593-7879"</f>
        <v>1593-7879</v>
      </c>
      <c r="E20518" t="s">
        <v>8</v>
      </c>
      <c r="F20518" t="s">
        <v>20535</v>
      </c>
      <c r="G20518">
        <v>1</v>
      </c>
    </row>
    <row r="20519" spans="1:7" x14ac:dyDescent="0.25">
      <c r="A20519">
        <v>68</v>
      </c>
      <c r="B20519" t="s">
        <v>20392</v>
      </c>
      <c r="C20519">
        <v>103867</v>
      </c>
      <c r="D20519" t="str">
        <f>"0590-451X"</f>
        <v>0590-451X</v>
      </c>
      <c r="E20519" t="s">
        <v>8</v>
      </c>
      <c r="F20519" t="s">
        <v>20536</v>
      </c>
      <c r="G20519">
        <v>1</v>
      </c>
    </row>
    <row r="20520" spans="1:7" x14ac:dyDescent="0.25">
      <c r="A20520">
        <v>68</v>
      </c>
      <c r="B20520" t="s">
        <v>20392</v>
      </c>
      <c r="C20520">
        <v>6212024</v>
      </c>
      <c r="E20520" t="s">
        <v>8</v>
      </c>
      <c r="F20520" t="s">
        <v>20537</v>
      </c>
      <c r="G20520">
        <v>1</v>
      </c>
    </row>
    <row r="20521" spans="1:7" x14ac:dyDescent="0.25">
      <c r="A20521">
        <v>68</v>
      </c>
      <c r="B20521" t="s">
        <v>20392</v>
      </c>
      <c r="C20521">
        <v>94810</v>
      </c>
      <c r="D20521" t="str">
        <f>"1092-7360"</f>
        <v>1092-7360</v>
      </c>
      <c r="E20521" t="s">
        <v>8</v>
      </c>
      <c r="F20521" t="s">
        <v>20538</v>
      </c>
      <c r="G20521">
        <v>1</v>
      </c>
    </row>
    <row r="20522" spans="1:7" x14ac:dyDescent="0.25">
      <c r="A20522">
        <v>68</v>
      </c>
      <c r="B20522" t="s">
        <v>20392</v>
      </c>
      <c r="C20522">
        <v>7737641</v>
      </c>
      <c r="D20522" t="str">
        <f>"2050-1242"</f>
        <v>2050-1242</v>
      </c>
      <c r="E20522" t="s">
        <v>8</v>
      </c>
      <c r="F20522" t="s">
        <v>20539</v>
      </c>
      <c r="G20522">
        <v>1</v>
      </c>
    </row>
    <row r="20523" spans="1:7" x14ac:dyDescent="0.25">
      <c r="A20523">
        <v>68</v>
      </c>
      <c r="B20523" t="s">
        <v>20392</v>
      </c>
      <c r="C20523">
        <v>107955</v>
      </c>
      <c r="D20523" t="str">
        <f>"1106-5605"</f>
        <v>1106-5605</v>
      </c>
      <c r="E20523" t="s">
        <v>15</v>
      </c>
      <c r="F20523" t="s">
        <v>20540</v>
      </c>
      <c r="G20523">
        <v>1</v>
      </c>
    </row>
    <row r="20524" spans="1:7" x14ac:dyDescent="0.25">
      <c r="A20524">
        <v>68</v>
      </c>
      <c r="B20524" t="s">
        <v>20392</v>
      </c>
      <c r="C20524">
        <v>8922</v>
      </c>
      <c r="D20524" t="str">
        <f>"0262-4079"</f>
        <v>0262-4079</v>
      </c>
      <c r="E20524" t="s">
        <v>8</v>
      </c>
      <c r="F20524" t="s">
        <v>20541</v>
      </c>
      <c r="G20524">
        <v>1</v>
      </c>
    </row>
    <row r="20525" spans="1:7" x14ac:dyDescent="0.25">
      <c r="A20525">
        <v>68</v>
      </c>
      <c r="B20525" t="s">
        <v>20392</v>
      </c>
      <c r="C20525">
        <v>20064</v>
      </c>
      <c r="D20525" t="str">
        <f>"0801-3500"</f>
        <v>0801-3500</v>
      </c>
      <c r="E20525" t="s">
        <v>8</v>
      </c>
      <c r="F20525" t="s">
        <v>20542</v>
      </c>
      <c r="G20525">
        <v>1</v>
      </c>
    </row>
    <row r="20526" spans="1:7" x14ac:dyDescent="0.25">
      <c r="A20526">
        <v>68</v>
      </c>
      <c r="B20526" t="s">
        <v>20392</v>
      </c>
      <c r="C20526">
        <v>5934</v>
      </c>
      <c r="D20526" t="str">
        <f>"0029-4527"</f>
        <v>0029-4527</v>
      </c>
      <c r="E20526" t="s">
        <v>8</v>
      </c>
      <c r="F20526" t="s">
        <v>20543</v>
      </c>
      <c r="G20526">
        <v>1</v>
      </c>
    </row>
    <row r="20527" spans="1:7" x14ac:dyDescent="0.25">
      <c r="A20527">
        <v>68</v>
      </c>
      <c r="B20527" t="s">
        <v>20392</v>
      </c>
      <c r="C20527">
        <v>4288</v>
      </c>
      <c r="D20527" t="str">
        <f>"0036-6978"</f>
        <v>0036-6978</v>
      </c>
      <c r="E20527" t="s">
        <v>8</v>
      </c>
      <c r="F20527" t="s">
        <v>20544</v>
      </c>
      <c r="G20527">
        <v>1</v>
      </c>
    </row>
    <row r="20528" spans="1:7" x14ac:dyDescent="0.25">
      <c r="A20528">
        <v>68</v>
      </c>
      <c r="B20528" t="s">
        <v>20392</v>
      </c>
      <c r="C20528">
        <v>4760</v>
      </c>
      <c r="D20528" t="str">
        <f>"0394-7394"</f>
        <v>0394-7394</v>
      </c>
      <c r="E20528" t="s">
        <v>8</v>
      </c>
      <c r="F20528" t="s">
        <v>20545</v>
      </c>
      <c r="G20528">
        <v>1</v>
      </c>
    </row>
    <row r="20529" spans="1:7" x14ac:dyDescent="0.25">
      <c r="A20529">
        <v>68</v>
      </c>
      <c r="B20529" t="s">
        <v>20392</v>
      </c>
      <c r="C20529">
        <v>47825</v>
      </c>
      <c r="D20529" t="str">
        <f>"0078-6500"</f>
        <v>0078-6500</v>
      </c>
      <c r="E20529" t="s">
        <v>15</v>
      </c>
      <c r="F20529" t="s">
        <v>20546</v>
      </c>
      <c r="G20529">
        <v>1</v>
      </c>
    </row>
    <row r="20530" spans="1:7" x14ac:dyDescent="0.25">
      <c r="A20530">
        <v>68</v>
      </c>
      <c r="B20530" t="s">
        <v>20392</v>
      </c>
      <c r="C20530">
        <v>50806</v>
      </c>
      <c r="D20530" t="str">
        <f>"1303-3123"</f>
        <v>1303-3123</v>
      </c>
      <c r="E20530" t="s">
        <v>8</v>
      </c>
      <c r="F20530" t="s">
        <v>20547</v>
      </c>
      <c r="G20530">
        <v>1</v>
      </c>
    </row>
    <row r="20531" spans="1:7" x14ac:dyDescent="0.25">
      <c r="A20531">
        <v>68</v>
      </c>
      <c r="B20531" t="s">
        <v>20392</v>
      </c>
      <c r="C20531">
        <v>8783451</v>
      </c>
      <c r="E20531" t="s">
        <v>15</v>
      </c>
      <c r="F20531" t="s">
        <v>20548</v>
      </c>
      <c r="G20531">
        <v>1</v>
      </c>
    </row>
    <row r="20532" spans="1:7" x14ac:dyDescent="0.25">
      <c r="A20532">
        <v>68</v>
      </c>
      <c r="B20532" t="s">
        <v>20392</v>
      </c>
      <c r="C20532">
        <v>13459</v>
      </c>
      <c r="D20532" t="str">
        <f>"0031-5982"</f>
        <v>0031-5982</v>
      </c>
      <c r="E20532" t="s">
        <v>8</v>
      </c>
      <c r="F20532" t="s">
        <v>20549</v>
      </c>
      <c r="G20532">
        <v>1</v>
      </c>
    </row>
    <row r="20533" spans="1:7" x14ac:dyDescent="0.25">
      <c r="A20533">
        <v>68</v>
      </c>
      <c r="B20533" t="s">
        <v>20392</v>
      </c>
      <c r="C20533">
        <v>9565</v>
      </c>
      <c r="D20533" t="str">
        <f>"1063-6145"</f>
        <v>1063-6145</v>
      </c>
      <c r="E20533" t="s">
        <v>8</v>
      </c>
      <c r="F20533" t="s">
        <v>20550</v>
      </c>
      <c r="G20533">
        <v>1</v>
      </c>
    </row>
    <row r="20534" spans="1:7" x14ac:dyDescent="0.25">
      <c r="A20534">
        <v>68</v>
      </c>
      <c r="B20534" t="s">
        <v>20392</v>
      </c>
      <c r="C20534">
        <v>75826</v>
      </c>
      <c r="D20534" t="str">
        <f>"1281-2463"</f>
        <v>1281-2463</v>
      </c>
      <c r="E20534" t="s">
        <v>8</v>
      </c>
      <c r="F20534" t="s">
        <v>20551</v>
      </c>
      <c r="G20534">
        <v>1</v>
      </c>
    </row>
    <row r="20535" spans="1:7" x14ac:dyDescent="0.25">
      <c r="A20535">
        <v>68</v>
      </c>
      <c r="B20535" t="s">
        <v>20392</v>
      </c>
      <c r="C20535">
        <v>3274</v>
      </c>
      <c r="D20535" t="str">
        <f>"0048-3931"</f>
        <v>0048-3931</v>
      </c>
      <c r="E20535" t="s">
        <v>8</v>
      </c>
      <c r="F20535" t="s">
        <v>20552</v>
      </c>
      <c r="G20535">
        <v>1</v>
      </c>
    </row>
    <row r="20536" spans="1:7" x14ac:dyDescent="0.25">
      <c r="A20536">
        <v>68</v>
      </c>
      <c r="B20536" t="s">
        <v>20392</v>
      </c>
      <c r="C20536">
        <v>180165</v>
      </c>
      <c r="D20536" t="str">
        <f>"2195-9773"</f>
        <v>2195-9773</v>
      </c>
      <c r="E20536" t="s">
        <v>8</v>
      </c>
      <c r="F20536" t="s">
        <v>20553</v>
      </c>
      <c r="G20536">
        <v>1</v>
      </c>
    </row>
    <row r="20537" spans="1:7" x14ac:dyDescent="0.25">
      <c r="A20537">
        <v>68</v>
      </c>
      <c r="B20537" t="s">
        <v>20392</v>
      </c>
      <c r="C20537">
        <v>12958</v>
      </c>
      <c r="D20537" t="str">
        <f>"0031-9414"</f>
        <v>0031-9414</v>
      </c>
      <c r="E20537" t="s">
        <v>8</v>
      </c>
      <c r="F20537" t="s">
        <v>20554</v>
      </c>
      <c r="G20537">
        <v>1</v>
      </c>
    </row>
    <row r="20538" spans="1:7" x14ac:dyDescent="0.25">
      <c r="A20538">
        <v>68</v>
      </c>
      <c r="B20538" t="s">
        <v>20392</v>
      </c>
      <c r="C20538">
        <v>1012</v>
      </c>
      <c r="D20538" t="str">
        <f>"0810-9028"</f>
        <v>0810-9028</v>
      </c>
      <c r="E20538" t="s">
        <v>8</v>
      </c>
      <c r="F20538" t="s">
        <v>20555</v>
      </c>
      <c r="G20538">
        <v>1</v>
      </c>
    </row>
    <row r="20539" spans="1:7" x14ac:dyDescent="0.25">
      <c r="A20539">
        <v>68</v>
      </c>
      <c r="B20539" t="s">
        <v>20392</v>
      </c>
      <c r="C20539">
        <v>27029</v>
      </c>
      <c r="D20539" t="str">
        <f>"1135-934X"</f>
        <v>1135-934X</v>
      </c>
      <c r="E20539" t="s">
        <v>8</v>
      </c>
      <c r="F20539" t="s">
        <v>20556</v>
      </c>
      <c r="G20539">
        <v>1</v>
      </c>
    </row>
    <row r="20540" spans="1:7" x14ac:dyDescent="0.25">
      <c r="A20540">
        <v>68</v>
      </c>
      <c r="B20540" t="s">
        <v>20392</v>
      </c>
      <c r="C20540">
        <v>118104</v>
      </c>
      <c r="D20540" t="str">
        <f>"2007-381X"</f>
        <v>2007-381X</v>
      </c>
      <c r="E20540" t="s">
        <v>8</v>
      </c>
      <c r="F20540" t="s">
        <v>20557</v>
      </c>
      <c r="G20540">
        <v>1</v>
      </c>
    </row>
    <row r="20541" spans="1:7" x14ac:dyDescent="0.25">
      <c r="A20541">
        <v>68</v>
      </c>
      <c r="B20541" t="s">
        <v>20392</v>
      </c>
      <c r="C20541">
        <v>154516</v>
      </c>
      <c r="D20541" t="str">
        <f>"1757-7802"</f>
        <v>1757-7802</v>
      </c>
      <c r="E20541" t="s">
        <v>8</v>
      </c>
      <c r="F20541" t="s">
        <v>20558</v>
      </c>
      <c r="G20541">
        <v>1</v>
      </c>
    </row>
    <row r="20542" spans="1:7" x14ac:dyDescent="0.25">
      <c r="A20542">
        <v>68</v>
      </c>
      <c r="B20542" t="s">
        <v>20392</v>
      </c>
      <c r="C20542">
        <v>8782501</v>
      </c>
      <c r="D20542" t="str">
        <f>"2399-8121"</f>
        <v>2399-8121</v>
      </c>
      <c r="E20542" t="s">
        <v>8</v>
      </c>
      <c r="F20542" t="s">
        <v>20559</v>
      </c>
      <c r="G20542">
        <v>1</v>
      </c>
    </row>
    <row r="20543" spans="1:7" x14ac:dyDescent="0.25">
      <c r="A20543">
        <v>68</v>
      </c>
      <c r="B20543" t="s">
        <v>20392</v>
      </c>
      <c r="C20543">
        <v>7754166</v>
      </c>
      <c r="D20543" t="str">
        <f>"1809-0044"</f>
        <v>1809-0044</v>
      </c>
      <c r="E20543" t="s">
        <v>8</v>
      </c>
      <c r="F20543" t="s">
        <v>20560</v>
      </c>
      <c r="G20543">
        <v>1</v>
      </c>
    </row>
    <row r="20544" spans="1:7" x14ac:dyDescent="0.25">
      <c r="A20544">
        <v>68</v>
      </c>
      <c r="B20544" t="s">
        <v>20392</v>
      </c>
      <c r="C20544">
        <v>143843</v>
      </c>
      <c r="D20544" t="str">
        <f>"0035-2349"</f>
        <v>0035-2349</v>
      </c>
      <c r="E20544" t="s">
        <v>8</v>
      </c>
      <c r="F20544" t="s">
        <v>20561</v>
      </c>
      <c r="G20544">
        <v>1</v>
      </c>
    </row>
    <row r="20545" spans="1:7" x14ac:dyDescent="0.25">
      <c r="A20545">
        <v>68</v>
      </c>
      <c r="B20545" t="s">
        <v>20392</v>
      </c>
      <c r="C20545">
        <v>13557</v>
      </c>
      <c r="D20545" t="str">
        <f>"1262-022X"</f>
        <v>1262-022X</v>
      </c>
      <c r="E20545" t="s">
        <v>8</v>
      </c>
      <c r="F20545" t="s">
        <v>20562</v>
      </c>
      <c r="G20545">
        <v>1</v>
      </c>
    </row>
    <row r="20546" spans="1:7" x14ac:dyDescent="0.25">
      <c r="A20546">
        <v>68</v>
      </c>
      <c r="B20546" t="s">
        <v>20392</v>
      </c>
      <c r="C20546">
        <v>696</v>
      </c>
      <c r="D20546" t="str">
        <f>"0151-4105"</f>
        <v>0151-4105</v>
      </c>
      <c r="E20546" t="s">
        <v>8</v>
      </c>
      <c r="F20546" t="s">
        <v>20563</v>
      </c>
      <c r="G20546">
        <v>1</v>
      </c>
    </row>
    <row r="20547" spans="1:7" x14ac:dyDescent="0.25">
      <c r="A20547">
        <v>68</v>
      </c>
      <c r="B20547" t="s">
        <v>20392</v>
      </c>
      <c r="C20547">
        <v>27812</v>
      </c>
      <c r="D20547" t="str">
        <f>"1622-468X"</f>
        <v>1622-468X</v>
      </c>
      <c r="E20547" t="s">
        <v>8</v>
      </c>
      <c r="F20547" t="s">
        <v>20564</v>
      </c>
      <c r="G20547">
        <v>1</v>
      </c>
    </row>
    <row r="20548" spans="1:7" x14ac:dyDescent="0.25">
      <c r="A20548">
        <v>68</v>
      </c>
      <c r="B20548" t="s">
        <v>20392</v>
      </c>
      <c r="C20548">
        <v>9027</v>
      </c>
      <c r="D20548" t="str">
        <f>"0734-8584"</f>
        <v>0734-8584</v>
      </c>
      <c r="E20548" t="s">
        <v>8</v>
      </c>
      <c r="F20548" t="s">
        <v>20565</v>
      </c>
      <c r="G20548">
        <v>1</v>
      </c>
    </row>
    <row r="20549" spans="1:7" x14ac:dyDescent="0.25">
      <c r="A20549">
        <v>68</v>
      </c>
      <c r="B20549" t="s">
        <v>20392</v>
      </c>
      <c r="C20549">
        <v>8783450</v>
      </c>
      <c r="E20549" t="s">
        <v>15</v>
      </c>
      <c r="F20549" t="s">
        <v>555</v>
      </c>
      <c r="G20549">
        <v>1</v>
      </c>
    </row>
    <row r="20550" spans="1:7" x14ac:dyDescent="0.25">
      <c r="A20550">
        <v>68</v>
      </c>
      <c r="B20550" t="s">
        <v>20392</v>
      </c>
      <c r="C20550">
        <v>111322</v>
      </c>
      <c r="D20550" t="str">
        <f>"1345-4617"</f>
        <v>1345-4617</v>
      </c>
      <c r="E20550" t="s">
        <v>8</v>
      </c>
      <c r="F20550" t="s">
        <v>20566</v>
      </c>
      <c r="G20550">
        <v>1</v>
      </c>
    </row>
    <row r="20551" spans="1:7" x14ac:dyDescent="0.25">
      <c r="A20551">
        <v>68</v>
      </c>
      <c r="B20551" t="s">
        <v>20392</v>
      </c>
      <c r="C20551">
        <v>7737898</v>
      </c>
      <c r="D20551" t="str">
        <f>"2167-8618"</f>
        <v>2167-8618</v>
      </c>
      <c r="E20551" t="s">
        <v>8</v>
      </c>
      <c r="F20551" t="s">
        <v>20567</v>
      </c>
      <c r="G20551">
        <v>1</v>
      </c>
    </row>
    <row r="20552" spans="1:7" x14ac:dyDescent="0.25">
      <c r="A20552">
        <v>68</v>
      </c>
      <c r="B20552" t="s">
        <v>20392</v>
      </c>
      <c r="C20552">
        <v>8782599</v>
      </c>
      <c r="D20552" t="str">
        <f>"2282-7757"</f>
        <v>2282-7757</v>
      </c>
      <c r="E20552" t="s">
        <v>8</v>
      </c>
      <c r="F20552" t="s">
        <v>20568</v>
      </c>
      <c r="G20552">
        <v>1</v>
      </c>
    </row>
    <row r="20553" spans="1:7" x14ac:dyDescent="0.25">
      <c r="A20553">
        <v>68</v>
      </c>
      <c r="B20553" t="s">
        <v>20392</v>
      </c>
      <c r="C20553">
        <v>151906</v>
      </c>
      <c r="D20553" t="str">
        <f>"0036-8156"</f>
        <v>0036-8156</v>
      </c>
      <c r="E20553" t="s">
        <v>8</v>
      </c>
      <c r="F20553" t="s">
        <v>20569</v>
      </c>
      <c r="G20553">
        <v>1</v>
      </c>
    </row>
    <row r="20554" spans="1:7" x14ac:dyDescent="0.25">
      <c r="A20554">
        <v>68</v>
      </c>
      <c r="B20554" t="s">
        <v>20392</v>
      </c>
      <c r="C20554">
        <v>8779213</v>
      </c>
      <c r="D20554" t="str">
        <f>"2054-5770"</f>
        <v>2054-5770</v>
      </c>
      <c r="E20554" t="s">
        <v>8</v>
      </c>
      <c r="F20554" t="s">
        <v>20570</v>
      </c>
      <c r="G20554">
        <v>1</v>
      </c>
    </row>
    <row r="20555" spans="1:7" x14ac:dyDescent="0.25">
      <c r="A20555">
        <v>68</v>
      </c>
      <c r="B20555" t="s">
        <v>20392</v>
      </c>
      <c r="C20555">
        <v>153102</v>
      </c>
      <c r="D20555" t="str">
        <f>"1421-6329"</f>
        <v>1421-6329</v>
      </c>
      <c r="E20555" t="s">
        <v>15</v>
      </c>
      <c r="F20555" t="s">
        <v>20571</v>
      </c>
      <c r="G20555">
        <v>1</v>
      </c>
    </row>
    <row r="20556" spans="1:7" x14ac:dyDescent="0.25">
      <c r="A20556">
        <v>68</v>
      </c>
      <c r="B20556" t="s">
        <v>20392</v>
      </c>
      <c r="C20556">
        <v>78582</v>
      </c>
      <c r="D20556" t="str">
        <f>"0829-2507"</f>
        <v>0829-2507</v>
      </c>
      <c r="E20556" t="s">
        <v>8</v>
      </c>
      <c r="F20556" t="s">
        <v>20572</v>
      </c>
      <c r="G20556">
        <v>1</v>
      </c>
    </row>
    <row r="20557" spans="1:7" x14ac:dyDescent="0.25">
      <c r="A20557">
        <v>68</v>
      </c>
      <c r="B20557" t="s">
        <v>20392</v>
      </c>
      <c r="C20557">
        <v>276</v>
      </c>
      <c r="D20557" t="str">
        <f>"0368-6310"</f>
        <v>0368-6310</v>
      </c>
      <c r="E20557" t="s">
        <v>15</v>
      </c>
      <c r="F20557" t="s">
        <v>20573</v>
      </c>
      <c r="G20557">
        <v>1</v>
      </c>
    </row>
    <row r="20558" spans="1:7" x14ac:dyDescent="0.25">
      <c r="A20558">
        <v>68</v>
      </c>
      <c r="B20558" t="s">
        <v>20392</v>
      </c>
      <c r="C20558">
        <v>6956</v>
      </c>
      <c r="D20558" t="str">
        <f>"0970-0293"</f>
        <v>0970-0293</v>
      </c>
      <c r="E20558" t="s">
        <v>8</v>
      </c>
      <c r="F20558" t="s">
        <v>20574</v>
      </c>
      <c r="G20558">
        <v>1</v>
      </c>
    </row>
    <row r="20559" spans="1:7" x14ac:dyDescent="0.25">
      <c r="A20559">
        <v>68</v>
      </c>
      <c r="B20559" t="s">
        <v>20392</v>
      </c>
      <c r="C20559">
        <v>7692836</v>
      </c>
      <c r="D20559" t="str">
        <f>"1989-8487"</f>
        <v>1989-8487</v>
      </c>
      <c r="E20559" t="s">
        <v>8</v>
      </c>
      <c r="F20559" t="s">
        <v>20575</v>
      </c>
      <c r="G20559">
        <v>1</v>
      </c>
    </row>
    <row r="20560" spans="1:7" x14ac:dyDescent="0.25">
      <c r="A20560">
        <v>68</v>
      </c>
      <c r="B20560" t="s">
        <v>20392</v>
      </c>
      <c r="C20560">
        <v>115128</v>
      </c>
      <c r="D20560" t="str">
        <f>"0167-2320"</f>
        <v>0167-2320</v>
      </c>
      <c r="E20560" t="s">
        <v>15</v>
      </c>
      <c r="F20560" t="s">
        <v>20576</v>
      </c>
      <c r="G20560">
        <v>1</v>
      </c>
    </row>
    <row r="20561" spans="1:7" x14ac:dyDescent="0.25">
      <c r="A20561">
        <v>68</v>
      </c>
      <c r="B20561" t="s">
        <v>20392</v>
      </c>
      <c r="C20561">
        <v>6287671</v>
      </c>
      <c r="D20561" t="str">
        <f>"1913-0465"</f>
        <v>1913-0465</v>
      </c>
      <c r="E20561" t="s">
        <v>8</v>
      </c>
      <c r="F20561" t="s">
        <v>20577</v>
      </c>
      <c r="G20561">
        <v>1</v>
      </c>
    </row>
    <row r="20562" spans="1:7" x14ac:dyDescent="0.25">
      <c r="A20562">
        <v>68</v>
      </c>
      <c r="B20562" t="s">
        <v>20392</v>
      </c>
      <c r="C20562">
        <v>156033</v>
      </c>
      <c r="E20562" t="s">
        <v>8</v>
      </c>
      <c r="F20562" t="s">
        <v>20578</v>
      </c>
      <c r="G20562">
        <v>1</v>
      </c>
    </row>
    <row r="20563" spans="1:7" x14ac:dyDescent="0.25">
      <c r="A20563">
        <v>68</v>
      </c>
      <c r="B20563" t="s">
        <v>20392</v>
      </c>
      <c r="C20563">
        <v>8783452</v>
      </c>
      <c r="D20563" t="str">
        <f>"1573-5834"</f>
        <v>1573-5834</v>
      </c>
      <c r="E20563" t="s">
        <v>15</v>
      </c>
      <c r="F20563" t="s">
        <v>20579</v>
      </c>
      <c r="G20563">
        <v>1</v>
      </c>
    </row>
    <row r="20564" spans="1:7" x14ac:dyDescent="0.25">
      <c r="A20564">
        <v>68</v>
      </c>
      <c r="B20564" t="s">
        <v>20392</v>
      </c>
      <c r="C20564">
        <v>7502</v>
      </c>
      <c r="D20564" t="str">
        <f>"0304-0720"</f>
        <v>0304-0720</v>
      </c>
      <c r="E20564" t="s">
        <v>15</v>
      </c>
      <c r="F20564" t="s">
        <v>20580</v>
      </c>
      <c r="G20564">
        <v>1</v>
      </c>
    </row>
    <row r="20565" spans="1:7" x14ac:dyDescent="0.25">
      <c r="A20565">
        <v>68</v>
      </c>
      <c r="B20565" t="s">
        <v>20392</v>
      </c>
      <c r="C20565">
        <v>27859</v>
      </c>
      <c r="D20565" t="str">
        <f>"1876-9055"</f>
        <v>1876-9055</v>
      </c>
      <c r="E20565" t="s">
        <v>8</v>
      </c>
      <c r="F20565" t="s">
        <v>20581</v>
      </c>
      <c r="G20565">
        <v>1</v>
      </c>
    </row>
    <row r="20566" spans="1:7" x14ac:dyDescent="0.25">
      <c r="A20566">
        <v>68</v>
      </c>
      <c r="B20566" t="s">
        <v>20392</v>
      </c>
      <c r="C20566">
        <v>2431</v>
      </c>
      <c r="D20566" t="str">
        <f>"1402-9871"</f>
        <v>1402-9871</v>
      </c>
      <c r="E20566" t="s">
        <v>8</v>
      </c>
      <c r="F20566" t="s">
        <v>20582</v>
      </c>
      <c r="G20566">
        <v>1</v>
      </c>
    </row>
    <row r="20567" spans="1:7" x14ac:dyDescent="0.25">
      <c r="A20567">
        <v>68</v>
      </c>
      <c r="B20567" t="s">
        <v>20392</v>
      </c>
      <c r="C20567">
        <v>135416</v>
      </c>
      <c r="D20567" t="str">
        <f>"1680-5585"</f>
        <v>1680-5585</v>
      </c>
      <c r="E20567" t="s">
        <v>8</v>
      </c>
      <c r="F20567" t="s">
        <v>20583</v>
      </c>
      <c r="G20567">
        <v>1</v>
      </c>
    </row>
    <row r="20568" spans="1:7" x14ac:dyDescent="0.25">
      <c r="A20568">
        <v>68</v>
      </c>
      <c r="B20568" t="s">
        <v>20392</v>
      </c>
      <c r="C20568">
        <v>155796</v>
      </c>
      <c r="D20568" t="str">
        <f>"0161-7249"</f>
        <v>0161-7249</v>
      </c>
      <c r="E20568" t="s">
        <v>8</v>
      </c>
      <c r="F20568" t="s">
        <v>20584</v>
      </c>
      <c r="G20568">
        <v>1</v>
      </c>
    </row>
    <row r="20569" spans="1:7" x14ac:dyDescent="0.25">
      <c r="A20569">
        <v>68</v>
      </c>
      <c r="B20569" t="s">
        <v>20392</v>
      </c>
      <c r="C20569">
        <v>7734013</v>
      </c>
      <c r="D20569" t="str">
        <f>"1860-3610"</f>
        <v>1860-3610</v>
      </c>
      <c r="E20569" t="s">
        <v>15</v>
      </c>
      <c r="F20569" t="s">
        <v>20585</v>
      </c>
      <c r="G20569">
        <v>1</v>
      </c>
    </row>
    <row r="20570" spans="1:7" x14ac:dyDescent="0.25">
      <c r="A20570">
        <v>68</v>
      </c>
      <c r="B20570" t="s">
        <v>20392</v>
      </c>
      <c r="C20570">
        <v>9520</v>
      </c>
      <c r="D20570" t="str">
        <f>"0040-117X"</f>
        <v>0040-117X</v>
      </c>
      <c r="E20570" t="s">
        <v>8</v>
      </c>
      <c r="F20570" t="s">
        <v>20586</v>
      </c>
      <c r="G20570">
        <v>1</v>
      </c>
    </row>
    <row r="20571" spans="1:7" x14ac:dyDescent="0.25">
      <c r="A20571">
        <v>68</v>
      </c>
      <c r="B20571" t="s">
        <v>20392</v>
      </c>
      <c r="C20571">
        <v>16195</v>
      </c>
      <c r="D20571" t="str">
        <f>"0040-1625"</f>
        <v>0040-1625</v>
      </c>
      <c r="E20571" t="s">
        <v>8</v>
      </c>
      <c r="F20571" t="s">
        <v>20587</v>
      </c>
      <c r="G20571">
        <v>1</v>
      </c>
    </row>
    <row r="20572" spans="1:7" x14ac:dyDescent="0.25">
      <c r="A20572">
        <v>68</v>
      </c>
      <c r="B20572" t="s">
        <v>20392</v>
      </c>
      <c r="C20572">
        <v>6312</v>
      </c>
      <c r="D20572" t="str">
        <f>"0953-7325"</f>
        <v>0953-7325</v>
      </c>
      <c r="E20572" t="s">
        <v>8</v>
      </c>
      <c r="F20572" t="s">
        <v>20588</v>
      </c>
      <c r="G20572">
        <v>1</v>
      </c>
    </row>
    <row r="20573" spans="1:7" x14ac:dyDescent="0.25">
      <c r="A20573">
        <v>68</v>
      </c>
      <c r="B20573" t="s">
        <v>20392</v>
      </c>
      <c r="C20573">
        <v>3788</v>
      </c>
      <c r="D20573" t="str">
        <f>"1526-5161"</f>
        <v>1526-5161</v>
      </c>
      <c r="E20573" t="s">
        <v>8</v>
      </c>
      <c r="F20573" t="s">
        <v>20589</v>
      </c>
      <c r="G20573">
        <v>1</v>
      </c>
    </row>
    <row r="20574" spans="1:7" x14ac:dyDescent="0.25">
      <c r="A20574">
        <v>68</v>
      </c>
      <c r="B20574" t="s">
        <v>20392</v>
      </c>
      <c r="C20574">
        <v>28393</v>
      </c>
      <c r="D20574" t="str">
        <f>"1758-1206"</f>
        <v>1758-1206</v>
      </c>
      <c r="E20574" t="s">
        <v>8</v>
      </c>
      <c r="F20574" t="s">
        <v>20590</v>
      </c>
      <c r="G20574">
        <v>1</v>
      </c>
    </row>
    <row r="20575" spans="1:7" x14ac:dyDescent="0.25">
      <c r="A20575">
        <v>68</v>
      </c>
      <c r="B20575" t="s">
        <v>20392</v>
      </c>
      <c r="C20575">
        <v>30532</v>
      </c>
      <c r="D20575" t="str">
        <f>"1068-610X"</f>
        <v>1068-610X</v>
      </c>
      <c r="E20575" t="s">
        <v>8</v>
      </c>
      <c r="F20575" t="s">
        <v>20591</v>
      </c>
      <c r="G20575">
        <v>1</v>
      </c>
    </row>
    <row r="20576" spans="1:7" x14ac:dyDescent="0.25">
      <c r="A20576">
        <v>68</v>
      </c>
      <c r="B20576" t="s">
        <v>20392</v>
      </c>
      <c r="C20576">
        <v>122312</v>
      </c>
      <c r="D20576" t="str">
        <f>"1071-6084"</f>
        <v>1071-6084</v>
      </c>
      <c r="E20576" t="s">
        <v>8</v>
      </c>
      <c r="F20576" t="s">
        <v>20592</v>
      </c>
      <c r="G20576">
        <v>1</v>
      </c>
    </row>
    <row r="20577" spans="1:7" x14ac:dyDescent="0.25">
      <c r="A20577">
        <v>68</v>
      </c>
      <c r="B20577" t="s">
        <v>20392</v>
      </c>
      <c r="C20577">
        <v>27430</v>
      </c>
      <c r="D20577" t="str">
        <f>"0950-1096"</f>
        <v>0950-1096</v>
      </c>
      <c r="E20577" t="s">
        <v>8</v>
      </c>
      <c r="F20577" t="s">
        <v>20593</v>
      </c>
      <c r="G20577">
        <v>1</v>
      </c>
    </row>
    <row r="20578" spans="1:7" x14ac:dyDescent="0.25">
      <c r="A20578">
        <v>68</v>
      </c>
      <c r="B20578" t="s">
        <v>20392</v>
      </c>
      <c r="C20578">
        <v>8468</v>
      </c>
      <c r="D20578" t="str">
        <f>"0343-6993"</f>
        <v>0343-6993</v>
      </c>
      <c r="E20578" t="s">
        <v>8</v>
      </c>
      <c r="F20578" t="s">
        <v>20594</v>
      </c>
      <c r="G20578">
        <v>1</v>
      </c>
    </row>
    <row r="20579" spans="1:7" x14ac:dyDescent="0.25">
      <c r="A20579">
        <v>68</v>
      </c>
      <c r="B20579" t="s">
        <v>20392</v>
      </c>
      <c r="C20579">
        <v>2144</v>
      </c>
      <c r="D20579" t="str">
        <f>"0890-3670"</f>
        <v>0890-3670</v>
      </c>
      <c r="E20579" t="s">
        <v>8</v>
      </c>
      <c r="F20579" t="s">
        <v>20595</v>
      </c>
      <c r="G20579">
        <v>1</v>
      </c>
    </row>
    <row r="20580" spans="1:7" x14ac:dyDescent="0.25">
      <c r="A20580">
        <v>68</v>
      </c>
      <c r="B20580" t="s">
        <v>20392</v>
      </c>
      <c r="C20580">
        <v>1528</v>
      </c>
      <c r="D20580" t="str">
        <f>"1474-6700"</f>
        <v>1474-6700</v>
      </c>
      <c r="E20580" t="s">
        <v>8</v>
      </c>
      <c r="F20580" t="s">
        <v>20596</v>
      </c>
      <c r="G20580">
        <v>1</v>
      </c>
    </row>
    <row r="20581" spans="1:7" x14ac:dyDescent="0.25">
      <c r="A20581">
        <v>68</v>
      </c>
      <c r="B20581" t="s">
        <v>20392</v>
      </c>
      <c r="C20581">
        <v>6877</v>
      </c>
      <c r="D20581" t="str">
        <f>"1386-7415"</f>
        <v>1386-7415</v>
      </c>
      <c r="E20581" t="s">
        <v>8</v>
      </c>
      <c r="F20581" t="s">
        <v>20597</v>
      </c>
      <c r="G20581">
        <v>1</v>
      </c>
    </row>
    <row r="20582" spans="1:7" x14ac:dyDescent="0.25">
      <c r="A20582">
        <v>68</v>
      </c>
      <c r="B20582" t="s">
        <v>20392</v>
      </c>
      <c r="C20582">
        <v>121650</v>
      </c>
      <c r="D20582" t="str">
        <f>"0867-4159"</f>
        <v>0867-4159</v>
      </c>
      <c r="E20582" t="s">
        <v>8</v>
      </c>
      <c r="F20582" t="s">
        <v>20598</v>
      </c>
      <c r="G20582">
        <v>1</v>
      </c>
    </row>
    <row r="20583" spans="1:7" x14ac:dyDescent="0.25">
      <c r="A20583">
        <v>68</v>
      </c>
      <c r="B20583" t="s">
        <v>20392</v>
      </c>
      <c r="C20583">
        <v>8783027</v>
      </c>
      <c r="D20583" t="str">
        <f>"2297-2951"</f>
        <v>2297-2951</v>
      </c>
      <c r="E20583" t="s">
        <v>15</v>
      </c>
      <c r="F20583" t="s">
        <v>20599</v>
      </c>
      <c r="G20583">
        <v>1</v>
      </c>
    </row>
    <row r="20584" spans="1:7" x14ac:dyDescent="0.25">
      <c r="A20584">
        <v>68</v>
      </c>
      <c r="B20584" t="s">
        <v>20392</v>
      </c>
      <c r="C20584">
        <v>74917</v>
      </c>
      <c r="D20584" t="str">
        <f>"0929-6328"</f>
        <v>0929-6328</v>
      </c>
      <c r="E20584" t="s">
        <v>8</v>
      </c>
      <c r="F20584" t="s">
        <v>20600</v>
      </c>
      <c r="G20584">
        <v>1</v>
      </c>
    </row>
    <row r="20585" spans="1:7" x14ac:dyDescent="0.25">
      <c r="A20585">
        <v>68</v>
      </c>
      <c r="B20585" t="s">
        <v>20392</v>
      </c>
      <c r="C20585">
        <v>8783456</v>
      </c>
      <c r="D20585" t="str">
        <f>" 2626-0379"</f>
        <v xml:space="preserve"> 2626-0379</v>
      </c>
      <c r="E20585" t="s">
        <v>15</v>
      </c>
      <c r="F20585" t="s">
        <v>20601</v>
      </c>
      <c r="G20585">
        <v>1</v>
      </c>
    </row>
    <row r="20586" spans="1:7" x14ac:dyDescent="0.25">
      <c r="A20586">
        <v>68</v>
      </c>
      <c r="B20586" t="s">
        <v>20392</v>
      </c>
      <c r="C20586">
        <v>6331352</v>
      </c>
      <c r="D20586" t="str">
        <f>"1715-0094"</f>
        <v>1715-0094</v>
      </c>
      <c r="E20586" t="s">
        <v>8</v>
      </c>
      <c r="F20586" t="s">
        <v>20602</v>
      </c>
      <c r="G20586">
        <v>1</v>
      </c>
    </row>
    <row r="20587" spans="1:7" x14ac:dyDescent="0.25">
      <c r="A20587">
        <v>68</v>
      </c>
      <c r="B20587" t="s">
        <v>20392</v>
      </c>
      <c r="C20587">
        <v>2867</v>
      </c>
      <c r="D20587" t="str">
        <f>"0179-4639"</f>
        <v>0179-4639</v>
      </c>
      <c r="E20587" t="s">
        <v>15</v>
      </c>
      <c r="F20587" t="s">
        <v>20603</v>
      </c>
      <c r="G20587">
        <v>1</v>
      </c>
    </row>
    <row r="20588" spans="1:7" x14ac:dyDescent="0.25">
      <c r="A20588">
        <v>68</v>
      </c>
      <c r="B20588" t="s">
        <v>20392</v>
      </c>
      <c r="C20588">
        <v>7493</v>
      </c>
      <c r="D20588" t="str">
        <f>"0591-2385"</f>
        <v>0591-2385</v>
      </c>
      <c r="E20588" t="s">
        <v>8</v>
      </c>
      <c r="F20588" t="s">
        <v>20604</v>
      </c>
      <c r="G20588">
        <v>1</v>
      </c>
    </row>
    <row r="20589" spans="1:7" x14ac:dyDescent="0.25">
      <c r="A20589">
        <v>7</v>
      </c>
      <c r="B20589" t="s">
        <v>20605</v>
      </c>
      <c r="C20589">
        <v>16537</v>
      </c>
      <c r="D20589" t="str">
        <f>"0148-2076"</f>
        <v>0148-2076</v>
      </c>
      <c r="E20589" t="s">
        <v>8</v>
      </c>
      <c r="F20589" t="s">
        <v>20606</v>
      </c>
      <c r="G20589">
        <v>2</v>
      </c>
    </row>
    <row r="20590" spans="1:7" x14ac:dyDescent="0.25">
      <c r="A20590">
        <v>7</v>
      </c>
      <c r="B20590" t="s">
        <v>20605</v>
      </c>
      <c r="C20590">
        <v>5385</v>
      </c>
      <c r="D20590" t="str">
        <f>"0001-6241"</f>
        <v>0001-6241</v>
      </c>
      <c r="E20590" t="s">
        <v>8</v>
      </c>
      <c r="F20590" t="s">
        <v>20607</v>
      </c>
      <c r="G20590">
        <v>2</v>
      </c>
    </row>
    <row r="20591" spans="1:7" x14ac:dyDescent="0.25">
      <c r="A20591">
        <v>7</v>
      </c>
      <c r="B20591" t="s">
        <v>20605</v>
      </c>
      <c r="C20591">
        <v>7774</v>
      </c>
      <c r="D20591" t="str">
        <f>"0734-4392"</f>
        <v>0734-4392</v>
      </c>
      <c r="E20591" t="s">
        <v>8</v>
      </c>
      <c r="F20591" t="s">
        <v>20608</v>
      </c>
      <c r="G20591">
        <v>2</v>
      </c>
    </row>
    <row r="20592" spans="1:7" x14ac:dyDescent="0.25">
      <c r="A20592">
        <v>7</v>
      </c>
      <c r="B20592" t="s">
        <v>20605</v>
      </c>
      <c r="C20592">
        <v>2081</v>
      </c>
      <c r="D20592" t="str">
        <f>"0003-9292"</f>
        <v>0003-9292</v>
      </c>
      <c r="E20592" t="s">
        <v>8</v>
      </c>
      <c r="F20592" t="s">
        <v>20609</v>
      </c>
      <c r="G20592">
        <v>2</v>
      </c>
    </row>
    <row r="20593" spans="1:7" x14ac:dyDescent="0.25">
      <c r="A20593">
        <v>7</v>
      </c>
      <c r="B20593" t="s">
        <v>20605</v>
      </c>
      <c r="C20593">
        <v>6023427</v>
      </c>
      <c r="D20593" t="str">
        <f>"1753-3015"</f>
        <v>1753-3015</v>
      </c>
      <c r="E20593" t="s">
        <v>8</v>
      </c>
      <c r="F20593" t="s">
        <v>20610</v>
      </c>
      <c r="G20593">
        <v>2</v>
      </c>
    </row>
    <row r="20594" spans="1:7" x14ac:dyDescent="0.25">
      <c r="A20594">
        <v>7</v>
      </c>
      <c r="B20594" t="s">
        <v>20605</v>
      </c>
      <c r="C20594">
        <v>15686</v>
      </c>
      <c r="D20594" t="str">
        <f>"0742-5457"</f>
        <v>0742-5457</v>
      </c>
      <c r="E20594" t="s">
        <v>8</v>
      </c>
      <c r="F20594" t="s">
        <v>20611</v>
      </c>
      <c r="G20594">
        <v>2</v>
      </c>
    </row>
    <row r="20595" spans="1:7" x14ac:dyDescent="0.25">
      <c r="A20595">
        <v>7</v>
      </c>
      <c r="B20595" t="s">
        <v>20605</v>
      </c>
      <c r="C20595">
        <v>27746</v>
      </c>
      <c r="D20595" t="str">
        <f>"0334-5963"</f>
        <v>0334-5963</v>
      </c>
      <c r="E20595" t="s">
        <v>8</v>
      </c>
      <c r="F20595" t="s">
        <v>20612</v>
      </c>
      <c r="G20595">
        <v>2</v>
      </c>
    </row>
    <row r="20596" spans="1:7" x14ac:dyDescent="0.25">
      <c r="A20596">
        <v>7</v>
      </c>
      <c r="B20596" t="s">
        <v>20605</v>
      </c>
      <c r="C20596">
        <v>9818</v>
      </c>
      <c r="D20596" t="str">
        <f>"0265-0517"</f>
        <v>0265-0517</v>
      </c>
      <c r="E20596" t="s">
        <v>8</v>
      </c>
      <c r="F20596" t="s">
        <v>20613</v>
      </c>
      <c r="G20596">
        <v>2</v>
      </c>
    </row>
    <row r="20597" spans="1:7" x14ac:dyDescent="0.25">
      <c r="A20597">
        <v>7</v>
      </c>
      <c r="B20597" t="s">
        <v>20605</v>
      </c>
      <c r="C20597">
        <v>16555</v>
      </c>
      <c r="D20597" t="str">
        <f>"0954-5867"</f>
        <v>0954-5867</v>
      </c>
      <c r="E20597" t="s">
        <v>8</v>
      </c>
      <c r="F20597" t="s">
        <v>20614</v>
      </c>
      <c r="G20597">
        <v>2</v>
      </c>
    </row>
    <row r="20598" spans="1:7" x14ac:dyDescent="0.25">
      <c r="A20598">
        <v>7</v>
      </c>
      <c r="B20598" t="s">
        <v>20605</v>
      </c>
      <c r="C20598">
        <v>4624</v>
      </c>
      <c r="D20598" t="str">
        <f>"0148-9267"</f>
        <v>0148-9267</v>
      </c>
      <c r="E20598" t="s">
        <v>8</v>
      </c>
      <c r="F20598" t="s">
        <v>20615</v>
      </c>
      <c r="G20598">
        <v>2</v>
      </c>
    </row>
    <row r="20599" spans="1:7" x14ac:dyDescent="0.25">
      <c r="A20599">
        <v>7</v>
      </c>
      <c r="B20599" t="s">
        <v>20605</v>
      </c>
      <c r="C20599">
        <v>1741</v>
      </c>
      <c r="D20599" t="str">
        <f>"0264-2875"</f>
        <v>0264-2875</v>
      </c>
      <c r="E20599" t="s">
        <v>8</v>
      </c>
      <c r="F20599" t="s">
        <v>20616</v>
      </c>
      <c r="G20599">
        <v>2</v>
      </c>
    </row>
    <row r="20600" spans="1:7" x14ac:dyDescent="0.25">
      <c r="A20600">
        <v>7</v>
      </c>
      <c r="B20600" t="s">
        <v>20605</v>
      </c>
      <c r="C20600">
        <v>14095</v>
      </c>
      <c r="D20600" t="str">
        <f>"0306-1078"</f>
        <v>0306-1078</v>
      </c>
      <c r="E20600" t="s">
        <v>8</v>
      </c>
      <c r="F20600" t="s">
        <v>20617</v>
      </c>
      <c r="G20600">
        <v>2</v>
      </c>
    </row>
    <row r="20601" spans="1:7" x14ac:dyDescent="0.25">
      <c r="A20601">
        <v>7</v>
      </c>
      <c r="B20601" t="s">
        <v>20605</v>
      </c>
      <c r="C20601">
        <v>3186</v>
      </c>
      <c r="D20601" t="str">
        <f>"0261-1279"</f>
        <v>0261-1279</v>
      </c>
      <c r="E20601" t="s">
        <v>8</v>
      </c>
      <c r="F20601" t="s">
        <v>20618</v>
      </c>
      <c r="G20601">
        <v>2</v>
      </c>
    </row>
    <row r="20602" spans="1:7" x14ac:dyDescent="0.25">
      <c r="A20602">
        <v>7</v>
      </c>
      <c r="B20602" t="s">
        <v>20605</v>
      </c>
      <c r="C20602">
        <v>20889</v>
      </c>
      <c r="D20602" t="str">
        <f>"1478-5706"</f>
        <v>1478-5706</v>
      </c>
      <c r="E20602" t="s">
        <v>8</v>
      </c>
      <c r="F20602" t="s">
        <v>20619</v>
      </c>
      <c r="G20602">
        <v>2</v>
      </c>
    </row>
    <row r="20603" spans="1:7" x14ac:dyDescent="0.25">
      <c r="A20603">
        <v>7</v>
      </c>
      <c r="B20603" t="s">
        <v>20605</v>
      </c>
      <c r="C20603">
        <v>16469</v>
      </c>
      <c r="D20603" t="str">
        <f>"0014-1836"</f>
        <v>0014-1836</v>
      </c>
      <c r="E20603" t="s">
        <v>8</v>
      </c>
      <c r="F20603" t="s">
        <v>20620</v>
      </c>
      <c r="G20603">
        <v>2</v>
      </c>
    </row>
    <row r="20604" spans="1:7" x14ac:dyDescent="0.25">
      <c r="A20604">
        <v>7</v>
      </c>
      <c r="B20604" t="s">
        <v>20605</v>
      </c>
      <c r="C20604">
        <v>11981</v>
      </c>
      <c r="D20604" t="str">
        <f>"1741-1912"</f>
        <v>1741-1912</v>
      </c>
      <c r="E20604" t="s">
        <v>8</v>
      </c>
      <c r="F20604" t="s">
        <v>20621</v>
      </c>
      <c r="G20604">
        <v>2</v>
      </c>
    </row>
    <row r="20605" spans="1:7" x14ac:dyDescent="0.25">
      <c r="A20605">
        <v>7</v>
      </c>
      <c r="B20605" t="s">
        <v>20605</v>
      </c>
      <c r="C20605">
        <v>11624</v>
      </c>
      <c r="D20605" t="str">
        <f>"1480-8986"</f>
        <v>1480-8986</v>
      </c>
      <c r="E20605" t="s">
        <v>8</v>
      </c>
      <c r="F20605" t="s">
        <v>20622</v>
      </c>
      <c r="G20605">
        <v>2</v>
      </c>
    </row>
    <row r="20606" spans="1:7" x14ac:dyDescent="0.25">
      <c r="A20606">
        <v>7</v>
      </c>
      <c r="B20606" t="s">
        <v>20605</v>
      </c>
      <c r="C20606">
        <v>12506</v>
      </c>
      <c r="D20606" t="str">
        <f>"0351-5796"</f>
        <v>0351-5796</v>
      </c>
      <c r="E20606" t="s">
        <v>8</v>
      </c>
      <c r="F20606" t="s">
        <v>20623</v>
      </c>
      <c r="G20606">
        <v>2</v>
      </c>
    </row>
    <row r="20607" spans="1:7" x14ac:dyDescent="0.25">
      <c r="A20607">
        <v>7</v>
      </c>
      <c r="B20607" t="s">
        <v>20605</v>
      </c>
      <c r="C20607">
        <v>14227</v>
      </c>
      <c r="D20607" t="str">
        <f>"0022-2909"</f>
        <v>0022-2909</v>
      </c>
      <c r="E20607" t="s">
        <v>8</v>
      </c>
      <c r="F20607" t="s">
        <v>20624</v>
      </c>
      <c r="G20607">
        <v>2</v>
      </c>
    </row>
    <row r="20608" spans="1:7" x14ac:dyDescent="0.25">
      <c r="A20608">
        <v>7</v>
      </c>
      <c r="B20608" t="s">
        <v>20605</v>
      </c>
      <c r="C20608">
        <v>10738</v>
      </c>
      <c r="D20608" t="str">
        <f>"0022-2917"</f>
        <v>0022-2917</v>
      </c>
      <c r="E20608" t="s">
        <v>8</v>
      </c>
      <c r="F20608" t="s">
        <v>20625</v>
      </c>
      <c r="G20608">
        <v>2</v>
      </c>
    </row>
    <row r="20609" spans="1:7" x14ac:dyDescent="0.25">
      <c r="A20609">
        <v>7</v>
      </c>
      <c r="B20609" t="s">
        <v>20605</v>
      </c>
      <c r="C20609">
        <v>6740</v>
      </c>
      <c r="D20609" t="str">
        <f>"0141-1896"</f>
        <v>0141-1896</v>
      </c>
      <c r="E20609" t="s">
        <v>8</v>
      </c>
      <c r="F20609" t="s">
        <v>20626</v>
      </c>
      <c r="G20609">
        <v>2</v>
      </c>
    </row>
    <row r="20610" spans="1:7" x14ac:dyDescent="0.25">
      <c r="A20610">
        <v>7</v>
      </c>
      <c r="B20610" t="s">
        <v>20605</v>
      </c>
      <c r="C20610">
        <v>15956</v>
      </c>
      <c r="D20610" t="str">
        <f>"0929-8215"</f>
        <v>0929-8215</v>
      </c>
      <c r="E20610" t="s">
        <v>8</v>
      </c>
      <c r="F20610" t="s">
        <v>20627</v>
      </c>
      <c r="G20610">
        <v>2</v>
      </c>
    </row>
    <row r="20611" spans="1:7" x14ac:dyDescent="0.25">
      <c r="A20611">
        <v>7</v>
      </c>
      <c r="B20611" t="s">
        <v>20605</v>
      </c>
      <c r="C20611">
        <v>14218</v>
      </c>
      <c r="D20611" t="str">
        <f>"0022-4294"</f>
        <v>0022-4294</v>
      </c>
      <c r="E20611" t="s">
        <v>8</v>
      </c>
      <c r="F20611" t="s">
        <v>20628</v>
      </c>
      <c r="G20611">
        <v>2</v>
      </c>
    </row>
    <row r="20612" spans="1:7" x14ac:dyDescent="0.25">
      <c r="A20612">
        <v>7</v>
      </c>
      <c r="B20612" t="s">
        <v>20605</v>
      </c>
      <c r="C20612">
        <v>9830</v>
      </c>
      <c r="E20612" t="s">
        <v>8</v>
      </c>
      <c r="F20612" t="s">
        <v>20629</v>
      </c>
      <c r="G20612">
        <v>2</v>
      </c>
    </row>
    <row r="20613" spans="1:7" x14ac:dyDescent="0.25">
      <c r="A20613">
        <v>7</v>
      </c>
      <c r="B20613" t="s">
        <v>20605</v>
      </c>
      <c r="C20613">
        <v>1205</v>
      </c>
      <c r="D20613" t="str">
        <f>"0003-0139"</f>
        <v>0003-0139</v>
      </c>
      <c r="E20613" t="s">
        <v>8</v>
      </c>
      <c r="F20613" t="s">
        <v>20630</v>
      </c>
      <c r="G20613">
        <v>2</v>
      </c>
    </row>
    <row r="20614" spans="1:7" x14ac:dyDescent="0.25">
      <c r="A20614">
        <v>7</v>
      </c>
      <c r="B20614" t="s">
        <v>20605</v>
      </c>
      <c r="C20614">
        <v>15330</v>
      </c>
      <c r="D20614" t="str">
        <f>"0269-0403"</f>
        <v>0269-0403</v>
      </c>
      <c r="E20614" t="s">
        <v>8</v>
      </c>
      <c r="F20614" t="s">
        <v>20631</v>
      </c>
      <c r="G20614">
        <v>2</v>
      </c>
    </row>
    <row r="20615" spans="1:7" x14ac:dyDescent="0.25">
      <c r="A20615">
        <v>7</v>
      </c>
      <c r="B20615" t="s">
        <v>20605</v>
      </c>
      <c r="C20615">
        <v>13826</v>
      </c>
      <c r="D20615" t="str">
        <f>"0025-4606"</f>
        <v>0025-4606</v>
      </c>
      <c r="E20615" t="s">
        <v>8</v>
      </c>
      <c r="F20615" t="s">
        <v>20632</v>
      </c>
      <c r="G20615">
        <v>2</v>
      </c>
    </row>
    <row r="20616" spans="1:7" x14ac:dyDescent="0.25">
      <c r="A20616">
        <v>7</v>
      </c>
      <c r="B20616" t="s">
        <v>20605</v>
      </c>
      <c r="C20616">
        <v>12411</v>
      </c>
      <c r="D20616" t="str">
        <f>"0026-7694"</f>
        <v>0026-7694</v>
      </c>
      <c r="E20616" t="s">
        <v>8</v>
      </c>
      <c r="F20616" t="s">
        <v>20633</v>
      </c>
      <c r="G20616">
        <v>2</v>
      </c>
    </row>
    <row r="20617" spans="1:7" x14ac:dyDescent="0.25">
      <c r="A20617">
        <v>7</v>
      </c>
      <c r="B20617" t="s">
        <v>20605</v>
      </c>
      <c r="C20617">
        <v>7970</v>
      </c>
      <c r="D20617" t="str">
        <f>"0262-5245"</f>
        <v>0262-5245</v>
      </c>
      <c r="E20617" t="s">
        <v>8</v>
      </c>
      <c r="F20617" t="s">
        <v>20634</v>
      </c>
      <c r="G20617">
        <v>2</v>
      </c>
    </row>
    <row r="20618" spans="1:7" x14ac:dyDescent="0.25">
      <c r="A20618">
        <v>7</v>
      </c>
      <c r="B20618" t="s">
        <v>20605</v>
      </c>
      <c r="C20618">
        <v>16884</v>
      </c>
      <c r="D20618" t="str">
        <f>"1461-3808"</f>
        <v>1461-3808</v>
      </c>
      <c r="E20618" t="s">
        <v>8</v>
      </c>
      <c r="F20618" t="s">
        <v>20635</v>
      </c>
      <c r="G20618">
        <v>2</v>
      </c>
    </row>
    <row r="20619" spans="1:7" x14ac:dyDescent="0.25">
      <c r="A20619">
        <v>7</v>
      </c>
      <c r="B20619" t="s">
        <v>20605</v>
      </c>
      <c r="C20619">
        <v>13438</v>
      </c>
      <c r="D20619" t="str">
        <f>"0730-7829"</f>
        <v>0730-7829</v>
      </c>
      <c r="E20619" t="s">
        <v>8</v>
      </c>
      <c r="F20619" t="s">
        <v>20636</v>
      </c>
      <c r="G20619">
        <v>2</v>
      </c>
    </row>
    <row r="20620" spans="1:7" x14ac:dyDescent="0.25">
      <c r="A20620">
        <v>7</v>
      </c>
      <c r="B20620" t="s">
        <v>20605</v>
      </c>
      <c r="C20620">
        <v>10180</v>
      </c>
      <c r="D20620" t="str">
        <f>"0195-6167"</f>
        <v>0195-6167</v>
      </c>
      <c r="E20620" t="s">
        <v>8</v>
      </c>
      <c r="F20620" t="s">
        <v>20637</v>
      </c>
      <c r="G20620">
        <v>2</v>
      </c>
    </row>
    <row r="20621" spans="1:7" x14ac:dyDescent="0.25">
      <c r="A20621">
        <v>7</v>
      </c>
      <c r="B20621" t="s">
        <v>20605</v>
      </c>
      <c r="C20621">
        <v>13993</v>
      </c>
      <c r="D20621" t="str">
        <f>"0734-6875"</f>
        <v>0734-6875</v>
      </c>
      <c r="E20621" t="s">
        <v>8</v>
      </c>
      <c r="F20621" t="s">
        <v>20638</v>
      </c>
      <c r="G20621">
        <v>2</v>
      </c>
    </row>
    <row r="20622" spans="1:7" x14ac:dyDescent="0.25">
      <c r="A20622">
        <v>7</v>
      </c>
      <c r="B20622" t="s">
        <v>20605</v>
      </c>
      <c r="C20622">
        <v>13441</v>
      </c>
      <c r="D20622" t="str">
        <f>"1029-8649"</f>
        <v>1029-8649</v>
      </c>
      <c r="E20622" t="s">
        <v>8</v>
      </c>
      <c r="F20622" t="s">
        <v>20639</v>
      </c>
      <c r="G20622">
        <v>2</v>
      </c>
    </row>
    <row r="20623" spans="1:7" x14ac:dyDescent="0.25">
      <c r="A20623">
        <v>7</v>
      </c>
      <c r="B20623" t="s">
        <v>20605</v>
      </c>
      <c r="C20623">
        <v>12612</v>
      </c>
      <c r="D20623" t="str">
        <f>"0172-5505"</f>
        <v>0172-5505</v>
      </c>
      <c r="E20623" t="s">
        <v>8</v>
      </c>
      <c r="F20623" t="s">
        <v>20640</v>
      </c>
      <c r="G20623">
        <v>2</v>
      </c>
    </row>
    <row r="20624" spans="1:7" x14ac:dyDescent="0.25">
      <c r="A20624">
        <v>7</v>
      </c>
      <c r="B20624" t="s">
        <v>20605</v>
      </c>
      <c r="C20624">
        <v>6578</v>
      </c>
      <c r="D20624" t="str">
        <f>"0266-464X"</f>
        <v>0266-464X</v>
      </c>
      <c r="E20624" t="s">
        <v>8</v>
      </c>
      <c r="F20624" t="s">
        <v>20641</v>
      </c>
      <c r="G20624">
        <v>2</v>
      </c>
    </row>
    <row r="20625" spans="1:7" x14ac:dyDescent="0.25">
      <c r="A20625">
        <v>7</v>
      </c>
      <c r="B20625" t="s">
        <v>20605</v>
      </c>
      <c r="C20625">
        <v>27689</v>
      </c>
      <c r="D20625" t="str">
        <f>"0809-8131"</f>
        <v>0809-8131</v>
      </c>
      <c r="E20625" t="s">
        <v>8</v>
      </c>
      <c r="F20625" t="s">
        <v>20642</v>
      </c>
      <c r="G20625">
        <v>2</v>
      </c>
    </row>
    <row r="20626" spans="1:7" x14ac:dyDescent="0.25">
      <c r="A20626">
        <v>7</v>
      </c>
      <c r="B20626" t="s">
        <v>20605</v>
      </c>
      <c r="C20626">
        <v>8691</v>
      </c>
      <c r="D20626" t="str">
        <f>"0904-6380"</f>
        <v>0904-6380</v>
      </c>
      <c r="E20626" t="s">
        <v>8</v>
      </c>
      <c r="F20626" t="s">
        <v>20643</v>
      </c>
      <c r="G20626">
        <v>2</v>
      </c>
    </row>
    <row r="20627" spans="1:7" x14ac:dyDescent="0.25">
      <c r="A20627">
        <v>7</v>
      </c>
      <c r="B20627" t="s">
        <v>20605</v>
      </c>
      <c r="C20627">
        <v>13235</v>
      </c>
      <c r="D20627" t="str">
        <f>"1355-7718"</f>
        <v>1355-7718</v>
      </c>
      <c r="E20627" t="s">
        <v>8</v>
      </c>
      <c r="F20627" t="s">
        <v>20644</v>
      </c>
      <c r="G20627">
        <v>2</v>
      </c>
    </row>
    <row r="20628" spans="1:7" x14ac:dyDescent="0.25">
      <c r="A20628">
        <v>7</v>
      </c>
      <c r="B20628" t="s">
        <v>20605</v>
      </c>
      <c r="C20628">
        <v>16031</v>
      </c>
      <c r="D20628" t="str">
        <f>"1520-281X"</f>
        <v>1520-281X</v>
      </c>
      <c r="E20628" t="s">
        <v>8</v>
      </c>
      <c r="F20628" t="s">
        <v>20645</v>
      </c>
      <c r="G20628">
        <v>2</v>
      </c>
    </row>
    <row r="20629" spans="1:7" x14ac:dyDescent="0.25">
      <c r="A20629">
        <v>7</v>
      </c>
      <c r="B20629" t="s">
        <v>20605</v>
      </c>
      <c r="C20629">
        <v>9978</v>
      </c>
      <c r="D20629" t="str">
        <f>"1352-8165"</f>
        <v>1352-8165</v>
      </c>
      <c r="E20629" t="s">
        <v>8</v>
      </c>
      <c r="F20629" t="s">
        <v>20646</v>
      </c>
      <c r="G20629">
        <v>2</v>
      </c>
    </row>
    <row r="20630" spans="1:7" x14ac:dyDescent="0.25">
      <c r="A20630">
        <v>7</v>
      </c>
      <c r="B20630" t="s">
        <v>20605</v>
      </c>
      <c r="C20630">
        <v>13570</v>
      </c>
      <c r="D20630" t="str">
        <f>"1063-5734"</f>
        <v>1063-5734</v>
      </c>
      <c r="E20630" t="s">
        <v>8</v>
      </c>
      <c r="F20630" t="s">
        <v>20647</v>
      </c>
      <c r="G20630">
        <v>2</v>
      </c>
    </row>
    <row r="20631" spans="1:7" x14ac:dyDescent="0.25">
      <c r="A20631">
        <v>7</v>
      </c>
      <c r="B20631" t="s">
        <v>20605</v>
      </c>
      <c r="C20631">
        <v>5762</v>
      </c>
      <c r="D20631" t="str">
        <f>"0261-1430"</f>
        <v>0261-1430</v>
      </c>
      <c r="E20631" t="s">
        <v>8</v>
      </c>
      <c r="F20631" t="s">
        <v>20648</v>
      </c>
      <c r="G20631">
        <v>2</v>
      </c>
    </row>
    <row r="20632" spans="1:7" x14ac:dyDescent="0.25">
      <c r="A20632">
        <v>7</v>
      </c>
      <c r="B20632" t="s">
        <v>20605</v>
      </c>
      <c r="C20632">
        <v>12859</v>
      </c>
      <c r="D20632" t="str">
        <f>"0300-7766"</f>
        <v>0300-7766</v>
      </c>
      <c r="E20632" t="s">
        <v>8</v>
      </c>
      <c r="F20632" t="s">
        <v>20649</v>
      </c>
      <c r="G20632">
        <v>2</v>
      </c>
    </row>
    <row r="20633" spans="1:7" x14ac:dyDescent="0.25">
      <c r="A20633">
        <v>7</v>
      </c>
      <c r="B20633" t="s">
        <v>20605</v>
      </c>
      <c r="C20633">
        <v>16097</v>
      </c>
      <c r="D20633" t="str">
        <f>"1740-7133"</f>
        <v>1740-7133</v>
      </c>
      <c r="E20633" t="s">
        <v>8</v>
      </c>
      <c r="F20633" t="s">
        <v>20650</v>
      </c>
      <c r="G20633">
        <v>2</v>
      </c>
    </row>
    <row r="20634" spans="1:7" x14ac:dyDescent="0.25">
      <c r="A20634">
        <v>7</v>
      </c>
      <c r="B20634" t="s">
        <v>20605</v>
      </c>
      <c r="C20634">
        <v>3966</v>
      </c>
      <c r="D20634" t="str">
        <f>"0305-7356"</f>
        <v>0305-7356</v>
      </c>
      <c r="E20634" t="s">
        <v>8</v>
      </c>
      <c r="F20634" t="s">
        <v>20651</v>
      </c>
      <c r="G20634">
        <v>2</v>
      </c>
    </row>
    <row r="20635" spans="1:7" x14ac:dyDescent="0.25">
      <c r="A20635">
        <v>7</v>
      </c>
      <c r="B20635" t="s">
        <v>20605</v>
      </c>
      <c r="C20635">
        <v>8698</v>
      </c>
      <c r="D20635" t="str">
        <f>"1464-7893"</f>
        <v>1464-7893</v>
      </c>
      <c r="E20635" t="s">
        <v>8</v>
      </c>
      <c r="F20635" t="s">
        <v>20652</v>
      </c>
      <c r="G20635">
        <v>2</v>
      </c>
    </row>
    <row r="20636" spans="1:7" x14ac:dyDescent="0.25">
      <c r="A20636">
        <v>7</v>
      </c>
      <c r="B20636" t="s">
        <v>20605</v>
      </c>
      <c r="C20636">
        <v>3184</v>
      </c>
      <c r="D20636" t="str">
        <f>"1356-9783"</f>
        <v>1356-9783</v>
      </c>
      <c r="E20636" t="s">
        <v>8</v>
      </c>
      <c r="F20636" t="s">
        <v>20653</v>
      </c>
      <c r="G20636">
        <v>2</v>
      </c>
    </row>
    <row r="20637" spans="1:7" x14ac:dyDescent="0.25">
      <c r="A20637">
        <v>7</v>
      </c>
      <c r="B20637" t="s">
        <v>20605</v>
      </c>
      <c r="C20637">
        <v>21793</v>
      </c>
      <c r="D20637" t="str">
        <f>"1321-103X"</f>
        <v>1321-103X</v>
      </c>
      <c r="E20637" t="s">
        <v>8</v>
      </c>
      <c r="F20637" t="s">
        <v>20654</v>
      </c>
      <c r="G20637">
        <v>2</v>
      </c>
    </row>
    <row r="20638" spans="1:7" x14ac:dyDescent="0.25">
      <c r="A20638">
        <v>7</v>
      </c>
      <c r="B20638" t="s">
        <v>20605</v>
      </c>
      <c r="C20638">
        <v>9149</v>
      </c>
      <c r="D20638" t="str">
        <f>"0035-1601"</f>
        <v>0035-1601</v>
      </c>
      <c r="E20638" t="s">
        <v>8</v>
      </c>
      <c r="F20638" t="s">
        <v>20655</v>
      </c>
      <c r="G20638">
        <v>2</v>
      </c>
    </row>
    <row r="20639" spans="1:7" x14ac:dyDescent="0.25">
      <c r="A20639">
        <v>7</v>
      </c>
      <c r="B20639" t="s">
        <v>20605</v>
      </c>
      <c r="C20639">
        <v>8287</v>
      </c>
      <c r="D20639" t="str">
        <f>"1054-2043"</f>
        <v>1054-2043</v>
      </c>
      <c r="E20639" t="s">
        <v>8</v>
      </c>
      <c r="F20639" t="s">
        <v>20656</v>
      </c>
      <c r="G20639">
        <v>2</v>
      </c>
    </row>
    <row r="20640" spans="1:7" x14ac:dyDescent="0.25">
      <c r="A20640">
        <v>7</v>
      </c>
      <c r="B20640" t="s">
        <v>20605</v>
      </c>
      <c r="C20640">
        <v>367</v>
      </c>
      <c r="D20640" t="str">
        <f>"0277-9269"</f>
        <v>0277-9269</v>
      </c>
      <c r="E20640" t="s">
        <v>8</v>
      </c>
      <c r="F20640" t="s">
        <v>20657</v>
      </c>
      <c r="G20640">
        <v>2</v>
      </c>
    </row>
    <row r="20641" spans="1:7" x14ac:dyDescent="0.25">
      <c r="A20641">
        <v>7</v>
      </c>
      <c r="B20641" t="s">
        <v>20605</v>
      </c>
      <c r="C20641">
        <v>898</v>
      </c>
      <c r="D20641" t="str">
        <f>"0027-4631"</f>
        <v>0027-4631</v>
      </c>
      <c r="E20641" t="s">
        <v>8</v>
      </c>
      <c r="F20641" t="s">
        <v>20658</v>
      </c>
      <c r="G20641">
        <v>2</v>
      </c>
    </row>
    <row r="20642" spans="1:7" x14ac:dyDescent="0.25">
      <c r="A20642">
        <v>7</v>
      </c>
      <c r="B20642" t="s">
        <v>20605</v>
      </c>
      <c r="C20642">
        <v>16340</v>
      </c>
      <c r="D20642" t="str">
        <f>"0736-0053"</f>
        <v>0736-0053</v>
      </c>
      <c r="E20642" t="s">
        <v>8</v>
      </c>
      <c r="F20642" t="s">
        <v>20659</v>
      </c>
      <c r="G20642">
        <v>2</v>
      </c>
    </row>
    <row r="20643" spans="1:7" x14ac:dyDescent="0.25">
      <c r="A20643">
        <v>7</v>
      </c>
      <c r="B20643" t="s">
        <v>20605</v>
      </c>
      <c r="C20643">
        <v>4164</v>
      </c>
      <c r="D20643" t="str">
        <f>"0043-8774"</f>
        <v>0043-8774</v>
      </c>
      <c r="E20643" t="s">
        <v>8</v>
      </c>
      <c r="F20643" t="s">
        <v>20660</v>
      </c>
      <c r="G20643">
        <v>2</v>
      </c>
    </row>
    <row r="20644" spans="1:7" x14ac:dyDescent="0.25">
      <c r="A20644">
        <v>7</v>
      </c>
      <c r="B20644" t="s">
        <v>20605</v>
      </c>
      <c r="C20644">
        <v>1564</v>
      </c>
      <c r="D20644" t="str">
        <f>"0192-2882"</f>
        <v>0192-2882</v>
      </c>
      <c r="E20644" t="s">
        <v>8</v>
      </c>
      <c r="F20644" t="s">
        <v>20661</v>
      </c>
      <c r="G20644">
        <v>2</v>
      </c>
    </row>
    <row r="20645" spans="1:7" x14ac:dyDescent="0.25">
      <c r="A20645">
        <v>7</v>
      </c>
      <c r="B20645" t="s">
        <v>20605</v>
      </c>
      <c r="C20645">
        <v>4419</v>
      </c>
      <c r="D20645" t="str">
        <f>"0307-8833"</f>
        <v>0307-8833</v>
      </c>
      <c r="E20645" t="s">
        <v>8</v>
      </c>
      <c r="F20645" t="s">
        <v>20662</v>
      </c>
      <c r="G20645">
        <v>2</v>
      </c>
    </row>
    <row r="20646" spans="1:7" x14ac:dyDescent="0.25">
      <c r="A20646">
        <v>7</v>
      </c>
      <c r="B20646" t="s">
        <v>20605</v>
      </c>
      <c r="C20646">
        <v>8470</v>
      </c>
      <c r="D20646" t="str">
        <f>"0740-1558"</f>
        <v>0740-1558</v>
      </c>
      <c r="E20646" t="s">
        <v>8</v>
      </c>
      <c r="F20646" t="s">
        <v>20663</v>
      </c>
      <c r="G20646">
        <v>2</v>
      </c>
    </row>
    <row r="20647" spans="1:7" x14ac:dyDescent="0.25">
      <c r="A20647">
        <v>7</v>
      </c>
      <c r="B20647" t="s">
        <v>20605</v>
      </c>
      <c r="C20647">
        <v>113165</v>
      </c>
      <c r="D20647" t="str">
        <f>"1545-4517"</f>
        <v>1545-4517</v>
      </c>
      <c r="E20647" t="s">
        <v>8</v>
      </c>
      <c r="F20647" t="s">
        <v>20664</v>
      </c>
      <c r="G20647">
        <v>1</v>
      </c>
    </row>
    <row r="20648" spans="1:7" x14ac:dyDescent="0.25">
      <c r="A20648">
        <v>7</v>
      </c>
      <c r="B20648" t="s">
        <v>20605</v>
      </c>
      <c r="C20648">
        <v>170048</v>
      </c>
      <c r="E20648" t="s">
        <v>15</v>
      </c>
      <c r="F20648" t="s">
        <v>20665</v>
      </c>
      <c r="G20648">
        <v>1</v>
      </c>
    </row>
    <row r="20649" spans="1:7" x14ac:dyDescent="0.25">
      <c r="A20649">
        <v>7</v>
      </c>
      <c r="B20649" t="s">
        <v>20605</v>
      </c>
      <c r="C20649">
        <v>17936</v>
      </c>
      <c r="D20649" t="str">
        <f>"0065-4019"</f>
        <v>0065-4019</v>
      </c>
      <c r="E20649" t="s">
        <v>8</v>
      </c>
      <c r="F20649" t="s">
        <v>20666</v>
      </c>
      <c r="G20649">
        <v>1</v>
      </c>
    </row>
    <row r="20650" spans="1:7" x14ac:dyDescent="0.25">
      <c r="A20650">
        <v>7</v>
      </c>
      <c r="B20650" t="s">
        <v>20605</v>
      </c>
      <c r="C20650">
        <v>170049</v>
      </c>
      <c r="D20650" t="str">
        <f>"1904-5239"</f>
        <v>1904-5239</v>
      </c>
      <c r="E20650" t="s">
        <v>15</v>
      </c>
      <c r="F20650" t="s">
        <v>20667</v>
      </c>
      <c r="G20650">
        <v>1</v>
      </c>
    </row>
    <row r="20651" spans="1:7" x14ac:dyDescent="0.25">
      <c r="A20651">
        <v>7</v>
      </c>
      <c r="B20651" t="s">
        <v>20605</v>
      </c>
      <c r="C20651">
        <v>27404</v>
      </c>
      <c r="D20651" t="str">
        <f>"0211-3538"</f>
        <v>0211-3538</v>
      </c>
      <c r="E20651" t="s">
        <v>8</v>
      </c>
      <c r="F20651" t="s">
        <v>20668</v>
      </c>
      <c r="G20651">
        <v>1</v>
      </c>
    </row>
    <row r="20652" spans="1:7" x14ac:dyDescent="0.25">
      <c r="A20652">
        <v>7</v>
      </c>
      <c r="B20652" t="s">
        <v>20605</v>
      </c>
      <c r="C20652">
        <v>10023</v>
      </c>
      <c r="D20652" t="str">
        <f>"2049-3010"</f>
        <v>2049-3010</v>
      </c>
      <c r="E20652" t="s">
        <v>8</v>
      </c>
      <c r="F20652" t="s">
        <v>20669</v>
      </c>
      <c r="G20652">
        <v>1</v>
      </c>
    </row>
    <row r="20653" spans="1:7" x14ac:dyDescent="0.25">
      <c r="A20653">
        <v>7</v>
      </c>
      <c r="B20653" t="s">
        <v>20605</v>
      </c>
      <c r="C20653">
        <v>156412</v>
      </c>
      <c r="D20653" t="str">
        <f>"2459-3338"</f>
        <v>2459-3338</v>
      </c>
      <c r="E20653" t="s">
        <v>8</v>
      </c>
      <c r="F20653" t="s">
        <v>20670</v>
      </c>
      <c r="G20653">
        <v>1</v>
      </c>
    </row>
    <row r="20654" spans="1:7" x14ac:dyDescent="0.25">
      <c r="A20654">
        <v>7</v>
      </c>
      <c r="B20654" t="s">
        <v>20605</v>
      </c>
      <c r="C20654">
        <v>70789</v>
      </c>
      <c r="D20654" t="str">
        <f>"0587-5455"</f>
        <v>0587-5455</v>
      </c>
      <c r="E20654" t="s">
        <v>8</v>
      </c>
      <c r="F20654" t="s">
        <v>20671</v>
      </c>
      <c r="G20654">
        <v>1</v>
      </c>
    </row>
    <row r="20655" spans="1:7" x14ac:dyDescent="0.25">
      <c r="A20655">
        <v>7</v>
      </c>
      <c r="B20655" t="s">
        <v>20605</v>
      </c>
      <c r="C20655">
        <v>8783457</v>
      </c>
      <c r="E20655" t="s">
        <v>15</v>
      </c>
      <c r="F20655" t="s">
        <v>20672</v>
      </c>
      <c r="G20655">
        <v>1</v>
      </c>
    </row>
    <row r="20656" spans="1:7" x14ac:dyDescent="0.25">
      <c r="A20656">
        <v>7</v>
      </c>
      <c r="B20656" t="s">
        <v>20605</v>
      </c>
      <c r="C20656">
        <v>8783460</v>
      </c>
      <c r="E20656" t="s">
        <v>15</v>
      </c>
      <c r="F20656" t="s">
        <v>20673</v>
      </c>
      <c r="G20656">
        <v>1</v>
      </c>
    </row>
    <row r="20657" spans="1:7" x14ac:dyDescent="0.25">
      <c r="A20657">
        <v>7</v>
      </c>
      <c r="B20657" t="s">
        <v>20605</v>
      </c>
      <c r="C20657">
        <v>11273</v>
      </c>
      <c r="D20657" t="str">
        <f>"0044-9202"</f>
        <v>0044-9202</v>
      </c>
      <c r="E20657" t="s">
        <v>8</v>
      </c>
      <c r="F20657" t="s">
        <v>20674</v>
      </c>
      <c r="G20657">
        <v>1</v>
      </c>
    </row>
    <row r="20658" spans="1:7" x14ac:dyDescent="0.25">
      <c r="A20658">
        <v>7</v>
      </c>
      <c r="B20658" t="s">
        <v>20605</v>
      </c>
      <c r="C20658">
        <v>11103</v>
      </c>
      <c r="D20658" t="str">
        <f>"1036-9457"</f>
        <v>1036-9457</v>
      </c>
      <c r="E20658" t="s">
        <v>8</v>
      </c>
      <c r="F20658" t="s">
        <v>20675</v>
      </c>
      <c r="G20658">
        <v>1</v>
      </c>
    </row>
    <row r="20659" spans="1:7" x14ac:dyDescent="0.25">
      <c r="A20659">
        <v>7</v>
      </c>
      <c r="B20659" t="s">
        <v>20605</v>
      </c>
      <c r="C20659">
        <v>4478</v>
      </c>
      <c r="D20659" t="str">
        <f>"0005-3600"</f>
        <v>0005-3600</v>
      </c>
      <c r="E20659" t="s">
        <v>8</v>
      </c>
      <c r="F20659" t="s">
        <v>20676</v>
      </c>
      <c r="G20659">
        <v>1</v>
      </c>
    </row>
    <row r="20660" spans="1:7" x14ac:dyDescent="0.25">
      <c r="A20660">
        <v>7</v>
      </c>
      <c r="B20660" t="s">
        <v>20605</v>
      </c>
      <c r="C20660">
        <v>107634</v>
      </c>
      <c r="D20660" t="str">
        <f>"0084-7682"</f>
        <v>0084-7682</v>
      </c>
      <c r="E20660" t="s">
        <v>8</v>
      </c>
      <c r="F20660" t="s">
        <v>20677</v>
      </c>
      <c r="G20660">
        <v>1</v>
      </c>
    </row>
    <row r="20661" spans="1:7" x14ac:dyDescent="0.25">
      <c r="A20661">
        <v>7</v>
      </c>
      <c r="B20661" t="s">
        <v>20605</v>
      </c>
      <c r="C20661">
        <v>3015</v>
      </c>
      <c r="D20661" t="str">
        <f>"0522-0653"</f>
        <v>0522-0653</v>
      </c>
      <c r="E20661" t="s">
        <v>8</v>
      </c>
      <c r="F20661" t="s">
        <v>20678</v>
      </c>
      <c r="G20661">
        <v>1</v>
      </c>
    </row>
    <row r="20662" spans="1:7" x14ac:dyDescent="0.25">
      <c r="A20662">
        <v>7</v>
      </c>
      <c r="B20662" t="s">
        <v>20605</v>
      </c>
      <c r="C20662">
        <v>27852</v>
      </c>
      <c r="E20662" t="s">
        <v>8</v>
      </c>
      <c r="F20662" t="s">
        <v>20679</v>
      </c>
      <c r="G20662">
        <v>1</v>
      </c>
    </row>
    <row r="20663" spans="1:7" x14ac:dyDescent="0.25">
      <c r="A20663">
        <v>7</v>
      </c>
      <c r="B20663" t="s">
        <v>20605</v>
      </c>
      <c r="C20663">
        <v>26294</v>
      </c>
      <c r="D20663" t="str">
        <f>"1743-2979"</f>
        <v>1743-2979</v>
      </c>
      <c r="E20663" t="s">
        <v>8</v>
      </c>
      <c r="F20663" t="s">
        <v>20680</v>
      </c>
      <c r="G20663">
        <v>1</v>
      </c>
    </row>
    <row r="20664" spans="1:7" x14ac:dyDescent="0.25">
      <c r="A20664">
        <v>7</v>
      </c>
      <c r="B20664" t="s">
        <v>20605</v>
      </c>
      <c r="C20664">
        <v>8782514</v>
      </c>
      <c r="D20664" t="str">
        <f>"2316-994X"</f>
        <v>2316-994X</v>
      </c>
      <c r="E20664" t="s">
        <v>8</v>
      </c>
      <c r="F20664" t="s">
        <v>20681</v>
      </c>
      <c r="G20664">
        <v>1</v>
      </c>
    </row>
    <row r="20665" spans="1:7" x14ac:dyDescent="0.25">
      <c r="A20665">
        <v>7</v>
      </c>
      <c r="B20665" t="s">
        <v>20605</v>
      </c>
      <c r="C20665">
        <v>12198</v>
      </c>
      <c r="D20665" t="str">
        <f>"1359-4575"</f>
        <v>1359-4575</v>
      </c>
      <c r="E20665" t="s">
        <v>8</v>
      </c>
      <c r="F20665" t="s">
        <v>20682</v>
      </c>
      <c r="G20665">
        <v>1</v>
      </c>
    </row>
    <row r="20666" spans="1:7" x14ac:dyDescent="0.25">
      <c r="A20666">
        <v>7</v>
      </c>
      <c r="B20666" t="s">
        <v>20605</v>
      </c>
      <c r="C20666">
        <v>16134</v>
      </c>
      <c r="D20666" t="str">
        <f>"0007-5108"</f>
        <v>0007-5108</v>
      </c>
      <c r="E20666" t="s">
        <v>8</v>
      </c>
      <c r="F20666" t="s">
        <v>20683</v>
      </c>
      <c r="G20666">
        <v>1</v>
      </c>
    </row>
    <row r="20667" spans="1:7" x14ac:dyDescent="0.25">
      <c r="A20667">
        <v>7</v>
      </c>
      <c r="B20667" t="s">
        <v>20605</v>
      </c>
      <c r="C20667">
        <v>6797</v>
      </c>
      <c r="D20667" t="str">
        <f>"0010-9894"</f>
        <v>0010-9894</v>
      </c>
      <c r="E20667" t="s">
        <v>8</v>
      </c>
      <c r="F20667" t="s">
        <v>20684</v>
      </c>
      <c r="G20667">
        <v>1</v>
      </c>
    </row>
    <row r="20668" spans="1:7" x14ac:dyDescent="0.25">
      <c r="A20668">
        <v>7</v>
      </c>
      <c r="B20668" t="s">
        <v>20605</v>
      </c>
      <c r="C20668">
        <v>6783</v>
      </c>
      <c r="D20668" t="str">
        <f>"1015-5775"</f>
        <v>1015-5775</v>
      </c>
      <c r="E20668" t="s">
        <v>15</v>
      </c>
      <c r="F20668" t="s">
        <v>20685</v>
      </c>
      <c r="G20668">
        <v>1</v>
      </c>
    </row>
    <row r="20669" spans="1:7" x14ac:dyDescent="0.25">
      <c r="A20669">
        <v>7</v>
      </c>
      <c r="B20669" t="s">
        <v>20605</v>
      </c>
      <c r="C20669">
        <v>6053284</v>
      </c>
      <c r="E20669" t="s">
        <v>15</v>
      </c>
      <c r="F20669" t="s">
        <v>20686</v>
      </c>
      <c r="G20669">
        <v>1</v>
      </c>
    </row>
    <row r="20670" spans="1:7" x14ac:dyDescent="0.25">
      <c r="A20670">
        <v>7</v>
      </c>
      <c r="B20670" t="s">
        <v>20605</v>
      </c>
      <c r="C20670">
        <v>14418</v>
      </c>
      <c r="D20670" t="str">
        <f>"0315-0836"</f>
        <v>0315-0836</v>
      </c>
      <c r="E20670" t="s">
        <v>8</v>
      </c>
      <c r="F20670" t="s">
        <v>20687</v>
      </c>
      <c r="G20670">
        <v>1</v>
      </c>
    </row>
    <row r="20671" spans="1:7" x14ac:dyDescent="0.25">
      <c r="A20671">
        <v>7</v>
      </c>
      <c r="B20671" t="s">
        <v>20605</v>
      </c>
      <c r="C20671">
        <v>122317</v>
      </c>
      <c r="D20671" t="str">
        <f>"1603-3663"</f>
        <v>1603-3663</v>
      </c>
      <c r="E20671" t="s">
        <v>15</v>
      </c>
      <c r="F20671" t="s">
        <v>20688</v>
      </c>
      <c r="G20671">
        <v>1</v>
      </c>
    </row>
    <row r="20672" spans="1:7" x14ac:dyDescent="0.25">
      <c r="A20672">
        <v>7</v>
      </c>
      <c r="B20672" t="s">
        <v>20605</v>
      </c>
      <c r="C20672">
        <v>6063241</v>
      </c>
      <c r="D20672" t="str">
        <f>"2040-5669"</f>
        <v>2040-5669</v>
      </c>
      <c r="E20672" t="s">
        <v>8</v>
      </c>
      <c r="F20672" t="s">
        <v>20689</v>
      </c>
      <c r="G20672">
        <v>1</v>
      </c>
    </row>
    <row r="20673" spans="1:7" x14ac:dyDescent="0.25">
      <c r="A20673">
        <v>7</v>
      </c>
      <c r="B20673" t="s">
        <v>20605</v>
      </c>
      <c r="C20673">
        <v>154773</v>
      </c>
      <c r="D20673" t="str">
        <f>"2152-4491"</f>
        <v>2152-4491</v>
      </c>
      <c r="E20673" t="s">
        <v>8</v>
      </c>
      <c r="F20673" t="s">
        <v>20690</v>
      </c>
      <c r="G20673">
        <v>1</v>
      </c>
    </row>
    <row r="20674" spans="1:7" x14ac:dyDescent="0.25">
      <c r="A20674">
        <v>7</v>
      </c>
      <c r="B20674" t="s">
        <v>20605</v>
      </c>
      <c r="C20674">
        <v>2242</v>
      </c>
      <c r="D20674" t="str">
        <f>"0010-4078"</f>
        <v>0010-4078</v>
      </c>
      <c r="E20674" t="s">
        <v>8</v>
      </c>
      <c r="F20674" t="s">
        <v>20691</v>
      </c>
      <c r="G20674">
        <v>1</v>
      </c>
    </row>
    <row r="20675" spans="1:7" x14ac:dyDescent="0.25">
      <c r="A20675">
        <v>7</v>
      </c>
      <c r="B20675" t="s">
        <v>20605</v>
      </c>
      <c r="C20675">
        <v>70553</v>
      </c>
      <c r="D20675" t="str">
        <f>"1057-9478"</f>
        <v>1057-9478</v>
      </c>
      <c r="E20675" t="s">
        <v>8</v>
      </c>
      <c r="F20675" t="s">
        <v>20692</v>
      </c>
      <c r="G20675">
        <v>1</v>
      </c>
    </row>
    <row r="20676" spans="1:7" x14ac:dyDescent="0.25">
      <c r="A20676">
        <v>7</v>
      </c>
      <c r="B20676" t="s">
        <v>20605</v>
      </c>
      <c r="C20676">
        <v>7941</v>
      </c>
      <c r="D20676" t="str">
        <f>"0749-4467"</f>
        <v>0749-4467</v>
      </c>
      <c r="E20676" t="s">
        <v>8</v>
      </c>
      <c r="F20676" t="s">
        <v>20693</v>
      </c>
      <c r="G20676">
        <v>1</v>
      </c>
    </row>
    <row r="20677" spans="1:7" x14ac:dyDescent="0.25">
      <c r="A20677">
        <v>7</v>
      </c>
      <c r="B20677" t="s">
        <v>20605</v>
      </c>
      <c r="C20677">
        <v>7687</v>
      </c>
      <c r="D20677" t="str">
        <f>"1048-6801"</f>
        <v>1048-6801</v>
      </c>
      <c r="E20677" t="s">
        <v>8</v>
      </c>
      <c r="F20677" t="s">
        <v>20694</v>
      </c>
      <c r="G20677">
        <v>1</v>
      </c>
    </row>
    <row r="20678" spans="1:7" x14ac:dyDescent="0.25">
      <c r="A20678">
        <v>7</v>
      </c>
      <c r="B20678" t="s">
        <v>20605</v>
      </c>
      <c r="C20678">
        <v>105710</v>
      </c>
      <c r="D20678" t="str">
        <f>"1712-0624"</f>
        <v>1712-0624</v>
      </c>
      <c r="E20678" t="s">
        <v>8</v>
      </c>
      <c r="F20678" t="s">
        <v>20695</v>
      </c>
      <c r="G20678">
        <v>1</v>
      </c>
    </row>
    <row r="20679" spans="1:7" x14ac:dyDescent="0.25">
      <c r="A20679">
        <v>7</v>
      </c>
      <c r="B20679" t="s">
        <v>20605</v>
      </c>
      <c r="C20679">
        <v>9939</v>
      </c>
      <c r="D20679" t="str">
        <f>"0011-3735"</f>
        <v>0011-3735</v>
      </c>
      <c r="E20679" t="s">
        <v>8</v>
      </c>
      <c r="F20679" t="s">
        <v>20696</v>
      </c>
      <c r="G20679">
        <v>1</v>
      </c>
    </row>
    <row r="20680" spans="1:7" x14ac:dyDescent="0.25">
      <c r="A20680">
        <v>7</v>
      </c>
      <c r="B20680" t="s">
        <v>20605</v>
      </c>
      <c r="C20680">
        <v>8783008</v>
      </c>
      <c r="D20680" t="str">
        <f>"2196-6966"</f>
        <v>2196-6966</v>
      </c>
      <c r="E20680" t="s">
        <v>15</v>
      </c>
      <c r="F20680" t="s">
        <v>20697</v>
      </c>
      <c r="G20680">
        <v>1</v>
      </c>
    </row>
    <row r="20681" spans="1:7" x14ac:dyDescent="0.25">
      <c r="A20681">
        <v>7</v>
      </c>
      <c r="B20681" t="s">
        <v>20605</v>
      </c>
      <c r="C20681">
        <v>575</v>
      </c>
      <c r="D20681" t="str">
        <f>"0147-2526"</f>
        <v>0147-2526</v>
      </c>
      <c r="E20681" t="s">
        <v>8</v>
      </c>
      <c r="F20681" t="s">
        <v>20698</v>
      </c>
      <c r="G20681">
        <v>1</v>
      </c>
    </row>
    <row r="20682" spans="1:7" x14ac:dyDescent="0.25">
      <c r="A20682">
        <v>7</v>
      </c>
      <c r="B20682" t="s">
        <v>20605</v>
      </c>
      <c r="C20682">
        <v>10358</v>
      </c>
      <c r="D20682" t="str">
        <f>"0011-6009"</f>
        <v>0011-6009</v>
      </c>
      <c r="E20682" t="s">
        <v>8</v>
      </c>
      <c r="F20682" t="s">
        <v>20699</v>
      </c>
      <c r="G20682">
        <v>1</v>
      </c>
    </row>
    <row r="20683" spans="1:7" x14ac:dyDescent="0.25">
      <c r="A20683">
        <v>7</v>
      </c>
      <c r="B20683" t="s">
        <v>20605</v>
      </c>
      <c r="C20683">
        <v>14239</v>
      </c>
      <c r="D20683" t="str">
        <f>"0149-7677"</f>
        <v>0149-7677</v>
      </c>
      <c r="E20683" t="s">
        <v>8</v>
      </c>
      <c r="F20683" t="s">
        <v>20700</v>
      </c>
      <c r="G20683">
        <v>1</v>
      </c>
    </row>
    <row r="20684" spans="1:7" x14ac:dyDescent="0.25">
      <c r="A20684">
        <v>7</v>
      </c>
      <c r="B20684" t="s">
        <v>20605</v>
      </c>
      <c r="C20684">
        <v>6082946</v>
      </c>
      <c r="D20684" t="str">
        <f>"1947-5403"</f>
        <v>1947-5403</v>
      </c>
      <c r="E20684" t="s">
        <v>8</v>
      </c>
      <c r="F20684" t="s">
        <v>20701</v>
      </c>
      <c r="G20684">
        <v>1</v>
      </c>
    </row>
    <row r="20685" spans="1:7" x14ac:dyDescent="0.25">
      <c r="A20685">
        <v>7</v>
      </c>
      <c r="B20685" t="s">
        <v>20605</v>
      </c>
      <c r="C20685">
        <v>6843</v>
      </c>
      <c r="D20685" t="str">
        <f>"0011-605X"</f>
        <v>0011-605X</v>
      </c>
      <c r="E20685" t="s">
        <v>8</v>
      </c>
      <c r="F20685" t="s">
        <v>20702</v>
      </c>
      <c r="G20685">
        <v>1</v>
      </c>
    </row>
    <row r="20686" spans="1:7" x14ac:dyDescent="0.25">
      <c r="A20686">
        <v>7</v>
      </c>
      <c r="B20686" t="s">
        <v>20605</v>
      </c>
      <c r="C20686">
        <v>153754</v>
      </c>
      <c r="D20686" t="str">
        <f>"1604-9896"</f>
        <v>1604-9896</v>
      </c>
      <c r="E20686" t="s">
        <v>8</v>
      </c>
      <c r="F20686" t="s">
        <v>20703</v>
      </c>
      <c r="G20686">
        <v>1</v>
      </c>
    </row>
    <row r="20687" spans="1:7" x14ac:dyDescent="0.25">
      <c r="A20687">
        <v>7</v>
      </c>
      <c r="B20687" t="s">
        <v>20605</v>
      </c>
      <c r="C20687">
        <v>42197</v>
      </c>
      <c r="E20687" t="s">
        <v>15</v>
      </c>
      <c r="F20687" t="s">
        <v>20704</v>
      </c>
      <c r="G20687">
        <v>1</v>
      </c>
    </row>
    <row r="20688" spans="1:7" x14ac:dyDescent="0.25">
      <c r="A20688">
        <v>7</v>
      </c>
      <c r="B20688" t="s">
        <v>20605</v>
      </c>
      <c r="C20688">
        <v>65706</v>
      </c>
      <c r="D20688" t="str">
        <f>"1603-8800"</f>
        <v>1603-8800</v>
      </c>
      <c r="E20688" t="s">
        <v>8</v>
      </c>
      <c r="F20688" t="s">
        <v>20705</v>
      </c>
      <c r="G20688">
        <v>1</v>
      </c>
    </row>
    <row r="20689" spans="1:7" x14ac:dyDescent="0.25">
      <c r="A20689">
        <v>7</v>
      </c>
      <c r="B20689" t="s">
        <v>20605</v>
      </c>
      <c r="C20689">
        <v>1816</v>
      </c>
      <c r="D20689" t="str">
        <f>"1321-4853"</f>
        <v>1321-4853</v>
      </c>
      <c r="E20689" t="s">
        <v>8</v>
      </c>
      <c r="F20689" t="s">
        <v>20706</v>
      </c>
      <c r="G20689">
        <v>1</v>
      </c>
    </row>
    <row r="20690" spans="1:7" x14ac:dyDescent="0.25">
      <c r="A20690">
        <v>7</v>
      </c>
      <c r="B20690" t="s">
        <v>20605</v>
      </c>
      <c r="C20690">
        <v>15232</v>
      </c>
      <c r="D20690" t="str">
        <f>"0027-4801"</f>
        <v>0027-4801</v>
      </c>
      <c r="E20690" t="s">
        <v>8</v>
      </c>
      <c r="F20690" t="s">
        <v>20707</v>
      </c>
      <c r="G20690">
        <v>1</v>
      </c>
    </row>
    <row r="20691" spans="1:7" x14ac:dyDescent="0.25">
      <c r="A20691">
        <v>7</v>
      </c>
      <c r="B20691" t="s">
        <v>20605</v>
      </c>
      <c r="C20691">
        <v>27681</v>
      </c>
      <c r="D20691" t="str">
        <f>"1474-533X"</f>
        <v>1474-533X</v>
      </c>
      <c r="E20691" t="s">
        <v>8</v>
      </c>
      <c r="F20691" t="s">
        <v>20708</v>
      </c>
      <c r="G20691">
        <v>1</v>
      </c>
    </row>
    <row r="20692" spans="1:7" x14ac:dyDescent="0.25">
      <c r="A20692">
        <v>7</v>
      </c>
      <c r="B20692" t="s">
        <v>20605</v>
      </c>
      <c r="C20692">
        <v>23826</v>
      </c>
      <c r="D20692" t="str">
        <f>"0967-4454"</f>
        <v>0967-4454</v>
      </c>
      <c r="E20692" t="s">
        <v>8</v>
      </c>
      <c r="F20692" t="s">
        <v>20709</v>
      </c>
      <c r="G20692">
        <v>1</v>
      </c>
    </row>
    <row r="20693" spans="1:7" x14ac:dyDescent="0.25">
      <c r="A20693">
        <v>7</v>
      </c>
      <c r="B20693" t="s">
        <v>20605</v>
      </c>
      <c r="C20693">
        <v>4099</v>
      </c>
      <c r="D20693" t="str">
        <f>"0332-5296"</f>
        <v>0332-5296</v>
      </c>
      <c r="E20693" t="s">
        <v>8</v>
      </c>
      <c r="F20693" t="s">
        <v>20710</v>
      </c>
      <c r="G20693">
        <v>1</v>
      </c>
    </row>
    <row r="20694" spans="1:7" x14ac:dyDescent="0.25">
      <c r="A20694">
        <v>7</v>
      </c>
      <c r="B20694" t="s">
        <v>20605</v>
      </c>
      <c r="C20694">
        <v>180169</v>
      </c>
      <c r="D20694" t="str">
        <f>"2034-8800"</f>
        <v>2034-8800</v>
      </c>
      <c r="E20694" t="s">
        <v>8</v>
      </c>
      <c r="F20694" t="s">
        <v>20711</v>
      </c>
      <c r="G20694">
        <v>1</v>
      </c>
    </row>
    <row r="20695" spans="1:7" x14ac:dyDescent="0.25">
      <c r="A20695">
        <v>7</v>
      </c>
      <c r="B20695" t="s">
        <v>20605</v>
      </c>
      <c r="C20695">
        <v>180168</v>
      </c>
      <c r="D20695" t="str">
        <f>"2409-9708"</f>
        <v>2409-9708</v>
      </c>
      <c r="E20695" t="s">
        <v>15</v>
      </c>
      <c r="F20695" t="s">
        <v>20712</v>
      </c>
      <c r="G20695">
        <v>1</v>
      </c>
    </row>
    <row r="20696" spans="1:7" x14ac:dyDescent="0.25">
      <c r="A20696">
        <v>7</v>
      </c>
      <c r="B20696" t="s">
        <v>20605</v>
      </c>
      <c r="C20696">
        <v>11549</v>
      </c>
      <c r="D20696" t="str">
        <f>"1535-1807"</f>
        <v>1535-1807</v>
      </c>
      <c r="E20696" t="s">
        <v>8</v>
      </c>
      <c r="F20696" t="s">
        <v>20713</v>
      </c>
      <c r="G20696">
        <v>1</v>
      </c>
    </row>
    <row r="20697" spans="1:7" x14ac:dyDescent="0.25">
      <c r="A20697">
        <v>7</v>
      </c>
      <c r="B20697" t="s">
        <v>20605</v>
      </c>
      <c r="C20697">
        <v>112048</v>
      </c>
      <c r="D20697" t="str">
        <f>"1619-3903"</f>
        <v>1619-3903</v>
      </c>
      <c r="E20697" t="s">
        <v>8</v>
      </c>
      <c r="F20697" t="s">
        <v>20714</v>
      </c>
      <c r="G20697">
        <v>1</v>
      </c>
    </row>
    <row r="20698" spans="1:7" x14ac:dyDescent="0.25">
      <c r="A20698">
        <v>7</v>
      </c>
      <c r="B20698" t="s">
        <v>20605</v>
      </c>
      <c r="C20698">
        <v>3865</v>
      </c>
      <c r="E20698" t="s">
        <v>8</v>
      </c>
      <c r="F20698" t="s">
        <v>20715</v>
      </c>
      <c r="G20698">
        <v>1</v>
      </c>
    </row>
    <row r="20699" spans="1:7" x14ac:dyDescent="0.25">
      <c r="A20699">
        <v>7</v>
      </c>
      <c r="B20699" t="s">
        <v>20605</v>
      </c>
      <c r="C20699">
        <v>11438</v>
      </c>
      <c r="D20699" t="str">
        <f>"0821-4425"</f>
        <v>0821-4425</v>
      </c>
      <c r="E20699" t="s">
        <v>8</v>
      </c>
      <c r="F20699" t="s">
        <v>20716</v>
      </c>
      <c r="G20699">
        <v>1</v>
      </c>
    </row>
    <row r="20700" spans="1:7" x14ac:dyDescent="0.25">
      <c r="A20700">
        <v>7</v>
      </c>
      <c r="B20700" t="s">
        <v>20605</v>
      </c>
      <c r="C20700">
        <v>4397</v>
      </c>
      <c r="D20700" t="str">
        <f>"0097-8663"</f>
        <v>0097-8663</v>
      </c>
      <c r="E20700" t="s">
        <v>8</v>
      </c>
      <c r="F20700" t="s">
        <v>20717</v>
      </c>
      <c r="G20700">
        <v>1</v>
      </c>
    </row>
    <row r="20701" spans="1:7" x14ac:dyDescent="0.25">
      <c r="A20701">
        <v>7</v>
      </c>
      <c r="B20701" t="s">
        <v>20605</v>
      </c>
      <c r="C20701">
        <v>15108</v>
      </c>
      <c r="D20701" t="str">
        <f>"1092-7336"</f>
        <v>1092-7336</v>
      </c>
      <c r="E20701" t="s">
        <v>8</v>
      </c>
      <c r="F20701" t="s">
        <v>20718</v>
      </c>
      <c r="G20701">
        <v>1</v>
      </c>
    </row>
    <row r="20702" spans="1:7" x14ac:dyDescent="0.25">
      <c r="A20702">
        <v>7</v>
      </c>
      <c r="B20702" t="s">
        <v>20605</v>
      </c>
      <c r="C20702">
        <v>170047</v>
      </c>
      <c r="E20702" t="s">
        <v>8</v>
      </c>
      <c r="F20702" t="s">
        <v>20719</v>
      </c>
      <c r="G20702">
        <v>1</v>
      </c>
    </row>
    <row r="20703" spans="1:7" x14ac:dyDescent="0.25">
      <c r="A20703">
        <v>7</v>
      </c>
      <c r="B20703" t="s">
        <v>20605</v>
      </c>
      <c r="C20703">
        <v>8781991</v>
      </c>
      <c r="D20703" t="str">
        <f>"2504-1916"</f>
        <v>2504-1916</v>
      </c>
      <c r="E20703" t="s">
        <v>8</v>
      </c>
      <c r="F20703" t="s">
        <v>20720</v>
      </c>
      <c r="G20703">
        <v>1</v>
      </c>
    </row>
    <row r="20704" spans="1:7" x14ac:dyDescent="0.25">
      <c r="A20704">
        <v>7</v>
      </c>
      <c r="B20704" t="s">
        <v>20605</v>
      </c>
      <c r="C20704">
        <v>12611</v>
      </c>
      <c r="D20704" t="str">
        <f>"1378-2274"</f>
        <v>1378-2274</v>
      </c>
      <c r="E20704" t="s">
        <v>8</v>
      </c>
      <c r="F20704" t="s">
        <v>20721</v>
      </c>
      <c r="G20704">
        <v>1</v>
      </c>
    </row>
    <row r="20705" spans="1:7" x14ac:dyDescent="0.25">
      <c r="A20705">
        <v>7</v>
      </c>
      <c r="B20705" t="s">
        <v>20605</v>
      </c>
      <c r="C20705">
        <v>16311</v>
      </c>
      <c r="D20705" t="str">
        <f>"1582-5841"</f>
        <v>1582-5841</v>
      </c>
      <c r="E20705" t="s">
        <v>8</v>
      </c>
      <c r="F20705" t="s">
        <v>20722</v>
      </c>
      <c r="G20705">
        <v>1</v>
      </c>
    </row>
    <row r="20706" spans="1:7" x14ac:dyDescent="0.25">
      <c r="A20706">
        <v>7</v>
      </c>
      <c r="B20706" t="s">
        <v>20605</v>
      </c>
      <c r="C20706">
        <v>12695</v>
      </c>
      <c r="D20706" t="str">
        <f>"0531-9684"</f>
        <v>0531-9684</v>
      </c>
      <c r="E20706" t="s">
        <v>8</v>
      </c>
      <c r="F20706" t="s">
        <v>20723</v>
      </c>
      <c r="G20706">
        <v>1</v>
      </c>
    </row>
    <row r="20707" spans="1:7" x14ac:dyDescent="0.25">
      <c r="A20707">
        <v>7</v>
      </c>
      <c r="B20707" t="s">
        <v>20605</v>
      </c>
      <c r="C20707">
        <v>15488</v>
      </c>
      <c r="D20707" t="str">
        <f>"0015-6191"</f>
        <v>0015-6191</v>
      </c>
      <c r="E20707" t="s">
        <v>8</v>
      </c>
      <c r="F20707" t="s">
        <v>20724</v>
      </c>
      <c r="G20707">
        <v>1</v>
      </c>
    </row>
    <row r="20708" spans="1:7" x14ac:dyDescent="0.25">
      <c r="A20708">
        <v>7</v>
      </c>
      <c r="B20708" t="s">
        <v>20605</v>
      </c>
      <c r="C20708">
        <v>12838</v>
      </c>
      <c r="D20708" t="str">
        <f>"0930-5874"</f>
        <v>0930-5874</v>
      </c>
      <c r="E20708" t="s">
        <v>8</v>
      </c>
      <c r="F20708" t="s">
        <v>20725</v>
      </c>
      <c r="G20708">
        <v>1</v>
      </c>
    </row>
    <row r="20709" spans="1:7" x14ac:dyDescent="0.25">
      <c r="A20709">
        <v>7</v>
      </c>
      <c r="B20709" t="s">
        <v>20605</v>
      </c>
      <c r="C20709">
        <v>6120265</v>
      </c>
      <c r="E20709" t="s">
        <v>8</v>
      </c>
      <c r="F20709" t="s">
        <v>20726</v>
      </c>
      <c r="G20709">
        <v>1</v>
      </c>
    </row>
    <row r="20710" spans="1:7" x14ac:dyDescent="0.25">
      <c r="A20710">
        <v>7</v>
      </c>
      <c r="B20710" t="s">
        <v>20605</v>
      </c>
      <c r="C20710">
        <v>54017</v>
      </c>
      <c r="D20710" t="str">
        <f>"0440-0615"</f>
        <v>0440-0615</v>
      </c>
      <c r="E20710" t="s">
        <v>8</v>
      </c>
      <c r="F20710" t="s">
        <v>20727</v>
      </c>
      <c r="G20710">
        <v>1</v>
      </c>
    </row>
    <row r="20711" spans="1:7" x14ac:dyDescent="0.25">
      <c r="A20711">
        <v>7</v>
      </c>
      <c r="B20711" t="s">
        <v>20605</v>
      </c>
      <c r="C20711">
        <v>11744</v>
      </c>
      <c r="D20711" t="str">
        <f>"0018-7003"</f>
        <v>0018-7003</v>
      </c>
      <c r="E20711" t="s">
        <v>8</v>
      </c>
      <c r="F20711" t="s">
        <v>20728</v>
      </c>
      <c r="G20711">
        <v>1</v>
      </c>
    </row>
    <row r="20712" spans="1:7" x14ac:dyDescent="0.25">
      <c r="A20712">
        <v>7</v>
      </c>
      <c r="B20712" t="s">
        <v>20605</v>
      </c>
      <c r="C20712">
        <v>13311</v>
      </c>
      <c r="D20712" t="str">
        <f>"1901-5976"</f>
        <v>1901-5976</v>
      </c>
      <c r="E20712" t="s">
        <v>8</v>
      </c>
      <c r="F20712" t="s">
        <v>20729</v>
      </c>
      <c r="G20712">
        <v>1</v>
      </c>
    </row>
    <row r="20713" spans="1:7" x14ac:dyDescent="0.25">
      <c r="A20713">
        <v>7</v>
      </c>
      <c r="B20713" t="s">
        <v>20605</v>
      </c>
      <c r="C20713">
        <v>180167</v>
      </c>
      <c r="D20713" t="str">
        <f>"2079-3871"</f>
        <v>2079-3871</v>
      </c>
      <c r="E20713" t="s">
        <v>8</v>
      </c>
      <c r="F20713" t="s">
        <v>20730</v>
      </c>
      <c r="G20713">
        <v>1</v>
      </c>
    </row>
    <row r="20714" spans="1:7" x14ac:dyDescent="0.25">
      <c r="A20714">
        <v>7</v>
      </c>
      <c r="B20714" t="s">
        <v>20605</v>
      </c>
      <c r="C20714">
        <v>8702</v>
      </c>
      <c r="D20714" t="str">
        <f>"1123-8615"</f>
        <v>1123-8615</v>
      </c>
      <c r="E20714" t="s">
        <v>8</v>
      </c>
      <c r="F20714" t="s">
        <v>20731</v>
      </c>
      <c r="G20714">
        <v>1</v>
      </c>
    </row>
    <row r="20715" spans="1:7" x14ac:dyDescent="0.25">
      <c r="A20715">
        <v>7</v>
      </c>
      <c r="B20715" t="s">
        <v>20605</v>
      </c>
      <c r="C20715">
        <v>8782771</v>
      </c>
      <c r="D20715" t="str">
        <f>"2246-1914"</f>
        <v>2246-1914</v>
      </c>
      <c r="E20715" t="s">
        <v>15</v>
      </c>
      <c r="F20715" t="s">
        <v>20732</v>
      </c>
      <c r="G20715">
        <v>1</v>
      </c>
    </row>
    <row r="20716" spans="1:7" x14ac:dyDescent="0.25">
      <c r="A20716">
        <v>7</v>
      </c>
      <c r="B20716" t="s">
        <v>20605</v>
      </c>
      <c r="C20716">
        <v>17844</v>
      </c>
      <c r="D20716" t="str">
        <f>"0360-4365"</f>
        <v>0360-4365</v>
      </c>
      <c r="E20716" t="s">
        <v>8</v>
      </c>
      <c r="F20716" t="s">
        <v>20733</v>
      </c>
      <c r="G20716">
        <v>1</v>
      </c>
    </row>
    <row r="20717" spans="1:7" x14ac:dyDescent="0.25">
      <c r="A20717">
        <v>7</v>
      </c>
      <c r="B20717" t="s">
        <v>20605</v>
      </c>
      <c r="C20717">
        <v>8782469</v>
      </c>
      <c r="D20717" t="str">
        <f>"2317-417X"</f>
        <v>2317-417X</v>
      </c>
      <c r="E20717" t="s">
        <v>8</v>
      </c>
      <c r="F20717" t="s">
        <v>20734</v>
      </c>
      <c r="G20717">
        <v>1</v>
      </c>
    </row>
    <row r="20718" spans="1:7" x14ac:dyDescent="0.25">
      <c r="A20718">
        <v>7</v>
      </c>
      <c r="B20718" t="s">
        <v>20605</v>
      </c>
      <c r="C20718">
        <v>27796</v>
      </c>
      <c r="D20718" t="str">
        <f>"0271-8022"</f>
        <v>0271-8022</v>
      </c>
      <c r="E20718" t="s">
        <v>8</v>
      </c>
      <c r="F20718" t="s">
        <v>20735</v>
      </c>
      <c r="G20718">
        <v>1</v>
      </c>
    </row>
    <row r="20719" spans="1:7" x14ac:dyDescent="0.25">
      <c r="A20719">
        <v>7</v>
      </c>
      <c r="B20719" t="s">
        <v>20605</v>
      </c>
      <c r="C20719">
        <v>180166</v>
      </c>
      <c r="D20719" t="str">
        <f>"2009-3578"</f>
        <v>2009-3578</v>
      </c>
      <c r="E20719" t="s">
        <v>8</v>
      </c>
      <c r="F20719" t="s">
        <v>20736</v>
      </c>
      <c r="G20719">
        <v>1</v>
      </c>
    </row>
    <row r="20720" spans="1:7" x14ac:dyDescent="0.25">
      <c r="A20720">
        <v>7</v>
      </c>
      <c r="B20720" t="s">
        <v>20605</v>
      </c>
      <c r="C20720">
        <v>146823</v>
      </c>
      <c r="D20720" t="str">
        <f>"1550-7327"</f>
        <v>1550-7327</v>
      </c>
      <c r="E20720" t="s">
        <v>8</v>
      </c>
      <c r="F20720" t="s">
        <v>20737</v>
      </c>
      <c r="G20720">
        <v>1</v>
      </c>
    </row>
    <row r="20721" spans="1:7" x14ac:dyDescent="0.25">
      <c r="A20721">
        <v>7</v>
      </c>
      <c r="B20721" t="s">
        <v>20605</v>
      </c>
      <c r="C20721">
        <v>5707</v>
      </c>
      <c r="D20721" t="str">
        <f>"0255-7614"</f>
        <v>0255-7614</v>
      </c>
      <c r="E20721" t="s">
        <v>8</v>
      </c>
      <c r="F20721" t="s">
        <v>20738</v>
      </c>
      <c r="G20721">
        <v>1</v>
      </c>
    </row>
    <row r="20722" spans="1:7" x14ac:dyDescent="0.25">
      <c r="A20722">
        <v>7</v>
      </c>
      <c r="B20722" t="s">
        <v>20605</v>
      </c>
      <c r="C20722">
        <v>84537</v>
      </c>
      <c r="D20722" t="str">
        <f>"0075-2681"</f>
        <v>0075-2681</v>
      </c>
      <c r="E20722" t="s">
        <v>8</v>
      </c>
      <c r="F20722" t="s">
        <v>20739</v>
      </c>
      <c r="G20722">
        <v>1</v>
      </c>
    </row>
    <row r="20723" spans="1:7" x14ac:dyDescent="0.25">
      <c r="A20723">
        <v>7</v>
      </c>
      <c r="B20723" t="s">
        <v>20605</v>
      </c>
      <c r="C20723">
        <v>27981</v>
      </c>
      <c r="D20723" t="str">
        <f>"1861-3217"</f>
        <v>1861-3217</v>
      </c>
      <c r="E20723" t="s">
        <v>8</v>
      </c>
      <c r="F20723" t="s">
        <v>20740</v>
      </c>
      <c r="G20723">
        <v>1</v>
      </c>
    </row>
    <row r="20724" spans="1:7" x14ac:dyDescent="0.25">
      <c r="A20724">
        <v>7</v>
      </c>
      <c r="B20724" t="s">
        <v>20605</v>
      </c>
      <c r="C20724">
        <v>22599</v>
      </c>
      <c r="D20724" t="str">
        <f>"1749-4060"</f>
        <v>1749-4060</v>
      </c>
      <c r="E20724" t="s">
        <v>8</v>
      </c>
      <c r="F20724" t="s">
        <v>20741</v>
      </c>
      <c r="G20724">
        <v>1</v>
      </c>
    </row>
    <row r="20725" spans="1:7" x14ac:dyDescent="0.25">
      <c r="A20725">
        <v>7</v>
      </c>
      <c r="B20725" t="s">
        <v>20605</v>
      </c>
      <c r="C20725">
        <v>23421</v>
      </c>
      <c r="D20725" t="str">
        <f>"1753-8637"</f>
        <v>1753-8637</v>
      </c>
      <c r="E20725" t="s">
        <v>8</v>
      </c>
      <c r="F20725" t="s">
        <v>20742</v>
      </c>
      <c r="G20725">
        <v>1</v>
      </c>
    </row>
    <row r="20726" spans="1:7" x14ac:dyDescent="0.25">
      <c r="A20726">
        <v>7</v>
      </c>
      <c r="B20726" t="s">
        <v>20605</v>
      </c>
      <c r="C20726">
        <v>74686</v>
      </c>
      <c r="D20726" t="str">
        <f>"0075-3572"</f>
        <v>0075-3572</v>
      </c>
      <c r="E20726" t="s">
        <v>8</v>
      </c>
      <c r="F20726" t="s">
        <v>20743</v>
      </c>
      <c r="G20726">
        <v>1</v>
      </c>
    </row>
    <row r="20727" spans="1:7" x14ac:dyDescent="0.25">
      <c r="A20727">
        <v>7</v>
      </c>
      <c r="B20727" t="s">
        <v>20605</v>
      </c>
      <c r="C20727">
        <v>2637</v>
      </c>
      <c r="E20727" t="s">
        <v>8</v>
      </c>
      <c r="F20727" t="s">
        <v>20744</v>
      </c>
      <c r="G20727">
        <v>1</v>
      </c>
    </row>
    <row r="20728" spans="1:7" x14ac:dyDescent="0.25">
      <c r="A20728">
        <v>7</v>
      </c>
      <c r="B20728" t="s">
        <v>20605</v>
      </c>
      <c r="C20728">
        <v>144728</v>
      </c>
      <c r="D20728" t="str">
        <f>"0021-7557"</f>
        <v>0021-7557</v>
      </c>
      <c r="E20728" t="s">
        <v>8</v>
      </c>
      <c r="F20728" t="s">
        <v>20745</v>
      </c>
      <c r="G20728">
        <v>1</v>
      </c>
    </row>
    <row r="20729" spans="1:7" x14ac:dyDescent="0.25">
      <c r="A20729">
        <v>7</v>
      </c>
      <c r="B20729" t="s">
        <v>20605</v>
      </c>
      <c r="C20729">
        <v>8435</v>
      </c>
      <c r="D20729" t="str">
        <f>"1476-9395"</f>
        <v>1476-9395</v>
      </c>
      <c r="E20729" t="s">
        <v>8</v>
      </c>
      <c r="F20729" t="s">
        <v>20746</v>
      </c>
      <c r="G20729">
        <v>1</v>
      </c>
    </row>
    <row r="20730" spans="1:7" x14ac:dyDescent="0.25">
      <c r="A20730">
        <v>7</v>
      </c>
      <c r="B20730" t="s">
        <v>20605</v>
      </c>
      <c r="C20730">
        <v>9354</v>
      </c>
      <c r="D20730" t="str">
        <f>"0021-9207"</f>
        <v>0021-9207</v>
      </c>
      <c r="E20730" t="s">
        <v>8</v>
      </c>
      <c r="F20730" t="s">
        <v>20747</v>
      </c>
      <c r="G20730">
        <v>1</v>
      </c>
    </row>
    <row r="20731" spans="1:7" x14ac:dyDescent="0.25">
      <c r="A20731">
        <v>7</v>
      </c>
      <c r="B20731" t="s">
        <v>20605</v>
      </c>
      <c r="C20731">
        <v>8910</v>
      </c>
      <c r="D20731" t="str">
        <f>"0092-0517"</f>
        <v>0092-0517</v>
      </c>
      <c r="E20731" t="s">
        <v>8</v>
      </c>
      <c r="F20731" t="s">
        <v>20748</v>
      </c>
      <c r="G20731">
        <v>1</v>
      </c>
    </row>
    <row r="20732" spans="1:7" x14ac:dyDescent="0.25">
      <c r="A20732">
        <v>7</v>
      </c>
      <c r="B20732" t="s">
        <v>20605</v>
      </c>
      <c r="C20732">
        <v>19844</v>
      </c>
      <c r="D20732" t="str">
        <f>"1089-313X"</f>
        <v>1089-313X</v>
      </c>
      <c r="E20732" t="s">
        <v>8</v>
      </c>
      <c r="F20732" t="s">
        <v>20749</v>
      </c>
      <c r="G20732">
        <v>1</v>
      </c>
    </row>
    <row r="20733" spans="1:7" x14ac:dyDescent="0.25">
      <c r="A20733">
        <v>7</v>
      </c>
      <c r="B20733" t="s">
        <v>20605</v>
      </c>
      <c r="C20733">
        <v>4468</v>
      </c>
      <c r="D20733" t="str">
        <f>"0888-3203"</f>
        <v>0888-3203</v>
      </c>
      <c r="E20733" t="s">
        <v>8</v>
      </c>
      <c r="F20733" t="s">
        <v>20750</v>
      </c>
      <c r="G20733">
        <v>1</v>
      </c>
    </row>
    <row r="20734" spans="1:7" x14ac:dyDescent="0.25">
      <c r="A20734">
        <v>7</v>
      </c>
      <c r="B20734" t="s">
        <v>20605</v>
      </c>
      <c r="C20734">
        <v>53161</v>
      </c>
      <c r="D20734" t="str">
        <f>"1307-0401"</f>
        <v>1307-0401</v>
      </c>
      <c r="E20734" t="s">
        <v>8</v>
      </c>
      <c r="F20734" t="s">
        <v>20751</v>
      </c>
      <c r="G20734">
        <v>1</v>
      </c>
    </row>
    <row r="20735" spans="1:7" x14ac:dyDescent="0.25">
      <c r="A20735">
        <v>7</v>
      </c>
      <c r="B20735" t="s">
        <v>20605</v>
      </c>
      <c r="C20735">
        <v>10026</v>
      </c>
      <c r="D20735" t="str">
        <f>"1057-0837"</f>
        <v>1057-0837</v>
      </c>
      <c r="E20735" t="s">
        <v>8</v>
      </c>
      <c r="F20735" t="s">
        <v>20752</v>
      </c>
      <c r="G20735">
        <v>1</v>
      </c>
    </row>
    <row r="20736" spans="1:7" x14ac:dyDescent="0.25">
      <c r="A20736">
        <v>7</v>
      </c>
      <c r="B20736" t="s">
        <v>20605</v>
      </c>
      <c r="C20736">
        <v>3176</v>
      </c>
      <c r="D20736" t="str">
        <f>"0891-7639"</f>
        <v>0891-7639</v>
      </c>
      <c r="E20736" t="s">
        <v>8</v>
      </c>
      <c r="F20736" t="s">
        <v>20753</v>
      </c>
      <c r="G20736">
        <v>1</v>
      </c>
    </row>
    <row r="20737" spans="1:7" x14ac:dyDescent="0.25">
      <c r="A20737">
        <v>7</v>
      </c>
      <c r="B20737" t="s">
        <v>20605</v>
      </c>
      <c r="C20737">
        <v>13417</v>
      </c>
      <c r="D20737" t="str">
        <f>"1524-2226"</f>
        <v>1524-2226</v>
      </c>
      <c r="E20737" t="s">
        <v>8</v>
      </c>
      <c r="F20737" t="s">
        <v>20754</v>
      </c>
      <c r="G20737">
        <v>1</v>
      </c>
    </row>
    <row r="20738" spans="1:7" x14ac:dyDescent="0.25">
      <c r="A20738">
        <v>7</v>
      </c>
      <c r="B20738" t="s">
        <v>20605</v>
      </c>
      <c r="C20738">
        <v>41903</v>
      </c>
      <c r="D20738" t="str">
        <f>"1558-268X"</f>
        <v>1558-268X</v>
      </c>
      <c r="E20738" t="s">
        <v>8</v>
      </c>
      <c r="F20738" t="s">
        <v>20755</v>
      </c>
      <c r="G20738">
        <v>1</v>
      </c>
    </row>
    <row r="20739" spans="1:7" x14ac:dyDescent="0.25">
      <c r="A20739">
        <v>7</v>
      </c>
      <c r="B20739" t="s">
        <v>20605</v>
      </c>
      <c r="C20739">
        <v>6011331</v>
      </c>
      <c r="D20739" t="str">
        <f>"2032-5371"</f>
        <v>2032-5371</v>
      </c>
      <c r="E20739" t="s">
        <v>8</v>
      </c>
      <c r="F20739" t="s">
        <v>20756</v>
      </c>
      <c r="G20739">
        <v>1</v>
      </c>
    </row>
    <row r="20740" spans="1:7" x14ac:dyDescent="0.25">
      <c r="A20740">
        <v>7</v>
      </c>
      <c r="B20740" t="s">
        <v>20605</v>
      </c>
      <c r="C20740">
        <v>18835</v>
      </c>
      <c r="D20740" t="str">
        <f>"1752-1963"</f>
        <v>1752-1963</v>
      </c>
      <c r="E20740" t="s">
        <v>8</v>
      </c>
      <c r="F20740" t="s">
        <v>20757</v>
      </c>
      <c r="G20740">
        <v>1</v>
      </c>
    </row>
    <row r="20741" spans="1:7" x14ac:dyDescent="0.25">
      <c r="A20741">
        <v>7</v>
      </c>
      <c r="B20741" t="s">
        <v>20605</v>
      </c>
      <c r="C20741">
        <v>27264</v>
      </c>
      <c r="D20741" t="str">
        <f>"1649-7341"</f>
        <v>1649-7341</v>
      </c>
      <c r="E20741" t="s">
        <v>8</v>
      </c>
      <c r="F20741" t="s">
        <v>20758</v>
      </c>
      <c r="G20741">
        <v>1</v>
      </c>
    </row>
    <row r="20742" spans="1:7" x14ac:dyDescent="0.25">
      <c r="A20742">
        <v>7</v>
      </c>
      <c r="B20742" t="s">
        <v>20605</v>
      </c>
      <c r="C20742">
        <v>37113</v>
      </c>
      <c r="D20742" t="str">
        <f>"1754-9892"</f>
        <v>1754-9892</v>
      </c>
      <c r="E20742" t="s">
        <v>8</v>
      </c>
      <c r="F20742" t="s">
        <v>20759</v>
      </c>
      <c r="G20742">
        <v>1</v>
      </c>
    </row>
    <row r="20743" spans="1:7" x14ac:dyDescent="0.25">
      <c r="A20743">
        <v>7</v>
      </c>
      <c r="B20743" t="s">
        <v>20605</v>
      </c>
      <c r="C20743">
        <v>8782745</v>
      </c>
      <c r="E20743" t="s">
        <v>8</v>
      </c>
      <c r="F20743" t="s">
        <v>20760</v>
      </c>
      <c r="G20743">
        <v>1</v>
      </c>
    </row>
    <row r="20744" spans="1:7" x14ac:dyDescent="0.25">
      <c r="A20744">
        <v>7</v>
      </c>
      <c r="B20744" t="s">
        <v>20605</v>
      </c>
      <c r="C20744">
        <v>135227</v>
      </c>
      <c r="D20744" t="str">
        <f>"0899-6407"</f>
        <v>0899-6407</v>
      </c>
      <c r="E20744" t="s">
        <v>8</v>
      </c>
      <c r="F20744" t="s">
        <v>20761</v>
      </c>
      <c r="G20744">
        <v>1</v>
      </c>
    </row>
    <row r="20745" spans="1:7" x14ac:dyDescent="0.25">
      <c r="A20745">
        <v>7</v>
      </c>
      <c r="B20745" t="s">
        <v>20605</v>
      </c>
      <c r="C20745">
        <v>8782772</v>
      </c>
      <c r="D20745" t="str">
        <f>"1573-4528"</f>
        <v>1573-4528</v>
      </c>
      <c r="E20745" t="s">
        <v>15</v>
      </c>
      <c r="F20745" t="s">
        <v>20762</v>
      </c>
      <c r="G20745">
        <v>1</v>
      </c>
    </row>
    <row r="20746" spans="1:7" x14ac:dyDescent="0.25">
      <c r="A20746">
        <v>7</v>
      </c>
      <c r="B20746" t="s">
        <v>20605</v>
      </c>
      <c r="C20746">
        <v>1950</v>
      </c>
      <c r="D20746" t="str">
        <f>"0163-0350"</f>
        <v>0163-0350</v>
      </c>
      <c r="E20746" t="s">
        <v>8</v>
      </c>
      <c r="F20746" t="s">
        <v>20763</v>
      </c>
      <c r="G20746">
        <v>1</v>
      </c>
    </row>
    <row r="20747" spans="1:7" x14ac:dyDescent="0.25">
      <c r="A20747">
        <v>7</v>
      </c>
      <c r="B20747" t="s">
        <v>20605</v>
      </c>
      <c r="C20747">
        <v>9364</v>
      </c>
      <c r="D20747" t="str">
        <f>"0023-8813"</f>
        <v>0023-8813</v>
      </c>
      <c r="E20747" t="s">
        <v>8</v>
      </c>
      <c r="F20747" t="s">
        <v>20764</v>
      </c>
      <c r="G20747">
        <v>1</v>
      </c>
    </row>
    <row r="20748" spans="1:7" x14ac:dyDescent="0.25">
      <c r="A20748">
        <v>7</v>
      </c>
      <c r="B20748" t="s">
        <v>20605</v>
      </c>
      <c r="C20748">
        <v>13990</v>
      </c>
      <c r="D20748" t="str">
        <f>"0295-1371"</f>
        <v>0295-1371</v>
      </c>
      <c r="E20748" t="s">
        <v>8</v>
      </c>
      <c r="F20748" t="s">
        <v>20765</v>
      </c>
      <c r="G20748">
        <v>1</v>
      </c>
    </row>
    <row r="20749" spans="1:7" x14ac:dyDescent="0.25">
      <c r="A20749">
        <v>7</v>
      </c>
      <c r="B20749" t="s">
        <v>20605</v>
      </c>
      <c r="C20749">
        <v>7708650</v>
      </c>
      <c r="D20749" t="str">
        <f>"1557-2935"</f>
        <v>1557-2935</v>
      </c>
      <c r="E20749" t="s">
        <v>8</v>
      </c>
      <c r="F20749" t="s">
        <v>20766</v>
      </c>
      <c r="G20749">
        <v>1</v>
      </c>
    </row>
    <row r="20750" spans="1:7" x14ac:dyDescent="0.25">
      <c r="A20750">
        <v>7</v>
      </c>
      <c r="B20750" t="s">
        <v>20605</v>
      </c>
      <c r="C20750">
        <v>8766532</v>
      </c>
      <c r="D20750" t="str">
        <f>"2052-3998"</f>
        <v>2052-3998</v>
      </c>
      <c r="E20750" t="s">
        <v>8</v>
      </c>
      <c r="F20750" t="s">
        <v>20767</v>
      </c>
      <c r="G20750">
        <v>1</v>
      </c>
    </row>
    <row r="20751" spans="1:7" x14ac:dyDescent="0.25">
      <c r="A20751">
        <v>7</v>
      </c>
      <c r="B20751" t="s">
        <v>20605</v>
      </c>
      <c r="C20751">
        <v>6201163</v>
      </c>
      <c r="D20751" t="str">
        <f>"2040-3550"</f>
        <v>2040-3550</v>
      </c>
      <c r="E20751" t="s">
        <v>8</v>
      </c>
      <c r="F20751" t="s">
        <v>20768</v>
      </c>
      <c r="G20751">
        <v>1</v>
      </c>
    </row>
    <row r="20752" spans="1:7" x14ac:dyDescent="0.25">
      <c r="A20752">
        <v>7</v>
      </c>
      <c r="B20752" t="s">
        <v>20605</v>
      </c>
      <c r="C20752">
        <v>81804</v>
      </c>
      <c r="D20752" t="str">
        <f>"0145-787X"</f>
        <v>0145-787X</v>
      </c>
      <c r="E20752" t="s">
        <v>8</v>
      </c>
      <c r="F20752" t="s">
        <v>20769</v>
      </c>
      <c r="G20752">
        <v>1</v>
      </c>
    </row>
    <row r="20753" spans="1:7" x14ac:dyDescent="0.25">
      <c r="A20753">
        <v>7</v>
      </c>
      <c r="B20753" t="s">
        <v>20605</v>
      </c>
      <c r="C20753">
        <v>7718114</v>
      </c>
      <c r="D20753" t="str">
        <f>"0105-3566"</f>
        <v>0105-3566</v>
      </c>
      <c r="E20753" t="s">
        <v>15</v>
      </c>
      <c r="F20753" t="s">
        <v>20770</v>
      </c>
      <c r="G20753">
        <v>1</v>
      </c>
    </row>
    <row r="20754" spans="1:7" x14ac:dyDescent="0.25">
      <c r="A20754">
        <v>7</v>
      </c>
      <c r="B20754" t="s">
        <v>20605</v>
      </c>
      <c r="C20754">
        <v>27028</v>
      </c>
      <c r="D20754" t="str">
        <f>"1825-621X"</f>
        <v>1825-621X</v>
      </c>
      <c r="E20754" t="s">
        <v>8</v>
      </c>
      <c r="F20754" t="s">
        <v>20771</v>
      </c>
      <c r="G20754">
        <v>1</v>
      </c>
    </row>
    <row r="20755" spans="1:7" x14ac:dyDescent="0.25">
      <c r="A20755">
        <v>7</v>
      </c>
      <c r="B20755" t="s">
        <v>20605</v>
      </c>
      <c r="C20755">
        <v>8783348</v>
      </c>
      <c r="E20755" t="s">
        <v>8</v>
      </c>
      <c r="F20755" t="s">
        <v>20772</v>
      </c>
      <c r="G20755">
        <v>1</v>
      </c>
    </row>
    <row r="20756" spans="1:7" x14ac:dyDescent="0.25">
      <c r="A20756">
        <v>7</v>
      </c>
      <c r="B20756" t="s">
        <v>20605</v>
      </c>
      <c r="C20756">
        <v>6209572</v>
      </c>
      <c r="E20756" t="s">
        <v>8</v>
      </c>
      <c r="F20756" t="s">
        <v>20773</v>
      </c>
      <c r="G20756">
        <v>1</v>
      </c>
    </row>
    <row r="20757" spans="1:7" x14ac:dyDescent="0.25">
      <c r="A20757">
        <v>7</v>
      </c>
      <c r="B20757" t="s">
        <v>20605</v>
      </c>
      <c r="C20757">
        <v>1944</v>
      </c>
      <c r="D20757" t="str">
        <f>"0027-4224"</f>
        <v>0027-4224</v>
      </c>
      <c r="E20757" t="s">
        <v>8</v>
      </c>
      <c r="F20757" t="s">
        <v>20774</v>
      </c>
      <c r="G20757">
        <v>1</v>
      </c>
    </row>
    <row r="20758" spans="1:7" x14ac:dyDescent="0.25">
      <c r="A20758">
        <v>7</v>
      </c>
      <c r="B20758" t="s">
        <v>20605</v>
      </c>
      <c r="C20758">
        <v>6209585</v>
      </c>
      <c r="D20758" t="str">
        <f>"1943-8621"</f>
        <v>1943-8621</v>
      </c>
      <c r="E20758" t="s">
        <v>8</v>
      </c>
      <c r="F20758" t="s">
        <v>20775</v>
      </c>
      <c r="G20758">
        <v>1</v>
      </c>
    </row>
    <row r="20759" spans="1:7" x14ac:dyDescent="0.25">
      <c r="A20759">
        <v>7</v>
      </c>
      <c r="B20759" t="s">
        <v>20605</v>
      </c>
      <c r="C20759">
        <v>27492</v>
      </c>
      <c r="D20759" t="str">
        <f>"1938-7687"</f>
        <v>1938-7687</v>
      </c>
      <c r="E20759" t="s">
        <v>8</v>
      </c>
      <c r="F20759" t="s">
        <v>20776</v>
      </c>
      <c r="G20759">
        <v>1</v>
      </c>
    </row>
    <row r="20760" spans="1:7" x14ac:dyDescent="0.25">
      <c r="A20760">
        <v>7</v>
      </c>
      <c r="B20760" t="s">
        <v>20605</v>
      </c>
      <c r="C20760">
        <v>29874</v>
      </c>
      <c r="D20760" t="str">
        <f>"2167-8464"</f>
        <v>2167-8464</v>
      </c>
      <c r="E20760" t="s">
        <v>8</v>
      </c>
      <c r="F20760" t="s">
        <v>20777</v>
      </c>
      <c r="G20760">
        <v>1</v>
      </c>
    </row>
    <row r="20761" spans="1:7" x14ac:dyDescent="0.25">
      <c r="A20761">
        <v>7</v>
      </c>
      <c r="B20761" t="s">
        <v>20605</v>
      </c>
      <c r="C20761">
        <v>17659</v>
      </c>
      <c r="D20761" t="str">
        <f>"0027-4321"</f>
        <v>0027-4321</v>
      </c>
      <c r="E20761" t="s">
        <v>8</v>
      </c>
      <c r="F20761" t="s">
        <v>20778</v>
      </c>
      <c r="G20761">
        <v>1</v>
      </c>
    </row>
    <row r="20762" spans="1:7" x14ac:dyDescent="0.25">
      <c r="A20762">
        <v>7</v>
      </c>
      <c r="B20762" t="s">
        <v>20605</v>
      </c>
      <c r="C20762">
        <v>949</v>
      </c>
      <c r="D20762" t="str">
        <f>"1058-8167"</f>
        <v>1058-8167</v>
      </c>
      <c r="E20762" t="s">
        <v>8</v>
      </c>
      <c r="F20762" t="s">
        <v>20779</v>
      </c>
      <c r="G20762">
        <v>1</v>
      </c>
    </row>
    <row r="20763" spans="1:7" x14ac:dyDescent="0.25">
      <c r="A20763">
        <v>7</v>
      </c>
      <c r="B20763" t="s">
        <v>20605</v>
      </c>
      <c r="C20763">
        <v>6678</v>
      </c>
      <c r="E20763" t="s">
        <v>8</v>
      </c>
      <c r="F20763" t="s">
        <v>20780</v>
      </c>
      <c r="G20763">
        <v>1</v>
      </c>
    </row>
    <row r="20764" spans="1:7" x14ac:dyDescent="0.25">
      <c r="A20764">
        <v>7</v>
      </c>
      <c r="B20764" t="s">
        <v>20605</v>
      </c>
      <c r="C20764">
        <v>20520</v>
      </c>
      <c r="D20764" t="str">
        <f>"1753-0768"</f>
        <v>1753-0768</v>
      </c>
      <c r="E20764" t="s">
        <v>8</v>
      </c>
      <c r="F20764" t="s">
        <v>20781</v>
      </c>
      <c r="G20764">
        <v>1</v>
      </c>
    </row>
    <row r="20765" spans="1:7" x14ac:dyDescent="0.25">
      <c r="A20765">
        <v>7</v>
      </c>
      <c r="B20765" t="s">
        <v>20605</v>
      </c>
      <c r="C20765">
        <v>17252</v>
      </c>
      <c r="D20765" t="str">
        <f>"0077-2461"</f>
        <v>0077-2461</v>
      </c>
      <c r="E20765" t="s">
        <v>15</v>
      </c>
      <c r="F20765" t="s">
        <v>20782</v>
      </c>
      <c r="G20765">
        <v>1</v>
      </c>
    </row>
    <row r="20766" spans="1:7" x14ac:dyDescent="0.25">
      <c r="A20766">
        <v>7</v>
      </c>
      <c r="B20766" t="s">
        <v>20605</v>
      </c>
      <c r="C20766">
        <v>8782458</v>
      </c>
      <c r="D20766" t="str">
        <f>"2317-6776"</f>
        <v>2317-6776</v>
      </c>
      <c r="E20766" t="s">
        <v>8</v>
      </c>
      <c r="F20766" t="s">
        <v>20783</v>
      </c>
      <c r="G20766">
        <v>1</v>
      </c>
    </row>
    <row r="20767" spans="1:7" x14ac:dyDescent="0.25">
      <c r="A20767">
        <v>7</v>
      </c>
      <c r="B20767" t="s">
        <v>20605</v>
      </c>
      <c r="C20767">
        <v>3961</v>
      </c>
      <c r="D20767" t="str">
        <f>"0027-4666"</f>
        <v>0027-4666</v>
      </c>
      <c r="E20767" t="s">
        <v>8</v>
      </c>
      <c r="F20767" t="s">
        <v>20784</v>
      </c>
      <c r="G20767">
        <v>1</v>
      </c>
    </row>
    <row r="20768" spans="1:7" x14ac:dyDescent="0.25">
      <c r="A20768">
        <v>7</v>
      </c>
      <c r="B20768" t="s">
        <v>20605</v>
      </c>
      <c r="C20768">
        <v>41914</v>
      </c>
      <c r="D20768" t="str">
        <f>"1016-1066"</f>
        <v>1016-1066</v>
      </c>
      <c r="E20768" t="s">
        <v>15</v>
      </c>
      <c r="F20768" t="s">
        <v>20785</v>
      </c>
      <c r="G20768">
        <v>1</v>
      </c>
    </row>
    <row r="20769" spans="1:7" x14ac:dyDescent="0.25">
      <c r="A20769">
        <v>7</v>
      </c>
      <c r="B20769" t="s">
        <v>20605</v>
      </c>
      <c r="C20769">
        <v>27730</v>
      </c>
      <c r="D20769" t="str">
        <f>"0580-373X"</f>
        <v>0580-373X</v>
      </c>
      <c r="E20769" t="s">
        <v>8</v>
      </c>
      <c r="F20769" t="s">
        <v>20786</v>
      </c>
      <c r="G20769">
        <v>1</v>
      </c>
    </row>
    <row r="20770" spans="1:7" x14ac:dyDescent="0.25">
      <c r="A20770">
        <v>7</v>
      </c>
      <c r="B20770" t="s">
        <v>20605</v>
      </c>
      <c r="C20770">
        <v>27617</v>
      </c>
      <c r="D20770" t="str">
        <f>"1450-9814"</f>
        <v>1450-9814</v>
      </c>
      <c r="E20770" t="s">
        <v>8</v>
      </c>
      <c r="F20770" t="s">
        <v>20787</v>
      </c>
      <c r="G20770">
        <v>1</v>
      </c>
    </row>
    <row r="20771" spans="1:7" x14ac:dyDescent="0.25">
      <c r="A20771">
        <v>7</v>
      </c>
      <c r="B20771" t="s">
        <v>20605</v>
      </c>
      <c r="C20771">
        <v>27563</v>
      </c>
      <c r="D20771" t="str">
        <f>"1432-9425"</f>
        <v>1432-9425</v>
      </c>
      <c r="E20771" t="s">
        <v>8</v>
      </c>
      <c r="F20771" t="s">
        <v>20788</v>
      </c>
      <c r="G20771">
        <v>1</v>
      </c>
    </row>
    <row r="20772" spans="1:7" x14ac:dyDescent="0.25">
      <c r="A20772">
        <v>7</v>
      </c>
      <c r="B20772" t="s">
        <v>20605</v>
      </c>
      <c r="C20772">
        <v>15223</v>
      </c>
      <c r="D20772" t="str">
        <f>"0027-4771"</f>
        <v>0027-4771</v>
      </c>
      <c r="E20772" t="s">
        <v>8</v>
      </c>
      <c r="F20772" t="s">
        <v>20789</v>
      </c>
      <c r="G20772">
        <v>1</v>
      </c>
    </row>
    <row r="20773" spans="1:7" x14ac:dyDescent="0.25">
      <c r="A20773">
        <v>7</v>
      </c>
      <c r="B20773" t="s">
        <v>20605</v>
      </c>
      <c r="C20773">
        <v>7306</v>
      </c>
      <c r="D20773" t="str">
        <f>"0800-126X"</f>
        <v>0800-126X</v>
      </c>
      <c r="E20773" t="s">
        <v>8</v>
      </c>
      <c r="F20773" t="s">
        <v>20790</v>
      </c>
      <c r="G20773">
        <v>1</v>
      </c>
    </row>
    <row r="20774" spans="1:7" x14ac:dyDescent="0.25">
      <c r="A20774">
        <v>7</v>
      </c>
      <c r="B20774" t="s">
        <v>20605</v>
      </c>
      <c r="C20774">
        <v>3309</v>
      </c>
      <c r="D20774" t="str">
        <f>"1103-5102"</f>
        <v>1103-5102</v>
      </c>
      <c r="E20774" t="s">
        <v>8</v>
      </c>
      <c r="F20774" t="s">
        <v>20791</v>
      </c>
      <c r="G20774">
        <v>1</v>
      </c>
    </row>
    <row r="20775" spans="1:7" x14ac:dyDescent="0.25">
      <c r="A20775">
        <v>7</v>
      </c>
      <c r="B20775" t="s">
        <v>20605</v>
      </c>
      <c r="C20775">
        <v>115206</v>
      </c>
      <c r="D20775" t="str">
        <f>"0177-350X"</f>
        <v>0177-350X</v>
      </c>
      <c r="E20775" t="s">
        <v>8</v>
      </c>
      <c r="F20775" t="s">
        <v>20792</v>
      </c>
      <c r="G20775">
        <v>1</v>
      </c>
    </row>
    <row r="20776" spans="1:7" x14ac:dyDescent="0.25">
      <c r="A20776">
        <v>7</v>
      </c>
      <c r="B20776" t="s">
        <v>20605</v>
      </c>
      <c r="C20776">
        <v>151864</v>
      </c>
      <c r="D20776" t="str">
        <f>"2245-3342"</f>
        <v>2245-3342</v>
      </c>
      <c r="E20776" t="s">
        <v>8</v>
      </c>
      <c r="F20776" t="s">
        <v>20793</v>
      </c>
      <c r="G20776">
        <v>1</v>
      </c>
    </row>
    <row r="20777" spans="1:7" x14ac:dyDescent="0.25">
      <c r="A20777">
        <v>7</v>
      </c>
      <c r="B20777" t="s">
        <v>20605</v>
      </c>
      <c r="C20777">
        <v>11139</v>
      </c>
      <c r="D20777" t="str">
        <f>"0177-4182"</f>
        <v>0177-4182</v>
      </c>
      <c r="E20777" t="s">
        <v>8</v>
      </c>
      <c r="F20777" t="s">
        <v>20794</v>
      </c>
      <c r="G20777">
        <v>1</v>
      </c>
    </row>
    <row r="20778" spans="1:7" x14ac:dyDescent="0.25">
      <c r="A20778">
        <v>7</v>
      </c>
      <c r="B20778" t="s">
        <v>20605</v>
      </c>
      <c r="C20778">
        <v>4815</v>
      </c>
      <c r="D20778" t="str">
        <f>"0945-6945"</f>
        <v>0945-6945</v>
      </c>
      <c r="E20778" t="s">
        <v>8</v>
      </c>
      <c r="F20778" t="s">
        <v>20795</v>
      </c>
      <c r="G20778">
        <v>1</v>
      </c>
    </row>
    <row r="20779" spans="1:7" x14ac:dyDescent="0.25">
      <c r="A20779">
        <v>7</v>
      </c>
      <c r="B20779" t="s">
        <v>20605</v>
      </c>
      <c r="C20779">
        <v>27001</v>
      </c>
      <c r="D20779" t="str">
        <f>"1479-4098"</f>
        <v>1479-4098</v>
      </c>
      <c r="E20779" t="s">
        <v>8</v>
      </c>
      <c r="F20779" t="s">
        <v>20796</v>
      </c>
      <c r="G20779">
        <v>1</v>
      </c>
    </row>
    <row r="20780" spans="1:7" x14ac:dyDescent="0.25">
      <c r="A20780">
        <v>7</v>
      </c>
      <c r="B20780" t="s">
        <v>20605</v>
      </c>
      <c r="C20780">
        <v>37607</v>
      </c>
      <c r="D20780" t="str">
        <f>"0333-3760"</f>
        <v>0333-3760</v>
      </c>
      <c r="E20780" t="s">
        <v>15</v>
      </c>
      <c r="F20780" t="s">
        <v>20797</v>
      </c>
      <c r="G20780">
        <v>1</v>
      </c>
    </row>
    <row r="20781" spans="1:7" x14ac:dyDescent="0.25">
      <c r="A20781">
        <v>7</v>
      </c>
      <c r="B20781" t="s">
        <v>20605</v>
      </c>
      <c r="C20781">
        <v>8783463</v>
      </c>
      <c r="E20781" t="s">
        <v>8</v>
      </c>
      <c r="F20781" t="s">
        <v>20798</v>
      </c>
      <c r="G20781">
        <v>1</v>
      </c>
    </row>
    <row r="20782" spans="1:7" x14ac:dyDescent="0.25">
      <c r="A20782">
        <v>7</v>
      </c>
      <c r="B20782" t="s">
        <v>20605</v>
      </c>
      <c r="C20782">
        <v>170384</v>
      </c>
      <c r="D20782" t="str">
        <f>"1891-6708"</f>
        <v>1891-6708</v>
      </c>
      <c r="E20782" t="s">
        <v>8</v>
      </c>
      <c r="F20782" t="s">
        <v>20799</v>
      </c>
      <c r="G20782">
        <v>1</v>
      </c>
    </row>
    <row r="20783" spans="1:7" x14ac:dyDescent="0.25">
      <c r="A20783">
        <v>7</v>
      </c>
      <c r="B20783" t="s">
        <v>20605</v>
      </c>
      <c r="C20783">
        <v>4459</v>
      </c>
      <c r="D20783" t="str">
        <f>"1504-5021"</f>
        <v>1504-5021</v>
      </c>
      <c r="E20783" t="s">
        <v>8</v>
      </c>
      <c r="F20783" t="s">
        <v>20800</v>
      </c>
      <c r="G20783">
        <v>1</v>
      </c>
    </row>
    <row r="20784" spans="1:7" x14ac:dyDescent="0.25">
      <c r="A20784">
        <v>7</v>
      </c>
      <c r="B20784" t="s">
        <v>20605</v>
      </c>
      <c r="C20784">
        <v>2234</v>
      </c>
      <c r="D20784" t="str">
        <f>"1503-2310"</f>
        <v>1503-2310</v>
      </c>
      <c r="E20784" t="s">
        <v>8</v>
      </c>
      <c r="F20784" t="s">
        <v>20801</v>
      </c>
      <c r="G20784">
        <v>1</v>
      </c>
    </row>
    <row r="20785" spans="1:7" x14ac:dyDescent="0.25">
      <c r="A20785">
        <v>7</v>
      </c>
      <c r="B20785" t="s">
        <v>20605</v>
      </c>
      <c r="C20785">
        <v>13945</v>
      </c>
      <c r="D20785" t="str">
        <f>"0027-4380"</f>
        <v>0027-4380</v>
      </c>
      <c r="E20785" t="s">
        <v>8</v>
      </c>
      <c r="F20785" t="s">
        <v>20802</v>
      </c>
      <c r="G20785">
        <v>1</v>
      </c>
    </row>
    <row r="20786" spans="1:7" x14ac:dyDescent="0.25">
      <c r="A20786">
        <v>7</v>
      </c>
      <c r="B20786" t="s">
        <v>20605</v>
      </c>
      <c r="C20786">
        <v>122038</v>
      </c>
      <c r="D20786" t="str">
        <f>"1652-6082"</f>
        <v>1652-6082</v>
      </c>
      <c r="E20786" t="s">
        <v>8</v>
      </c>
      <c r="F20786" t="s">
        <v>20803</v>
      </c>
      <c r="G20786">
        <v>1</v>
      </c>
    </row>
    <row r="20787" spans="1:7" x14ac:dyDescent="0.25">
      <c r="A20787">
        <v>7</v>
      </c>
      <c r="B20787" t="s">
        <v>20605</v>
      </c>
      <c r="C20787">
        <v>814</v>
      </c>
      <c r="D20787" t="str">
        <f>"0030-3526"</f>
        <v>0030-3526</v>
      </c>
      <c r="E20787" t="s">
        <v>8</v>
      </c>
      <c r="F20787" t="s">
        <v>20804</v>
      </c>
      <c r="G20787">
        <v>1</v>
      </c>
    </row>
    <row r="20788" spans="1:7" x14ac:dyDescent="0.25">
      <c r="A20788">
        <v>7</v>
      </c>
      <c r="B20788" t="s">
        <v>20605</v>
      </c>
      <c r="C20788">
        <v>8782513</v>
      </c>
      <c r="D20788" t="str">
        <f>"0103-7412"</f>
        <v>0103-7412</v>
      </c>
      <c r="E20788" t="s">
        <v>8</v>
      </c>
      <c r="F20788" t="s">
        <v>20805</v>
      </c>
      <c r="G20788">
        <v>1</v>
      </c>
    </row>
    <row r="20789" spans="1:7" x14ac:dyDescent="0.25">
      <c r="A20789">
        <v>7</v>
      </c>
      <c r="B20789" t="s">
        <v>20605</v>
      </c>
      <c r="C20789">
        <v>15396</v>
      </c>
      <c r="D20789" t="str">
        <f>"0313-6221"</f>
        <v>0313-6221</v>
      </c>
      <c r="E20789" t="s">
        <v>8</v>
      </c>
      <c r="F20789" t="s">
        <v>20806</v>
      </c>
      <c r="G20789">
        <v>1</v>
      </c>
    </row>
    <row r="20790" spans="1:7" x14ac:dyDescent="0.25">
      <c r="A20790">
        <v>7</v>
      </c>
      <c r="B20790" t="s">
        <v>20605</v>
      </c>
      <c r="C20790">
        <v>8782459</v>
      </c>
      <c r="D20790" t="str">
        <f>"2472-0860"</f>
        <v>2472-0860</v>
      </c>
      <c r="E20790" t="s">
        <v>8</v>
      </c>
      <c r="F20790" t="s">
        <v>20807</v>
      </c>
      <c r="G20790">
        <v>1</v>
      </c>
    </row>
    <row r="20791" spans="1:7" x14ac:dyDescent="0.25">
      <c r="A20791">
        <v>7</v>
      </c>
      <c r="B20791" t="s">
        <v>20605</v>
      </c>
      <c r="C20791">
        <v>23793</v>
      </c>
      <c r="D20791" t="str">
        <f>"1038-2909"</f>
        <v>1038-2909</v>
      </c>
      <c r="E20791" t="s">
        <v>8</v>
      </c>
      <c r="F20791" t="s">
        <v>20808</v>
      </c>
      <c r="G20791">
        <v>1</v>
      </c>
    </row>
    <row r="20792" spans="1:7" x14ac:dyDescent="0.25">
      <c r="A20792">
        <v>7</v>
      </c>
      <c r="B20792" t="s">
        <v>20605</v>
      </c>
      <c r="C20792">
        <v>8782460</v>
      </c>
      <c r="E20792" t="s">
        <v>15</v>
      </c>
      <c r="F20792" t="s">
        <v>20809</v>
      </c>
      <c r="G20792">
        <v>1</v>
      </c>
    </row>
    <row r="20793" spans="1:7" x14ac:dyDescent="0.25">
      <c r="A20793">
        <v>7</v>
      </c>
      <c r="B20793" t="s">
        <v>20605</v>
      </c>
      <c r="C20793">
        <v>7117</v>
      </c>
      <c r="D20793" t="str">
        <f>"1604-0325"</f>
        <v>1604-0325</v>
      </c>
      <c r="E20793" t="s">
        <v>8</v>
      </c>
      <c r="F20793" t="s">
        <v>20810</v>
      </c>
      <c r="G20793">
        <v>1</v>
      </c>
    </row>
    <row r="20794" spans="1:7" x14ac:dyDescent="0.25">
      <c r="A20794">
        <v>7</v>
      </c>
      <c r="B20794" t="s">
        <v>20605</v>
      </c>
      <c r="C20794">
        <v>8148</v>
      </c>
      <c r="D20794" t="str">
        <f>"0031-6016"</f>
        <v>0031-6016</v>
      </c>
      <c r="E20794" t="s">
        <v>8</v>
      </c>
      <c r="F20794" t="s">
        <v>20811</v>
      </c>
      <c r="G20794">
        <v>1</v>
      </c>
    </row>
    <row r="20795" spans="1:7" x14ac:dyDescent="0.25">
      <c r="A20795">
        <v>7</v>
      </c>
      <c r="B20795" t="s">
        <v>20605</v>
      </c>
      <c r="C20795">
        <v>4984</v>
      </c>
      <c r="D20795" t="str">
        <f>"0961-1371"</f>
        <v>0961-1371</v>
      </c>
      <c r="E20795" t="s">
        <v>8</v>
      </c>
      <c r="F20795" t="s">
        <v>20812</v>
      </c>
      <c r="G20795">
        <v>1</v>
      </c>
    </row>
    <row r="20796" spans="1:7" x14ac:dyDescent="0.25">
      <c r="A20796">
        <v>7</v>
      </c>
      <c r="B20796" t="s">
        <v>20605</v>
      </c>
      <c r="C20796">
        <v>15324</v>
      </c>
      <c r="D20796" t="str">
        <f>"1357-0951"</f>
        <v>1357-0951</v>
      </c>
      <c r="E20796" t="s">
        <v>8</v>
      </c>
      <c r="F20796" t="s">
        <v>20813</v>
      </c>
      <c r="G20796">
        <v>1</v>
      </c>
    </row>
    <row r="20797" spans="1:7" x14ac:dyDescent="0.25">
      <c r="A20797">
        <v>7</v>
      </c>
      <c r="B20797" t="s">
        <v>20605</v>
      </c>
      <c r="C20797">
        <v>121304</v>
      </c>
      <c r="D20797" t="str">
        <f>"0941-4711"</f>
        <v>0941-4711</v>
      </c>
      <c r="E20797" t="s">
        <v>8</v>
      </c>
      <c r="F20797" t="s">
        <v>20814</v>
      </c>
      <c r="G20797">
        <v>1</v>
      </c>
    </row>
    <row r="20798" spans="1:7" x14ac:dyDescent="0.25">
      <c r="A20798">
        <v>7</v>
      </c>
      <c r="B20798" t="s">
        <v>20605</v>
      </c>
      <c r="C20798">
        <v>6638</v>
      </c>
      <c r="D20798" t="str">
        <f>"0275-3987"</f>
        <v>0275-3987</v>
      </c>
      <c r="E20798" t="s">
        <v>15</v>
      </c>
      <c r="F20798" t="s">
        <v>20815</v>
      </c>
      <c r="G20798">
        <v>1</v>
      </c>
    </row>
    <row r="20799" spans="1:7" x14ac:dyDescent="0.25">
      <c r="A20799">
        <v>7</v>
      </c>
      <c r="B20799" t="s">
        <v>20605</v>
      </c>
      <c r="C20799">
        <v>27710</v>
      </c>
      <c r="D20799" t="str">
        <f>"1559-7326"</f>
        <v>1559-7326</v>
      </c>
      <c r="E20799" t="s">
        <v>15</v>
      </c>
      <c r="F20799" t="s">
        <v>20816</v>
      </c>
      <c r="G20799">
        <v>1</v>
      </c>
    </row>
    <row r="20800" spans="1:7" x14ac:dyDescent="0.25">
      <c r="A20800">
        <v>7</v>
      </c>
      <c r="B20800" t="s">
        <v>20605</v>
      </c>
      <c r="C20800">
        <v>10845</v>
      </c>
      <c r="E20800" t="s">
        <v>8</v>
      </c>
      <c r="F20800" t="s">
        <v>20817</v>
      </c>
      <c r="G20800">
        <v>1</v>
      </c>
    </row>
    <row r="20801" spans="1:7" x14ac:dyDescent="0.25">
      <c r="A20801">
        <v>7</v>
      </c>
      <c r="B20801" t="s">
        <v>20605</v>
      </c>
      <c r="C20801">
        <v>74430</v>
      </c>
      <c r="D20801" t="str">
        <f>"1120-5741"</f>
        <v>1120-5741</v>
      </c>
      <c r="E20801" t="s">
        <v>8</v>
      </c>
      <c r="F20801" t="s">
        <v>20818</v>
      </c>
      <c r="G20801">
        <v>1</v>
      </c>
    </row>
    <row r="20802" spans="1:7" x14ac:dyDescent="0.25">
      <c r="A20802">
        <v>7</v>
      </c>
      <c r="B20802" t="s">
        <v>20605</v>
      </c>
      <c r="C20802">
        <v>1020</v>
      </c>
      <c r="D20802" t="str">
        <f>"0486-3739"</f>
        <v>0486-3739</v>
      </c>
      <c r="E20802" t="s">
        <v>15</v>
      </c>
      <c r="F20802" t="s">
        <v>20819</v>
      </c>
      <c r="G20802">
        <v>1</v>
      </c>
    </row>
    <row r="20803" spans="1:7" x14ac:dyDescent="0.25">
      <c r="A20803">
        <v>7</v>
      </c>
      <c r="B20803" t="s">
        <v>20605</v>
      </c>
      <c r="C20803">
        <v>44559</v>
      </c>
      <c r="D20803" t="str">
        <f>"0210-1459"</f>
        <v>0210-1459</v>
      </c>
      <c r="E20803" t="s">
        <v>8</v>
      </c>
      <c r="F20803" t="s">
        <v>20820</v>
      </c>
      <c r="G20803">
        <v>1</v>
      </c>
    </row>
    <row r="20804" spans="1:7" x14ac:dyDescent="0.25">
      <c r="A20804">
        <v>7</v>
      </c>
      <c r="B20804" t="s">
        <v>20605</v>
      </c>
      <c r="C20804">
        <v>10447</v>
      </c>
      <c r="D20804" t="str">
        <f>"1291-2530"</f>
        <v>1291-2530</v>
      </c>
      <c r="E20804" t="s">
        <v>8</v>
      </c>
      <c r="F20804" t="s">
        <v>20821</v>
      </c>
      <c r="G20804">
        <v>1</v>
      </c>
    </row>
    <row r="20805" spans="1:7" x14ac:dyDescent="0.25">
      <c r="A20805">
        <v>7</v>
      </c>
      <c r="B20805" t="s">
        <v>20605</v>
      </c>
      <c r="C20805">
        <v>11697</v>
      </c>
      <c r="D20805" t="str">
        <f>"0035-6867"</f>
        <v>0035-6867</v>
      </c>
      <c r="E20805" t="s">
        <v>8</v>
      </c>
      <c r="F20805" t="s">
        <v>20822</v>
      </c>
      <c r="G20805">
        <v>1</v>
      </c>
    </row>
    <row r="20806" spans="1:7" x14ac:dyDescent="0.25">
      <c r="A20806">
        <v>7</v>
      </c>
      <c r="B20806" t="s">
        <v>20605</v>
      </c>
      <c r="C20806">
        <v>8783465</v>
      </c>
      <c r="E20806" t="s">
        <v>15</v>
      </c>
      <c r="F20806" t="s">
        <v>20823</v>
      </c>
      <c r="G20806">
        <v>1</v>
      </c>
    </row>
    <row r="20807" spans="1:7" x14ac:dyDescent="0.25">
      <c r="A20807">
        <v>7</v>
      </c>
      <c r="B20807" t="s">
        <v>20605</v>
      </c>
      <c r="C20807">
        <v>8783466</v>
      </c>
      <c r="E20807" t="s">
        <v>15</v>
      </c>
      <c r="F20807" t="s">
        <v>20824</v>
      </c>
      <c r="G20807">
        <v>1</v>
      </c>
    </row>
    <row r="20808" spans="1:7" x14ac:dyDescent="0.25">
      <c r="A20808">
        <v>7</v>
      </c>
      <c r="B20808" t="s">
        <v>20605</v>
      </c>
      <c r="C20808">
        <v>8783467</v>
      </c>
      <c r="E20808" t="s">
        <v>15</v>
      </c>
      <c r="F20808" t="s">
        <v>20825</v>
      </c>
      <c r="G20808">
        <v>1</v>
      </c>
    </row>
    <row r="20809" spans="1:7" x14ac:dyDescent="0.25">
      <c r="A20809">
        <v>7</v>
      </c>
      <c r="B20809" t="s">
        <v>20605</v>
      </c>
      <c r="C20809">
        <v>251</v>
      </c>
      <c r="D20809" t="str">
        <f>"0036-2255"</f>
        <v>0036-2255</v>
      </c>
      <c r="E20809" t="s">
        <v>8</v>
      </c>
      <c r="F20809" t="s">
        <v>20826</v>
      </c>
      <c r="G20809">
        <v>1</v>
      </c>
    </row>
    <row r="20810" spans="1:7" x14ac:dyDescent="0.25">
      <c r="A20810">
        <v>7</v>
      </c>
      <c r="B20810" t="s">
        <v>20605</v>
      </c>
      <c r="C20810">
        <v>116717</v>
      </c>
      <c r="D20810" t="str">
        <f>"2245-4705"</f>
        <v>2245-4705</v>
      </c>
      <c r="E20810" t="s">
        <v>8</v>
      </c>
      <c r="F20810" t="s">
        <v>20827</v>
      </c>
      <c r="G20810">
        <v>1</v>
      </c>
    </row>
    <row r="20811" spans="1:7" x14ac:dyDescent="0.25">
      <c r="A20811">
        <v>7</v>
      </c>
      <c r="B20811" t="s">
        <v>20605</v>
      </c>
      <c r="C20811">
        <v>8783468</v>
      </c>
      <c r="E20811" t="s">
        <v>15</v>
      </c>
      <c r="F20811" t="s">
        <v>20828</v>
      </c>
      <c r="G20811">
        <v>1</v>
      </c>
    </row>
    <row r="20812" spans="1:7" x14ac:dyDescent="0.25">
      <c r="A20812">
        <v>7</v>
      </c>
      <c r="B20812" t="s">
        <v>20605</v>
      </c>
      <c r="C20812">
        <v>170045</v>
      </c>
      <c r="D20812" t="str">
        <f>"1893-3580"</f>
        <v>1893-3580</v>
      </c>
      <c r="E20812" t="s">
        <v>15</v>
      </c>
      <c r="F20812" t="s">
        <v>20829</v>
      </c>
      <c r="G20812">
        <v>1</v>
      </c>
    </row>
    <row r="20813" spans="1:7" x14ac:dyDescent="0.25">
      <c r="A20813">
        <v>7</v>
      </c>
      <c r="B20813" t="s">
        <v>20605</v>
      </c>
      <c r="C20813">
        <v>160005</v>
      </c>
      <c r="D20813" t="str">
        <f>"1904-500X"</f>
        <v>1904-500X</v>
      </c>
      <c r="E20813" t="s">
        <v>8</v>
      </c>
      <c r="F20813" t="s">
        <v>20830</v>
      </c>
      <c r="G20813">
        <v>1</v>
      </c>
    </row>
    <row r="20814" spans="1:7" x14ac:dyDescent="0.25">
      <c r="A20814">
        <v>7</v>
      </c>
      <c r="B20814" t="s">
        <v>20605</v>
      </c>
      <c r="C20814">
        <v>98413</v>
      </c>
      <c r="D20814" t="str">
        <f>"0393-2532"</f>
        <v>0393-2532</v>
      </c>
      <c r="E20814" t="s">
        <v>15</v>
      </c>
      <c r="F20814" t="s">
        <v>20831</v>
      </c>
      <c r="G20814">
        <v>1</v>
      </c>
    </row>
    <row r="20815" spans="1:7" x14ac:dyDescent="0.25">
      <c r="A20815">
        <v>7</v>
      </c>
      <c r="B20815" t="s">
        <v>20605</v>
      </c>
      <c r="C20815">
        <v>24845</v>
      </c>
      <c r="D20815" t="str">
        <f>"1788-6244"</f>
        <v>1788-6244</v>
      </c>
      <c r="E20815" t="s">
        <v>8</v>
      </c>
      <c r="F20815" t="s">
        <v>20832</v>
      </c>
      <c r="G20815">
        <v>1</v>
      </c>
    </row>
    <row r="20816" spans="1:7" x14ac:dyDescent="0.25">
      <c r="A20816">
        <v>7</v>
      </c>
      <c r="B20816" t="s">
        <v>20605</v>
      </c>
      <c r="C20816">
        <v>1951</v>
      </c>
      <c r="D20816" t="str">
        <f>"0332-5024"</f>
        <v>0332-5024</v>
      </c>
      <c r="E20816" t="s">
        <v>8</v>
      </c>
      <c r="F20816" t="s">
        <v>20833</v>
      </c>
      <c r="G20816">
        <v>1</v>
      </c>
    </row>
    <row r="20817" spans="1:7" x14ac:dyDescent="0.25">
      <c r="A20817">
        <v>7</v>
      </c>
      <c r="B20817" t="s">
        <v>20605</v>
      </c>
      <c r="C20817">
        <v>6050</v>
      </c>
      <c r="D20817" t="str">
        <f>"2041-6725"</f>
        <v>2041-6725</v>
      </c>
      <c r="E20817" t="s">
        <v>8</v>
      </c>
      <c r="F20817" t="s">
        <v>20834</v>
      </c>
      <c r="G20817">
        <v>1</v>
      </c>
    </row>
    <row r="20818" spans="1:7" x14ac:dyDescent="0.25">
      <c r="A20818">
        <v>7</v>
      </c>
      <c r="B20818" t="s">
        <v>20605</v>
      </c>
      <c r="C20818">
        <v>20524</v>
      </c>
      <c r="D20818" t="str">
        <f>"1468-2761"</f>
        <v>1468-2761</v>
      </c>
      <c r="E20818" t="s">
        <v>8</v>
      </c>
      <c r="F20818" t="s">
        <v>20835</v>
      </c>
      <c r="G20818">
        <v>1</v>
      </c>
    </row>
    <row r="20819" spans="1:7" x14ac:dyDescent="0.25">
      <c r="A20819">
        <v>7</v>
      </c>
      <c r="B20819" t="s">
        <v>20605</v>
      </c>
      <c r="C20819">
        <v>13145</v>
      </c>
      <c r="D20819" t="str">
        <f>"0081-9816"</f>
        <v>0081-9816</v>
      </c>
      <c r="E20819" t="s">
        <v>8</v>
      </c>
      <c r="F20819" t="s">
        <v>20836</v>
      </c>
      <c r="G20819">
        <v>1</v>
      </c>
    </row>
    <row r="20820" spans="1:7" x14ac:dyDescent="0.25">
      <c r="A20820">
        <v>7</v>
      </c>
      <c r="B20820" t="s">
        <v>20605</v>
      </c>
      <c r="C20820">
        <v>4633</v>
      </c>
      <c r="D20820" t="str">
        <f>"1612-6890"</f>
        <v>1612-6890</v>
      </c>
      <c r="E20820" t="s">
        <v>8</v>
      </c>
      <c r="F20820" t="s">
        <v>20837</v>
      </c>
      <c r="G20820">
        <v>1</v>
      </c>
    </row>
    <row r="20821" spans="1:7" x14ac:dyDescent="0.25">
      <c r="A20821">
        <v>7</v>
      </c>
      <c r="B20821" t="s">
        <v>20605</v>
      </c>
      <c r="C20821">
        <v>4770</v>
      </c>
      <c r="D20821" t="str">
        <f>"0040-2982"</f>
        <v>0040-2982</v>
      </c>
      <c r="E20821" t="s">
        <v>8</v>
      </c>
      <c r="F20821" t="s">
        <v>20838</v>
      </c>
      <c r="G20821">
        <v>1</v>
      </c>
    </row>
    <row r="20822" spans="1:7" x14ac:dyDescent="0.25">
      <c r="A20822">
        <v>7</v>
      </c>
      <c r="B20822" t="s">
        <v>20605</v>
      </c>
      <c r="C20822">
        <v>5937</v>
      </c>
      <c r="D20822" t="str">
        <f>"1087-7142"</f>
        <v>1087-7142</v>
      </c>
      <c r="E20822" t="s">
        <v>8</v>
      </c>
      <c r="F20822" t="s">
        <v>20839</v>
      </c>
      <c r="G20822">
        <v>1</v>
      </c>
    </row>
    <row r="20823" spans="1:7" x14ac:dyDescent="0.25">
      <c r="A20823">
        <v>7</v>
      </c>
      <c r="B20823" t="s">
        <v>20605</v>
      </c>
      <c r="C20823">
        <v>8776813</v>
      </c>
      <c r="D20823" t="str">
        <f>"2332-2551"</f>
        <v>2332-2551</v>
      </c>
      <c r="E20823" t="s">
        <v>8</v>
      </c>
      <c r="F20823" t="s">
        <v>20840</v>
      </c>
      <c r="G20823">
        <v>1</v>
      </c>
    </row>
    <row r="20824" spans="1:7" x14ac:dyDescent="0.25">
      <c r="A20824">
        <v>7</v>
      </c>
      <c r="B20824" t="s">
        <v>20605</v>
      </c>
      <c r="C20824">
        <v>8408</v>
      </c>
      <c r="D20824" t="str">
        <f>"0733-2033"</f>
        <v>0733-2033</v>
      </c>
      <c r="E20824" t="s">
        <v>8</v>
      </c>
      <c r="F20824" t="s">
        <v>20841</v>
      </c>
      <c r="G20824">
        <v>1</v>
      </c>
    </row>
    <row r="20825" spans="1:7" x14ac:dyDescent="0.25">
      <c r="A20825">
        <v>7</v>
      </c>
      <c r="B20825" t="s">
        <v>20605</v>
      </c>
      <c r="C20825">
        <v>16937</v>
      </c>
      <c r="D20825" t="str">
        <f>"0040-5523"</f>
        <v>0040-5523</v>
      </c>
      <c r="E20825" t="s">
        <v>8</v>
      </c>
      <c r="F20825" t="s">
        <v>20842</v>
      </c>
      <c r="G20825">
        <v>1</v>
      </c>
    </row>
    <row r="20826" spans="1:7" x14ac:dyDescent="0.25">
      <c r="A20826">
        <v>7</v>
      </c>
      <c r="B20826" t="s">
        <v>20605</v>
      </c>
      <c r="C20826">
        <v>906</v>
      </c>
      <c r="D20826" t="str">
        <f>"1196-1198"</f>
        <v>1196-1198</v>
      </c>
      <c r="E20826" t="s">
        <v>8</v>
      </c>
      <c r="F20826" t="s">
        <v>20843</v>
      </c>
      <c r="G20826">
        <v>1</v>
      </c>
    </row>
    <row r="20827" spans="1:7" x14ac:dyDescent="0.25">
      <c r="A20827">
        <v>7</v>
      </c>
      <c r="B20827" t="s">
        <v>20605</v>
      </c>
      <c r="C20827">
        <v>4909</v>
      </c>
      <c r="D20827" t="str">
        <f>"0040-5574"</f>
        <v>0040-5574</v>
      </c>
      <c r="E20827" t="s">
        <v>8</v>
      </c>
      <c r="F20827" t="s">
        <v>20844</v>
      </c>
      <c r="G20827">
        <v>1</v>
      </c>
    </row>
    <row r="20828" spans="1:7" x14ac:dyDescent="0.25">
      <c r="A20828">
        <v>7</v>
      </c>
      <c r="B20828" t="s">
        <v>20605</v>
      </c>
      <c r="C20828">
        <v>1540</v>
      </c>
      <c r="D20828" t="str">
        <f>"1054-8378"</f>
        <v>1054-8378</v>
      </c>
      <c r="E20828" t="s">
        <v>8</v>
      </c>
      <c r="F20828" t="s">
        <v>20845</v>
      </c>
      <c r="G20828">
        <v>1</v>
      </c>
    </row>
    <row r="20829" spans="1:7" x14ac:dyDescent="0.25">
      <c r="A20829">
        <v>7</v>
      </c>
      <c r="B20829" t="s">
        <v>20605</v>
      </c>
      <c r="C20829">
        <v>11213</v>
      </c>
      <c r="D20829" t="str">
        <f>"0741-6156"</f>
        <v>0741-6156</v>
      </c>
      <c r="E20829" t="s">
        <v>8</v>
      </c>
      <c r="F20829" t="s">
        <v>20846</v>
      </c>
      <c r="G20829">
        <v>1</v>
      </c>
    </row>
    <row r="20830" spans="1:7" x14ac:dyDescent="0.25">
      <c r="A20830">
        <v>7</v>
      </c>
      <c r="B20830" t="s">
        <v>20605</v>
      </c>
      <c r="C20830">
        <v>2360</v>
      </c>
      <c r="D20830" t="str">
        <f>"1383-7079"</f>
        <v>1383-7079</v>
      </c>
      <c r="E20830" t="s">
        <v>8</v>
      </c>
      <c r="F20830" t="s">
        <v>20847</v>
      </c>
      <c r="G20830">
        <v>1</v>
      </c>
    </row>
    <row r="20831" spans="1:7" x14ac:dyDescent="0.25">
      <c r="A20831">
        <v>7</v>
      </c>
      <c r="B20831" t="s">
        <v>20605</v>
      </c>
      <c r="C20831">
        <v>8783469</v>
      </c>
      <c r="E20831" t="s">
        <v>15</v>
      </c>
      <c r="F20831" t="s">
        <v>20848</v>
      </c>
      <c r="G20831">
        <v>1</v>
      </c>
    </row>
    <row r="20832" spans="1:7" x14ac:dyDescent="0.25">
      <c r="A20832">
        <v>7</v>
      </c>
      <c r="B20832" t="s">
        <v>20605</v>
      </c>
      <c r="C20832">
        <v>27884</v>
      </c>
      <c r="D20832" t="str">
        <f>"1504-1611"</f>
        <v>1504-1611</v>
      </c>
      <c r="E20832" t="s">
        <v>8</v>
      </c>
      <c r="F20832" t="s">
        <v>20849</v>
      </c>
      <c r="G20832">
        <v>1</v>
      </c>
    </row>
    <row r="20833" spans="1:7" x14ac:dyDescent="0.25">
      <c r="A20833">
        <v>7</v>
      </c>
      <c r="B20833" t="s">
        <v>20605</v>
      </c>
      <c r="C20833">
        <v>21389</v>
      </c>
      <c r="D20833" t="str">
        <f>"1090-7505"</f>
        <v>1090-7505</v>
      </c>
      <c r="E20833" t="s">
        <v>8</v>
      </c>
      <c r="F20833" t="s">
        <v>20850</v>
      </c>
      <c r="G20833">
        <v>1</v>
      </c>
    </row>
    <row r="20834" spans="1:7" x14ac:dyDescent="0.25">
      <c r="A20834">
        <v>7</v>
      </c>
      <c r="B20834" t="s">
        <v>20605</v>
      </c>
      <c r="C20834">
        <v>12873</v>
      </c>
      <c r="D20834" t="str">
        <f>"0892-9092"</f>
        <v>0892-9092</v>
      </c>
      <c r="E20834" t="s">
        <v>8</v>
      </c>
      <c r="F20834" t="s">
        <v>20851</v>
      </c>
      <c r="G20834">
        <v>1</v>
      </c>
    </row>
    <row r="20835" spans="1:7" x14ac:dyDescent="0.25">
      <c r="A20835">
        <v>8</v>
      </c>
      <c r="B20835" t="s">
        <v>20852</v>
      </c>
      <c r="C20835">
        <v>7464</v>
      </c>
      <c r="D20835" t="str">
        <f>"0195-4148"</f>
        <v>0195-4148</v>
      </c>
      <c r="E20835" t="s">
        <v>8</v>
      </c>
      <c r="F20835" t="s">
        <v>20853</v>
      </c>
      <c r="G20835">
        <v>2</v>
      </c>
    </row>
    <row r="20836" spans="1:7" x14ac:dyDescent="0.25">
      <c r="A20836">
        <v>8</v>
      </c>
      <c r="B20836" t="s">
        <v>20852</v>
      </c>
      <c r="C20836">
        <v>9363</v>
      </c>
      <c r="D20836" t="str">
        <f>"0141-6790"</f>
        <v>0141-6790</v>
      </c>
      <c r="E20836" t="s">
        <v>8</v>
      </c>
      <c r="F20836" t="s">
        <v>20854</v>
      </c>
      <c r="G20836">
        <v>2</v>
      </c>
    </row>
    <row r="20837" spans="1:7" x14ac:dyDescent="0.25">
      <c r="A20837">
        <v>8</v>
      </c>
      <c r="B20837" t="s">
        <v>20852</v>
      </c>
      <c r="C20837">
        <v>13540</v>
      </c>
      <c r="D20837" t="str">
        <f>"0004-3249"</f>
        <v>0004-3249</v>
      </c>
      <c r="E20837" t="s">
        <v>8</v>
      </c>
      <c r="F20837" t="s">
        <v>20855</v>
      </c>
      <c r="G20837">
        <v>2</v>
      </c>
    </row>
    <row r="20838" spans="1:7" x14ac:dyDescent="0.25">
      <c r="A20838">
        <v>8</v>
      </c>
      <c r="B20838" t="s">
        <v>20852</v>
      </c>
      <c r="C20838">
        <v>22287</v>
      </c>
      <c r="D20838" t="str">
        <f>"1474-273X"</f>
        <v>1474-273X</v>
      </c>
      <c r="E20838" t="s">
        <v>8</v>
      </c>
      <c r="F20838" t="s">
        <v>20856</v>
      </c>
      <c r="G20838">
        <v>2</v>
      </c>
    </row>
    <row r="20839" spans="1:7" x14ac:dyDescent="0.25">
      <c r="A20839">
        <v>8</v>
      </c>
      <c r="B20839" t="s">
        <v>20852</v>
      </c>
      <c r="C20839">
        <v>3916</v>
      </c>
      <c r="D20839" t="str">
        <f>"1387-3008"</f>
        <v>1387-3008</v>
      </c>
      <c r="E20839" t="s">
        <v>15</v>
      </c>
      <c r="F20839" t="s">
        <v>20857</v>
      </c>
      <c r="G20839">
        <v>2</v>
      </c>
    </row>
    <row r="20840" spans="1:7" x14ac:dyDescent="0.25">
      <c r="A20840">
        <v>8</v>
      </c>
      <c r="B20840" t="s">
        <v>20852</v>
      </c>
      <c r="C20840">
        <v>9651</v>
      </c>
      <c r="D20840" t="str">
        <f>"0590-8876"</f>
        <v>0590-8876</v>
      </c>
      <c r="E20840" t="s">
        <v>8</v>
      </c>
      <c r="F20840" t="s">
        <v>20858</v>
      </c>
      <c r="G20840">
        <v>2</v>
      </c>
    </row>
    <row r="20841" spans="1:7" x14ac:dyDescent="0.25">
      <c r="A20841">
        <v>8</v>
      </c>
      <c r="B20841" t="s">
        <v>20852</v>
      </c>
      <c r="C20841">
        <v>15781</v>
      </c>
      <c r="D20841" t="str">
        <f>"0070-7546"</f>
        <v>0070-7546</v>
      </c>
      <c r="E20841" t="s">
        <v>15</v>
      </c>
      <c r="F20841" t="s">
        <v>20859</v>
      </c>
      <c r="G20841">
        <v>2</v>
      </c>
    </row>
    <row r="20842" spans="1:7" x14ac:dyDescent="0.25">
      <c r="A20842">
        <v>8</v>
      </c>
      <c r="B20842" t="s">
        <v>20852</v>
      </c>
      <c r="C20842">
        <v>14880</v>
      </c>
      <c r="D20842" t="str">
        <f>"0308-7298"</f>
        <v>0308-7298</v>
      </c>
      <c r="E20842" t="s">
        <v>8</v>
      </c>
      <c r="F20842" t="s">
        <v>20860</v>
      </c>
      <c r="G20842">
        <v>2</v>
      </c>
    </row>
    <row r="20843" spans="1:7" x14ac:dyDescent="0.25">
      <c r="A20843">
        <v>8</v>
      </c>
      <c r="B20843" t="s">
        <v>20852</v>
      </c>
      <c r="C20843">
        <v>11452</v>
      </c>
      <c r="D20843" t="str">
        <f>"0075-2207"</f>
        <v>0075-2207</v>
      </c>
      <c r="E20843" t="s">
        <v>8</v>
      </c>
      <c r="F20843" t="s">
        <v>20861</v>
      </c>
      <c r="G20843">
        <v>2</v>
      </c>
    </row>
    <row r="20844" spans="1:7" x14ac:dyDescent="0.25">
      <c r="A20844">
        <v>8</v>
      </c>
      <c r="B20844" t="s">
        <v>20852</v>
      </c>
      <c r="C20844">
        <v>7637</v>
      </c>
      <c r="D20844" t="str">
        <f>"0075-4390"</f>
        <v>0075-4390</v>
      </c>
      <c r="E20844" t="s">
        <v>8</v>
      </c>
      <c r="F20844" t="s">
        <v>20862</v>
      </c>
      <c r="G20844">
        <v>2</v>
      </c>
    </row>
    <row r="20845" spans="1:7" x14ac:dyDescent="0.25">
      <c r="A20845">
        <v>8</v>
      </c>
      <c r="B20845" t="s">
        <v>20852</v>
      </c>
      <c r="C20845">
        <v>15162</v>
      </c>
      <c r="D20845" t="str">
        <f>"0023-3609"</f>
        <v>0023-3609</v>
      </c>
      <c r="E20845" t="s">
        <v>8</v>
      </c>
      <c r="F20845" t="s">
        <v>20863</v>
      </c>
      <c r="G20845">
        <v>2</v>
      </c>
    </row>
    <row r="20846" spans="1:7" x14ac:dyDescent="0.25">
      <c r="A20846">
        <v>8</v>
      </c>
      <c r="B20846" t="s">
        <v>20852</v>
      </c>
      <c r="C20846">
        <v>2198</v>
      </c>
      <c r="D20846" t="str">
        <f>"0340-7403"</f>
        <v>0340-7403</v>
      </c>
      <c r="E20846" t="s">
        <v>8</v>
      </c>
      <c r="F20846" t="s">
        <v>20864</v>
      </c>
      <c r="G20846">
        <v>2</v>
      </c>
    </row>
    <row r="20847" spans="1:7" x14ac:dyDescent="0.25">
      <c r="A20847">
        <v>8</v>
      </c>
      <c r="B20847" t="s">
        <v>20852</v>
      </c>
      <c r="C20847">
        <v>2547</v>
      </c>
      <c r="D20847" t="str">
        <f>"0023-5415"</f>
        <v>0023-5415</v>
      </c>
      <c r="E20847" t="s">
        <v>8</v>
      </c>
      <c r="F20847" t="s">
        <v>20865</v>
      </c>
      <c r="G20847">
        <v>2</v>
      </c>
    </row>
    <row r="20848" spans="1:7" x14ac:dyDescent="0.25">
      <c r="A20848">
        <v>8</v>
      </c>
      <c r="B20848" t="s">
        <v>20852</v>
      </c>
      <c r="C20848">
        <v>15032</v>
      </c>
      <c r="D20848" t="str">
        <f>"0024-094X"</f>
        <v>0024-094X</v>
      </c>
      <c r="E20848" t="s">
        <v>8</v>
      </c>
      <c r="F20848" t="s">
        <v>20249</v>
      </c>
      <c r="G20848">
        <v>2</v>
      </c>
    </row>
    <row r="20849" spans="1:7" x14ac:dyDescent="0.25">
      <c r="A20849">
        <v>8</v>
      </c>
      <c r="B20849" t="s">
        <v>20852</v>
      </c>
      <c r="C20849">
        <v>3948</v>
      </c>
      <c r="D20849" t="str">
        <f>"0342-121X"</f>
        <v>0342-121X</v>
      </c>
      <c r="E20849" t="s">
        <v>8</v>
      </c>
      <c r="F20849" t="s">
        <v>20866</v>
      </c>
      <c r="G20849">
        <v>2</v>
      </c>
    </row>
    <row r="20850" spans="1:7" x14ac:dyDescent="0.25">
      <c r="A20850">
        <v>8</v>
      </c>
      <c r="B20850" t="s">
        <v>20852</v>
      </c>
      <c r="C20850">
        <v>16905</v>
      </c>
      <c r="D20850" t="str">
        <f>"0025-5025"</f>
        <v>0025-5025</v>
      </c>
      <c r="E20850" t="s">
        <v>8</v>
      </c>
      <c r="F20850" t="s">
        <v>20867</v>
      </c>
      <c r="G20850">
        <v>2</v>
      </c>
    </row>
    <row r="20851" spans="1:7" x14ac:dyDescent="0.25">
      <c r="A20851">
        <v>8</v>
      </c>
      <c r="B20851" t="s">
        <v>20852</v>
      </c>
      <c r="C20851">
        <v>5041</v>
      </c>
      <c r="D20851" t="str">
        <f>"0077-8958"</f>
        <v>0077-8958</v>
      </c>
      <c r="E20851" t="s">
        <v>15</v>
      </c>
      <c r="F20851" t="s">
        <v>20868</v>
      </c>
      <c r="G20851">
        <v>2</v>
      </c>
    </row>
    <row r="20852" spans="1:7" x14ac:dyDescent="0.25">
      <c r="A20852">
        <v>8</v>
      </c>
      <c r="B20852" t="s">
        <v>20852</v>
      </c>
      <c r="C20852">
        <v>15853</v>
      </c>
      <c r="D20852" t="str">
        <f>"0342-1201"</f>
        <v>0342-1201</v>
      </c>
      <c r="E20852" t="s">
        <v>8</v>
      </c>
      <c r="F20852" t="s">
        <v>20869</v>
      </c>
      <c r="G20852">
        <v>2</v>
      </c>
    </row>
    <row r="20853" spans="1:7" x14ac:dyDescent="0.25">
      <c r="A20853">
        <v>8</v>
      </c>
      <c r="B20853" t="s">
        <v>20852</v>
      </c>
      <c r="C20853">
        <v>2072</v>
      </c>
      <c r="D20853" t="str">
        <f>"0169-8850"</f>
        <v>0169-8850</v>
      </c>
      <c r="E20853" t="s">
        <v>15</v>
      </c>
      <c r="F20853" t="s">
        <v>20870</v>
      </c>
      <c r="G20853">
        <v>2</v>
      </c>
    </row>
    <row r="20854" spans="1:7" x14ac:dyDescent="0.25">
      <c r="A20854">
        <v>8</v>
      </c>
      <c r="B20854" t="s">
        <v>20852</v>
      </c>
      <c r="C20854">
        <v>6830</v>
      </c>
      <c r="D20854" t="str">
        <f>"2000-1452"</f>
        <v>2000-1452</v>
      </c>
      <c r="E20854" t="s">
        <v>8</v>
      </c>
      <c r="F20854" t="s">
        <v>20871</v>
      </c>
      <c r="G20854">
        <v>2</v>
      </c>
    </row>
    <row r="20855" spans="1:7" x14ac:dyDescent="0.25">
      <c r="A20855">
        <v>8</v>
      </c>
      <c r="B20855" t="s">
        <v>20852</v>
      </c>
      <c r="C20855">
        <v>11407</v>
      </c>
      <c r="D20855" t="str">
        <f>"1103-8152"</f>
        <v>1103-8152</v>
      </c>
      <c r="E20855" t="s">
        <v>8</v>
      </c>
      <c r="F20855" t="s">
        <v>20872</v>
      </c>
      <c r="G20855">
        <v>2</v>
      </c>
    </row>
    <row r="20856" spans="1:7" x14ac:dyDescent="0.25">
      <c r="A20856">
        <v>8</v>
      </c>
      <c r="B20856" t="s">
        <v>20852</v>
      </c>
      <c r="C20856">
        <v>5583</v>
      </c>
      <c r="D20856" t="str">
        <f>"0162-2870"</f>
        <v>0162-2870</v>
      </c>
      <c r="E20856" t="s">
        <v>8</v>
      </c>
      <c r="F20856" t="s">
        <v>20873</v>
      </c>
      <c r="G20856">
        <v>2</v>
      </c>
    </row>
    <row r="20857" spans="1:7" x14ac:dyDescent="0.25">
      <c r="A20857">
        <v>8</v>
      </c>
      <c r="B20857" t="s">
        <v>20852</v>
      </c>
      <c r="C20857">
        <v>10991</v>
      </c>
      <c r="D20857" t="str">
        <f>"0923-0033"</f>
        <v>0923-0033</v>
      </c>
      <c r="E20857" t="s">
        <v>15</v>
      </c>
      <c r="F20857" t="s">
        <v>20874</v>
      </c>
      <c r="G20857">
        <v>2</v>
      </c>
    </row>
    <row r="20858" spans="1:7" x14ac:dyDescent="0.25">
      <c r="A20858">
        <v>8</v>
      </c>
      <c r="B20858" t="s">
        <v>20852</v>
      </c>
      <c r="C20858">
        <v>15652</v>
      </c>
      <c r="D20858" t="str">
        <f>"0142-6540"</f>
        <v>0142-6540</v>
      </c>
      <c r="E20858" t="s">
        <v>8</v>
      </c>
      <c r="F20858" t="s">
        <v>20875</v>
      </c>
      <c r="G20858">
        <v>2</v>
      </c>
    </row>
    <row r="20859" spans="1:7" x14ac:dyDescent="0.25">
      <c r="A20859">
        <v>8</v>
      </c>
      <c r="B20859" t="s">
        <v>20852</v>
      </c>
      <c r="C20859">
        <v>8781970</v>
      </c>
      <c r="E20859" t="s">
        <v>8</v>
      </c>
      <c r="F20859" t="s">
        <v>20876</v>
      </c>
      <c r="G20859">
        <v>2</v>
      </c>
    </row>
    <row r="20860" spans="1:7" x14ac:dyDescent="0.25">
      <c r="A20860">
        <v>8</v>
      </c>
      <c r="B20860" t="s">
        <v>20852</v>
      </c>
      <c r="C20860">
        <v>6141</v>
      </c>
      <c r="D20860" t="str">
        <f>"0265-8305"</f>
        <v>0265-8305</v>
      </c>
      <c r="E20860" t="s">
        <v>8</v>
      </c>
      <c r="F20860" t="s">
        <v>20877</v>
      </c>
      <c r="G20860">
        <v>2</v>
      </c>
    </row>
    <row r="20861" spans="1:7" x14ac:dyDescent="0.25">
      <c r="A20861">
        <v>8</v>
      </c>
      <c r="B20861" t="s">
        <v>20852</v>
      </c>
      <c r="C20861">
        <v>3699</v>
      </c>
      <c r="D20861" t="str">
        <f>"0035-1326"</f>
        <v>0035-1326</v>
      </c>
      <c r="E20861" t="s">
        <v>8</v>
      </c>
      <c r="F20861" t="s">
        <v>20878</v>
      </c>
      <c r="G20861">
        <v>2</v>
      </c>
    </row>
    <row r="20862" spans="1:7" x14ac:dyDescent="0.25">
      <c r="A20862">
        <v>8</v>
      </c>
      <c r="B20862" t="s">
        <v>20852</v>
      </c>
      <c r="C20862">
        <v>7703778</v>
      </c>
      <c r="E20862" t="s">
        <v>8</v>
      </c>
      <c r="F20862" t="s">
        <v>20879</v>
      </c>
      <c r="G20862">
        <v>2</v>
      </c>
    </row>
    <row r="20863" spans="1:7" x14ac:dyDescent="0.25">
      <c r="A20863">
        <v>8</v>
      </c>
      <c r="B20863" t="s">
        <v>20852</v>
      </c>
      <c r="C20863">
        <v>1198</v>
      </c>
      <c r="D20863" t="str">
        <f>"0037-5411"</f>
        <v>0037-5411</v>
      </c>
      <c r="E20863" t="s">
        <v>8</v>
      </c>
      <c r="F20863" t="s">
        <v>20880</v>
      </c>
      <c r="G20863">
        <v>2</v>
      </c>
    </row>
    <row r="20864" spans="1:7" x14ac:dyDescent="0.25">
      <c r="A20864">
        <v>8</v>
      </c>
      <c r="B20864" t="s">
        <v>20852</v>
      </c>
      <c r="C20864">
        <v>10064</v>
      </c>
      <c r="D20864" t="str">
        <f>"0737-4453"</f>
        <v>0737-4453</v>
      </c>
      <c r="E20864" t="s">
        <v>8</v>
      </c>
      <c r="F20864" t="s">
        <v>20881</v>
      </c>
      <c r="G20864">
        <v>2</v>
      </c>
    </row>
    <row r="20865" spans="1:7" x14ac:dyDescent="0.25">
      <c r="A20865">
        <v>8</v>
      </c>
      <c r="B20865" t="s">
        <v>20852</v>
      </c>
      <c r="C20865">
        <v>1181</v>
      </c>
      <c r="D20865" t="str">
        <f>"0004-3079"</f>
        <v>0004-3079</v>
      </c>
      <c r="E20865" t="s">
        <v>8</v>
      </c>
      <c r="F20865" t="s">
        <v>20882</v>
      </c>
      <c r="G20865">
        <v>2</v>
      </c>
    </row>
    <row r="20866" spans="1:7" x14ac:dyDescent="0.25">
      <c r="A20866">
        <v>8</v>
      </c>
      <c r="B20866" t="s">
        <v>20852</v>
      </c>
      <c r="C20866">
        <v>9858</v>
      </c>
      <c r="D20866" t="str">
        <f>"0021-8529"</f>
        <v>0021-8529</v>
      </c>
      <c r="E20866" t="s">
        <v>8</v>
      </c>
      <c r="F20866" t="s">
        <v>20883</v>
      </c>
      <c r="G20866">
        <v>2</v>
      </c>
    </row>
    <row r="20867" spans="1:7" x14ac:dyDescent="0.25">
      <c r="A20867">
        <v>8</v>
      </c>
      <c r="B20867" t="s">
        <v>20852</v>
      </c>
      <c r="C20867">
        <v>9404</v>
      </c>
      <c r="D20867" t="str">
        <f>"1063-2921"</f>
        <v>1063-2921</v>
      </c>
      <c r="E20867" t="s">
        <v>8</v>
      </c>
      <c r="F20867" t="s">
        <v>20884</v>
      </c>
      <c r="G20867">
        <v>2</v>
      </c>
    </row>
    <row r="20868" spans="1:7" x14ac:dyDescent="0.25">
      <c r="A20868">
        <v>8</v>
      </c>
      <c r="B20868" t="s">
        <v>20852</v>
      </c>
      <c r="C20868">
        <v>16387</v>
      </c>
      <c r="D20868" t="str">
        <f>"2153-5531"</f>
        <v>2153-5531</v>
      </c>
      <c r="E20868" t="s">
        <v>8</v>
      </c>
      <c r="F20868" t="s">
        <v>20885</v>
      </c>
      <c r="G20868">
        <v>2</v>
      </c>
    </row>
    <row r="20869" spans="1:7" x14ac:dyDescent="0.25">
      <c r="A20869">
        <v>8</v>
      </c>
      <c r="B20869" t="s">
        <v>20852</v>
      </c>
      <c r="C20869">
        <v>16574</v>
      </c>
      <c r="D20869" t="str">
        <f>"0084-0416"</f>
        <v>0084-0416</v>
      </c>
      <c r="E20869" t="s">
        <v>8</v>
      </c>
      <c r="F20869" t="s">
        <v>20886</v>
      </c>
      <c r="G20869">
        <v>2</v>
      </c>
    </row>
    <row r="20870" spans="1:7" x14ac:dyDescent="0.25">
      <c r="A20870">
        <v>8</v>
      </c>
      <c r="B20870" t="s">
        <v>20852</v>
      </c>
      <c r="C20870">
        <v>3061</v>
      </c>
      <c r="D20870" t="str">
        <f>"0044-2992"</f>
        <v>0044-2992</v>
      </c>
      <c r="E20870" t="s">
        <v>8</v>
      </c>
      <c r="F20870" t="s">
        <v>20887</v>
      </c>
      <c r="G20870">
        <v>2</v>
      </c>
    </row>
    <row r="20871" spans="1:7" x14ac:dyDescent="0.25">
      <c r="A20871">
        <v>8</v>
      </c>
      <c r="B20871" t="s">
        <v>20852</v>
      </c>
      <c r="C20871">
        <v>14447</v>
      </c>
      <c r="D20871" t="str">
        <f>"0044-2186"</f>
        <v>0044-2186</v>
      </c>
      <c r="E20871" t="s">
        <v>8</v>
      </c>
      <c r="F20871" t="s">
        <v>20888</v>
      </c>
      <c r="G20871">
        <v>2</v>
      </c>
    </row>
    <row r="20872" spans="1:7" x14ac:dyDescent="0.25">
      <c r="A20872">
        <v>8</v>
      </c>
      <c r="B20872" t="s">
        <v>20852</v>
      </c>
      <c r="C20872">
        <v>17202</v>
      </c>
      <c r="D20872" t="str">
        <f>"0001-5830"</f>
        <v>0001-5830</v>
      </c>
      <c r="E20872" t="s">
        <v>8</v>
      </c>
      <c r="F20872" t="s">
        <v>20889</v>
      </c>
      <c r="G20872">
        <v>1</v>
      </c>
    </row>
    <row r="20873" spans="1:7" x14ac:dyDescent="0.25">
      <c r="A20873">
        <v>8</v>
      </c>
      <c r="B20873" t="s">
        <v>20852</v>
      </c>
      <c r="C20873">
        <v>15443</v>
      </c>
      <c r="D20873" t="str">
        <f>"0001-9933"</f>
        <v>0001-9933</v>
      </c>
      <c r="E20873" t="s">
        <v>8</v>
      </c>
      <c r="F20873" t="s">
        <v>20890</v>
      </c>
      <c r="G20873">
        <v>1</v>
      </c>
    </row>
    <row r="20874" spans="1:7" x14ac:dyDescent="0.25">
      <c r="A20874">
        <v>8</v>
      </c>
      <c r="B20874" t="s">
        <v>20852</v>
      </c>
      <c r="C20874">
        <v>4326</v>
      </c>
      <c r="D20874" t="str">
        <f>"1465-4253"</f>
        <v>1465-4253</v>
      </c>
      <c r="E20874" t="s">
        <v>8</v>
      </c>
      <c r="F20874" t="s">
        <v>20891</v>
      </c>
      <c r="G20874">
        <v>1</v>
      </c>
    </row>
    <row r="20875" spans="1:7" x14ac:dyDescent="0.25">
      <c r="A20875">
        <v>8</v>
      </c>
      <c r="B20875" t="s">
        <v>20852</v>
      </c>
      <c r="C20875">
        <v>21222</v>
      </c>
      <c r="D20875" t="str">
        <f>"1073-9300"</f>
        <v>1073-9300</v>
      </c>
      <c r="E20875" t="s">
        <v>8</v>
      </c>
      <c r="F20875" t="s">
        <v>20892</v>
      </c>
      <c r="G20875">
        <v>1</v>
      </c>
    </row>
    <row r="20876" spans="1:7" x14ac:dyDescent="0.25">
      <c r="A20876">
        <v>8</v>
      </c>
      <c r="B20876" t="s">
        <v>20852</v>
      </c>
      <c r="C20876">
        <v>5419</v>
      </c>
      <c r="D20876" t="str">
        <f>"0066-1392"</f>
        <v>0066-1392</v>
      </c>
      <c r="E20876" t="s">
        <v>15</v>
      </c>
      <c r="F20876" t="s">
        <v>20893</v>
      </c>
      <c r="G20876">
        <v>1</v>
      </c>
    </row>
    <row r="20877" spans="1:7" x14ac:dyDescent="0.25">
      <c r="A20877">
        <v>8</v>
      </c>
      <c r="B20877" t="s">
        <v>20852</v>
      </c>
      <c r="C20877">
        <v>14608</v>
      </c>
      <c r="D20877" t="str">
        <f>"1108-4081"</f>
        <v>1108-4081</v>
      </c>
      <c r="E20877" t="s">
        <v>8</v>
      </c>
      <c r="F20877" t="s">
        <v>20894</v>
      </c>
      <c r="G20877">
        <v>1</v>
      </c>
    </row>
    <row r="20878" spans="1:7" x14ac:dyDescent="0.25">
      <c r="A20878">
        <v>8</v>
      </c>
      <c r="B20878" t="s">
        <v>20852</v>
      </c>
      <c r="C20878">
        <v>12712</v>
      </c>
      <c r="D20878" t="str">
        <f>"0003-6420"</f>
        <v>0003-6420</v>
      </c>
      <c r="E20878" t="s">
        <v>8</v>
      </c>
      <c r="F20878" t="s">
        <v>20895</v>
      </c>
      <c r="G20878">
        <v>1</v>
      </c>
    </row>
    <row r="20879" spans="1:7" x14ac:dyDescent="0.25">
      <c r="A20879">
        <v>8</v>
      </c>
      <c r="B20879" t="s">
        <v>20852</v>
      </c>
      <c r="C20879">
        <v>9085</v>
      </c>
      <c r="D20879" t="str">
        <f>"0003-6536"</f>
        <v>0003-6536</v>
      </c>
      <c r="E20879" t="s">
        <v>8</v>
      </c>
      <c r="F20879" t="s">
        <v>20896</v>
      </c>
      <c r="G20879">
        <v>1</v>
      </c>
    </row>
    <row r="20880" spans="1:7" x14ac:dyDescent="0.25">
      <c r="A20880">
        <v>8</v>
      </c>
      <c r="B20880" t="s">
        <v>20852</v>
      </c>
      <c r="C20880">
        <v>883</v>
      </c>
      <c r="D20880" t="str">
        <f>"0003-9853"</f>
        <v>0003-9853</v>
      </c>
      <c r="E20880" t="s">
        <v>8</v>
      </c>
      <c r="F20880" t="s">
        <v>20897</v>
      </c>
      <c r="G20880">
        <v>1</v>
      </c>
    </row>
    <row r="20881" spans="1:7" x14ac:dyDescent="0.25">
      <c r="A20881">
        <v>8</v>
      </c>
      <c r="B20881" t="s">
        <v>20852</v>
      </c>
      <c r="C20881">
        <v>17621</v>
      </c>
      <c r="D20881" t="str">
        <f>"0066-6637"</f>
        <v>0066-6637</v>
      </c>
      <c r="E20881" t="s">
        <v>8</v>
      </c>
      <c r="F20881" t="s">
        <v>20898</v>
      </c>
      <c r="G20881">
        <v>1</v>
      </c>
    </row>
    <row r="20882" spans="1:7" x14ac:dyDescent="0.25">
      <c r="A20882">
        <v>8</v>
      </c>
      <c r="B20882" t="s">
        <v>20852</v>
      </c>
      <c r="C20882">
        <v>7644</v>
      </c>
      <c r="D20882" t="str">
        <f>"0004-0428"</f>
        <v>0004-0428</v>
      </c>
      <c r="E20882" t="s">
        <v>8</v>
      </c>
      <c r="F20882" t="s">
        <v>20899</v>
      </c>
      <c r="G20882">
        <v>1</v>
      </c>
    </row>
    <row r="20883" spans="1:7" x14ac:dyDescent="0.25">
      <c r="A20883">
        <v>8</v>
      </c>
      <c r="B20883" t="s">
        <v>20852</v>
      </c>
      <c r="C20883">
        <v>29987</v>
      </c>
      <c r="D20883" t="str">
        <f>"1602-9402"</f>
        <v>1602-9402</v>
      </c>
      <c r="E20883" t="s">
        <v>8</v>
      </c>
      <c r="F20883" t="s">
        <v>20900</v>
      </c>
      <c r="G20883">
        <v>1</v>
      </c>
    </row>
    <row r="20884" spans="1:7" x14ac:dyDescent="0.25">
      <c r="A20884">
        <v>8</v>
      </c>
      <c r="B20884" t="s">
        <v>20852</v>
      </c>
      <c r="C20884">
        <v>6070</v>
      </c>
      <c r="D20884" t="str">
        <f>"0133-6673"</f>
        <v>0133-6673</v>
      </c>
      <c r="E20884" t="s">
        <v>8</v>
      </c>
      <c r="F20884" t="s">
        <v>20901</v>
      </c>
      <c r="G20884">
        <v>1</v>
      </c>
    </row>
    <row r="20885" spans="1:7" x14ac:dyDescent="0.25">
      <c r="A20885">
        <v>8</v>
      </c>
      <c r="B20885" t="s">
        <v>20852</v>
      </c>
      <c r="C20885">
        <v>12758</v>
      </c>
      <c r="E20885" t="s">
        <v>8</v>
      </c>
      <c r="F20885" t="s">
        <v>20902</v>
      </c>
      <c r="G20885">
        <v>1</v>
      </c>
    </row>
    <row r="20886" spans="1:7" x14ac:dyDescent="0.25">
      <c r="A20886">
        <v>8</v>
      </c>
      <c r="B20886" t="s">
        <v>20852</v>
      </c>
      <c r="C20886">
        <v>7704667</v>
      </c>
      <c r="D20886" t="str">
        <f>"2042-793X"</f>
        <v>2042-793X</v>
      </c>
      <c r="E20886" t="s">
        <v>8</v>
      </c>
      <c r="F20886" t="s">
        <v>20903</v>
      </c>
      <c r="G20886">
        <v>1</v>
      </c>
    </row>
    <row r="20887" spans="1:7" x14ac:dyDescent="0.25">
      <c r="A20887">
        <v>8</v>
      </c>
      <c r="B20887" t="s">
        <v>20852</v>
      </c>
      <c r="C20887">
        <v>322</v>
      </c>
      <c r="D20887" t="str">
        <f>"1401-2987"</f>
        <v>1401-2987</v>
      </c>
      <c r="E20887" t="s">
        <v>8</v>
      </c>
      <c r="F20887" t="s">
        <v>20904</v>
      </c>
      <c r="G20887">
        <v>1</v>
      </c>
    </row>
    <row r="20888" spans="1:7" x14ac:dyDescent="0.25">
      <c r="A20888">
        <v>8</v>
      </c>
      <c r="B20888" t="s">
        <v>20852</v>
      </c>
      <c r="C20888">
        <v>4151</v>
      </c>
      <c r="D20888" t="str">
        <f>"0730-7187"</f>
        <v>0730-7187</v>
      </c>
      <c r="E20888" t="s">
        <v>8</v>
      </c>
      <c r="F20888" t="s">
        <v>20905</v>
      </c>
      <c r="G20888">
        <v>1</v>
      </c>
    </row>
    <row r="20889" spans="1:7" x14ac:dyDescent="0.25">
      <c r="A20889">
        <v>8</v>
      </c>
      <c r="B20889" t="s">
        <v>20852</v>
      </c>
      <c r="C20889">
        <v>4579</v>
      </c>
      <c r="D20889" t="str">
        <f>"0004-3214"</f>
        <v>0004-3214</v>
      </c>
      <c r="E20889" t="s">
        <v>8</v>
      </c>
      <c r="F20889" t="s">
        <v>20906</v>
      </c>
      <c r="G20889">
        <v>1</v>
      </c>
    </row>
    <row r="20890" spans="1:7" x14ac:dyDescent="0.25">
      <c r="A20890">
        <v>8</v>
      </c>
      <c r="B20890" t="s">
        <v>20852</v>
      </c>
      <c r="C20890">
        <v>18606</v>
      </c>
      <c r="D20890" t="str">
        <f>"0742-1656"</f>
        <v>0742-1656</v>
      </c>
      <c r="E20890" t="s">
        <v>8</v>
      </c>
      <c r="F20890" t="s">
        <v>20907</v>
      </c>
      <c r="G20890">
        <v>1</v>
      </c>
    </row>
    <row r="20891" spans="1:7" x14ac:dyDescent="0.25">
      <c r="A20891">
        <v>8</v>
      </c>
      <c r="B20891" t="s">
        <v>20852</v>
      </c>
      <c r="C20891">
        <v>11167</v>
      </c>
      <c r="D20891" t="str">
        <f>"0004-3400"</f>
        <v>0004-3400</v>
      </c>
      <c r="E20891" t="s">
        <v>8</v>
      </c>
      <c r="F20891" t="s">
        <v>20908</v>
      </c>
      <c r="G20891">
        <v>1</v>
      </c>
    </row>
    <row r="20892" spans="1:7" x14ac:dyDescent="0.25">
      <c r="A20892">
        <v>8</v>
      </c>
      <c r="B20892" t="s">
        <v>20852</v>
      </c>
      <c r="C20892">
        <v>3736</v>
      </c>
      <c r="D20892" t="str">
        <f>"1121-0524"</f>
        <v>1121-0524</v>
      </c>
      <c r="E20892" t="s">
        <v>8</v>
      </c>
      <c r="F20892" t="s">
        <v>20909</v>
      </c>
      <c r="G20892">
        <v>1</v>
      </c>
    </row>
    <row r="20893" spans="1:7" x14ac:dyDescent="0.25">
      <c r="A20893">
        <v>8</v>
      </c>
      <c r="B20893" t="s">
        <v>20852</v>
      </c>
      <c r="C20893">
        <v>7126</v>
      </c>
      <c r="D20893" t="str">
        <f>"0393-7267"</f>
        <v>0393-7267</v>
      </c>
      <c r="E20893" t="s">
        <v>8</v>
      </c>
      <c r="F20893" t="s">
        <v>20910</v>
      </c>
      <c r="G20893">
        <v>1</v>
      </c>
    </row>
    <row r="20894" spans="1:7" x14ac:dyDescent="0.25">
      <c r="A20894">
        <v>8</v>
      </c>
      <c r="B20894" t="s">
        <v>20852</v>
      </c>
      <c r="C20894">
        <v>17571</v>
      </c>
      <c r="D20894" t="str">
        <f>"1086-7058"</f>
        <v>1086-7058</v>
      </c>
      <c r="E20894" t="s">
        <v>8</v>
      </c>
      <c r="F20894" t="s">
        <v>20911</v>
      </c>
      <c r="G20894">
        <v>1</v>
      </c>
    </row>
    <row r="20895" spans="1:7" x14ac:dyDescent="0.25">
      <c r="A20895">
        <v>8</v>
      </c>
      <c r="B20895" t="s">
        <v>20852</v>
      </c>
      <c r="C20895">
        <v>15562</v>
      </c>
      <c r="D20895" t="str">
        <f>"0004-3648"</f>
        <v>0004-3648</v>
      </c>
      <c r="E20895" t="s">
        <v>8</v>
      </c>
      <c r="F20895" t="s">
        <v>20912</v>
      </c>
      <c r="G20895">
        <v>1</v>
      </c>
    </row>
    <row r="20896" spans="1:7" x14ac:dyDescent="0.25">
      <c r="A20896">
        <v>8</v>
      </c>
      <c r="B20896" t="s">
        <v>20852</v>
      </c>
      <c r="C20896">
        <v>8165</v>
      </c>
      <c r="D20896" t="str">
        <f>"0004-3273"</f>
        <v>0004-3273</v>
      </c>
      <c r="E20896" t="s">
        <v>8</v>
      </c>
      <c r="F20896" t="s">
        <v>20913</v>
      </c>
      <c r="G20896">
        <v>1</v>
      </c>
    </row>
    <row r="20897" spans="1:7" x14ac:dyDescent="0.25">
      <c r="A20897">
        <v>8</v>
      </c>
      <c r="B20897" t="s">
        <v>20852</v>
      </c>
      <c r="C20897">
        <v>37088</v>
      </c>
      <c r="E20897" t="s">
        <v>8</v>
      </c>
      <c r="F20897" t="s">
        <v>20914</v>
      </c>
      <c r="G20897">
        <v>1</v>
      </c>
    </row>
    <row r="20898" spans="1:7" x14ac:dyDescent="0.25">
      <c r="A20898">
        <v>8</v>
      </c>
      <c r="B20898" t="s">
        <v>20852</v>
      </c>
      <c r="C20898">
        <v>14967</v>
      </c>
      <c r="D20898" t="str">
        <f>"1124-2493"</f>
        <v>1124-2493</v>
      </c>
      <c r="E20898" t="s">
        <v>8</v>
      </c>
      <c r="F20898" t="s">
        <v>20915</v>
      </c>
      <c r="G20898">
        <v>1</v>
      </c>
    </row>
    <row r="20899" spans="1:7" x14ac:dyDescent="0.25">
      <c r="A20899">
        <v>8</v>
      </c>
      <c r="B20899" t="s">
        <v>20852</v>
      </c>
      <c r="C20899">
        <v>10388</v>
      </c>
      <c r="D20899" t="str">
        <f>"0394-4573"</f>
        <v>0394-4573</v>
      </c>
      <c r="E20899" t="s">
        <v>8</v>
      </c>
      <c r="F20899" t="s">
        <v>20916</v>
      </c>
      <c r="G20899">
        <v>1</v>
      </c>
    </row>
    <row r="20900" spans="1:7" x14ac:dyDescent="0.25">
      <c r="A20900">
        <v>8</v>
      </c>
      <c r="B20900" t="s">
        <v>20852</v>
      </c>
      <c r="C20900">
        <v>12786</v>
      </c>
      <c r="D20900" t="str">
        <f>"0007-6287"</f>
        <v>0007-6287</v>
      </c>
      <c r="E20900" t="s">
        <v>8</v>
      </c>
      <c r="F20900" t="s">
        <v>20917</v>
      </c>
      <c r="G20900">
        <v>1</v>
      </c>
    </row>
    <row r="20901" spans="1:7" x14ac:dyDescent="0.25">
      <c r="A20901">
        <v>8</v>
      </c>
      <c r="B20901" t="s">
        <v>20852</v>
      </c>
      <c r="C20901">
        <v>8783504</v>
      </c>
      <c r="E20901" t="s">
        <v>15</v>
      </c>
      <c r="F20901" t="s">
        <v>20918</v>
      </c>
      <c r="G20901">
        <v>1</v>
      </c>
    </row>
    <row r="20902" spans="1:7" x14ac:dyDescent="0.25">
      <c r="A20902">
        <v>8</v>
      </c>
      <c r="B20902" t="s">
        <v>20852</v>
      </c>
      <c r="C20902">
        <v>8782451</v>
      </c>
      <c r="D20902" t="str">
        <f>"0379-3621"</f>
        <v>0379-3621</v>
      </c>
      <c r="E20902" t="s">
        <v>8</v>
      </c>
      <c r="F20902" t="s">
        <v>20919</v>
      </c>
      <c r="G20902">
        <v>1</v>
      </c>
    </row>
    <row r="20903" spans="1:7" x14ac:dyDescent="0.25">
      <c r="A20903">
        <v>8</v>
      </c>
      <c r="B20903" t="s">
        <v>20852</v>
      </c>
      <c r="C20903">
        <v>9322</v>
      </c>
      <c r="D20903" t="str">
        <f>"0065-0536"</f>
        <v>0065-0536</v>
      </c>
      <c r="E20903" t="s">
        <v>8</v>
      </c>
      <c r="F20903" t="s">
        <v>20920</v>
      </c>
      <c r="G20903">
        <v>1</v>
      </c>
    </row>
    <row r="20904" spans="1:7" x14ac:dyDescent="0.25">
      <c r="A20904">
        <v>8</v>
      </c>
      <c r="B20904" t="s">
        <v>20852</v>
      </c>
      <c r="C20904">
        <v>13866</v>
      </c>
      <c r="D20904" t="str">
        <f>"0391-1535"</f>
        <v>0391-1535</v>
      </c>
      <c r="E20904" t="s">
        <v>15</v>
      </c>
      <c r="F20904" t="s">
        <v>20921</v>
      </c>
      <c r="G20904">
        <v>1</v>
      </c>
    </row>
    <row r="20905" spans="1:7" x14ac:dyDescent="0.25">
      <c r="A20905">
        <v>8</v>
      </c>
      <c r="B20905" t="s">
        <v>20852</v>
      </c>
      <c r="C20905">
        <v>1063</v>
      </c>
      <c r="D20905" t="str">
        <f>"1649-0460"</f>
        <v>1649-0460</v>
      </c>
      <c r="E20905" t="s">
        <v>8</v>
      </c>
      <c r="F20905" t="s">
        <v>20922</v>
      </c>
      <c r="G20905">
        <v>1</v>
      </c>
    </row>
    <row r="20906" spans="1:7" x14ac:dyDescent="0.25">
      <c r="A20906">
        <v>8</v>
      </c>
      <c r="B20906" t="s">
        <v>20852</v>
      </c>
      <c r="C20906">
        <v>8783505</v>
      </c>
      <c r="E20906" t="s">
        <v>15</v>
      </c>
      <c r="F20906" t="s">
        <v>20923</v>
      </c>
      <c r="G20906">
        <v>1</v>
      </c>
    </row>
    <row r="20907" spans="1:7" x14ac:dyDescent="0.25">
      <c r="A20907">
        <v>8</v>
      </c>
      <c r="B20907" t="s">
        <v>20852</v>
      </c>
      <c r="C20907">
        <v>12593</v>
      </c>
      <c r="D20907" t="str">
        <f>"1828-2164"</f>
        <v>1828-2164</v>
      </c>
      <c r="E20907" t="s">
        <v>15</v>
      </c>
      <c r="F20907" t="s">
        <v>20924</v>
      </c>
      <c r="G20907">
        <v>1</v>
      </c>
    </row>
    <row r="20908" spans="1:7" x14ac:dyDescent="0.25">
      <c r="A20908">
        <v>8</v>
      </c>
      <c r="B20908" t="s">
        <v>20852</v>
      </c>
      <c r="C20908">
        <v>6205</v>
      </c>
      <c r="D20908" t="str">
        <f>"1024-1922"</f>
        <v>1024-1922</v>
      </c>
      <c r="E20908" t="s">
        <v>8</v>
      </c>
      <c r="F20908" t="s">
        <v>20925</v>
      </c>
      <c r="G20908">
        <v>1</v>
      </c>
    </row>
    <row r="20909" spans="1:7" x14ac:dyDescent="0.25">
      <c r="A20909">
        <v>8</v>
      </c>
      <c r="B20909" t="s">
        <v>20852</v>
      </c>
      <c r="C20909">
        <v>6961</v>
      </c>
      <c r="D20909" t="str">
        <f>"0276-2374"</f>
        <v>0276-2374</v>
      </c>
      <c r="E20909" t="s">
        <v>8</v>
      </c>
      <c r="F20909" t="s">
        <v>20926</v>
      </c>
      <c r="G20909">
        <v>1</v>
      </c>
    </row>
    <row r="20910" spans="1:7" x14ac:dyDescent="0.25">
      <c r="A20910">
        <v>8</v>
      </c>
      <c r="B20910" t="s">
        <v>20852</v>
      </c>
      <c r="C20910">
        <v>6322</v>
      </c>
      <c r="D20910" t="str">
        <f>"1270-9050"</f>
        <v>1270-9050</v>
      </c>
      <c r="E20910" t="s">
        <v>8</v>
      </c>
      <c r="F20910" t="s">
        <v>20927</v>
      </c>
      <c r="G20910">
        <v>1</v>
      </c>
    </row>
    <row r="20911" spans="1:7" x14ac:dyDescent="0.25">
      <c r="A20911">
        <v>8</v>
      </c>
      <c r="B20911" t="s">
        <v>20852</v>
      </c>
      <c r="C20911">
        <v>7716588</v>
      </c>
      <c r="E20911" t="s">
        <v>15</v>
      </c>
      <c r="F20911" t="s">
        <v>20928</v>
      </c>
      <c r="G20911">
        <v>1</v>
      </c>
    </row>
    <row r="20912" spans="1:7" x14ac:dyDescent="0.25">
      <c r="A20912">
        <v>8</v>
      </c>
      <c r="B20912" t="s">
        <v>20852</v>
      </c>
      <c r="C20912">
        <v>8782755</v>
      </c>
      <c r="E20912" t="s">
        <v>8</v>
      </c>
      <c r="F20912" t="s">
        <v>20929</v>
      </c>
      <c r="G20912">
        <v>1</v>
      </c>
    </row>
    <row r="20913" spans="1:7" x14ac:dyDescent="0.25">
      <c r="A20913">
        <v>8</v>
      </c>
      <c r="B20913" t="s">
        <v>20852</v>
      </c>
      <c r="C20913">
        <v>11200</v>
      </c>
      <c r="D20913" t="str">
        <f>"0015-7678"</f>
        <v>0015-7678</v>
      </c>
      <c r="E20913" t="s">
        <v>8</v>
      </c>
      <c r="F20913" t="s">
        <v>20930</v>
      </c>
      <c r="G20913">
        <v>1</v>
      </c>
    </row>
    <row r="20914" spans="1:7" x14ac:dyDescent="0.25">
      <c r="A20914">
        <v>8</v>
      </c>
      <c r="B20914" t="s">
        <v>20852</v>
      </c>
      <c r="C20914">
        <v>11492</v>
      </c>
      <c r="D20914" t="str">
        <f>"0720-5260"</f>
        <v>0720-5260</v>
      </c>
      <c r="E20914" t="s">
        <v>8</v>
      </c>
      <c r="F20914" t="s">
        <v>20931</v>
      </c>
      <c r="G20914">
        <v>1</v>
      </c>
    </row>
    <row r="20915" spans="1:7" x14ac:dyDescent="0.25">
      <c r="A20915">
        <v>8</v>
      </c>
      <c r="B20915" t="s">
        <v>20852</v>
      </c>
      <c r="C20915">
        <v>16138</v>
      </c>
      <c r="D20915" t="str">
        <f>"0016-920X"</f>
        <v>0016-920X</v>
      </c>
      <c r="E20915" t="s">
        <v>8</v>
      </c>
      <c r="F20915" t="s">
        <v>20932</v>
      </c>
      <c r="G20915">
        <v>1</v>
      </c>
    </row>
    <row r="20916" spans="1:7" x14ac:dyDescent="0.25">
      <c r="A20916">
        <v>8</v>
      </c>
      <c r="B20916" t="s">
        <v>20852</v>
      </c>
      <c r="C20916">
        <v>7467</v>
      </c>
      <c r="D20916" t="str">
        <f>"0017-2715"</f>
        <v>0017-2715</v>
      </c>
      <c r="E20916" t="s">
        <v>8</v>
      </c>
      <c r="F20916" t="s">
        <v>20933</v>
      </c>
      <c r="G20916">
        <v>1</v>
      </c>
    </row>
    <row r="20917" spans="1:7" x14ac:dyDescent="0.25">
      <c r="A20917">
        <v>8</v>
      </c>
      <c r="B20917" t="s">
        <v>20852</v>
      </c>
      <c r="C20917">
        <v>155960</v>
      </c>
      <c r="E20917" t="s">
        <v>8</v>
      </c>
      <c r="F20917" t="s">
        <v>20934</v>
      </c>
      <c r="G20917">
        <v>1</v>
      </c>
    </row>
    <row r="20918" spans="1:7" x14ac:dyDescent="0.25">
      <c r="A20918">
        <v>8</v>
      </c>
      <c r="B20918" t="s">
        <v>20852</v>
      </c>
      <c r="C20918">
        <v>1825</v>
      </c>
      <c r="D20918" t="str">
        <f>"0992-2059"</f>
        <v>0992-2059</v>
      </c>
      <c r="E20918" t="s">
        <v>8</v>
      </c>
      <c r="F20918" t="s">
        <v>20935</v>
      </c>
      <c r="G20918">
        <v>1</v>
      </c>
    </row>
    <row r="20919" spans="1:7" x14ac:dyDescent="0.25">
      <c r="A20919">
        <v>8</v>
      </c>
      <c r="B20919" t="s">
        <v>20852</v>
      </c>
      <c r="C20919">
        <v>27174</v>
      </c>
      <c r="D20919" t="str">
        <f>"0393-5949"</f>
        <v>0393-5949</v>
      </c>
      <c r="E20919" t="s">
        <v>8</v>
      </c>
      <c r="F20919" t="s">
        <v>20936</v>
      </c>
      <c r="G20919">
        <v>1</v>
      </c>
    </row>
    <row r="20920" spans="1:7" x14ac:dyDescent="0.25">
      <c r="A20920">
        <v>8</v>
      </c>
      <c r="B20920" t="s">
        <v>20852</v>
      </c>
      <c r="C20920">
        <v>8781971</v>
      </c>
      <c r="D20920" t="str">
        <f>"2323-5586"</f>
        <v>2323-5586</v>
      </c>
      <c r="E20920" t="s">
        <v>8</v>
      </c>
      <c r="F20920" t="s">
        <v>20937</v>
      </c>
      <c r="G20920">
        <v>1</v>
      </c>
    </row>
    <row r="20921" spans="1:7" x14ac:dyDescent="0.25">
      <c r="A20921">
        <v>8</v>
      </c>
      <c r="B20921" t="s">
        <v>20852</v>
      </c>
      <c r="C20921">
        <v>15381</v>
      </c>
      <c r="D20921" t="str">
        <f>"1045-0920"</f>
        <v>1045-0920</v>
      </c>
      <c r="E20921" t="s">
        <v>8</v>
      </c>
      <c r="F20921" t="s">
        <v>20938</v>
      </c>
      <c r="G20921">
        <v>1</v>
      </c>
    </row>
    <row r="20922" spans="1:7" x14ac:dyDescent="0.25">
      <c r="A20922">
        <v>8</v>
      </c>
      <c r="B20922" t="s">
        <v>20852</v>
      </c>
      <c r="C20922">
        <v>7756285</v>
      </c>
      <c r="D20922" t="str">
        <f>"2053-9320"</f>
        <v>2053-9320</v>
      </c>
      <c r="E20922" t="s">
        <v>8</v>
      </c>
      <c r="F20922" t="s">
        <v>20939</v>
      </c>
      <c r="G20922">
        <v>1</v>
      </c>
    </row>
    <row r="20923" spans="1:7" x14ac:dyDescent="0.25">
      <c r="A20923">
        <v>8</v>
      </c>
      <c r="B20923" t="s">
        <v>20852</v>
      </c>
      <c r="C20923">
        <v>375</v>
      </c>
      <c r="D20923" t="str">
        <f>"1060-149X"</f>
        <v>1060-149X</v>
      </c>
      <c r="E20923" t="s">
        <v>8</v>
      </c>
      <c r="F20923" t="s">
        <v>20940</v>
      </c>
      <c r="G20923">
        <v>1</v>
      </c>
    </row>
    <row r="20924" spans="1:7" x14ac:dyDescent="0.25">
      <c r="A20924">
        <v>8</v>
      </c>
      <c r="B20924" t="s">
        <v>20852</v>
      </c>
      <c r="C20924">
        <v>7350</v>
      </c>
      <c r="D20924" t="str">
        <f>"1470-2029"</f>
        <v>1470-2029</v>
      </c>
      <c r="E20924" t="s">
        <v>8</v>
      </c>
      <c r="F20924" t="s">
        <v>20941</v>
      </c>
      <c r="G20924">
        <v>1</v>
      </c>
    </row>
    <row r="20925" spans="1:7" x14ac:dyDescent="0.25">
      <c r="A20925">
        <v>8</v>
      </c>
      <c r="B20925" t="s">
        <v>20852</v>
      </c>
      <c r="C20925">
        <v>8783364</v>
      </c>
      <c r="D20925" t="str">
        <f>"2470-5683"</f>
        <v>2470-5683</v>
      </c>
      <c r="E20925" t="s">
        <v>8</v>
      </c>
      <c r="F20925" t="s">
        <v>20942</v>
      </c>
      <c r="G20925">
        <v>1</v>
      </c>
    </row>
    <row r="20926" spans="1:7" x14ac:dyDescent="0.25">
      <c r="A20926">
        <v>8</v>
      </c>
      <c r="B20926" t="s">
        <v>20852</v>
      </c>
      <c r="C20926">
        <v>3400</v>
      </c>
      <c r="D20926" t="str">
        <f>"0023-5474"</f>
        <v>0023-5474</v>
      </c>
      <c r="E20926" t="s">
        <v>8</v>
      </c>
      <c r="F20926" t="s">
        <v>20943</v>
      </c>
      <c r="G20926">
        <v>1</v>
      </c>
    </row>
    <row r="20927" spans="1:7" x14ac:dyDescent="0.25">
      <c r="A20927">
        <v>8</v>
      </c>
      <c r="B20927" t="s">
        <v>20852</v>
      </c>
      <c r="C20927">
        <v>6922</v>
      </c>
      <c r="D20927" t="str">
        <f>"0333-1059"</f>
        <v>0333-1059</v>
      </c>
      <c r="E20927" t="s">
        <v>8</v>
      </c>
      <c r="F20927" t="s">
        <v>20944</v>
      </c>
      <c r="G20927">
        <v>1</v>
      </c>
    </row>
    <row r="20928" spans="1:7" x14ac:dyDescent="0.25">
      <c r="A20928">
        <v>8</v>
      </c>
      <c r="B20928" t="s">
        <v>20852</v>
      </c>
      <c r="C20928">
        <v>14918</v>
      </c>
      <c r="D20928" t="str">
        <f>"1504-0917"</f>
        <v>1504-0917</v>
      </c>
      <c r="E20928" t="s">
        <v>8</v>
      </c>
      <c r="F20928" t="s">
        <v>20945</v>
      </c>
      <c r="G20928">
        <v>1</v>
      </c>
    </row>
    <row r="20929" spans="1:7" x14ac:dyDescent="0.25">
      <c r="A20929">
        <v>8</v>
      </c>
      <c r="B20929" t="s">
        <v>20852</v>
      </c>
      <c r="C20929">
        <v>153</v>
      </c>
      <c r="D20929" t="str">
        <f>"0029-862X"</f>
        <v>0029-862X</v>
      </c>
      <c r="E20929" t="s">
        <v>8</v>
      </c>
      <c r="F20929" t="s">
        <v>20946</v>
      </c>
      <c r="G20929">
        <v>1</v>
      </c>
    </row>
    <row r="20930" spans="1:7" x14ac:dyDescent="0.25">
      <c r="A20930">
        <v>8</v>
      </c>
      <c r="B20930" t="s">
        <v>20852</v>
      </c>
      <c r="C20930">
        <v>132408</v>
      </c>
      <c r="D20930" t="str">
        <f>"0024-6891"</f>
        <v>0024-6891</v>
      </c>
      <c r="E20930" t="s">
        <v>8</v>
      </c>
      <c r="F20930" t="s">
        <v>20947</v>
      </c>
      <c r="G20930">
        <v>1</v>
      </c>
    </row>
    <row r="20931" spans="1:7" x14ac:dyDescent="0.25">
      <c r="A20931">
        <v>8</v>
      </c>
      <c r="B20931" t="s">
        <v>20852</v>
      </c>
      <c r="C20931">
        <v>9297</v>
      </c>
      <c r="D20931" t="str">
        <f>"0026-1521"</f>
        <v>0026-1521</v>
      </c>
      <c r="E20931" t="s">
        <v>8</v>
      </c>
      <c r="F20931" t="s">
        <v>20948</v>
      </c>
      <c r="G20931">
        <v>1</v>
      </c>
    </row>
    <row r="20932" spans="1:7" x14ac:dyDescent="0.25">
      <c r="A20932">
        <v>8</v>
      </c>
      <c r="B20932" t="s">
        <v>20852</v>
      </c>
      <c r="C20932">
        <v>8347</v>
      </c>
      <c r="E20932" t="s">
        <v>8</v>
      </c>
      <c r="F20932" t="s">
        <v>20949</v>
      </c>
      <c r="G20932">
        <v>1</v>
      </c>
    </row>
    <row r="20933" spans="1:7" x14ac:dyDescent="0.25">
      <c r="A20933">
        <v>8</v>
      </c>
      <c r="B20933" t="s">
        <v>20852</v>
      </c>
      <c r="C20933">
        <v>15971</v>
      </c>
      <c r="D20933" t="str">
        <f>"0029-9316"</f>
        <v>0029-9316</v>
      </c>
      <c r="E20933" t="s">
        <v>8</v>
      </c>
      <c r="F20933" t="s">
        <v>20950</v>
      </c>
      <c r="G20933">
        <v>1</v>
      </c>
    </row>
    <row r="20934" spans="1:7" x14ac:dyDescent="0.25">
      <c r="A20934">
        <v>8</v>
      </c>
      <c r="B20934" t="s">
        <v>20852</v>
      </c>
      <c r="C20934">
        <v>14178</v>
      </c>
      <c r="D20934" t="str">
        <f>"0030-672X"</f>
        <v>0030-672X</v>
      </c>
      <c r="E20934" t="s">
        <v>8</v>
      </c>
      <c r="F20934" t="s">
        <v>20951</v>
      </c>
      <c r="G20934">
        <v>1</v>
      </c>
    </row>
    <row r="20935" spans="1:7" x14ac:dyDescent="0.25">
      <c r="A20935">
        <v>8</v>
      </c>
      <c r="B20935" t="s">
        <v>20852</v>
      </c>
      <c r="C20935">
        <v>33533</v>
      </c>
      <c r="D20935" t="str">
        <f>"0908-5351"</f>
        <v>0908-5351</v>
      </c>
      <c r="E20935" t="s">
        <v>15</v>
      </c>
      <c r="F20935" t="s">
        <v>20952</v>
      </c>
      <c r="G20935">
        <v>1</v>
      </c>
    </row>
    <row r="20936" spans="1:7" x14ac:dyDescent="0.25">
      <c r="A20936">
        <v>8</v>
      </c>
      <c r="B20936" t="s">
        <v>20852</v>
      </c>
      <c r="C20936">
        <v>4269</v>
      </c>
      <c r="D20936" t="str">
        <f>"0908-6919"</f>
        <v>0908-6919</v>
      </c>
      <c r="E20936" t="s">
        <v>8</v>
      </c>
      <c r="F20936" t="s">
        <v>20953</v>
      </c>
      <c r="G20936">
        <v>1</v>
      </c>
    </row>
    <row r="20937" spans="1:7" x14ac:dyDescent="0.25">
      <c r="A20937">
        <v>8</v>
      </c>
      <c r="B20937" t="s">
        <v>20852</v>
      </c>
      <c r="C20937">
        <v>18058</v>
      </c>
      <c r="D20937" t="str">
        <f>"0031-7314"</f>
        <v>0031-7314</v>
      </c>
      <c r="E20937" t="s">
        <v>8</v>
      </c>
      <c r="F20937" t="s">
        <v>20954</v>
      </c>
      <c r="G20937">
        <v>1</v>
      </c>
    </row>
    <row r="20938" spans="1:7" x14ac:dyDescent="0.25">
      <c r="A20938">
        <v>8</v>
      </c>
      <c r="B20938" t="s">
        <v>20852</v>
      </c>
      <c r="C20938">
        <v>19648</v>
      </c>
      <c r="D20938" t="str">
        <f>"1754-0763"</f>
        <v>1754-0763</v>
      </c>
      <c r="E20938" t="s">
        <v>8</v>
      </c>
      <c r="F20938" t="s">
        <v>20955</v>
      </c>
      <c r="G20938">
        <v>1</v>
      </c>
    </row>
    <row r="20939" spans="1:7" x14ac:dyDescent="0.25">
      <c r="A20939">
        <v>8</v>
      </c>
      <c r="B20939" t="s">
        <v>20852</v>
      </c>
      <c r="C20939">
        <v>12388</v>
      </c>
      <c r="D20939" t="str">
        <f>"0394-0802"</f>
        <v>0394-0802</v>
      </c>
      <c r="E20939" t="s">
        <v>8</v>
      </c>
      <c r="F20939" t="s">
        <v>20956</v>
      </c>
      <c r="G20939">
        <v>1</v>
      </c>
    </row>
    <row r="20940" spans="1:7" x14ac:dyDescent="0.25">
      <c r="A20940">
        <v>8</v>
      </c>
      <c r="B20940" t="s">
        <v>20852</v>
      </c>
      <c r="C20940">
        <v>234</v>
      </c>
      <c r="E20940" t="s">
        <v>8</v>
      </c>
      <c r="F20940" t="s">
        <v>20957</v>
      </c>
      <c r="G20940">
        <v>1</v>
      </c>
    </row>
    <row r="20941" spans="1:7" x14ac:dyDescent="0.25">
      <c r="A20941">
        <v>8</v>
      </c>
      <c r="B20941" t="s">
        <v>20852</v>
      </c>
      <c r="C20941">
        <v>12775</v>
      </c>
      <c r="D20941" t="str">
        <f>"1962-4271"</f>
        <v>1962-4271</v>
      </c>
      <c r="E20941" t="s">
        <v>8</v>
      </c>
      <c r="F20941" t="s">
        <v>20958</v>
      </c>
      <c r="G20941">
        <v>1</v>
      </c>
    </row>
    <row r="20942" spans="1:7" x14ac:dyDescent="0.25">
      <c r="A20942">
        <v>8</v>
      </c>
      <c r="B20942" t="s">
        <v>20852</v>
      </c>
      <c r="C20942">
        <v>370</v>
      </c>
      <c r="D20942" t="str">
        <f>"0392-7202"</f>
        <v>0392-7202</v>
      </c>
      <c r="E20942" t="s">
        <v>8</v>
      </c>
      <c r="F20942" t="s">
        <v>20959</v>
      </c>
      <c r="G20942">
        <v>1</v>
      </c>
    </row>
    <row r="20943" spans="1:7" x14ac:dyDescent="0.25">
      <c r="A20943">
        <v>8</v>
      </c>
      <c r="B20943" t="s">
        <v>20852</v>
      </c>
      <c r="C20943">
        <v>10039</v>
      </c>
      <c r="D20943" t="str">
        <f>"1423-5579"</f>
        <v>1423-5579</v>
      </c>
      <c r="E20943" t="s">
        <v>8</v>
      </c>
      <c r="F20943" t="s">
        <v>20960</v>
      </c>
      <c r="G20943">
        <v>1</v>
      </c>
    </row>
    <row r="20944" spans="1:7" x14ac:dyDescent="0.25">
      <c r="A20944">
        <v>8</v>
      </c>
      <c r="B20944" t="s">
        <v>20852</v>
      </c>
      <c r="C20944">
        <v>8783506</v>
      </c>
      <c r="E20944" t="s">
        <v>15</v>
      </c>
      <c r="F20944" t="s">
        <v>20961</v>
      </c>
      <c r="G20944">
        <v>1</v>
      </c>
    </row>
    <row r="20945" spans="1:7" x14ac:dyDescent="0.25">
      <c r="A20945">
        <v>8</v>
      </c>
      <c r="B20945" t="s">
        <v>20852</v>
      </c>
      <c r="C20945">
        <v>27626</v>
      </c>
      <c r="D20945" t="str">
        <f>"1449-1818"</f>
        <v>1449-1818</v>
      </c>
      <c r="E20945" t="s">
        <v>8</v>
      </c>
      <c r="F20945" t="s">
        <v>20962</v>
      </c>
      <c r="G20945">
        <v>1</v>
      </c>
    </row>
    <row r="20946" spans="1:7" x14ac:dyDescent="0.25">
      <c r="A20946">
        <v>8</v>
      </c>
      <c r="B20946" t="s">
        <v>20852</v>
      </c>
      <c r="C20946">
        <v>8783508</v>
      </c>
      <c r="E20946" t="s">
        <v>15</v>
      </c>
      <c r="F20946" t="s">
        <v>20963</v>
      </c>
      <c r="G20946">
        <v>1</v>
      </c>
    </row>
    <row r="20947" spans="1:7" x14ac:dyDescent="0.25">
      <c r="A20947">
        <v>8</v>
      </c>
      <c r="B20947" t="s">
        <v>20852</v>
      </c>
      <c r="C20947">
        <v>22560</v>
      </c>
      <c r="D20947" t="str">
        <f>"1366-2724"</f>
        <v>1366-2724</v>
      </c>
      <c r="E20947" t="s">
        <v>8</v>
      </c>
      <c r="F20947" t="s">
        <v>20964</v>
      </c>
      <c r="G20947">
        <v>1</v>
      </c>
    </row>
    <row r="20948" spans="1:7" x14ac:dyDescent="0.25">
      <c r="A20948">
        <v>8</v>
      </c>
      <c r="B20948" t="s">
        <v>20852</v>
      </c>
      <c r="C20948">
        <v>15025</v>
      </c>
      <c r="D20948" t="str">
        <f>"0747-5284"</f>
        <v>0747-5284</v>
      </c>
      <c r="E20948" t="s">
        <v>8</v>
      </c>
      <c r="F20948" t="s">
        <v>20965</v>
      </c>
      <c r="G20948">
        <v>1</v>
      </c>
    </row>
    <row r="20949" spans="1:7" x14ac:dyDescent="0.25">
      <c r="A20949">
        <v>8</v>
      </c>
      <c r="B20949" t="s">
        <v>20852</v>
      </c>
      <c r="C20949">
        <v>14393</v>
      </c>
      <c r="D20949" t="str">
        <f>"0105-7618"</f>
        <v>0105-7618</v>
      </c>
      <c r="E20949" t="s">
        <v>8</v>
      </c>
      <c r="F20949" t="s">
        <v>20966</v>
      </c>
      <c r="G20949">
        <v>1</v>
      </c>
    </row>
    <row r="20950" spans="1:7" x14ac:dyDescent="0.25">
      <c r="A20950">
        <v>8</v>
      </c>
      <c r="B20950" t="s">
        <v>20852</v>
      </c>
      <c r="C20950">
        <v>17111</v>
      </c>
      <c r="D20950" t="str">
        <f>"0148-1029"</f>
        <v>0148-1029</v>
      </c>
      <c r="E20950" t="s">
        <v>8</v>
      </c>
      <c r="F20950" t="s">
        <v>20967</v>
      </c>
      <c r="G20950">
        <v>1</v>
      </c>
    </row>
    <row r="20951" spans="1:7" x14ac:dyDescent="0.25">
      <c r="A20951">
        <v>8</v>
      </c>
      <c r="B20951" t="s">
        <v>20852</v>
      </c>
      <c r="C20951">
        <v>659</v>
      </c>
      <c r="D20951" t="str">
        <f>"0924-7696"</f>
        <v>0924-7696</v>
      </c>
      <c r="E20951" t="s">
        <v>15</v>
      </c>
      <c r="F20951" t="s">
        <v>20968</v>
      </c>
      <c r="G20951">
        <v>1</v>
      </c>
    </row>
    <row r="20952" spans="1:7" x14ac:dyDescent="0.25">
      <c r="A20952">
        <v>8</v>
      </c>
      <c r="B20952" t="s">
        <v>20852</v>
      </c>
      <c r="C20952">
        <v>3737</v>
      </c>
      <c r="D20952" t="str">
        <f>"0091-7338"</f>
        <v>0091-7338</v>
      </c>
      <c r="E20952" t="s">
        <v>15</v>
      </c>
      <c r="F20952" t="s">
        <v>20969</v>
      </c>
      <c r="G20952">
        <v>1</v>
      </c>
    </row>
    <row r="20953" spans="1:7" x14ac:dyDescent="0.25">
      <c r="A20953">
        <v>8</v>
      </c>
      <c r="B20953" t="s">
        <v>20852</v>
      </c>
      <c r="C20953">
        <v>12597</v>
      </c>
      <c r="D20953" t="str">
        <f>"0940-9459"</f>
        <v>0940-9459</v>
      </c>
      <c r="E20953" t="s">
        <v>8</v>
      </c>
      <c r="F20953" t="s">
        <v>20970</v>
      </c>
      <c r="G20953">
        <v>1</v>
      </c>
    </row>
    <row r="20954" spans="1:7" x14ac:dyDescent="0.25">
      <c r="A20954">
        <v>8</v>
      </c>
      <c r="B20954" t="s">
        <v>20852</v>
      </c>
      <c r="C20954">
        <v>5742</v>
      </c>
      <c r="D20954" t="str">
        <f>"1475-9756"</f>
        <v>1475-9756</v>
      </c>
      <c r="E20954" t="s">
        <v>8</v>
      </c>
      <c r="F20954" t="s">
        <v>20971</v>
      </c>
      <c r="G20954">
        <v>1</v>
      </c>
    </row>
    <row r="20955" spans="1:7" x14ac:dyDescent="0.25">
      <c r="A20955">
        <v>8</v>
      </c>
      <c r="B20955" t="s">
        <v>20852</v>
      </c>
      <c r="C20955">
        <v>5492</v>
      </c>
      <c r="D20955" t="str">
        <f>"0832-2473"</f>
        <v>0832-2473</v>
      </c>
      <c r="E20955" t="s">
        <v>8</v>
      </c>
      <c r="F20955" t="s">
        <v>20972</v>
      </c>
      <c r="G20955">
        <v>1</v>
      </c>
    </row>
    <row r="20956" spans="1:7" x14ac:dyDescent="0.25">
      <c r="A20956">
        <v>8</v>
      </c>
      <c r="B20956" t="s">
        <v>20852</v>
      </c>
      <c r="C20956">
        <v>1168</v>
      </c>
      <c r="D20956" t="str">
        <f>"1541-1796"</f>
        <v>1541-1796</v>
      </c>
      <c r="E20956" t="s">
        <v>8</v>
      </c>
      <c r="F20956" t="s">
        <v>20973</v>
      </c>
      <c r="G20956">
        <v>1</v>
      </c>
    </row>
    <row r="20957" spans="1:7" x14ac:dyDescent="0.25">
      <c r="A20957">
        <v>8</v>
      </c>
      <c r="B20957" t="s">
        <v>20852</v>
      </c>
      <c r="C20957">
        <v>14994</v>
      </c>
      <c r="D20957" t="str">
        <f>"1399-1353"</f>
        <v>1399-1353</v>
      </c>
      <c r="E20957" t="s">
        <v>8</v>
      </c>
      <c r="F20957" t="s">
        <v>20974</v>
      </c>
      <c r="G20957">
        <v>1</v>
      </c>
    </row>
    <row r="20958" spans="1:7" x14ac:dyDescent="0.25">
      <c r="A20958">
        <v>8</v>
      </c>
      <c r="B20958" t="s">
        <v>20852</v>
      </c>
      <c r="C20958">
        <v>16329</v>
      </c>
      <c r="D20958" t="str">
        <f>"0022-2224"</f>
        <v>0022-2224</v>
      </c>
      <c r="E20958" t="s">
        <v>8</v>
      </c>
      <c r="F20958" t="s">
        <v>20975</v>
      </c>
      <c r="G20958">
        <v>1</v>
      </c>
    </row>
    <row r="20959" spans="1:7" x14ac:dyDescent="0.25">
      <c r="A20959">
        <v>8</v>
      </c>
      <c r="B20959" t="s">
        <v>20852</v>
      </c>
      <c r="C20959">
        <v>8425</v>
      </c>
      <c r="D20959" t="str">
        <f>"0270-7993"</f>
        <v>0270-7993</v>
      </c>
      <c r="E20959" t="s">
        <v>8</v>
      </c>
      <c r="F20959" t="s">
        <v>20976</v>
      </c>
      <c r="G20959">
        <v>1</v>
      </c>
    </row>
    <row r="20960" spans="1:7" x14ac:dyDescent="0.25">
      <c r="A20960">
        <v>8</v>
      </c>
      <c r="B20960" t="s">
        <v>20852</v>
      </c>
      <c r="C20960">
        <v>6135</v>
      </c>
      <c r="D20960" t="str">
        <f>"0044-2135"</f>
        <v>0044-2135</v>
      </c>
      <c r="E20960" t="s">
        <v>8</v>
      </c>
      <c r="F20960" t="s">
        <v>20977</v>
      </c>
      <c r="G20960">
        <v>1</v>
      </c>
    </row>
    <row r="20961" spans="1:7" x14ac:dyDescent="0.25">
      <c r="A20961">
        <v>9</v>
      </c>
      <c r="B20961" t="s">
        <v>20978</v>
      </c>
      <c r="C20961">
        <v>2971</v>
      </c>
      <c r="D20961" t="str">
        <f>"0160-7383"</f>
        <v>0160-7383</v>
      </c>
      <c r="E20961" t="s">
        <v>8</v>
      </c>
      <c r="F20961" t="s">
        <v>20979</v>
      </c>
      <c r="G20961">
        <v>2</v>
      </c>
    </row>
    <row r="20962" spans="1:7" x14ac:dyDescent="0.25">
      <c r="A20962">
        <v>9</v>
      </c>
      <c r="B20962" t="s">
        <v>20978</v>
      </c>
      <c r="C20962">
        <v>10413</v>
      </c>
      <c r="D20962" t="str">
        <f>"0093-1896"</f>
        <v>0093-1896</v>
      </c>
      <c r="E20962" t="s">
        <v>8</v>
      </c>
      <c r="F20962" t="s">
        <v>20980</v>
      </c>
      <c r="G20962">
        <v>2</v>
      </c>
    </row>
    <row r="20963" spans="1:7" x14ac:dyDescent="0.25">
      <c r="A20963">
        <v>9</v>
      </c>
      <c r="B20963" t="s">
        <v>20978</v>
      </c>
      <c r="C20963">
        <v>12305</v>
      </c>
      <c r="D20963" t="str">
        <f>"0950-2386"</f>
        <v>0950-2386</v>
      </c>
      <c r="E20963" t="s">
        <v>8</v>
      </c>
      <c r="F20963" t="s">
        <v>20981</v>
      </c>
      <c r="G20963">
        <v>2</v>
      </c>
    </row>
    <row r="20964" spans="1:7" x14ac:dyDescent="0.25">
      <c r="A20964">
        <v>9</v>
      </c>
      <c r="B20964" t="s">
        <v>20978</v>
      </c>
      <c r="C20964">
        <v>14116</v>
      </c>
      <c r="D20964" t="str">
        <f>"1473-5784"</f>
        <v>1473-5784</v>
      </c>
      <c r="E20964" t="s">
        <v>8</v>
      </c>
      <c r="F20964" t="s">
        <v>20982</v>
      </c>
      <c r="G20964">
        <v>2</v>
      </c>
    </row>
    <row r="20965" spans="1:7" x14ac:dyDescent="0.25">
      <c r="A20965">
        <v>9</v>
      </c>
      <c r="B20965" t="s">
        <v>20978</v>
      </c>
      <c r="C20965">
        <v>11007</v>
      </c>
      <c r="D20965" t="str">
        <f>"0425-4597"</f>
        <v>0425-4597</v>
      </c>
      <c r="E20965" t="s">
        <v>8</v>
      </c>
      <c r="F20965" t="s">
        <v>20983</v>
      </c>
      <c r="G20965">
        <v>2</v>
      </c>
    </row>
    <row r="20966" spans="1:7" x14ac:dyDescent="0.25">
      <c r="A20966">
        <v>9</v>
      </c>
      <c r="B20966" t="s">
        <v>20978</v>
      </c>
      <c r="C20966">
        <v>11882</v>
      </c>
      <c r="D20966" t="str">
        <f>"0348-9698"</f>
        <v>0348-9698</v>
      </c>
      <c r="E20966" t="s">
        <v>8</v>
      </c>
      <c r="F20966" t="s">
        <v>20984</v>
      </c>
      <c r="G20966">
        <v>2</v>
      </c>
    </row>
    <row r="20967" spans="1:7" x14ac:dyDescent="0.25">
      <c r="A20967">
        <v>9</v>
      </c>
      <c r="B20967" t="s">
        <v>20978</v>
      </c>
      <c r="C20967">
        <v>7903</v>
      </c>
      <c r="D20967" t="str">
        <f>"1367-5494"</f>
        <v>1367-5494</v>
      </c>
      <c r="E20967" t="s">
        <v>8</v>
      </c>
      <c r="F20967" t="s">
        <v>20985</v>
      </c>
      <c r="G20967">
        <v>2</v>
      </c>
    </row>
    <row r="20968" spans="1:7" x14ac:dyDescent="0.25">
      <c r="A20968">
        <v>9</v>
      </c>
      <c r="B20968" t="s">
        <v>20978</v>
      </c>
      <c r="C20968">
        <v>9632</v>
      </c>
      <c r="D20968" t="str">
        <f>"0014-6242"</f>
        <v>0014-6242</v>
      </c>
      <c r="E20968" t="s">
        <v>8</v>
      </c>
      <c r="F20968" t="s">
        <v>20986</v>
      </c>
      <c r="G20968">
        <v>2</v>
      </c>
    </row>
    <row r="20969" spans="1:7" x14ac:dyDescent="0.25">
      <c r="A20969">
        <v>9</v>
      </c>
      <c r="B20969" t="s">
        <v>20978</v>
      </c>
      <c r="C20969">
        <v>10324</v>
      </c>
      <c r="D20969" t="str">
        <f>"1367-8779"</f>
        <v>1367-8779</v>
      </c>
      <c r="E20969" t="s">
        <v>8</v>
      </c>
      <c r="F20969" t="s">
        <v>20987</v>
      </c>
      <c r="G20969">
        <v>2</v>
      </c>
    </row>
    <row r="20970" spans="1:7" x14ac:dyDescent="0.25">
      <c r="A20970">
        <v>9</v>
      </c>
      <c r="B20970" t="s">
        <v>20978</v>
      </c>
      <c r="C20970">
        <v>11852</v>
      </c>
      <c r="D20970" t="str">
        <f>"1469-5405"</f>
        <v>1469-5405</v>
      </c>
      <c r="E20970" t="s">
        <v>8</v>
      </c>
      <c r="F20970" t="s">
        <v>20988</v>
      </c>
      <c r="G20970">
        <v>2</v>
      </c>
    </row>
    <row r="20971" spans="1:7" x14ac:dyDescent="0.25">
      <c r="A20971">
        <v>9</v>
      </c>
      <c r="B20971" t="s">
        <v>20978</v>
      </c>
      <c r="C20971">
        <v>4737</v>
      </c>
      <c r="D20971" t="str">
        <f>"0725-6868"</f>
        <v>0725-6868</v>
      </c>
      <c r="E20971" t="s">
        <v>8</v>
      </c>
      <c r="F20971" t="s">
        <v>20989</v>
      </c>
      <c r="G20971">
        <v>2</v>
      </c>
    </row>
    <row r="20972" spans="1:7" x14ac:dyDescent="0.25">
      <c r="A20972">
        <v>9</v>
      </c>
      <c r="B20972" t="s">
        <v>20978</v>
      </c>
      <c r="C20972">
        <v>13525</v>
      </c>
      <c r="D20972" t="str">
        <f>"0022-3840"</f>
        <v>0022-3840</v>
      </c>
      <c r="E20972" t="s">
        <v>8</v>
      </c>
      <c r="F20972" t="s">
        <v>20990</v>
      </c>
      <c r="G20972">
        <v>2</v>
      </c>
    </row>
    <row r="20973" spans="1:7" x14ac:dyDescent="0.25">
      <c r="A20973">
        <v>9</v>
      </c>
      <c r="B20973" t="s">
        <v>20978</v>
      </c>
      <c r="C20973">
        <v>13725</v>
      </c>
      <c r="D20973" t="str">
        <f>"1470-4129"</f>
        <v>1470-4129</v>
      </c>
      <c r="E20973" t="s">
        <v>8</v>
      </c>
      <c r="F20973" t="s">
        <v>20991</v>
      </c>
      <c r="G20973">
        <v>2</v>
      </c>
    </row>
    <row r="20974" spans="1:7" x14ac:dyDescent="0.25">
      <c r="A20974">
        <v>9</v>
      </c>
      <c r="B20974" t="s">
        <v>20978</v>
      </c>
      <c r="C20974">
        <v>27547</v>
      </c>
      <c r="D20974" t="str">
        <f>"1750-6980"</f>
        <v>1750-6980</v>
      </c>
      <c r="E20974" t="s">
        <v>8</v>
      </c>
      <c r="F20974" t="s">
        <v>20992</v>
      </c>
      <c r="G20974">
        <v>2</v>
      </c>
    </row>
    <row r="20975" spans="1:7" x14ac:dyDescent="0.25">
      <c r="A20975">
        <v>9</v>
      </c>
      <c r="B20975" t="s">
        <v>20978</v>
      </c>
      <c r="C20975">
        <v>6091</v>
      </c>
      <c r="D20975" t="str">
        <f>"1028-6632"</f>
        <v>1028-6632</v>
      </c>
      <c r="E20975" t="s">
        <v>8</v>
      </c>
      <c r="F20975" t="s">
        <v>20993</v>
      </c>
      <c r="G20975">
        <v>2</v>
      </c>
    </row>
    <row r="20976" spans="1:7" x14ac:dyDescent="0.25">
      <c r="A20976">
        <v>9</v>
      </c>
      <c r="B20976" t="s">
        <v>20978</v>
      </c>
      <c r="C20976">
        <v>7638</v>
      </c>
      <c r="D20976" t="str">
        <f>"1468-7976"</f>
        <v>1468-7976</v>
      </c>
      <c r="E20976" t="s">
        <v>8</v>
      </c>
      <c r="F20976" t="s">
        <v>20994</v>
      </c>
      <c r="G20976">
        <v>2</v>
      </c>
    </row>
    <row r="20977" spans="1:7" x14ac:dyDescent="0.25">
      <c r="A20977">
        <v>9</v>
      </c>
      <c r="B20977" t="s">
        <v>20978</v>
      </c>
      <c r="C20977">
        <v>6051</v>
      </c>
      <c r="D20977" t="str">
        <f>"1472-586X"</f>
        <v>1472-586X</v>
      </c>
      <c r="E20977" t="s">
        <v>8</v>
      </c>
      <c r="F20977" t="s">
        <v>20995</v>
      </c>
      <c r="G20977">
        <v>2</v>
      </c>
    </row>
    <row r="20978" spans="1:7" x14ac:dyDescent="0.25">
      <c r="A20978">
        <v>9</v>
      </c>
      <c r="B20978" t="s">
        <v>20978</v>
      </c>
      <c r="C20978">
        <v>8783339</v>
      </c>
      <c r="D20978" t="str">
        <f>"2471-0938"</f>
        <v>2471-0938</v>
      </c>
      <c r="E20978" t="s">
        <v>8</v>
      </c>
      <c r="F20978" t="s">
        <v>20996</v>
      </c>
      <c r="G20978">
        <v>1</v>
      </c>
    </row>
    <row r="20979" spans="1:7" x14ac:dyDescent="0.25">
      <c r="A20979">
        <v>9</v>
      </c>
      <c r="B20979" t="s">
        <v>20978</v>
      </c>
      <c r="C20979">
        <v>5952</v>
      </c>
      <c r="E20979" t="s">
        <v>8</v>
      </c>
      <c r="F20979" t="s">
        <v>20997</v>
      </c>
      <c r="G20979">
        <v>1</v>
      </c>
    </row>
    <row r="20980" spans="1:7" x14ac:dyDescent="0.25">
      <c r="A20980">
        <v>9</v>
      </c>
      <c r="B20980" t="s">
        <v>20978</v>
      </c>
      <c r="C20980">
        <v>34784</v>
      </c>
      <c r="D20980" t="str">
        <f>"0341-7212"</f>
        <v>0341-7212</v>
      </c>
      <c r="E20980" t="s">
        <v>8</v>
      </c>
      <c r="F20980" t="s">
        <v>20998</v>
      </c>
      <c r="G20980">
        <v>1</v>
      </c>
    </row>
    <row r="20981" spans="1:7" x14ac:dyDescent="0.25">
      <c r="A20981">
        <v>9</v>
      </c>
      <c r="B20981" t="s">
        <v>20978</v>
      </c>
      <c r="C20981">
        <v>160009</v>
      </c>
      <c r="E20981" t="s">
        <v>8</v>
      </c>
      <c r="F20981" t="s">
        <v>20999</v>
      </c>
      <c r="G20981">
        <v>1</v>
      </c>
    </row>
    <row r="20982" spans="1:7" x14ac:dyDescent="0.25">
      <c r="A20982">
        <v>9</v>
      </c>
      <c r="B20982" t="s">
        <v>20978</v>
      </c>
      <c r="C20982">
        <v>16776</v>
      </c>
      <c r="D20982" t="str">
        <f>"0969-725X"</f>
        <v>0969-725X</v>
      </c>
      <c r="E20982" t="s">
        <v>8</v>
      </c>
      <c r="F20982" t="s">
        <v>21000</v>
      </c>
      <c r="G20982">
        <v>1</v>
      </c>
    </row>
    <row r="20983" spans="1:7" x14ac:dyDescent="0.25">
      <c r="A20983">
        <v>9</v>
      </c>
      <c r="B20983" t="s">
        <v>20978</v>
      </c>
      <c r="C20983">
        <v>5911</v>
      </c>
      <c r="D20983" t="str">
        <f>"0066-8176"</f>
        <v>0066-8176</v>
      </c>
      <c r="E20983" t="s">
        <v>8</v>
      </c>
      <c r="F20983" t="s">
        <v>21001</v>
      </c>
      <c r="G20983">
        <v>1</v>
      </c>
    </row>
    <row r="20984" spans="1:7" x14ac:dyDescent="0.25">
      <c r="A20984">
        <v>9</v>
      </c>
      <c r="B20984" t="s">
        <v>20978</v>
      </c>
      <c r="C20984">
        <v>8782758</v>
      </c>
      <c r="E20984" t="s">
        <v>8</v>
      </c>
      <c r="F20984" t="s">
        <v>21002</v>
      </c>
      <c r="G20984">
        <v>1</v>
      </c>
    </row>
    <row r="20985" spans="1:7" x14ac:dyDescent="0.25">
      <c r="A20985">
        <v>9</v>
      </c>
      <c r="B20985" t="s">
        <v>20978</v>
      </c>
      <c r="C20985">
        <v>6057877</v>
      </c>
      <c r="D20985" t="str">
        <f>"1757-1898"</f>
        <v>1757-1898</v>
      </c>
      <c r="E20985" t="s">
        <v>8</v>
      </c>
      <c r="F20985" t="s">
        <v>21003</v>
      </c>
      <c r="G20985">
        <v>1</v>
      </c>
    </row>
    <row r="20986" spans="1:7" x14ac:dyDescent="0.25">
      <c r="A20986">
        <v>9</v>
      </c>
      <c r="B20986" t="s">
        <v>20978</v>
      </c>
      <c r="C20986">
        <v>7753409</v>
      </c>
      <c r="D20986" t="str">
        <f>"2050-0742"</f>
        <v>2050-0742</v>
      </c>
      <c r="E20986" t="s">
        <v>8</v>
      </c>
      <c r="F20986" t="s">
        <v>21004</v>
      </c>
      <c r="G20986">
        <v>1</v>
      </c>
    </row>
    <row r="20987" spans="1:7" x14ac:dyDescent="0.25">
      <c r="A20987">
        <v>9</v>
      </c>
      <c r="B20987" t="s">
        <v>20978</v>
      </c>
      <c r="C20987">
        <v>180170</v>
      </c>
      <c r="E20987" t="s">
        <v>8</v>
      </c>
      <c r="F20987" t="s">
        <v>21005</v>
      </c>
      <c r="G20987">
        <v>1</v>
      </c>
    </row>
    <row r="20988" spans="1:7" x14ac:dyDescent="0.25">
      <c r="A20988">
        <v>9</v>
      </c>
      <c r="B20988" t="s">
        <v>20978</v>
      </c>
      <c r="C20988">
        <v>7717306</v>
      </c>
      <c r="D20988" t="str">
        <f>"2159-9920"</f>
        <v>2159-9920</v>
      </c>
      <c r="E20988" t="s">
        <v>8</v>
      </c>
      <c r="F20988" t="s">
        <v>21006</v>
      </c>
      <c r="G20988">
        <v>1</v>
      </c>
    </row>
    <row r="20989" spans="1:7" x14ac:dyDescent="0.25">
      <c r="A20989">
        <v>9</v>
      </c>
      <c r="B20989" t="s">
        <v>20978</v>
      </c>
      <c r="C20989">
        <v>5523</v>
      </c>
      <c r="D20989" t="str">
        <f>"1040-0419"</f>
        <v>1040-0419</v>
      </c>
      <c r="E20989" t="s">
        <v>8</v>
      </c>
      <c r="F20989" t="s">
        <v>21007</v>
      </c>
      <c r="G20989">
        <v>1</v>
      </c>
    </row>
    <row r="20990" spans="1:7" x14ac:dyDescent="0.25">
      <c r="A20990">
        <v>9</v>
      </c>
      <c r="B20990" t="s">
        <v>20978</v>
      </c>
      <c r="C20990">
        <v>8783822</v>
      </c>
      <c r="E20990" t="s">
        <v>15</v>
      </c>
      <c r="F20990" t="s">
        <v>21008</v>
      </c>
      <c r="G20990">
        <v>1</v>
      </c>
    </row>
    <row r="20991" spans="1:7" x14ac:dyDescent="0.25">
      <c r="A20991">
        <v>9</v>
      </c>
      <c r="B20991" t="s">
        <v>20978</v>
      </c>
      <c r="C20991">
        <v>1223</v>
      </c>
      <c r="D20991" t="str">
        <f>"0923-411X"</f>
        <v>0923-411X</v>
      </c>
      <c r="E20991" t="s">
        <v>15</v>
      </c>
      <c r="F20991" t="s">
        <v>21009</v>
      </c>
      <c r="G20991">
        <v>1</v>
      </c>
    </row>
    <row r="20992" spans="1:7" x14ac:dyDescent="0.25">
      <c r="A20992">
        <v>9</v>
      </c>
      <c r="B20992" t="s">
        <v>20978</v>
      </c>
      <c r="C20992">
        <v>8783823</v>
      </c>
      <c r="E20992" t="s">
        <v>15</v>
      </c>
      <c r="F20992" t="s">
        <v>21010</v>
      </c>
      <c r="G20992">
        <v>1</v>
      </c>
    </row>
    <row r="20993" spans="1:7" x14ac:dyDescent="0.25">
      <c r="A20993">
        <v>9</v>
      </c>
      <c r="B20993" t="s">
        <v>20978</v>
      </c>
      <c r="C20993">
        <v>25760</v>
      </c>
      <c r="D20993" t="str">
        <f>"0301-7605"</f>
        <v>0301-7605</v>
      </c>
      <c r="E20993" t="s">
        <v>8</v>
      </c>
      <c r="F20993" t="s">
        <v>19054</v>
      </c>
      <c r="G20993">
        <v>1</v>
      </c>
    </row>
    <row r="20994" spans="1:7" x14ac:dyDescent="0.25">
      <c r="A20994">
        <v>9</v>
      </c>
      <c r="B20994" t="s">
        <v>20978</v>
      </c>
      <c r="C20994">
        <v>10197</v>
      </c>
      <c r="D20994" t="str">
        <f>"1069-3971"</f>
        <v>1069-3971</v>
      </c>
      <c r="E20994" t="s">
        <v>8</v>
      </c>
      <c r="F20994" t="s">
        <v>21011</v>
      </c>
      <c r="G20994">
        <v>1</v>
      </c>
    </row>
    <row r="20995" spans="1:7" x14ac:dyDescent="0.25">
      <c r="A20995">
        <v>9</v>
      </c>
      <c r="B20995" t="s">
        <v>20978</v>
      </c>
      <c r="C20995">
        <v>11116</v>
      </c>
      <c r="D20995" t="str">
        <f>"1190-9153"</f>
        <v>1190-9153</v>
      </c>
      <c r="E20995" t="s">
        <v>8</v>
      </c>
      <c r="F20995" t="s">
        <v>21012</v>
      </c>
      <c r="G20995">
        <v>1</v>
      </c>
    </row>
    <row r="20996" spans="1:7" x14ac:dyDescent="0.25">
      <c r="A20996">
        <v>9</v>
      </c>
      <c r="B20996" t="s">
        <v>20978</v>
      </c>
      <c r="C20996">
        <v>14594</v>
      </c>
      <c r="D20996" t="str">
        <f>"0882-4371"</f>
        <v>0882-4371</v>
      </c>
      <c r="E20996" t="s">
        <v>8</v>
      </c>
      <c r="F20996" t="s">
        <v>21013</v>
      </c>
      <c r="G20996">
        <v>1</v>
      </c>
    </row>
    <row r="20997" spans="1:7" x14ac:dyDescent="0.25">
      <c r="A20997">
        <v>9</v>
      </c>
      <c r="B20997" t="s">
        <v>20978</v>
      </c>
      <c r="C20997">
        <v>5259</v>
      </c>
      <c r="D20997" t="str">
        <f>"1532-7086"</f>
        <v>1532-7086</v>
      </c>
      <c r="E20997" t="s">
        <v>8</v>
      </c>
      <c r="F20997" t="s">
        <v>21014</v>
      </c>
      <c r="G20997">
        <v>1</v>
      </c>
    </row>
    <row r="20998" spans="1:7" x14ac:dyDescent="0.25">
      <c r="A20998">
        <v>9</v>
      </c>
      <c r="B20998" t="s">
        <v>20978</v>
      </c>
      <c r="C20998">
        <v>10750</v>
      </c>
      <c r="D20998" t="str">
        <f>"1446-8123"</f>
        <v>1446-8123</v>
      </c>
      <c r="E20998" t="s">
        <v>8</v>
      </c>
      <c r="F20998" t="s">
        <v>21015</v>
      </c>
      <c r="G20998">
        <v>1</v>
      </c>
    </row>
    <row r="20999" spans="1:7" x14ac:dyDescent="0.25">
      <c r="A20999">
        <v>9</v>
      </c>
      <c r="B20999" t="s">
        <v>20978</v>
      </c>
      <c r="C20999">
        <v>4979</v>
      </c>
      <c r="D20999" t="str">
        <f>"0954-8963"</f>
        <v>0954-8963</v>
      </c>
      <c r="E20999" t="s">
        <v>8</v>
      </c>
      <c r="F20999" t="s">
        <v>21016</v>
      </c>
      <c r="G20999">
        <v>1</v>
      </c>
    </row>
    <row r="21000" spans="1:7" x14ac:dyDescent="0.25">
      <c r="A21000">
        <v>9</v>
      </c>
      <c r="B21000" t="s">
        <v>20978</v>
      </c>
      <c r="C21000">
        <v>102419</v>
      </c>
      <c r="D21000" t="str">
        <f>"1766-2923"</f>
        <v>1766-2923</v>
      </c>
      <c r="E21000" t="s">
        <v>8</v>
      </c>
      <c r="F21000" t="s">
        <v>21017</v>
      </c>
      <c r="G21000">
        <v>1</v>
      </c>
    </row>
    <row r="21001" spans="1:7" x14ac:dyDescent="0.25">
      <c r="A21001">
        <v>9</v>
      </c>
      <c r="B21001" t="s">
        <v>20978</v>
      </c>
      <c r="C21001">
        <v>2475</v>
      </c>
      <c r="D21001" t="str">
        <f>"1475-9551"</f>
        <v>1475-9551</v>
      </c>
      <c r="E21001" t="s">
        <v>8</v>
      </c>
      <c r="F21001" t="s">
        <v>21018</v>
      </c>
      <c r="G21001">
        <v>1</v>
      </c>
    </row>
    <row r="21002" spans="1:7" x14ac:dyDescent="0.25">
      <c r="A21002">
        <v>9</v>
      </c>
      <c r="B21002" t="s">
        <v>20978</v>
      </c>
      <c r="C21002">
        <v>156469</v>
      </c>
      <c r="E21002" t="s">
        <v>8</v>
      </c>
      <c r="F21002" t="s">
        <v>21019</v>
      </c>
      <c r="G21002">
        <v>1</v>
      </c>
    </row>
    <row r="21003" spans="1:7" x14ac:dyDescent="0.25">
      <c r="A21003">
        <v>9</v>
      </c>
      <c r="B21003" t="s">
        <v>20978</v>
      </c>
      <c r="C21003">
        <v>35751</v>
      </c>
      <c r="D21003" t="str">
        <f>"0105-8746"</f>
        <v>0105-8746</v>
      </c>
      <c r="E21003" t="s">
        <v>15</v>
      </c>
      <c r="F21003" t="s">
        <v>21020</v>
      </c>
      <c r="G21003">
        <v>1</v>
      </c>
    </row>
    <row r="21004" spans="1:7" x14ac:dyDescent="0.25">
      <c r="A21004">
        <v>9</v>
      </c>
      <c r="B21004" t="s">
        <v>20978</v>
      </c>
      <c r="C21004">
        <v>50612</v>
      </c>
      <c r="D21004" t="str">
        <f>"1101-1408"</f>
        <v>1101-1408</v>
      </c>
      <c r="E21004" t="s">
        <v>8</v>
      </c>
      <c r="F21004" t="s">
        <v>21021</v>
      </c>
      <c r="G21004">
        <v>1</v>
      </c>
    </row>
    <row r="21005" spans="1:7" x14ac:dyDescent="0.25">
      <c r="A21005">
        <v>9</v>
      </c>
      <c r="B21005" t="s">
        <v>20978</v>
      </c>
      <c r="C21005">
        <v>341</v>
      </c>
      <c r="D21005" t="str">
        <f>"1746-0654"</f>
        <v>1746-0654</v>
      </c>
      <c r="E21005" t="s">
        <v>8</v>
      </c>
      <c r="F21005" t="s">
        <v>21022</v>
      </c>
      <c r="G21005">
        <v>1</v>
      </c>
    </row>
    <row r="21006" spans="1:7" x14ac:dyDescent="0.25">
      <c r="A21006">
        <v>9</v>
      </c>
      <c r="B21006" t="s">
        <v>20978</v>
      </c>
      <c r="C21006">
        <v>160010</v>
      </c>
      <c r="D21006" t="str">
        <f>"1891-5752"</f>
        <v>1891-5752</v>
      </c>
      <c r="E21006" t="s">
        <v>8</v>
      </c>
      <c r="F21006" t="s">
        <v>21023</v>
      </c>
      <c r="G21006">
        <v>1</v>
      </c>
    </row>
    <row r="21007" spans="1:7" x14ac:dyDescent="0.25">
      <c r="A21007">
        <v>9</v>
      </c>
      <c r="B21007" t="s">
        <v>20978</v>
      </c>
      <c r="C21007">
        <v>15793</v>
      </c>
      <c r="E21007" t="s">
        <v>8</v>
      </c>
      <c r="F21007" t="s">
        <v>21024</v>
      </c>
      <c r="G21007">
        <v>1</v>
      </c>
    </row>
    <row r="21008" spans="1:7" x14ac:dyDescent="0.25">
      <c r="A21008">
        <v>9</v>
      </c>
      <c r="B21008" t="s">
        <v>20978</v>
      </c>
      <c r="C21008">
        <v>27712</v>
      </c>
      <c r="D21008" t="str">
        <f>"1755-4586"</f>
        <v>1755-4586</v>
      </c>
      <c r="E21008" t="s">
        <v>8</v>
      </c>
      <c r="F21008" t="s">
        <v>21025</v>
      </c>
      <c r="G21008">
        <v>1</v>
      </c>
    </row>
    <row r="21009" spans="1:7" x14ac:dyDescent="0.25">
      <c r="A21009">
        <v>9</v>
      </c>
      <c r="B21009" t="s">
        <v>20978</v>
      </c>
      <c r="C21009">
        <v>170422</v>
      </c>
      <c r="D21009" t="str">
        <f>"2245-3121"</f>
        <v>2245-3121</v>
      </c>
      <c r="E21009" t="s">
        <v>15</v>
      </c>
      <c r="F21009" t="s">
        <v>21026</v>
      </c>
      <c r="G21009">
        <v>1</v>
      </c>
    </row>
    <row r="21010" spans="1:7" x14ac:dyDescent="0.25">
      <c r="A21010">
        <v>9</v>
      </c>
      <c r="B21010" t="s">
        <v>20978</v>
      </c>
      <c r="C21010">
        <v>7753415</v>
      </c>
      <c r="D21010" t="str">
        <f>"2050-0726"</f>
        <v>2050-0726</v>
      </c>
      <c r="E21010" t="s">
        <v>8</v>
      </c>
      <c r="F21010" t="s">
        <v>21027</v>
      </c>
      <c r="G21010">
        <v>1</v>
      </c>
    </row>
    <row r="21011" spans="1:7" x14ac:dyDescent="0.25">
      <c r="A21011">
        <v>9</v>
      </c>
      <c r="B21011" t="s">
        <v>20978</v>
      </c>
      <c r="C21011">
        <v>27139</v>
      </c>
      <c r="D21011" t="str">
        <f>"0105-1024"</f>
        <v>0105-1024</v>
      </c>
      <c r="E21011" t="s">
        <v>8</v>
      </c>
      <c r="F21011" t="s">
        <v>21028</v>
      </c>
      <c r="G21011">
        <v>1</v>
      </c>
    </row>
    <row r="21012" spans="1:7" x14ac:dyDescent="0.25">
      <c r="A21012">
        <v>9</v>
      </c>
      <c r="B21012" t="s">
        <v>20978</v>
      </c>
      <c r="C21012">
        <v>10108</v>
      </c>
      <c r="D21012" t="str">
        <f>"0015-587X"</f>
        <v>0015-587X</v>
      </c>
      <c r="E21012" t="s">
        <v>8</v>
      </c>
      <c r="F21012" t="s">
        <v>3563</v>
      </c>
      <c r="G21012">
        <v>1</v>
      </c>
    </row>
    <row r="21013" spans="1:7" x14ac:dyDescent="0.25">
      <c r="A21013">
        <v>9</v>
      </c>
      <c r="B21013" t="s">
        <v>20978</v>
      </c>
      <c r="C21013">
        <v>7938</v>
      </c>
      <c r="D21013" t="str">
        <f>"0957-1558"</f>
        <v>0957-1558</v>
      </c>
      <c r="E21013" t="s">
        <v>8</v>
      </c>
      <c r="F21013" t="s">
        <v>21029</v>
      </c>
      <c r="G21013">
        <v>1</v>
      </c>
    </row>
    <row r="21014" spans="1:7" x14ac:dyDescent="0.25">
      <c r="A21014">
        <v>9</v>
      </c>
      <c r="B21014" t="s">
        <v>20978</v>
      </c>
      <c r="C21014">
        <v>5590</v>
      </c>
      <c r="D21014" t="str">
        <f>"1740-6315"</f>
        <v>1740-6315</v>
      </c>
      <c r="E21014" t="s">
        <v>8</v>
      </c>
      <c r="F21014" t="s">
        <v>21030</v>
      </c>
      <c r="G21014">
        <v>1</v>
      </c>
    </row>
    <row r="21015" spans="1:7" x14ac:dyDescent="0.25">
      <c r="A21015">
        <v>9</v>
      </c>
      <c r="B21015" t="s">
        <v>20978</v>
      </c>
      <c r="C21015">
        <v>8770904</v>
      </c>
      <c r="E21015" t="s">
        <v>8</v>
      </c>
      <c r="F21015" t="s">
        <v>21031</v>
      </c>
      <c r="G21015">
        <v>1</v>
      </c>
    </row>
    <row r="21016" spans="1:7" x14ac:dyDescent="0.25">
      <c r="A21016">
        <v>9</v>
      </c>
      <c r="B21016" t="s">
        <v>20978</v>
      </c>
      <c r="C21016">
        <v>170050</v>
      </c>
      <c r="D21016" t="str">
        <f>"1904-898X"</f>
        <v>1904-898X</v>
      </c>
      <c r="E21016" t="s">
        <v>15</v>
      </c>
      <c r="F21016" t="s">
        <v>21032</v>
      </c>
      <c r="G21016">
        <v>1</v>
      </c>
    </row>
    <row r="21017" spans="1:7" x14ac:dyDescent="0.25">
      <c r="A21017">
        <v>9</v>
      </c>
      <c r="B21017" t="s">
        <v>20978</v>
      </c>
      <c r="C21017">
        <v>15122</v>
      </c>
      <c r="D21017" t="str">
        <f>"1479-7585"</f>
        <v>1479-7585</v>
      </c>
      <c r="E21017" t="s">
        <v>8</v>
      </c>
      <c r="F21017" t="s">
        <v>21033</v>
      </c>
      <c r="G21017">
        <v>1</v>
      </c>
    </row>
    <row r="21018" spans="1:7" x14ac:dyDescent="0.25">
      <c r="A21018">
        <v>9</v>
      </c>
      <c r="B21018" t="s">
        <v>20978</v>
      </c>
      <c r="C21018">
        <v>156468</v>
      </c>
      <c r="E21018" t="s">
        <v>8</v>
      </c>
      <c r="F21018" t="s">
        <v>21034</v>
      </c>
      <c r="G21018">
        <v>1</v>
      </c>
    </row>
    <row r="21019" spans="1:7" x14ac:dyDescent="0.25">
      <c r="A21019">
        <v>9</v>
      </c>
      <c r="B21019" t="s">
        <v>20978</v>
      </c>
      <c r="C21019">
        <v>14755</v>
      </c>
      <c r="D21019" t="str">
        <f>"0021-8715"</f>
        <v>0021-8715</v>
      </c>
      <c r="E21019" t="s">
        <v>8</v>
      </c>
      <c r="F21019" t="s">
        <v>21035</v>
      </c>
      <c r="G21019">
        <v>1</v>
      </c>
    </row>
    <row r="21020" spans="1:7" x14ac:dyDescent="0.25">
      <c r="A21020">
        <v>9</v>
      </c>
      <c r="B21020" t="s">
        <v>20978</v>
      </c>
      <c r="C21020">
        <v>6167698</v>
      </c>
      <c r="D21020" t="str">
        <f>"2040-2457"</f>
        <v>2040-2457</v>
      </c>
      <c r="E21020" t="s">
        <v>8</v>
      </c>
      <c r="F21020" t="s">
        <v>21036</v>
      </c>
      <c r="G21020">
        <v>1</v>
      </c>
    </row>
    <row r="21021" spans="1:7" x14ac:dyDescent="0.25">
      <c r="A21021">
        <v>9</v>
      </c>
      <c r="B21021" t="s">
        <v>20978</v>
      </c>
      <c r="C21021">
        <v>12098</v>
      </c>
      <c r="D21021" t="str">
        <f>"0021-9347"</f>
        <v>0021-9347</v>
      </c>
      <c r="E21021" t="s">
        <v>8</v>
      </c>
      <c r="F21021" t="s">
        <v>21037</v>
      </c>
      <c r="G21021">
        <v>1</v>
      </c>
    </row>
    <row r="21022" spans="1:7" x14ac:dyDescent="0.25">
      <c r="A21022">
        <v>9</v>
      </c>
      <c r="B21022" t="s">
        <v>20978</v>
      </c>
      <c r="C21022">
        <v>6169397</v>
      </c>
      <c r="D21022" t="str">
        <f>"2040-6134 "</f>
        <v xml:space="preserve">2040-6134 </v>
      </c>
      <c r="E21022" t="s">
        <v>8</v>
      </c>
      <c r="F21022" t="s">
        <v>21038</v>
      </c>
      <c r="G21022">
        <v>1</v>
      </c>
    </row>
    <row r="21023" spans="1:7" x14ac:dyDescent="0.25">
      <c r="A21023">
        <v>9</v>
      </c>
      <c r="B21023" t="s">
        <v>20978</v>
      </c>
      <c r="C21023">
        <v>15596</v>
      </c>
      <c r="D21023" t="str">
        <f>"0737-7037"</f>
        <v>0737-7037</v>
      </c>
      <c r="E21023" t="s">
        <v>8</v>
      </c>
      <c r="F21023" t="s">
        <v>21039</v>
      </c>
      <c r="G21023">
        <v>1</v>
      </c>
    </row>
    <row r="21024" spans="1:7" x14ac:dyDescent="0.25">
      <c r="A21024">
        <v>9</v>
      </c>
      <c r="B21024" t="s">
        <v>20978</v>
      </c>
      <c r="C21024">
        <v>11749</v>
      </c>
      <c r="D21024" t="str">
        <f>"1743-873X"</f>
        <v>1743-873X</v>
      </c>
      <c r="E21024" t="s">
        <v>8</v>
      </c>
      <c r="F21024" t="s">
        <v>21040</v>
      </c>
      <c r="G21024">
        <v>1</v>
      </c>
    </row>
    <row r="21025" spans="1:7" x14ac:dyDescent="0.25">
      <c r="A21025">
        <v>9</v>
      </c>
      <c r="B21025" t="s">
        <v>20978</v>
      </c>
      <c r="C21025">
        <v>14723</v>
      </c>
      <c r="E21025" t="s">
        <v>8</v>
      </c>
      <c r="F21025" t="s">
        <v>21041</v>
      </c>
      <c r="G21025">
        <v>1</v>
      </c>
    </row>
    <row r="21026" spans="1:7" x14ac:dyDescent="0.25">
      <c r="A21026">
        <v>9</v>
      </c>
      <c r="B21026" t="s">
        <v>20978</v>
      </c>
      <c r="C21026">
        <v>1994</v>
      </c>
      <c r="D21026" t="str">
        <f>"1356-9325"</f>
        <v>1356-9325</v>
      </c>
      <c r="E21026" t="s">
        <v>8</v>
      </c>
      <c r="F21026" t="s">
        <v>21042</v>
      </c>
      <c r="G21026">
        <v>1</v>
      </c>
    </row>
    <row r="21027" spans="1:7" x14ac:dyDescent="0.25">
      <c r="A21027">
        <v>9</v>
      </c>
      <c r="B21027" t="s">
        <v>20978</v>
      </c>
      <c r="C21027">
        <v>26877</v>
      </c>
      <c r="D21027" t="str">
        <f>"1744-7143"</f>
        <v>1744-7143</v>
      </c>
      <c r="E21027" t="s">
        <v>8</v>
      </c>
      <c r="F21027" t="s">
        <v>21043</v>
      </c>
      <c r="G21027">
        <v>1</v>
      </c>
    </row>
    <row r="21028" spans="1:7" x14ac:dyDescent="0.25">
      <c r="A21028">
        <v>9</v>
      </c>
      <c r="B21028" t="s">
        <v>20978</v>
      </c>
      <c r="C21028">
        <v>13292</v>
      </c>
      <c r="D21028" t="str">
        <f>"1476-6825"</f>
        <v>1476-6825</v>
      </c>
      <c r="E21028" t="s">
        <v>8</v>
      </c>
      <c r="F21028" t="s">
        <v>21044</v>
      </c>
      <c r="G21028">
        <v>1</v>
      </c>
    </row>
    <row r="21029" spans="1:7" x14ac:dyDescent="0.25">
      <c r="A21029">
        <v>9</v>
      </c>
      <c r="B21029" t="s">
        <v>20978</v>
      </c>
      <c r="C21029">
        <v>27333</v>
      </c>
      <c r="D21029" t="str">
        <f>"1752-6272"</f>
        <v>1752-6272</v>
      </c>
      <c r="E21029" t="s">
        <v>8</v>
      </c>
      <c r="F21029" t="s">
        <v>21045</v>
      </c>
      <c r="G21029">
        <v>1</v>
      </c>
    </row>
    <row r="21030" spans="1:7" x14ac:dyDescent="0.25">
      <c r="A21030">
        <v>9</v>
      </c>
      <c r="B21030" t="s">
        <v>20978</v>
      </c>
      <c r="C21030">
        <v>6082</v>
      </c>
      <c r="D21030" t="str">
        <f>"0341-8030"</f>
        <v>0341-8030</v>
      </c>
      <c r="E21030" t="s">
        <v>8</v>
      </c>
      <c r="F21030" t="s">
        <v>21046</v>
      </c>
      <c r="G21030">
        <v>1</v>
      </c>
    </row>
    <row r="21031" spans="1:7" x14ac:dyDescent="0.25">
      <c r="A21031">
        <v>9</v>
      </c>
      <c r="B21031" t="s">
        <v>20978</v>
      </c>
      <c r="C21031">
        <v>119045</v>
      </c>
      <c r="D21031" t="str">
        <f>"1653-7432"</f>
        <v>1653-7432</v>
      </c>
      <c r="E21031" t="s">
        <v>8</v>
      </c>
      <c r="F21031" t="s">
        <v>21047</v>
      </c>
      <c r="G21031">
        <v>1</v>
      </c>
    </row>
    <row r="21032" spans="1:7" x14ac:dyDescent="0.25">
      <c r="A21032">
        <v>9</v>
      </c>
      <c r="B21032" t="s">
        <v>20978</v>
      </c>
      <c r="C21032">
        <v>902</v>
      </c>
      <c r="D21032" t="str">
        <f>"1102-7908"</f>
        <v>1102-7908</v>
      </c>
      <c r="E21032" t="s">
        <v>8</v>
      </c>
      <c r="F21032" t="s">
        <v>21048</v>
      </c>
      <c r="G21032">
        <v>1</v>
      </c>
    </row>
    <row r="21033" spans="1:7" x14ac:dyDescent="0.25">
      <c r="A21033">
        <v>9</v>
      </c>
      <c r="B21033" t="s">
        <v>20978</v>
      </c>
      <c r="C21033">
        <v>160041</v>
      </c>
      <c r="E21033" t="s">
        <v>8</v>
      </c>
      <c r="F21033" t="s">
        <v>21049</v>
      </c>
      <c r="G21033">
        <v>1</v>
      </c>
    </row>
    <row r="21034" spans="1:7" x14ac:dyDescent="0.25">
      <c r="A21034">
        <v>9</v>
      </c>
      <c r="B21034" t="s">
        <v>20978</v>
      </c>
      <c r="C21034">
        <v>6670</v>
      </c>
      <c r="D21034" t="str">
        <f>"1521-4281"</f>
        <v>1521-4281</v>
      </c>
      <c r="E21034" t="s">
        <v>8</v>
      </c>
      <c r="F21034" t="s">
        <v>21050</v>
      </c>
      <c r="G21034">
        <v>1</v>
      </c>
    </row>
    <row r="21035" spans="1:7" x14ac:dyDescent="0.25">
      <c r="A21035">
        <v>9</v>
      </c>
      <c r="B21035" t="s">
        <v>20978</v>
      </c>
      <c r="C21035">
        <v>9960</v>
      </c>
      <c r="D21035" t="str">
        <f>"0026-0096"</f>
        <v>0026-0096</v>
      </c>
      <c r="E21035" t="s">
        <v>8</v>
      </c>
      <c r="F21035" t="s">
        <v>21051</v>
      </c>
      <c r="G21035">
        <v>1</v>
      </c>
    </row>
    <row r="21036" spans="1:7" x14ac:dyDescent="0.25">
      <c r="A21036">
        <v>9</v>
      </c>
      <c r="B21036" t="s">
        <v>20978</v>
      </c>
      <c r="C21036">
        <v>156208</v>
      </c>
      <c r="D21036" t="str">
        <f>"1397-7172"</f>
        <v>1397-7172</v>
      </c>
      <c r="E21036" t="s">
        <v>8</v>
      </c>
      <c r="F21036" t="s">
        <v>21052</v>
      </c>
      <c r="G21036">
        <v>1</v>
      </c>
    </row>
    <row r="21037" spans="1:7" x14ac:dyDescent="0.25">
      <c r="A21037">
        <v>9</v>
      </c>
      <c r="B21037" t="s">
        <v>20978</v>
      </c>
      <c r="C21037">
        <v>9419</v>
      </c>
      <c r="D21037" t="str">
        <f>"1350-0775"</f>
        <v>1350-0775</v>
      </c>
      <c r="E21037" t="s">
        <v>8</v>
      </c>
      <c r="F21037" t="s">
        <v>21053</v>
      </c>
      <c r="G21037">
        <v>1</v>
      </c>
    </row>
    <row r="21038" spans="1:7" x14ac:dyDescent="0.25">
      <c r="A21038">
        <v>9</v>
      </c>
      <c r="B21038" t="s">
        <v>20978</v>
      </c>
      <c r="C21038">
        <v>27459</v>
      </c>
      <c r="D21038" t="str">
        <f>"1559-6893"</f>
        <v>1559-6893</v>
      </c>
      <c r="E21038" t="s">
        <v>8</v>
      </c>
      <c r="F21038" t="s">
        <v>21054</v>
      </c>
      <c r="G21038">
        <v>1</v>
      </c>
    </row>
    <row r="21039" spans="1:7" x14ac:dyDescent="0.25">
      <c r="A21039">
        <v>9</v>
      </c>
      <c r="B21039" t="s">
        <v>20978</v>
      </c>
      <c r="C21039">
        <v>8771873</v>
      </c>
      <c r="E21039" t="s">
        <v>8</v>
      </c>
      <c r="F21039" t="s">
        <v>21055</v>
      </c>
      <c r="G21039">
        <v>1</v>
      </c>
    </row>
    <row r="21040" spans="1:7" x14ac:dyDescent="0.25">
      <c r="A21040">
        <v>9</v>
      </c>
      <c r="B21040" t="s">
        <v>20978</v>
      </c>
      <c r="C21040">
        <v>7904</v>
      </c>
      <c r="E21040" t="s">
        <v>8</v>
      </c>
      <c r="F21040" t="s">
        <v>21056</v>
      </c>
      <c r="G21040">
        <v>1</v>
      </c>
    </row>
    <row r="21041" spans="1:7" x14ac:dyDescent="0.25">
      <c r="A21041">
        <v>9</v>
      </c>
      <c r="B21041" t="s">
        <v>20978</v>
      </c>
      <c r="C21041">
        <v>14108</v>
      </c>
      <c r="D21041" t="str">
        <f>"0883-5365"</f>
        <v>0883-5365</v>
      </c>
      <c r="E21041" t="s">
        <v>8</v>
      </c>
      <c r="F21041" t="s">
        <v>21057</v>
      </c>
      <c r="G21041">
        <v>1</v>
      </c>
    </row>
    <row r="21042" spans="1:7" x14ac:dyDescent="0.25">
      <c r="A21042">
        <v>9</v>
      </c>
      <c r="B21042" t="s">
        <v>20978</v>
      </c>
      <c r="C21042">
        <v>8783824</v>
      </c>
      <c r="E21042" t="s">
        <v>15</v>
      </c>
      <c r="F21042" t="s">
        <v>21058</v>
      </c>
      <c r="G21042">
        <v>1</v>
      </c>
    </row>
    <row r="21043" spans="1:7" x14ac:dyDescent="0.25">
      <c r="A21043">
        <v>9</v>
      </c>
      <c r="B21043" t="s">
        <v>20978</v>
      </c>
      <c r="C21043">
        <v>27677</v>
      </c>
      <c r="D21043" t="str">
        <f>"1751-4517"</f>
        <v>1751-4517</v>
      </c>
      <c r="E21043" t="s">
        <v>8</v>
      </c>
      <c r="F21043" t="s">
        <v>21059</v>
      </c>
      <c r="G21043">
        <v>1</v>
      </c>
    </row>
    <row r="21044" spans="1:7" x14ac:dyDescent="0.25">
      <c r="A21044">
        <v>9</v>
      </c>
      <c r="B21044" t="s">
        <v>20978</v>
      </c>
      <c r="C21044">
        <v>8783825</v>
      </c>
      <c r="E21044" t="s">
        <v>15</v>
      </c>
      <c r="F21044" t="s">
        <v>21060</v>
      </c>
      <c r="G21044">
        <v>1</v>
      </c>
    </row>
    <row r="21045" spans="1:7" x14ac:dyDescent="0.25">
      <c r="A21045">
        <v>9</v>
      </c>
      <c r="B21045" t="s">
        <v>20978</v>
      </c>
      <c r="C21045">
        <v>15586</v>
      </c>
      <c r="D21045" t="str">
        <f>"1368-8790"</f>
        <v>1368-8790</v>
      </c>
      <c r="E21045" t="s">
        <v>8</v>
      </c>
      <c r="F21045" t="s">
        <v>21061</v>
      </c>
      <c r="G21045">
        <v>1</v>
      </c>
    </row>
    <row r="21046" spans="1:7" x14ac:dyDescent="0.25">
      <c r="A21046">
        <v>9</v>
      </c>
      <c r="B21046" t="s">
        <v>20978</v>
      </c>
      <c r="C21046">
        <v>9005</v>
      </c>
      <c r="E21046" t="s">
        <v>8</v>
      </c>
      <c r="F21046" t="s">
        <v>21062</v>
      </c>
      <c r="G21046">
        <v>1</v>
      </c>
    </row>
    <row r="21047" spans="1:7" x14ac:dyDescent="0.25">
      <c r="A21047">
        <v>9</v>
      </c>
      <c r="B21047" t="s">
        <v>20978</v>
      </c>
      <c r="C21047">
        <v>14302</v>
      </c>
      <c r="D21047" t="str">
        <f>"0035-5267"</f>
        <v>0035-5267</v>
      </c>
      <c r="E21047" t="s">
        <v>8</v>
      </c>
      <c r="F21047" t="s">
        <v>21063</v>
      </c>
      <c r="G21047">
        <v>1</v>
      </c>
    </row>
    <row r="21048" spans="1:7" x14ac:dyDescent="0.25">
      <c r="A21048">
        <v>9</v>
      </c>
      <c r="B21048" t="s">
        <v>20978</v>
      </c>
      <c r="C21048">
        <v>8783826</v>
      </c>
      <c r="E21048" t="s">
        <v>15</v>
      </c>
      <c r="F21048" t="s">
        <v>21064</v>
      </c>
      <c r="G21048">
        <v>1</v>
      </c>
    </row>
    <row r="21049" spans="1:7" x14ac:dyDescent="0.25">
      <c r="A21049">
        <v>9</v>
      </c>
      <c r="B21049" t="s">
        <v>20978</v>
      </c>
      <c r="C21049">
        <v>10751</v>
      </c>
      <c r="D21049" t="str">
        <f>"1502-2250"</f>
        <v>1502-2250</v>
      </c>
      <c r="E21049" t="s">
        <v>8</v>
      </c>
      <c r="F21049" t="s">
        <v>21065</v>
      </c>
      <c r="G21049">
        <v>1</v>
      </c>
    </row>
    <row r="21050" spans="1:7" x14ac:dyDescent="0.25">
      <c r="A21050">
        <v>9</v>
      </c>
      <c r="B21050" t="s">
        <v>20978</v>
      </c>
      <c r="C21050">
        <v>170052</v>
      </c>
      <c r="E21050" t="s">
        <v>15</v>
      </c>
      <c r="F21050" t="s">
        <v>21066</v>
      </c>
      <c r="G21050">
        <v>1</v>
      </c>
    </row>
    <row r="21051" spans="1:7" x14ac:dyDescent="0.25">
      <c r="A21051">
        <v>9</v>
      </c>
      <c r="B21051" t="s">
        <v>20978</v>
      </c>
      <c r="C21051">
        <v>170053</v>
      </c>
      <c r="E21051" t="s">
        <v>15</v>
      </c>
      <c r="F21051" t="s">
        <v>21067</v>
      </c>
      <c r="G21051">
        <v>1</v>
      </c>
    </row>
    <row r="21052" spans="1:7" x14ac:dyDescent="0.25">
      <c r="A21052">
        <v>9</v>
      </c>
      <c r="B21052" t="s">
        <v>20978</v>
      </c>
      <c r="C21052">
        <v>3451</v>
      </c>
      <c r="D21052" t="str">
        <f>"1046-2937"</f>
        <v>1046-2937</v>
      </c>
      <c r="E21052" t="s">
        <v>8</v>
      </c>
      <c r="F21052" t="s">
        <v>21068</v>
      </c>
      <c r="G21052">
        <v>1</v>
      </c>
    </row>
    <row r="21053" spans="1:7" x14ac:dyDescent="0.25">
      <c r="A21053">
        <v>9</v>
      </c>
      <c r="B21053" t="s">
        <v>20978</v>
      </c>
      <c r="C21053">
        <v>19514</v>
      </c>
      <c r="D21053" t="str">
        <f>"1745-8927"</f>
        <v>1745-8927</v>
      </c>
      <c r="E21053" t="s">
        <v>8</v>
      </c>
      <c r="F21053" t="s">
        <v>21069</v>
      </c>
      <c r="G21053">
        <v>1</v>
      </c>
    </row>
    <row r="21054" spans="1:7" x14ac:dyDescent="0.25">
      <c r="A21054">
        <v>9</v>
      </c>
      <c r="B21054" t="s">
        <v>20978</v>
      </c>
      <c r="C21054">
        <v>5078</v>
      </c>
      <c r="D21054" t="str">
        <f>"1502-7473"</f>
        <v>1502-7473</v>
      </c>
      <c r="E21054" t="s">
        <v>8</v>
      </c>
      <c r="F21054" t="s">
        <v>21070</v>
      </c>
      <c r="G21054">
        <v>1</v>
      </c>
    </row>
    <row r="21055" spans="1:7" x14ac:dyDescent="0.25">
      <c r="A21055">
        <v>9</v>
      </c>
      <c r="B21055" t="s">
        <v>20978</v>
      </c>
      <c r="C21055">
        <v>27330</v>
      </c>
      <c r="D21055" t="str">
        <f>"1206-0143"</f>
        <v>1206-0143</v>
      </c>
      <c r="E21055" t="s">
        <v>8</v>
      </c>
      <c r="F21055" t="s">
        <v>21071</v>
      </c>
      <c r="G21055">
        <v>1</v>
      </c>
    </row>
    <row r="21056" spans="1:7" x14ac:dyDescent="0.25">
      <c r="A21056">
        <v>9</v>
      </c>
      <c r="B21056" t="s">
        <v>20978</v>
      </c>
      <c r="C21056">
        <v>8783827</v>
      </c>
      <c r="E21056" t="s">
        <v>15</v>
      </c>
      <c r="F21056" t="s">
        <v>21072</v>
      </c>
      <c r="G21056">
        <v>1</v>
      </c>
    </row>
    <row r="21057" spans="1:7" x14ac:dyDescent="0.25">
      <c r="A21057">
        <v>9</v>
      </c>
      <c r="B21057" t="s">
        <v>20978</v>
      </c>
      <c r="C21057">
        <v>22360</v>
      </c>
      <c r="D21057" t="str">
        <f>"1064-5578"</f>
        <v>1064-5578</v>
      </c>
      <c r="E21057" t="s">
        <v>8</v>
      </c>
      <c r="F21057" t="s">
        <v>21073</v>
      </c>
      <c r="G21057">
        <v>1</v>
      </c>
    </row>
    <row r="21058" spans="1:7" x14ac:dyDescent="0.25">
      <c r="A21058">
        <v>9</v>
      </c>
      <c r="B21058" t="s">
        <v>20978</v>
      </c>
      <c r="C21058">
        <v>8545</v>
      </c>
      <c r="D21058" t="str">
        <f>"0775-3128"</f>
        <v>0775-3128</v>
      </c>
      <c r="E21058" t="s">
        <v>8</v>
      </c>
      <c r="F21058" t="s">
        <v>21074</v>
      </c>
      <c r="G21058">
        <v>1</v>
      </c>
    </row>
    <row r="21059" spans="1:7" x14ac:dyDescent="0.25">
      <c r="A21059">
        <v>9</v>
      </c>
      <c r="B21059" t="s">
        <v>20978</v>
      </c>
      <c r="C21059">
        <v>15521</v>
      </c>
      <c r="D21059" t="str">
        <f>"0043-373X"</f>
        <v>0043-373X</v>
      </c>
      <c r="E21059" t="s">
        <v>8</v>
      </c>
      <c r="F21059" t="s">
        <v>21075</v>
      </c>
      <c r="G21059">
        <v>1</v>
      </c>
    </row>
    <row r="21060" spans="1:7" x14ac:dyDescent="0.25">
      <c r="A21060">
        <v>9</v>
      </c>
      <c r="B21060" t="s">
        <v>20978</v>
      </c>
      <c r="C21060">
        <v>17965</v>
      </c>
      <c r="D21060" t="str">
        <f>"0044-2666"</f>
        <v>0044-2666</v>
      </c>
      <c r="E21060" t="s">
        <v>8</v>
      </c>
      <c r="F21060" t="s">
        <v>21076</v>
      </c>
      <c r="G21060">
        <v>1</v>
      </c>
    </row>
    <row r="21061" spans="1:7" x14ac:dyDescent="0.25">
      <c r="A21061">
        <v>9</v>
      </c>
      <c r="B21061" t="s">
        <v>20978</v>
      </c>
      <c r="C21061">
        <v>8782597</v>
      </c>
      <c r="D21061" t="str">
        <f>"2192-0885"</f>
        <v>2192-0885</v>
      </c>
      <c r="E21061" t="s">
        <v>8</v>
      </c>
      <c r="F21061" t="s">
        <v>21077</v>
      </c>
      <c r="G21061">
        <v>1</v>
      </c>
    </row>
    <row r="21062" spans="1:7" x14ac:dyDescent="0.25">
      <c r="A21062">
        <v>9</v>
      </c>
      <c r="B21062" t="s">
        <v>20978</v>
      </c>
      <c r="C21062">
        <v>10957</v>
      </c>
      <c r="D21062" t="str">
        <f>"0029-9669"</f>
        <v>0029-9669</v>
      </c>
      <c r="E21062" t="s">
        <v>8</v>
      </c>
      <c r="F21062" t="s">
        <v>21078</v>
      </c>
      <c r="G2106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BFI-listen over serier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 Kusk Clausen (SKC) | VIA</dc:creator>
  <cp:lastModifiedBy>VIA University College</cp:lastModifiedBy>
  <dcterms:created xsi:type="dcterms:W3CDTF">2022-10-26T12:58:27Z</dcterms:created>
  <dcterms:modified xsi:type="dcterms:W3CDTF">2022-10-26T12:58:47Z</dcterms:modified>
</cp:coreProperties>
</file>